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従業員" sheetId="3" state="visible" r:id="rId3"/>
    <sheet xmlns:r="http://schemas.openxmlformats.org/officeDocument/2006/relationships" name="取得日" sheetId="4" state="visible" r:id="rId4"/>
    <sheet xmlns:r="http://schemas.openxmlformats.org/officeDocument/2006/relationships" name="付与スケジュール" sheetId="5" state="visible" r:id="rId5"/>
    <sheet xmlns:r="http://schemas.openxmlformats.org/officeDocument/2006/relationships" name="管理簿" sheetId="6" state="visible" r:id="rId6"/>
  </sheets>
  <definedNames>
    <definedName name="判定日">設定!$B$2</definedName>
    <definedName name="年5日">設定!$B$3</definedName>
    <definedName name="警告日数">設定!$B$4</definedName>
    <definedName name="tbl_fuyo">設定!$B$8:$H$12</definedName>
    <definedName name="区分名">設定!$A$8:$A$12</definedName>
    <definedName name="_xlnm.Print_Area" localSheetId="0">'使い方'!$A$1:$B$12</definedName>
    <definedName name="_xlnm.Print_Area" localSheetId="1">'設定'!$A$1:$I$14</definedName>
    <definedName name="_xlnm.Print_Titles" localSheetId="2">'従業員'!$1:$3</definedName>
    <definedName name="_xlnm.Print_Area" localSheetId="2">'従業員'!$A$1:$Z$53</definedName>
    <definedName name="_xlnm.Print_Titles" localSheetId="3">'取得日'!$1:$3</definedName>
    <definedName name="_xlnm.Print_Area" localSheetId="3">'取得日'!$A$1:$F$503</definedName>
    <definedName name="_xlnm.Print_Area" localSheetId="4">'付与スケジュール'!$A$1:$G$15</definedName>
    <definedName name="_xlnm.Print_Area" localSheetId="5">'管理簿'!$A$1:$F$50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0.0"/>
    <numFmt numFmtId="166" formatCode="0.##"/>
  </numFmts>
  <fonts count="9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b val="1"/>
      <color rgb="001A1A1A"/>
      <sz val="9.5"/>
    </font>
    <font>
      <name val="Yu Gothic"/>
      <color rgb="00555555"/>
      <sz val="8.5"/>
    </font>
    <font>
      <name val="Yu Gothic"/>
      <b val="1"/>
      <color rgb="00FFFFFF"/>
      <sz val="10"/>
    </font>
    <font>
      <name val="Yu Gothic"/>
      <color rgb="001A1A1A"/>
      <sz val="9.5"/>
    </font>
    <font>
      <name val="Yu Gothic"/>
      <color rgb="008A8A8A"/>
      <sz val="8"/>
    </font>
    <font>
      <name val="Yu Gothic"/>
      <color theme="1"/>
      <sz val="11"/>
    </font>
    <font>
      <name val="Yu Gothic"/>
      <color rgb="FF66707A"/>
      <sz val="8.5"/>
    </font>
  </fonts>
  <fills count="5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8DC"/>
      </patternFill>
    </fill>
  </fills>
  <borders count="9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/>
      <top/>
      <bottom/>
    </border>
    <border>
      <left/>
      <right/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164" fontId="2" fillId="4" borderId="1" applyAlignment="1" applyProtection="1" pivotButton="0" quotePrefix="0" xfId="0">
      <alignment horizontal="center" vertical="center" wrapText="1"/>
      <protection locked="0" hidden="0"/>
    </xf>
    <xf numFmtId="0" fontId="3" fillId="0" borderId="0" applyAlignment="1" pivotButton="0" quotePrefix="0" xfId="0">
      <alignment horizontal="left" vertical="center" wrapText="1"/>
    </xf>
    <xf numFmtId="0" fontId="2" fillId="4" borderId="1" applyAlignment="1" applyProtection="1" pivotButton="0" quotePrefix="0" xfId="0">
      <alignment horizontal="center" vertical="center" wrapText="1"/>
      <protection locked="0" hidden="0"/>
    </xf>
    <xf numFmtId="0" fontId="2" fillId="3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5" fillId="4" borderId="1" applyAlignment="1" applyProtection="1" pivotButton="0" quotePrefix="0" xfId="0">
      <alignment horizontal="left" vertical="center" wrapText="1"/>
      <protection locked="0" hidden="0"/>
    </xf>
    <xf numFmtId="164" fontId="5" fillId="4" borderId="1" applyAlignment="1" applyProtection="1" pivotButton="0" quotePrefix="0" xfId="0">
      <alignment horizontal="center" vertical="center" wrapText="1"/>
      <protection locked="0" hidden="0"/>
    </xf>
    <xf numFmtId="0" fontId="5" fillId="4" borderId="1" applyAlignment="1" applyProtection="1" pivotButton="0" quotePrefix="0" xfId="0">
      <alignment horizontal="center" vertical="center" wrapText="1"/>
      <protection locked="0" hidden="0"/>
    </xf>
    <xf numFmtId="164" fontId="5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shrinkToFit="1"/>
    </xf>
    <xf numFmtId="165" fontId="5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center" vertical="center" shrinkToFit="1"/>
    </xf>
    <xf numFmtId="166" fontId="5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164" fontId="5" fillId="3" borderId="1" applyAlignment="1" pivotButton="0" quotePrefix="0" xfId="0">
      <alignment horizontal="center" vertical="center" wrapText="1"/>
    </xf>
    <xf numFmtId="1" fontId="5" fillId="3" borderId="1" applyAlignment="1" pivotButton="0" quotePrefix="0" xfId="0">
      <alignment horizontal="center" vertical="center" wrapText="1"/>
    </xf>
    <xf numFmtId="164" fontId="5" fillId="3" borderId="1" applyAlignment="1" pivotButton="0" quotePrefix="0" xfId="0">
      <alignment horizontal="center" vertical="center" shrinkToFit="1"/>
    </xf>
    <xf numFmtId="165" fontId="5" fillId="3" borderId="1" applyAlignment="1" pivotButton="0" quotePrefix="0" xfId="0">
      <alignment horizontal="center" vertical="center" wrapText="1"/>
    </xf>
    <xf numFmtId="165" fontId="5" fillId="3" borderId="1" applyAlignment="1" pivotButton="0" quotePrefix="0" xfId="0">
      <alignment horizontal="center" vertical="center" shrinkToFit="1"/>
    </xf>
    <xf numFmtId="0" fontId="5" fillId="3" borderId="1" applyAlignment="1" pivotButton="0" quotePrefix="0" xfId="0">
      <alignment horizontal="center" vertical="center" shrinkToFit="1"/>
    </xf>
    <xf numFmtId="166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center" vertical="center" wrapText="1"/>
    </xf>
    <xf numFmtId="0" fontId="0" fillId="0" borderId="1" applyProtection="1" pivotButton="0" quotePrefix="0" xfId="0">
      <protection locked="0" hidden="0"/>
    </xf>
    <xf numFmtId="164" fontId="6" fillId="0" borderId="0" applyAlignment="1" pivotButton="0" quotePrefix="0" xfId="0">
      <alignment horizontal="center" vertical="center" wrapText="1"/>
    </xf>
    <xf numFmtId="0" fontId="1" fillId="2" borderId="6" applyAlignment="1" pivotButton="0" quotePrefix="0" xfId="0">
      <alignment horizontal="center" vertical="center"/>
    </xf>
    <xf numFmtId="0" fontId="7" fillId="0" borderId="6" pivotButton="0" quotePrefix="0" xfId="0"/>
    <xf numFmtId="0" fontId="8" fillId="0" borderId="6" applyAlignment="1" pivotButton="0" quotePrefix="0" xfId="0">
      <alignment horizontal="left" vertical="center" wrapText="1"/>
    </xf>
    <xf numFmtId="0" fontId="7" fillId="0" borderId="7" pivotButton="0" quotePrefix="0" xfId="0"/>
    <xf numFmtId="0" fontId="7" fillId="0" borderId="8" pivotButton="0" quotePrefix="0" xfId="0"/>
    <xf numFmtId="0" fontId="8" fillId="0" borderId="1" applyAlignment="1" pivotButton="0" quotePrefix="0" xfId="0">
      <alignment horizontal="left" vertical="center" wrapText="1"/>
    </xf>
    <xf numFmtId="0" fontId="7" fillId="0" borderId="8" applyProtection="1" pivotButton="0" quotePrefix="0" xfId="0">
      <protection locked="0" hidden="0"/>
    </xf>
    <xf numFmtId="0" fontId="8" fillId="0" borderId="6" applyAlignment="1" pivotButton="0" quotePrefix="0" xfId="0">
      <alignment horizontal="left" vertical="center"/>
    </xf>
    <xf numFmtId="0" fontId="6" fillId="0" borderId="6" applyAlignment="1" pivotButton="0" quotePrefix="0" xfId="0">
      <alignment horizontal="center" vertical="center" wrapText="1"/>
    </xf>
    <xf numFmtId="164" fontId="6" fillId="0" borderId="6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4" pivotButton="0" quotePrefix="0" xfId="0"/>
    <xf numFmtId="0" fontId="0" fillId="0" borderId="4" applyProtection="1" pivotButton="0" quotePrefix="0" xfId="0">
      <protection locked="0" hidden="0"/>
    </xf>
  </cellXfs>
  <cellStyles count="1">
    <cellStyle name="Normal" xfId="0" builtinId="0" hidden="0"/>
  </cellStyles>
  <dxfs count="4">
    <dxf>
      <font>
        <b val="1"/>
        <color rgb="008A4B00"/>
      </font>
      <fill>
        <patternFill patternType="solid">
          <bgColor rgb="00FBE3C8"/>
        </patternFill>
      </fill>
    </dxf>
    <dxf>
      <font>
        <b val="1"/>
        <color rgb="001F5F2E"/>
      </font>
      <fill>
        <patternFill patternType="solid">
          <bgColor rgb="00DCE8DD"/>
        </patternFill>
      </fill>
    </dxf>
    <dxf>
      <font>
        <b val="1"/>
        <color rgb="00B3261E"/>
      </font>
      <fill>
        <patternFill patternType="solid">
          <bgColor rgb="00F6D5D2"/>
        </patternFill>
      </fill>
    </dxf>
    <dxf>
      <font>
        <b val="1"/>
      </font>
      <fill>
        <patternFill patternType="solid">
          <bgColor rgb="00E6EC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36" t="inlineStr">
        <is>
          <t>有給休暇 付与日数・年5日 自動計算エクセルの使い方</t>
        </is>
      </c>
    </row>
    <row r="2">
      <c r="A2" s="37" t="n"/>
      <c r="B2" s="37" t="n"/>
    </row>
    <row r="3" ht="46" customHeight="1">
      <c r="A3" s="2" t="inlineStr">
        <is>
          <t>1</t>
        </is>
      </c>
      <c r="B3" s="3" t="inlineStr">
        <is>
          <t>『従業員』シートの黄色いセルに、氏名・雇入日・週の所定労働日数（または年間の所定労働日数）・週の所定労働時間を入れます。同じ行の右側に、初回付与日（基準日）・付与日数・年5日の期限・判定が出ます。</t>
        </is>
      </c>
    </row>
    <row r="4" ht="46" customHeight="1">
      <c r="A4" s="2" t="inlineStr">
        <is>
          <t>2</t>
        </is>
      </c>
      <c r="B4" s="3" t="inlineStr">
        <is>
          <t>有給を取ったら『取得日』シートに1行ずつ入れます（氏名は『従業員』に入れた名前をプルダウンで選びます）。全日・半日・計画的付与は日数に 1 か 0.5。時間単位は日数を空にして時間数を入れます。</t>
        </is>
      </c>
    </row>
    <row r="5" ht="46" customHeight="1">
      <c r="A5" s="2" t="inlineStr">
        <is>
          <t>3</t>
        </is>
      </c>
      <c r="B5" s="3" t="inlineStr">
        <is>
          <t>色の意味（従業員シートの『判定』列）: 緑＝年5日を達成／橙＝期限まで90日以内でまだ5日に届いていない（設定シートで日数を変えられます）／無色＝進行中。『前期の年5日』が赤の人は、前の期間に5日に届いていません。</t>
        </is>
      </c>
    </row>
    <row r="6" ht="46" customHeight="1">
      <c r="A6" s="2" t="inlineStr">
        <is>
          <t>4</t>
        </is>
      </c>
      <c r="B6" s="3" t="inlineStr">
        <is>
          <t>年5日は『基準日から1年以内』で数えます（暦年の1月〜12月ではありません）。半日は0.5日、本人が取った日・計画的付与の日も数えます。時間単位で取った分は数えません（厚生労働省『改正労働基準法に関するQ&amp;A』3-11）。</t>
        </is>
      </c>
    </row>
    <row r="7" ht="46" customHeight="1">
      <c r="A7" s="2" t="inlineStr">
        <is>
          <t>5</t>
        </is>
      </c>
      <c r="B7" s="3" t="inlineStr">
        <is>
          <t>基準日は民法143条2項の期間計算で出します。4月1日入社なら初回は10月1日。8月31日入社は応当日が無いので初回は3月1日、3月31日入社は10月1日です。</t>
        </is>
      </c>
    </row>
    <row r="8" ht="46" customHeight="1">
      <c r="A8" s="2" t="inlineStr">
        <is>
          <t>6</t>
        </is>
      </c>
      <c r="B8" s="3" t="inlineStr">
        <is>
          <t>H列（実際の付与日）は、会社が基準日を前倒し・統一して付与しているときだけ入れます。入れた行は、年5日の期限と判定は表示しません（基準日が2つになる場合の按分は、この表では計算しません。ページの説明を見てください）。前倒しでも、2年目以降の付与日は初年度と同じ以上に繰り上げます（平成6年1月4日 基発第1号）。</t>
        </is>
      </c>
    </row>
    <row r="9" ht="46" customHeight="1">
      <c r="A9" s="2" t="inlineStr">
        <is>
          <t>7</t>
        </is>
      </c>
      <c r="B9" s="3" t="inlineStr">
        <is>
          <t>年間の所定労働日数が48日に満たない人は、省令の表に区分が無いため『区分外（表に定めなし）』と表示し、付与日数は出しません。個別の扱いは労働基準監督署に確認してください。</t>
        </is>
      </c>
    </row>
    <row r="10" ht="46" customHeight="1">
      <c r="A10" s="2" t="inlineStr">
        <is>
          <t>8</t>
        </is>
      </c>
      <c r="B10" s="3" t="inlineStr">
        <is>
          <t>『付与スケジュール』で1人を選ぶと、入社から先の基準日・付与日数・年5日の期限を1枚で印刷できます。『管理簿』で1人を選ぶと、施行規則24条の7の3項目（基準日・日数・時季）を印刷・PDF保存できます。</t>
        </is>
      </c>
    </row>
    <row r="11" ht="46" customHeight="1">
      <c r="A11" s="2" t="inlineStr">
        <is>
          <t>9</t>
        </is>
      </c>
      <c r="B11" s="3" t="inlineStr">
        <is>
          <t>『従業員』『取得日』シートの式のセルはロックしてあります。変えたいときは［校閲］→［シート保護の解除］（パスワードなし）。法定の付与日数表は『設定』シートです。サンプルの（例）の行は消して使ってください。</t>
        </is>
      </c>
    </row>
    <row r="12" ht="46" customHeight="1">
      <c r="A12" s="2" t="inlineStr">
        <is>
          <t>10</t>
        </is>
      </c>
      <c r="B12" s="3" t="inlineStr">
        <is>
          <t>法令の出所: e-Gov法令検索 労働基準法39条・同施行規則24条の3・24条の5〜7・附則71条、民法143条（2026-10-06 確認）。このエクセルは一般的な情報提供であり、個別の判断は社会保険労務士等にご確認ください。</t>
        </is>
      </c>
    </row>
  </sheetData>
  <mergeCells count="1">
    <mergeCell ref="A1:B1"/>
  </mergeCells>
  <pageMargins left="0.5" right="0.5" top="0.6" bottom="0.6" header="0.3" footer="0.3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selection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3.5" customWidth="1" min="8" max="8"/>
    <col width="40" customWidth="1" min="9" max="9"/>
  </cols>
  <sheetData>
    <row r="1">
      <c r="A1" s="36" t="inlineStr">
        <is>
          <t>設定（判定日と付与日数表）</t>
        </is>
      </c>
    </row>
    <row r="2">
      <c r="A2" s="2" t="inlineStr">
        <is>
          <t>判定日</t>
        </is>
      </c>
      <c r="B2" s="4">
        <f>TODAY()</f>
        <v>46303</v>
      </c>
      <c r="C2" s="38" t="inlineStr">
        <is>
          <t>既定は今日の日付（TODAY 関数）。過去・未来の日付を直接入れると、その日の状態を確認できます</t>
        </is>
      </c>
    </row>
    <row r="3">
      <c r="A3" s="2" t="inlineStr">
        <is>
          <t>年5日の日数（39条7項）</t>
        </is>
      </c>
      <c r="B3" s="2" t="n">
        <v>5</v>
      </c>
      <c r="C3" s="37" t="n"/>
      <c r="D3" s="37" t="n"/>
      <c r="E3" s="37" t="n"/>
      <c r="F3" s="37" t="n"/>
      <c r="G3" s="37" t="n"/>
      <c r="H3" s="37" t="n"/>
      <c r="I3" s="37" t="n"/>
    </row>
    <row r="4">
      <c r="A4" s="2" t="inlineStr">
        <is>
          <t>「要時季指定」にする残り日数</t>
        </is>
      </c>
      <c r="B4" s="6" t="n">
        <v>90</v>
      </c>
      <c r="C4" s="38" t="inlineStr">
        <is>
          <t>年5日の期限までこの日数以内で、まだ5日に届いていない人を橙で示します（会社の運用で変えられます）</t>
        </is>
      </c>
    </row>
    <row r="5">
      <c r="A5" s="37" t="n"/>
      <c r="B5" s="37" t="n"/>
      <c r="C5" s="37" t="n"/>
      <c r="D5" s="37" t="n"/>
      <c r="E5" s="37" t="n"/>
      <c r="F5" s="37" t="n"/>
      <c r="G5" s="37" t="n"/>
      <c r="H5" s="37" t="n"/>
      <c r="I5" s="37" t="n"/>
    </row>
    <row r="6">
      <c r="A6" s="7" t="inlineStr">
        <is>
          <t>付与日数表（労働基準法39条2項・同施行規則24条の3第3項の表。原文の数値）</t>
        </is>
      </c>
      <c r="B6" s="46" t="n"/>
      <c r="C6" s="46" t="n"/>
      <c r="D6" s="46" t="n"/>
      <c r="E6" s="46" t="n"/>
      <c r="F6" s="46" t="n"/>
      <c r="G6" s="46" t="n"/>
      <c r="H6" s="46" t="n"/>
      <c r="I6" s="47" t="n"/>
    </row>
    <row r="7">
      <c r="A7" s="8" t="inlineStr">
        <is>
          <t>区分</t>
        </is>
      </c>
      <c r="B7" s="8" t="inlineStr">
        <is>
          <t>6か月</t>
        </is>
      </c>
      <c r="C7" s="8" t="inlineStr">
        <is>
          <t>1年6か月</t>
        </is>
      </c>
      <c r="D7" s="8" t="inlineStr">
        <is>
          <t>2年6か月</t>
        </is>
      </c>
      <c r="E7" s="8" t="inlineStr">
        <is>
          <t>3年6か月</t>
        </is>
      </c>
      <c r="F7" s="8" t="inlineStr">
        <is>
          <t>4年6か月</t>
        </is>
      </c>
      <c r="G7" s="8" t="inlineStr">
        <is>
          <t>5年6か月</t>
        </is>
      </c>
      <c r="H7" s="8" t="inlineStr">
        <is>
          <t>6年6か月以上</t>
        </is>
      </c>
      <c r="I7" s="8" t="inlineStr">
        <is>
          <t>対象（年間所定労働日数の目安）</t>
        </is>
      </c>
    </row>
    <row r="8">
      <c r="A8" s="2" t="inlineStr">
        <is>
          <t>通常</t>
        </is>
      </c>
      <c r="B8" s="9" t="n">
        <v>10</v>
      </c>
      <c r="C8" s="9" t="n">
        <v>11</v>
      </c>
      <c r="D8" s="9" t="n">
        <v>12</v>
      </c>
      <c r="E8" s="9" t="n">
        <v>14</v>
      </c>
      <c r="F8" s="9" t="n">
        <v>16</v>
      </c>
      <c r="G8" s="9" t="n">
        <v>18</v>
      </c>
      <c r="H8" s="9" t="n">
        <v>20</v>
      </c>
      <c r="I8" s="41" t="inlineStr">
        <is>
          <t>週5日以上／週30時間以上／年217日以上</t>
        </is>
      </c>
    </row>
    <row r="9">
      <c r="A9" s="2" t="inlineStr">
        <is>
          <t>4日</t>
        </is>
      </c>
      <c r="B9" s="9" t="n">
        <v>7</v>
      </c>
      <c r="C9" s="9" t="n">
        <v>8</v>
      </c>
      <c r="D9" s="9" t="n">
        <v>9</v>
      </c>
      <c r="E9" s="9" t="n">
        <v>10</v>
      </c>
      <c r="F9" s="9" t="n">
        <v>12</v>
      </c>
      <c r="G9" s="9" t="n">
        <v>13</v>
      </c>
      <c r="H9" s="9" t="n">
        <v>15</v>
      </c>
      <c r="I9" s="41" t="inlineStr">
        <is>
          <t>週4日（年169〜216日）</t>
        </is>
      </c>
    </row>
    <row r="10">
      <c r="A10" s="2" t="inlineStr">
        <is>
          <t>3日</t>
        </is>
      </c>
      <c r="B10" s="9" t="n">
        <v>5</v>
      </c>
      <c r="C10" s="9" t="n">
        <v>6</v>
      </c>
      <c r="D10" s="9" t="n">
        <v>6</v>
      </c>
      <c r="E10" s="9" t="n">
        <v>8</v>
      </c>
      <c r="F10" s="9" t="n">
        <v>9</v>
      </c>
      <c r="G10" s="9" t="n">
        <v>10</v>
      </c>
      <c r="H10" s="9" t="n">
        <v>11</v>
      </c>
      <c r="I10" s="41" t="inlineStr">
        <is>
          <t>週3日（年121〜168日）</t>
        </is>
      </c>
    </row>
    <row r="11">
      <c r="A11" s="2" t="inlineStr">
        <is>
          <t>2日</t>
        </is>
      </c>
      <c r="B11" s="9" t="n">
        <v>3</v>
      </c>
      <c r="C11" s="9" t="n">
        <v>4</v>
      </c>
      <c r="D11" s="9" t="n">
        <v>4</v>
      </c>
      <c r="E11" s="9" t="n">
        <v>5</v>
      </c>
      <c r="F11" s="9" t="n">
        <v>6</v>
      </c>
      <c r="G11" s="9" t="n">
        <v>6</v>
      </c>
      <c r="H11" s="9" t="n">
        <v>7</v>
      </c>
      <c r="I11" s="41" t="inlineStr">
        <is>
          <t>週2日（年73〜120日）</t>
        </is>
      </c>
    </row>
    <row r="12">
      <c r="A12" s="2" t="inlineStr">
        <is>
          <t>1日</t>
        </is>
      </c>
      <c r="B12" s="9" t="n">
        <v>1</v>
      </c>
      <c r="C12" s="9" t="n">
        <v>2</v>
      </c>
      <c r="D12" s="9" t="n">
        <v>2</v>
      </c>
      <c r="E12" s="9" t="n">
        <v>2</v>
      </c>
      <c r="F12" s="9" t="n">
        <v>3</v>
      </c>
      <c r="G12" s="9" t="n">
        <v>3</v>
      </c>
      <c r="H12" s="9" t="n">
        <v>3</v>
      </c>
      <c r="I12" s="41" t="inlineStr">
        <is>
          <t>週1日（年48〜72日）</t>
        </is>
      </c>
    </row>
    <row r="13">
      <c r="A13" s="37" t="n"/>
      <c r="B13" s="37" t="n"/>
      <c r="C13" s="37" t="n"/>
      <c r="D13" s="37" t="n"/>
      <c r="E13" s="37" t="n"/>
      <c r="F13" s="37" t="n"/>
      <c r="G13" s="37" t="n"/>
      <c r="H13" s="37" t="n"/>
      <c r="I13" s="37" t="n"/>
    </row>
    <row r="14" ht="30" customHeight="1">
      <c r="A14" s="38" t="inlineStr">
        <is>
          <t>出典: e-Gov法令検索 労働基準法（昭和22年法律第49号）39条2項・施行規則（昭和22年厚生省令第23号）24条の3第3項。2026-10-06 確認。法令が改正されたらこの表の数値を直してください（シート保護はパスワードなしで解除できます）。</t>
        </is>
      </c>
    </row>
  </sheetData>
  <mergeCells count="5">
    <mergeCell ref="A14:I14"/>
    <mergeCell ref="C4:I4"/>
    <mergeCell ref="A1:I1"/>
    <mergeCell ref="A6:I6"/>
    <mergeCell ref="C2:I2"/>
  </mergeCells>
  <pageMargins left="0.5" right="0.5" top="0.6" bottom="0.6" header="0.3" footer="0.3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F53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1.5" customWidth="1" min="2" max="2"/>
    <col width="9" customWidth="1" min="3" max="3"/>
    <col width="11.5" customWidth="1" min="4" max="4"/>
    <col width="9" customWidth="1" min="5" max="5"/>
    <col width="11.5" customWidth="1" min="6" max="6"/>
    <col width="8" customWidth="1" min="7" max="7"/>
    <col width="12.5" customWidth="1" min="8" max="8"/>
    <col width="9" customWidth="1" min="9" max="9"/>
    <col width="11.5" customWidth="1" min="10" max="10"/>
    <col width="7" customWidth="1" min="11" max="11"/>
    <col width="11.5" customWidth="1" min="12" max="12"/>
    <col width="11.5" customWidth="1" min="13" max="13"/>
    <col width="6.5" customWidth="1" min="14" max="14"/>
    <col width="7.5" customWidth="1" min="15" max="15"/>
    <col width="8" customWidth="1" min="16" max="16"/>
    <col width="12" customWidth="1" min="17" max="17"/>
    <col width="12" customWidth="1" min="18" max="18"/>
    <col width="9" customWidth="1" min="19" max="19"/>
    <col width="8" customWidth="1" min="20" max="20"/>
    <col width="12" customWidth="1" min="21" max="21"/>
    <col width="12" customWidth="1" min="22" max="22"/>
    <col width="8" customWidth="1" min="23" max="23"/>
    <col width="11.5" customWidth="1" min="24" max="24"/>
    <col width="19" customWidth="1" min="25" max="25"/>
    <col width="11" customWidth="1" min="26" max="26"/>
    <col width="8" customWidth="1" min="27" max="27"/>
    <col width="8" customWidth="1" min="28" max="28"/>
    <col width="11" customWidth="1" min="29" max="29"/>
    <col width="8" customWidth="1" min="30" max="30"/>
    <col width="10" customWidth="1" min="31" max="31"/>
    <col width="10" customWidth="1" min="32" max="32"/>
  </cols>
  <sheetData>
    <row r="1" ht="30" customHeight="1">
      <c r="A1" s="36" t="inlineStr">
        <is>
          <t>年次有給休暇 付与日数・年5日 管理表（入社日から自動計算）</t>
        </is>
      </c>
      <c r="AA1" s="37" t="n"/>
      <c r="AB1" s="37" t="n"/>
      <c r="AC1" s="37" t="n"/>
      <c r="AD1" s="37" t="n"/>
      <c r="AE1" s="37" t="n"/>
      <c r="AF1" s="37" t="n"/>
    </row>
    <row r="2" ht="28" customHeight="1">
      <c r="A2" s="38" t="inlineStr">
        <is>
          <t>黄色のセル（A〜H）だけ入力します。氏名は重複させないでください。判定日は『設定』シート。年5日は基準日から1年（39条7項）で数え、時間単位の取得は数えません（厚労省Q&amp;A 3-11）。H（実際の付与日）に値があるとき、年5日の期限・判定は出ません。</t>
        </is>
      </c>
      <c r="AA2" s="37" t="n"/>
      <c r="AB2" s="37" t="n"/>
      <c r="AC2" s="37" t="n"/>
      <c r="AD2" s="37" t="n"/>
      <c r="AE2" s="37" t="n"/>
      <c r="AF2" s="37" t="n"/>
    </row>
    <row r="3" ht="44" customHeight="1">
      <c r="A3" s="8" t="inlineStr">
        <is>
          <t>氏名</t>
        </is>
      </c>
      <c r="B3" s="8" t="inlineStr">
        <is>
          <t>雇入日</t>
        </is>
      </c>
      <c r="C3" s="8" t="inlineStr">
        <is>
          <t>週の所定
労働日数</t>
        </is>
      </c>
      <c r="D3" s="8" t="inlineStr">
        <is>
          <t>年間の所定
労働日数</t>
        </is>
      </c>
      <c r="E3" s="8" t="inlineStr">
        <is>
          <t>週の所定
労働時間</t>
        </is>
      </c>
      <c r="F3" s="8" t="inlineStr">
        <is>
          <t>前回までの
繰越日数</t>
        </is>
      </c>
      <c r="G3" s="8" t="inlineStr">
        <is>
          <t>出勤率
8割以上</t>
        </is>
      </c>
      <c r="H3" s="8" t="inlineStr">
        <is>
          <t>実際の付与日
（前倒し時のみ）</t>
        </is>
      </c>
      <c r="I3" s="8" t="inlineStr">
        <is>
          <t>区分</t>
        </is>
      </c>
      <c r="J3" s="8" t="inlineStr">
        <is>
          <t>初回付与日
（基準日）</t>
        </is>
      </c>
      <c r="K3" s="8" t="inlineStr">
        <is>
          <t>付与回数</t>
        </is>
      </c>
      <c r="L3" s="8" t="inlineStr">
        <is>
          <t>直近の基準日</t>
        </is>
      </c>
      <c r="M3" s="8" t="inlineStr">
        <is>
          <t>次の基準日</t>
        </is>
      </c>
      <c r="N3" s="8" t="inlineStr">
        <is>
          <t>勤続
（月）</t>
        </is>
      </c>
      <c r="O3" s="8" t="inlineStr">
        <is>
          <t>付与日数</t>
        </is>
      </c>
      <c r="P3" s="8" t="inlineStr">
        <is>
          <t>年5日の
対象</t>
        </is>
      </c>
      <c r="Q3" s="8" t="inlineStr">
        <is>
          <t>年5日の期限</t>
        </is>
      </c>
      <c r="R3" s="8" t="inlineStr">
        <is>
          <t>期間内の取得
（5日に数える分）</t>
        </is>
      </c>
      <c r="S3" s="8" t="inlineStr">
        <is>
          <t>残り必要
日数</t>
        </is>
      </c>
      <c r="T3" s="8" t="inlineStr">
        <is>
          <t>期限まで
（日）</t>
        </is>
      </c>
      <c r="U3" s="8" t="inlineStr">
        <is>
          <t>判定</t>
        </is>
      </c>
      <c r="V3" s="8" t="inlineStr">
        <is>
          <t>前期の年5日</t>
        </is>
      </c>
      <c r="W3" s="8" t="inlineStr">
        <is>
          <t>前期の
付与日数</t>
        </is>
      </c>
      <c r="X3" s="8" t="inlineStr">
        <is>
          <t>繰越
（有効分）</t>
        </is>
      </c>
      <c r="Y3" s="8" t="inlineStr">
        <is>
          <t>残日数
（時間単位を除く）</t>
        </is>
      </c>
      <c r="Z3" s="8" t="inlineStr">
        <is>
          <t>うち時間単位の
取得（時間）</t>
        </is>
      </c>
      <c r="AA3" s="11" t="inlineStr">
        <is>
          <t>計算用: 月差</t>
        </is>
      </c>
      <c r="AB3" s="11" t="inlineStr">
        <is>
          <t>計算用: 年数</t>
        </is>
      </c>
      <c r="AC3" s="11" t="inlineStr">
        <is>
          <t>計算用: 年数後の日</t>
        </is>
      </c>
      <c r="AD3" s="11" t="inlineStr">
        <is>
          <t>計算用: 経過年</t>
        </is>
      </c>
      <c r="AE3" s="11" t="inlineStr">
        <is>
          <t>計算用: 期間内取得</t>
        </is>
      </c>
      <c r="AF3" s="11" t="inlineStr">
        <is>
          <t>計算用: 前期内取得</t>
        </is>
      </c>
    </row>
    <row r="4" ht="21" customHeight="1">
      <c r="A4" s="12" t="inlineStr">
        <is>
          <t>山田 太郎（例）</t>
        </is>
      </c>
      <c r="B4" s="13" t="n">
        <v>45383</v>
      </c>
      <c r="C4" s="14" t="n">
        <v>5</v>
      </c>
      <c r="D4" s="14" t="n"/>
      <c r="E4" s="14" t="n">
        <v>40</v>
      </c>
      <c r="F4" s="14" t="n">
        <v>6</v>
      </c>
      <c r="G4" s="14" t="inlineStr">
        <is>
          <t>〇</t>
        </is>
      </c>
      <c r="H4" s="13" t="n"/>
      <c r="I4" s="9" t="str">
        <f>IF($B4="","",IF(N($E4)&gt;=30,"通常",IF(N($C4)&gt;=5,"通常",IF(N($C4)&gt;0,IF($C4=INT($C4),$C4&amp;"日","区分外（表に定めなし）"),IF(N($D4)&gt;=217,"通常",IF(N($D4)&gt;=169,"4日",IF(N($D4)&gt;=121,"3日",IF(N($D4)&gt;=73,"2日",IF(N($D4)&gt;=48,"1日",IF(N($D4)&gt;0,"区分外（表に定めなし）","入力待ち"))))))))))</f>
        <v>通常</v>
      </c>
      <c r="J4" s="15">
        <f>IF($B4="","",IF($H4&lt;&gt;"",$H4,IF(DAY(EDATE($B4,6))&lt;DAY($B4),EDATE($B4,6)+1,EDATE($B4,6))))</f>
        <v>45566</v>
      </c>
      <c r="K4" s="16">
        <f>IF($J4="","",$AD4+1)</f>
        <v>3</v>
      </c>
      <c r="L4" s="15">
        <f>IF($J4="","",IF($K4=0,"未到達",IF(DAY(EDATE($J4,12*($AD4)))&lt;DAY($J4),EDATE($J4,12*($AD4))+1,EDATE($J4,12*($AD4)))))</f>
        <v>46296</v>
      </c>
      <c r="M4" s="15">
        <f>IF($J4="","",IF(DAY(EDATE($J4,12*($AD4+1)))&lt;DAY($J4),EDATE($J4,12*($AD4+1))+1,EDATE($J4,12*($AD4+1))))</f>
        <v>46661</v>
      </c>
      <c r="N4" s="16">
        <f>IF($J4="","",IF($K4=0,0,6+12*($K4-1)))</f>
        <v>30</v>
      </c>
      <c r="O4" s="16">
        <f>IF(OR($J4="",$I4="入力待ち"),"",IF($K4=0,0,IF($G4="×",0,IF(LEFT($I4,3)="区分外","",INDEX(tbl_fuyo,MATCH($I4,区分名,0),MIN($K4,7))))))</f>
        <v>12</v>
      </c>
      <c r="P4" s="9" t="str">
        <f>IF($O4="","",IF($O4&gt;=10,"対象","対象外"))</f>
        <v>対象</v>
      </c>
      <c r="Q4" s="17">
        <f>IF($J4="","",IF($H4&lt;&gt;"","前倒し：出ません",IF($P4="対象",IF(DAY(EDATE($L4,12))&lt;DAY($L4),EDATE($L4,12),EDATE($L4,12)-1),"")))</f>
        <v>46660</v>
      </c>
      <c r="R4" s="18">
        <f>IF($P4="対象",$AE4,"")</f>
        <v>0</v>
      </c>
      <c r="S4" s="19">
        <f>IF($J4="","",IF($H4&lt;&gt;"",IF($P4="対象","前倒し：出ません",""),IF($P4="対象",MAX(0,年5日-$R4),"")))</f>
        <v>5</v>
      </c>
      <c r="T4" s="16">
        <f>IF($J4="","",IF(AND($H4="",$P4="対象"),$Q4-判定日,""))</f>
        <v>357</v>
      </c>
      <c r="U4" s="20" t="str">
        <f>IF($J4="","",IF($K4=0,"未到達",IF($H4&lt;&gt;"",IF($P4="対象","前倒し：出ません","対象外"),IF($P4&lt;&gt;"対象","対象外",IF($S4=0,"達成",IF($T4&lt;=警告日数,"要時季指定","進行中"))))))</f>
        <v>進行中</v>
      </c>
      <c r="V4" s="20" t="str">
        <f>IF($J4="","",IF($K4&lt;2,"－",IF($H4&lt;&gt;"","前倒し：出ません",IF($W4="","－",IF($W4&lt;10,"対象外",IF($AF4&gt;=5,"達成","未達（期限超過）"))))))</f>
        <v>未達（期限超過）</v>
      </c>
      <c r="W4" s="16">
        <f>IF($J4="","",IF($K4&lt;2,"",IF(OR($I4="入力待ち",LEFT($I4,3)="区分外"),"",INDEX(tbl_fuyo,MATCH($I4,区分名,0),MIN($K4-1,7)))))</f>
        <v>11</v>
      </c>
      <c r="X4" s="16">
        <f>IF($J4="","",IF($K4=0,"",IF($K4&lt;2,0,MIN(N($F4),N($W4)))))</f>
        <v>6</v>
      </c>
      <c r="Y4" s="18">
        <f>IF(OR($J4="",$O4="",N($K4)=0),"",$X4+$O4-$AE4)</f>
        <v>18</v>
      </c>
      <c r="Z4" s="21">
        <f>IF(OR($J4="",N($K4)=0),"",SUMIFS(取得日!$E$4:$E$503,取得日!$A$4:$A$503,$A4,取得日!$B$4:$B$503,"&gt;="&amp;$L4,取得日!$B$4:$B$503,"&lt;="&amp;IF(ISNUMBER($Q4),$Q4,$M4-1),取得日!$D$4:$D$503,"時間単位"))</f>
        <v>0</v>
      </c>
      <c r="AA4" s="11">
        <f>IF($J4="","",(YEAR(判定日)-YEAR($J4))*12+MONTH(判定日)-MONTH($J4))</f>
        <v>24</v>
      </c>
      <c r="AB4" s="11">
        <f>IF($J4="","",IF(判定日&lt;$J4,-1,INT($AA4/12)))</f>
        <v>2</v>
      </c>
      <c r="AC4" s="22">
        <f>IF(OR($J4="",N($AB4)&lt;0),"",IF(DAY(EDATE($J4,12*($AB4)))&lt;DAY($J4),EDATE($J4,12*($AB4))+1,EDATE($J4,12*($AB4))))</f>
        <v>46296</v>
      </c>
      <c r="AD4" s="11">
        <f>IF($J4="","",IF($AB4&lt;0,-1,$AB4-IF($AC4&gt;判定日,1,0)))</f>
        <v>2</v>
      </c>
      <c r="AE4" s="11">
        <f>IF(OR($J4="",N($K4)=0),"",SUMIFS(取得日!$C$4:$C$503,取得日!$A$4:$A$503,$A4,取得日!$B$4:$B$503,"&gt;="&amp;$L4,取得日!$B$4:$B$503,"&lt;="&amp;IF(ISNUMBER($Q4),$Q4,$M4-1),取得日!$D$4:$D$503,"&lt;&gt;時間単位"))</f>
        <v>0</v>
      </c>
      <c r="AF4" s="11">
        <f>IF($J4="","",IF($K4&lt;2,"",SUMIFS(取得日!$C$4:$C$503,取得日!$A$4:$A$503,$A4,取得日!$B$4:$B$503,"&gt;="&amp;IF(DAY(EDATE($J4,12*($AD4-1)))&lt;DAY($J4),EDATE($J4,12*($AD4-1))+1,EDATE($J4,12*($AD4-1))),取得日!$B$4:$B$503,"&lt;"&amp;$L4,取得日!$D$4:$D$503,"&lt;&gt;時間単位")))</f>
        <v>2.5</v>
      </c>
    </row>
    <row r="5" ht="21" customHeight="1">
      <c r="A5" s="12" t="inlineStr">
        <is>
          <t>鈴木 花子（例）</t>
        </is>
      </c>
      <c r="B5" s="13" t="n">
        <v>45747</v>
      </c>
      <c r="C5" s="14" t="n">
        <v>5</v>
      </c>
      <c r="D5" s="14" t="n"/>
      <c r="E5" s="14" t="n">
        <v>40</v>
      </c>
      <c r="F5" s="14" t="n"/>
      <c r="G5" s="14" t="inlineStr">
        <is>
          <t>〇</t>
        </is>
      </c>
      <c r="H5" s="13" t="n"/>
      <c r="I5" s="23" t="str">
        <f>IF($B5="","",IF(N($E5)&gt;=30,"通常",IF(N($C5)&gt;=5,"通常",IF(N($C5)&gt;0,IF($C5=INT($C5),$C5&amp;"日","区分外（表に定めなし）"),IF(N($D5)&gt;=217,"通常",IF(N($D5)&gt;=169,"4日",IF(N($D5)&gt;=121,"3日",IF(N($D5)&gt;=73,"2日",IF(N($D5)&gt;=48,"1日",IF(N($D5)&gt;0,"区分外（表に定めなし）","入力待ち"))))))))))</f>
        <v>通常</v>
      </c>
      <c r="J5" s="24">
        <f>IF($B5="","",IF($H5&lt;&gt;"",$H5,IF(DAY(EDATE($B5,6))&lt;DAY($B5),EDATE($B5,6)+1,EDATE($B5,6))))</f>
        <v>45931</v>
      </c>
      <c r="K5" s="25">
        <f>IF($J5="","",$AD5+1)</f>
        <v>2</v>
      </c>
      <c r="L5" s="24">
        <f>IF($J5="","",IF($K5=0,"未到達",IF(DAY(EDATE($J5,12*($AD5)))&lt;DAY($J5),EDATE($J5,12*($AD5))+1,EDATE($J5,12*($AD5)))))</f>
        <v>46296</v>
      </c>
      <c r="M5" s="24">
        <f>IF($J5="","",IF(DAY(EDATE($J5,12*($AD5+1)))&lt;DAY($J5),EDATE($J5,12*($AD5+1))+1,EDATE($J5,12*($AD5+1))))</f>
        <v>46661</v>
      </c>
      <c r="N5" s="25">
        <f>IF($J5="","",IF($K5=0,0,6+12*($K5-1)))</f>
        <v>18</v>
      </c>
      <c r="O5" s="25">
        <f>IF(OR($J5="",$I5="入力待ち"),"",IF($K5=0,0,IF($G5="×",0,IF(LEFT($I5,3)="区分外","",INDEX(tbl_fuyo,MATCH($I5,区分名,0),MIN($K5,7))))))</f>
        <v>11</v>
      </c>
      <c r="P5" s="23" t="str">
        <f>IF($O5="","",IF($O5&gt;=10,"対象","対象外"))</f>
        <v>対象</v>
      </c>
      <c r="Q5" s="26">
        <f>IF($J5="","",IF($H5&lt;&gt;"","前倒し：出ません",IF($P5="対象",IF(DAY(EDATE($L5,12))&lt;DAY($L5),EDATE($L5,12),EDATE($L5,12)-1),"")))</f>
        <v>46660</v>
      </c>
      <c r="R5" s="27">
        <f>IF($P5="対象",$AE5,"")</f>
        <v>0</v>
      </c>
      <c r="S5" s="28">
        <f>IF($J5="","",IF($H5&lt;&gt;"",IF($P5="対象","前倒し：出ません",""),IF($P5="対象",MAX(0,年5日-$R5),"")))</f>
        <v>5</v>
      </c>
      <c r="T5" s="25">
        <f>IF($J5="","",IF(AND($H5="",$P5="対象"),$Q5-判定日,""))</f>
        <v>357</v>
      </c>
      <c r="U5" s="29" t="str">
        <f>IF($J5="","",IF($K5=0,"未到達",IF($H5&lt;&gt;"",IF($P5="対象","前倒し：出ません","対象外"),IF($P5&lt;&gt;"対象","対象外",IF($S5=0,"達成",IF($T5&lt;=警告日数,"要時季指定","進行中"))))))</f>
        <v>進行中</v>
      </c>
      <c r="V5" s="29" t="str">
        <f>IF($J5="","",IF($K5&lt;2,"－",IF($H5&lt;&gt;"","前倒し：出ません",IF($W5="","－",IF($W5&lt;10,"対象外",IF($AF5&gt;=5,"達成","未達（期限超過）"))))))</f>
        <v>未達（期限超過）</v>
      </c>
      <c r="W5" s="25">
        <f>IF($J5="","",IF($K5&lt;2,"",IF(OR($I5="入力待ち",LEFT($I5,3)="区分外"),"",INDEX(tbl_fuyo,MATCH($I5,区分名,0),MIN($K5-1,7)))))</f>
        <v>10</v>
      </c>
      <c r="X5" s="25">
        <f>IF($J5="","",IF($K5=0,"",IF($K5&lt;2,0,MIN(N($F5),N($W5)))))</f>
        <v>0</v>
      </c>
      <c r="Y5" s="27">
        <f>IF(OR($J5="",$O5="",N($K5)=0),"",$X5+$O5-$AE5)</f>
        <v>11</v>
      </c>
      <c r="Z5" s="30">
        <f>IF(OR($J5="",N($K5)=0),"",SUMIFS(取得日!$E$4:$E$503,取得日!$A$4:$A$503,$A5,取得日!$B$4:$B$503,"&gt;="&amp;$L5,取得日!$B$4:$B$503,"&lt;="&amp;IF(ISNUMBER($Q5),$Q5,$M5-1),取得日!$D$4:$D$503,"時間単位"))</f>
        <v>0</v>
      </c>
      <c r="AA5" s="11">
        <f>IF($J5="","",(YEAR(判定日)-YEAR($J5))*12+MONTH(判定日)-MONTH($J5))</f>
        <v>12</v>
      </c>
      <c r="AB5" s="11">
        <f>IF($J5="","",IF(判定日&lt;$J5,-1,INT($AA5/12)))</f>
        <v>1</v>
      </c>
      <c r="AC5" s="22">
        <f>IF(OR($J5="",N($AB5)&lt;0),"",IF(DAY(EDATE($J5,12*($AB5)))&lt;DAY($J5),EDATE($J5,12*($AB5))+1,EDATE($J5,12*($AB5))))</f>
        <v>46296</v>
      </c>
      <c r="AD5" s="11">
        <f>IF($J5="","",IF($AB5&lt;0,-1,$AB5-IF($AC5&gt;判定日,1,0)))</f>
        <v>1</v>
      </c>
      <c r="AE5" s="11">
        <f>IF(OR($J5="",N($K5)=0),"",SUMIFS(取得日!$C$4:$C$503,取得日!$A$4:$A$503,$A5,取得日!$B$4:$B$503,"&gt;="&amp;$L5,取得日!$B$4:$B$503,"&lt;="&amp;IF(ISNUMBER($Q5),$Q5,$M5-1),取得日!$D$4:$D$503,"&lt;&gt;時間単位"))</f>
        <v>0</v>
      </c>
      <c r="AF5" s="11">
        <f>IF($J5="","",IF($K5&lt;2,"",SUMIFS(取得日!$C$4:$C$503,取得日!$A$4:$A$503,$A5,取得日!$B$4:$B$503,"&gt;="&amp;IF(DAY(EDATE($J5,12*($AD5-1)))&lt;DAY($J5),EDATE($J5,12*($AD5-1))+1,EDATE($J5,12*($AD5-1))),取得日!$B$4:$B$503,"&lt;"&amp;$L5,取得日!$D$4:$D$503,"&lt;&gt;時間単位")))</f>
        <v>0</v>
      </c>
    </row>
    <row r="6" ht="21" customHeight="1">
      <c r="A6" s="12" t="inlineStr">
        <is>
          <t>田中 次郎（例）</t>
        </is>
      </c>
      <c r="B6" s="13" t="n">
        <v>44287</v>
      </c>
      <c r="C6" s="14" t="n">
        <v>3</v>
      </c>
      <c r="D6" s="14" t="n"/>
      <c r="E6" s="14" t="n">
        <v>22</v>
      </c>
      <c r="F6" s="14" t="n">
        <v>6</v>
      </c>
      <c r="G6" s="14" t="inlineStr">
        <is>
          <t>〇</t>
        </is>
      </c>
      <c r="H6" s="13" t="n"/>
      <c r="I6" s="9" t="str">
        <f>IF($B6="","",IF(N($E6)&gt;=30,"通常",IF(N($C6)&gt;=5,"通常",IF(N($C6)&gt;0,IF($C6=INT($C6),$C6&amp;"日","区分外（表に定めなし）"),IF(N($D6)&gt;=217,"通常",IF(N($D6)&gt;=169,"4日",IF(N($D6)&gt;=121,"3日",IF(N($D6)&gt;=73,"2日",IF(N($D6)&gt;=48,"1日",IF(N($D6)&gt;0,"区分外（表に定めなし）","入力待ち"))))))))))</f>
        <v>3日</v>
      </c>
      <c r="J6" s="15">
        <f>IF($B6="","",IF($H6&lt;&gt;"",$H6,IF(DAY(EDATE($B6,6))&lt;DAY($B6),EDATE($B6,6)+1,EDATE($B6,6))))</f>
        <v>44470</v>
      </c>
      <c r="K6" s="16">
        <f>IF($J6="","",$AD6+1)</f>
        <v>6</v>
      </c>
      <c r="L6" s="15">
        <f>IF($J6="","",IF($K6=0,"未到達",IF(DAY(EDATE($J6,12*($AD6)))&lt;DAY($J6),EDATE($J6,12*($AD6))+1,EDATE($J6,12*($AD6)))))</f>
        <v>46296</v>
      </c>
      <c r="M6" s="15">
        <f>IF($J6="","",IF(DAY(EDATE($J6,12*($AD6+1)))&lt;DAY($J6),EDATE($J6,12*($AD6+1))+1,EDATE($J6,12*($AD6+1))))</f>
        <v>46661</v>
      </c>
      <c r="N6" s="16">
        <f>IF($J6="","",IF($K6=0,0,6+12*($K6-1)))</f>
        <v>66</v>
      </c>
      <c r="O6" s="16">
        <f>IF(OR($J6="",$I6="入力待ち"),"",IF($K6=0,0,IF($G6="×",0,IF(LEFT($I6,3)="区分外","",INDEX(tbl_fuyo,MATCH($I6,区分名,0),MIN($K6,7))))))</f>
        <v>10</v>
      </c>
      <c r="P6" s="9" t="str">
        <f>IF($O6="","",IF($O6&gt;=10,"対象","対象外"))</f>
        <v>対象</v>
      </c>
      <c r="Q6" s="17">
        <f>IF($J6="","",IF($H6&lt;&gt;"","前倒し：出ません",IF($P6="対象",IF(DAY(EDATE($L6,12))&lt;DAY($L6),EDATE($L6,12),EDATE($L6,12)-1),"")))</f>
        <v>46660</v>
      </c>
      <c r="R6" s="18">
        <f>IF($P6="対象",$AE6,"")</f>
        <v>0</v>
      </c>
      <c r="S6" s="19">
        <f>IF($J6="","",IF($H6&lt;&gt;"",IF($P6="対象","前倒し：出ません",""),IF($P6="対象",MAX(0,年5日-$R6),"")))</f>
        <v>5</v>
      </c>
      <c r="T6" s="16">
        <f>IF($J6="","",IF(AND($H6="",$P6="対象"),$Q6-判定日,""))</f>
        <v>357</v>
      </c>
      <c r="U6" s="20" t="str">
        <f>IF($J6="","",IF($K6=0,"未到達",IF($H6&lt;&gt;"",IF($P6="対象","前倒し：出ません","対象外"),IF($P6&lt;&gt;"対象","対象外",IF($S6=0,"達成",IF($T6&lt;=警告日数,"要時季指定","進行中"))))))</f>
        <v>進行中</v>
      </c>
      <c r="V6" s="20" t="str">
        <f>IF($J6="","",IF($K6&lt;2,"－",IF($H6&lt;&gt;"","前倒し：出ません",IF($W6="","－",IF($W6&lt;10,"対象外",IF($AF6&gt;=5,"達成","未達（期限超過）"))))))</f>
        <v>対象外</v>
      </c>
      <c r="W6" s="16">
        <f>IF($J6="","",IF($K6&lt;2,"",IF(OR($I6="入力待ち",LEFT($I6,3)="区分外"),"",INDEX(tbl_fuyo,MATCH($I6,区分名,0),MIN($K6-1,7)))))</f>
        <v>9</v>
      </c>
      <c r="X6" s="16">
        <f>IF($J6="","",IF($K6=0,"",IF($K6&lt;2,0,MIN(N($F6),N($W6)))))</f>
        <v>6</v>
      </c>
      <c r="Y6" s="18">
        <f>IF(OR($J6="",$O6="",N($K6)=0),"",$X6+$O6-$AE6)</f>
        <v>16</v>
      </c>
      <c r="Z6" s="21">
        <f>IF(OR($J6="",N($K6)=0),"",SUMIFS(取得日!$E$4:$E$503,取得日!$A$4:$A$503,$A6,取得日!$B$4:$B$503,"&gt;="&amp;$L6,取得日!$B$4:$B$503,"&lt;="&amp;IF(ISNUMBER($Q6),$Q6,$M6-1),取得日!$D$4:$D$503,"時間単位"))</f>
        <v>0</v>
      </c>
      <c r="AA6" s="11">
        <f>IF($J6="","",(YEAR(判定日)-YEAR($J6))*12+MONTH(判定日)-MONTH($J6))</f>
        <v>60</v>
      </c>
      <c r="AB6" s="11">
        <f>IF($J6="","",IF(判定日&lt;$J6,-1,INT($AA6/12)))</f>
        <v>5</v>
      </c>
      <c r="AC6" s="22">
        <f>IF(OR($J6="",N($AB6)&lt;0),"",IF(DAY(EDATE($J6,12*($AB6)))&lt;DAY($J6),EDATE($J6,12*($AB6))+1,EDATE($J6,12*($AB6))))</f>
        <v>46296</v>
      </c>
      <c r="AD6" s="11">
        <f>IF($J6="","",IF($AB6&lt;0,-1,$AB6-IF($AC6&gt;判定日,1,0)))</f>
        <v>5</v>
      </c>
      <c r="AE6" s="11">
        <f>IF(OR($J6="",N($K6)=0),"",SUMIFS(取得日!$C$4:$C$503,取得日!$A$4:$A$503,$A6,取得日!$B$4:$B$503,"&gt;="&amp;$L6,取得日!$B$4:$B$503,"&lt;="&amp;IF(ISNUMBER($Q6),$Q6,$M6-1),取得日!$D$4:$D$503,"&lt;&gt;時間単位"))</f>
        <v>0</v>
      </c>
      <c r="AF6" s="11">
        <f>IF($J6="","",IF($K6&lt;2,"",SUMIFS(取得日!$C$4:$C$503,取得日!$A$4:$A$503,$A6,取得日!$B$4:$B$503,"&gt;="&amp;IF(DAY(EDATE($J6,12*($AD6-1)))&lt;DAY($J6),EDATE($J6,12*($AD6-1))+1,EDATE($J6,12*($AD6-1))),取得日!$B$4:$B$503,"&lt;"&amp;$L6,取得日!$D$4:$D$503,"&lt;&gt;時間単位")))</f>
        <v>2</v>
      </c>
    </row>
    <row r="7" ht="21" customHeight="1">
      <c r="A7" s="12" t="inlineStr">
        <is>
          <t>佐藤 美咲（例）</t>
        </is>
      </c>
      <c r="B7" s="13" t="n">
        <v>45535</v>
      </c>
      <c r="C7" s="14" t="n">
        <v>4</v>
      </c>
      <c r="D7" s="14" t="n"/>
      <c r="E7" s="14" t="n">
        <v>28</v>
      </c>
      <c r="F7" s="14" t="n"/>
      <c r="G7" s="14" t="inlineStr">
        <is>
          <t>〇</t>
        </is>
      </c>
      <c r="H7" s="13" t="n"/>
      <c r="I7" s="23" t="str">
        <f>IF($B7="","",IF(N($E7)&gt;=30,"通常",IF(N($C7)&gt;=5,"通常",IF(N($C7)&gt;0,IF($C7=INT($C7),$C7&amp;"日","区分外（表に定めなし）"),IF(N($D7)&gt;=217,"通常",IF(N($D7)&gt;=169,"4日",IF(N($D7)&gt;=121,"3日",IF(N($D7)&gt;=73,"2日",IF(N($D7)&gt;=48,"1日",IF(N($D7)&gt;0,"区分外（表に定めなし）","入力待ち"))))))))))</f>
        <v>4日</v>
      </c>
      <c r="J7" s="24">
        <f>IF($B7="","",IF($H7&lt;&gt;"",$H7,IF(DAY(EDATE($B7,6))&lt;DAY($B7),EDATE($B7,6)+1,EDATE($B7,6))))</f>
        <v>45717</v>
      </c>
      <c r="K7" s="25">
        <f>IF($J7="","",$AD7+1)</f>
        <v>2</v>
      </c>
      <c r="L7" s="24">
        <f>IF($J7="","",IF($K7=0,"未到達",IF(DAY(EDATE($J7,12*($AD7)))&lt;DAY($J7),EDATE($J7,12*($AD7))+1,EDATE($J7,12*($AD7)))))</f>
        <v>46082</v>
      </c>
      <c r="M7" s="24">
        <f>IF($J7="","",IF(DAY(EDATE($J7,12*($AD7+1)))&lt;DAY($J7),EDATE($J7,12*($AD7+1))+1,EDATE($J7,12*($AD7+1))))</f>
        <v>46447</v>
      </c>
      <c r="N7" s="25">
        <f>IF($J7="","",IF($K7=0,0,6+12*($K7-1)))</f>
        <v>18</v>
      </c>
      <c r="O7" s="25">
        <f>IF(OR($J7="",$I7="入力待ち"),"",IF($K7=0,0,IF($G7="×",0,IF(LEFT($I7,3)="区分外","",INDEX(tbl_fuyo,MATCH($I7,区分名,0),MIN($K7,7))))))</f>
        <v>8</v>
      </c>
      <c r="P7" s="23" t="str">
        <f>IF($O7="","",IF($O7&gt;=10,"対象","対象外"))</f>
        <v>対象外</v>
      </c>
      <c r="Q7" s="26" t="str">
        <f>IF($J7="","",IF($H7&lt;&gt;"","前倒し：出ません",IF($P7="対象",IF(DAY(EDATE($L7,12))&lt;DAY($L7),EDATE($L7,12),EDATE($L7,12)-1),"")))</f>
        <v/>
      </c>
      <c r="R7" s="27" t="str">
        <f>IF($P7="対象",$AE7,"")</f>
        <v/>
      </c>
      <c r="S7" s="28" t="str">
        <f>IF($J7="","",IF($H7&lt;&gt;"",IF($P7="対象","前倒し：出ません",""),IF($P7="対象",MAX(0,年5日-$R7),"")))</f>
        <v/>
      </c>
      <c r="T7" s="25" t="str">
        <f>IF($J7="","",IF(AND($H7="",$P7="対象"),$Q7-判定日,""))</f>
        <v/>
      </c>
      <c r="U7" s="29" t="str">
        <f>IF($J7="","",IF($K7=0,"未到達",IF($H7&lt;&gt;"",IF($P7="対象","前倒し：出ません","対象外"),IF($P7&lt;&gt;"対象","対象外",IF($S7=0,"達成",IF($T7&lt;=警告日数,"要時季指定","進行中"))))))</f>
        <v>対象外</v>
      </c>
      <c r="V7" s="29" t="str">
        <f>IF($J7="","",IF($K7&lt;2,"－",IF($H7&lt;&gt;"","前倒し：出ません",IF($W7="","－",IF($W7&lt;10,"対象外",IF($AF7&gt;=5,"達成","未達（期限超過）"))))))</f>
        <v>対象外</v>
      </c>
      <c r="W7" s="25">
        <f>IF($J7="","",IF($K7&lt;2,"",IF(OR($I7="入力待ち",LEFT($I7,3)="区分外"),"",INDEX(tbl_fuyo,MATCH($I7,区分名,0),MIN($K7-1,7)))))</f>
        <v>7</v>
      </c>
      <c r="X7" s="25">
        <f>IF($J7="","",IF($K7=0,"",IF($K7&lt;2,0,MIN(N($F7),N($W7)))))</f>
        <v>0</v>
      </c>
      <c r="Y7" s="27">
        <f>IF(OR($J7="",$O7="",N($K7)=0),"",$X7+$O7-$AE7)</f>
        <v>7</v>
      </c>
      <c r="Z7" s="30">
        <f>IF(OR($J7="",N($K7)=0),"",SUMIFS(取得日!$E$4:$E$503,取得日!$A$4:$A$503,$A7,取得日!$B$4:$B$503,"&gt;="&amp;$L7,取得日!$B$4:$B$503,"&lt;="&amp;IF(ISNUMBER($Q7),$Q7,$M7-1),取得日!$D$4:$D$503,"時間単位"))</f>
        <v>0</v>
      </c>
      <c r="AA7" s="11">
        <f>IF($J7="","",(YEAR(判定日)-YEAR($J7))*12+MONTH(判定日)-MONTH($J7))</f>
        <v>19</v>
      </c>
      <c r="AB7" s="11">
        <f>IF($J7="","",IF(判定日&lt;$J7,-1,INT($AA7/12)))</f>
        <v>1</v>
      </c>
      <c r="AC7" s="22">
        <f>IF(OR($J7="",N($AB7)&lt;0),"",IF(DAY(EDATE($J7,12*($AB7)))&lt;DAY($J7),EDATE($J7,12*($AB7))+1,EDATE($J7,12*($AB7))))</f>
        <v>46082</v>
      </c>
      <c r="AD7" s="11">
        <f>IF($J7="","",IF($AB7&lt;0,-1,$AB7-IF($AC7&gt;判定日,1,0)))</f>
        <v>1</v>
      </c>
      <c r="AE7" s="11">
        <f>IF(OR($J7="",N($K7)=0),"",SUMIFS(取得日!$C$4:$C$503,取得日!$A$4:$A$503,$A7,取得日!$B$4:$B$503,"&gt;="&amp;$L7,取得日!$B$4:$B$503,"&lt;="&amp;IF(ISNUMBER($Q7),$Q7,$M7-1),取得日!$D$4:$D$503,"&lt;&gt;時間単位"))</f>
        <v>1</v>
      </c>
      <c r="AF7" s="11">
        <f>IF($J7="","",IF($K7&lt;2,"",SUMIFS(取得日!$C$4:$C$503,取得日!$A$4:$A$503,$A7,取得日!$B$4:$B$503,"&gt;="&amp;IF(DAY(EDATE($J7,12*($AD7-1)))&lt;DAY($J7),EDATE($J7,12*($AD7-1))+1,EDATE($J7,12*($AD7-1))),取得日!$B$4:$B$503,"&lt;"&amp;$L7,取得日!$D$4:$D$503,"&lt;&gt;時間単位")))</f>
        <v>0</v>
      </c>
    </row>
    <row r="8" ht="21" customHeight="1">
      <c r="A8" s="12" t="inlineStr">
        <is>
          <t>中村 健一（例）</t>
        </is>
      </c>
      <c r="B8" s="13" t="n">
        <v>45397</v>
      </c>
      <c r="C8" s="14" t="n">
        <v>5</v>
      </c>
      <c r="D8" s="14" t="n"/>
      <c r="E8" s="14" t="n">
        <v>40</v>
      </c>
      <c r="F8" s="14" t="n"/>
      <c r="G8" s="14" t="inlineStr">
        <is>
          <t>〇</t>
        </is>
      </c>
      <c r="H8" s="13" t="n">
        <v>45566</v>
      </c>
      <c r="I8" s="9" t="str">
        <f>IF($B8="","",IF(N($E8)&gt;=30,"通常",IF(N($C8)&gt;=5,"通常",IF(N($C8)&gt;0,IF($C8=INT($C8),$C8&amp;"日","区分外（表に定めなし）"),IF(N($D8)&gt;=217,"通常",IF(N($D8)&gt;=169,"4日",IF(N($D8)&gt;=121,"3日",IF(N($D8)&gt;=73,"2日",IF(N($D8)&gt;=48,"1日",IF(N($D8)&gt;0,"区分外（表に定めなし）","入力待ち"))))))))))</f>
        <v>通常</v>
      </c>
      <c r="J8" s="15">
        <f>IF($B8="","",IF($H8&lt;&gt;"",$H8,IF(DAY(EDATE($B8,6))&lt;DAY($B8),EDATE($B8,6)+1,EDATE($B8,6))))</f>
        <v>45566</v>
      </c>
      <c r="K8" s="16">
        <f>IF($J8="","",$AD8+1)</f>
        <v>3</v>
      </c>
      <c r="L8" s="15">
        <f>IF($J8="","",IF($K8=0,"未到達",IF(DAY(EDATE($J8,12*($AD8)))&lt;DAY($J8),EDATE($J8,12*($AD8))+1,EDATE($J8,12*($AD8)))))</f>
        <v>46296</v>
      </c>
      <c r="M8" s="15">
        <f>IF($J8="","",IF(DAY(EDATE($J8,12*($AD8+1)))&lt;DAY($J8),EDATE($J8,12*($AD8+1))+1,EDATE($J8,12*($AD8+1))))</f>
        <v>46661</v>
      </c>
      <c r="N8" s="16">
        <f>IF($J8="","",IF($K8=0,0,6+12*($K8-1)))</f>
        <v>30</v>
      </c>
      <c r="O8" s="16">
        <f>IF(OR($J8="",$I8="入力待ち"),"",IF($K8=0,0,IF($G8="×",0,IF(LEFT($I8,3)="区分外","",INDEX(tbl_fuyo,MATCH($I8,区分名,0),MIN($K8,7))))))</f>
        <v>12</v>
      </c>
      <c r="P8" s="9" t="str">
        <f>IF($O8="","",IF($O8&gt;=10,"対象","対象外"))</f>
        <v>対象</v>
      </c>
      <c r="Q8" s="17" t="str">
        <f>IF($J8="","",IF($H8&lt;&gt;"","前倒し：出ません",IF($P8="対象",IF(DAY(EDATE($L8,12))&lt;DAY($L8),EDATE($L8,12),EDATE($L8,12)-1),"")))</f>
        <v>前倒し：出ません</v>
      </c>
      <c r="R8" s="18">
        <f>IF($P8="対象",$AE8,"")</f>
        <v>0</v>
      </c>
      <c r="S8" s="19" t="str">
        <f>IF($J8="","",IF($H8&lt;&gt;"",IF($P8="対象","前倒し：出ません",""),IF($P8="対象",MAX(0,年5日-$R8),"")))</f>
        <v>前倒し：出ません</v>
      </c>
      <c r="T8" s="16" t="str">
        <f>IF($J8="","",IF(AND($H8="",$P8="対象"),$Q8-判定日,""))</f>
        <v/>
      </c>
      <c r="U8" s="20" t="str">
        <f>IF($J8="","",IF($K8=0,"未到達",IF($H8&lt;&gt;"",IF($P8="対象","前倒し：出ません","対象外"),IF($P8&lt;&gt;"対象","対象外",IF($S8=0,"達成",IF($T8&lt;=警告日数,"要時季指定","進行中"))))))</f>
        <v>前倒し：出ません</v>
      </c>
      <c r="V8" s="20" t="str">
        <f>IF($J8="","",IF($K8&lt;2,"－",IF($H8&lt;&gt;"","前倒し：出ません",IF($W8="","－",IF($W8&lt;10,"対象外",IF($AF8&gt;=5,"達成","未達（期限超過）"))))))</f>
        <v>前倒し：出ません</v>
      </c>
      <c r="W8" s="16">
        <f>IF($J8="","",IF($K8&lt;2,"",IF(OR($I8="入力待ち",LEFT($I8,3)="区分外"),"",INDEX(tbl_fuyo,MATCH($I8,区分名,0),MIN($K8-1,7)))))</f>
        <v>11</v>
      </c>
      <c r="X8" s="16">
        <f>IF($J8="","",IF($K8=0,"",IF($K8&lt;2,0,MIN(N($F8),N($W8)))))</f>
        <v>0</v>
      </c>
      <c r="Y8" s="18">
        <f>IF(OR($J8="",$O8="",N($K8)=0),"",$X8+$O8-$AE8)</f>
        <v>12</v>
      </c>
      <c r="Z8" s="21">
        <f>IF(OR($J8="",N($K8)=0),"",SUMIFS(取得日!$E$4:$E$503,取得日!$A$4:$A$503,$A8,取得日!$B$4:$B$503,"&gt;="&amp;$L8,取得日!$B$4:$B$503,"&lt;="&amp;IF(ISNUMBER($Q8),$Q8,$M8-1),取得日!$D$4:$D$503,"時間単位"))</f>
        <v>0</v>
      </c>
      <c r="AA8" s="11">
        <f>IF($J8="","",(YEAR(判定日)-YEAR($J8))*12+MONTH(判定日)-MONTH($J8))</f>
        <v>24</v>
      </c>
      <c r="AB8" s="11">
        <f>IF($J8="","",IF(判定日&lt;$J8,-1,INT($AA8/12)))</f>
        <v>2</v>
      </c>
      <c r="AC8" s="22">
        <f>IF(OR($J8="",N($AB8)&lt;0),"",IF(DAY(EDATE($J8,12*($AB8)))&lt;DAY($J8),EDATE($J8,12*($AB8))+1,EDATE($J8,12*($AB8))))</f>
        <v>46296</v>
      </c>
      <c r="AD8" s="11">
        <f>IF($J8="","",IF($AB8&lt;0,-1,$AB8-IF($AC8&gt;判定日,1,0)))</f>
        <v>2</v>
      </c>
      <c r="AE8" s="11">
        <f>IF(OR($J8="",N($K8)=0),"",SUMIFS(取得日!$C$4:$C$503,取得日!$A$4:$A$503,$A8,取得日!$B$4:$B$503,"&gt;="&amp;$L8,取得日!$B$4:$B$503,"&lt;="&amp;IF(ISNUMBER($Q8),$Q8,$M8-1),取得日!$D$4:$D$503,"&lt;&gt;時間単位"))</f>
        <v>0</v>
      </c>
      <c r="AF8" s="11">
        <f>IF($J8="","",IF($K8&lt;2,"",SUMIFS(取得日!$C$4:$C$503,取得日!$A$4:$A$503,$A8,取得日!$B$4:$B$503,"&gt;="&amp;IF(DAY(EDATE($J8,12*($AD8-1)))&lt;DAY($J8),EDATE($J8,12*($AD8-1))+1,EDATE($J8,12*($AD8-1))),取得日!$B$4:$B$503,"&lt;"&amp;$L8,取得日!$D$4:$D$503,"&lt;&gt;時間単位")))</f>
        <v>0</v>
      </c>
    </row>
    <row r="9" ht="21" customHeight="1">
      <c r="A9" s="12" t="n"/>
      <c r="B9" s="13" t="n"/>
      <c r="C9" s="14" t="n"/>
      <c r="D9" s="14" t="n"/>
      <c r="E9" s="14" t="n"/>
      <c r="F9" s="14" t="n"/>
      <c r="G9" s="14" t="n"/>
      <c r="H9" s="13" t="n"/>
      <c r="I9" s="23" t="str">
        <f>IF($B9="","",IF(N($E9)&gt;=30,"通常",IF(N($C9)&gt;=5,"通常",IF(N($C9)&gt;0,IF($C9=INT($C9),$C9&amp;"日","区分外（表に定めなし）"),IF(N($D9)&gt;=217,"通常",IF(N($D9)&gt;=169,"4日",IF(N($D9)&gt;=121,"3日",IF(N($D9)&gt;=73,"2日",IF(N($D9)&gt;=48,"1日",IF(N($D9)&gt;0,"区分外（表に定めなし）","入力待ち"))))))))))</f>
        <v/>
      </c>
      <c r="J9" s="24" t="str">
        <f>IF($B9="","",IF($H9&lt;&gt;"",$H9,IF(DAY(EDATE($B9,6))&lt;DAY($B9),EDATE($B9,6)+1,EDATE($B9,6))))</f>
        <v/>
      </c>
      <c r="K9" s="25" t="str">
        <f>IF($J9="","",$AD9+1)</f>
        <v/>
      </c>
      <c r="L9" s="24" t="str">
        <f>IF($J9="","",IF($K9=0,"未到達",IF(DAY(EDATE($J9,12*($AD9)))&lt;DAY($J9),EDATE($J9,12*($AD9))+1,EDATE($J9,12*($AD9)))))</f>
        <v/>
      </c>
      <c r="M9" s="24" t="str">
        <f>IF($J9="","",IF(DAY(EDATE($J9,12*($AD9+1)))&lt;DAY($J9),EDATE($J9,12*($AD9+1))+1,EDATE($J9,12*($AD9+1))))</f>
        <v/>
      </c>
      <c r="N9" s="25" t="str">
        <f>IF($J9="","",IF($K9=0,0,6+12*($K9-1)))</f>
        <v/>
      </c>
      <c r="O9" s="25" t="str">
        <f>IF(OR($J9="",$I9="入力待ち"),"",IF($K9=0,0,IF($G9="×",0,IF(LEFT($I9,3)="区分外","",INDEX(tbl_fuyo,MATCH($I9,区分名,0),MIN($K9,7))))))</f>
        <v/>
      </c>
      <c r="P9" s="23" t="str">
        <f>IF($O9="","",IF($O9&gt;=10,"対象","対象外"))</f>
        <v/>
      </c>
      <c r="Q9" s="26" t="str">
        <f>IF($J9="","",IF($H9&lt;&gt;"","前倒し：出ません",IF($P9="対象",IF(DAY(EDATE($L9,12))&lt;DAY($L9),EDATE($L9,12),EDATE($L9,12)-1),"")))</f>
        <v/>
      </c>
      <c r="R9" s="27" t="str">
        <f>IF($P9="対象",$AE9,"")</f>
        <v/>
      </c>
      <c r="S9" s="28" t="str">
        <f>IF($J9="","",IF($H9&lt;&gt;"",IF($P9="対象","前倒し：出ません",""),IF($P9="対象",MAX(0,年5日-$R9),"")))</f>
        <v/>
      </c>
      <c r="T9" s="25" t="str">
        <f>IF($J9="","",IF(AND($H9="",$P9="対象"),$Q9-判定日,""))</f>
        <v/>
      </c>
      <c r="U9" s="29" t="str">
        <f>IF($J9="","",IF($K9=0,"未到達",IF($H9&lt;&gt;"",IF($P9="対象","前倒し：出ません","対象外"),IF($P9&lt;&gt;"対象","対象外",IF($S9=0,"達成",IF($T9&lt;=警告日数,"要時季指定","進行中"))))))</f>
        <v/>
      </c>
      <c r="V9" s="29" t="str">
        <f>IF($J9="","",IF($K9&lt;2,"－",IF($H9&lt;&gt;"","前倒し：出ません",IF($W9="","－",IF($W9&lt;10,"対象外",IF($AF9&gt;=5,"達成","未達（期限超過）"))))))</f>
        <v/>
      </c>
      <c r="W9" s="25" t="str">
        <f>IF($J9="","",IF($K9&lt;2,"",IF(OR($I9="入力待ち",LEFT($I9,3)="区分外"),"",INDEX(tbl_fuyo,MATCH($I9,区分名,0),MIN($K9-1,7)))))</f>
        <v/>
      </c>
      <c r="X9" s="25" t="str">
        <f>IF($J9="","",IF($K9=0,"",IF($K9&lt;2,0,MIN(N($F9),N($W9)))))</f>
        <v/>
      </c>
      <c r="Y9" s="27" t="str">
        <f>IF(OR($J9="",$O9="",N($K9)=0),"",$X9+$O9-$AE9)</f>
        <v/>
      </c>
      <c r="Z9" s="30" t="str">
        <f>IF(OR($J9="",N($K9)=0),"",SUMIFS(取得日!$E$4:$E$503,取得日!$A$4:$A$503,$A9,取得日!$B$4:$B$503,"&gt;="&amp;$L9,取得日!$B$4:$B$503,"&lt;="&amp;IF(ISNUMBER($Q9),$Q9,$M9-1),取得日!$D$4:$D$503,"時間単位"))</f>
        <v/>
      </c>
      <c r="AA9" s="11" t="str">
        <f>IF($J9="","",(YEAR(判定日)-YEAR($J9))*12+MONTH(判定日)-MONTH($J9))</f>
        <v/>
      </c>
      <c r="AB9" s="11" t="str">
        <f>IF($J9="","",IF(判定日&lt;$J9,-1,INT($AA9/12)))</f>
        <v/>
      </c>
      <c r="AC9" s="22" t="str">
        <f>IF(OR($J9="",N($AB9)&lt;0),"",IF(DAY(EDATE($J9,12*($AB9)))&lt;DAY($J9),EDATE($J9,12*($AB9))+1,EDATE($J9,12*($AB9))))</f>
        <v/>
      </c>
      <c r="AD9" s="11" t="str">
        <f>IF($J9="","",IF($AB9&lt;0,-1,$AB9-IF($AC9&gt;判定日,1,0)))</f>
        <v/>
      </c>
      <c r="AE9" s="11" t="str">
        <f>IF(OR($J9="",N($K9)=0),"",SUMIFS(取得日!$C$4:$C$503,取得日!$A$4:$A$503,$A9,取得日!$B$4:$B$503,"&gt;="&amp;$L9,取得日!$B$4:$B$503,"&lt;="&amp;IF(ISNUMBER($Q9),$Q9,$M9-1),取得日!$D$4:$D$503,"&lt;&gt;時間単位"))</f>
        <v/>
      </c>
      <c r="AF9" s="11" t="str">
        <f>IF($J9="","",IF($K9&lt;2,"",SUMIFS(取得日!$C$4:$C$503,取得日!$A$4:$A$503,$A9,取得日!$B$4:$B$503,"&gt;="&amp;IF(DAY(EDATE($J9,12*($AD9-1)))&lt;DAY($J9),EDATE($J9,12*($AD9-1))+1,EDATE($J9,12*($AD9-1))),取得日!$B$4:$B$503,"&lt;"&amp;$L9,取得日!$D$4:$D$503,"&lt;&gt;時間単位")))</f>
        <v/>
      </c>
    </row>
    <row r="10" ht="21" customHeight="1">
      <c r="A10" s="12" t="n"/>
      <c r="B10" s="13" t="n"/>
      <c r="C10" s="14" t="n"/>
      <c r="D10" s="14" t="n"/>
      <c r="E10" s="14" t="n"/>
      <c r="F10" s="14" t="n"/>
      <c r="G10" s="14" t="n"/>
      <c r="H10" s="13" t="n"/>
      <c r="I10" s="9" t="str">
        <f>IF($B10="","",IF(N($E10)&gt;=30,"通常",IF(N($C10)&gt;=5,"通常",IF(N($C10)&gt;0,IF($C10=INT($C10),$C10&amp;"日","区分外（表に定めなし）"),IF(N($D10)&gt;=217,"通常",IF(N($D10)&gt;=169,"4日",IF(N($D10)&gt;=121,"3日",IF(N($D10)&gt;=73,"2日",IF(N($D10)&gt;=48,"1日",IF(N($D10)&gt;0,"区分外（表に定めなし）","入力待ち"))))))))))</f>
        <v/>
      </c>
      <c r="J10" s="15" t="str">
        <f>IF($B10="","",IF($H10&lt;&gt;"",$H10,IF(DAY(EDATE($B10,6))&lt;DAY($B10),EDATE($B10,6)+1,EDATE($B10,6))))</f>
        <v/>
      </c>
      <c r="K10" s="16" t="str">
        <f>IF($J10="","",$AD10+1)</f>
        <v/>
      </c>
      <c r="L10" s="15" t="str">
        <f>IF($J10="","",IF($K10=0,"未到達",IF(DAY(EDATE($J10,12*($AD10)))&lt;DAY($J10),EDATE($J10,12*($AD10))+1,EDATE($J10,12*($AD10)))))</f>
        <v/>
      </c>
      <c r="M10" s="15" t="str">
        <f>IF($J10="","",IF(DAY(EDATE($J10,12*($AD10+1)))&lt;DAY($J10),EDATE($J10,12*($AD10+1))+1,EDATE($J10,12*($AD10+1))))</f>
        <v/>
      </c>
      <c r="N10" s="16" t="str">
        <f>IF($J10="","",IF($K10=0,0,6+12*($K10-1)))</f>
        <v/>
      </c>
      <c r="O10" s="16" t="str">
        <f>IF(OR($J10="",$I10="入力待ち"),"",IF($K10=0,0,IF($G10="×",0,IF(LEFT($I10,3)="区分外","",INDEX(tbl_fuyo,MATCH($I10,区分名,0),MIN($K10,7))))))</f>
        <v/>
      </c>
      <c r="P10" s="9" t="str">
        <f>IF($O10="","",IF($O10&gt;=10,"対象","対象外"))</f>
        <v/>
      </c>
      <c r="Q10" s="17" t="str">
        <f>IF($J10="","",IF($H10&lt;&gt;"","前倒し：出ません",IF($P10="対象",IF(DAY(EDATE($L10,12))&lt;DAY($L10),EDATE($L10,12),EDATE($L10,12)-1),"")))</f>
        <v/>
      </c>
      <c r="R10" s="18" t="str">
        <f>IF($P10="対象",$AE10,"")</f>
        <v/>
      </c>
      <c r="S10" s="19" t="str">
        <f>IF($J10="","",IF($H10&lt;&gt;"",IF($P10="対象","前倒し：出ません",""),IF($P10="対象",MAX(0,年5日-$R10),"")))</f>
        <v/>
      </c>
      <c r="T10" s="16" t="str">
        <f>IF($J10="","",IF(AND($H10="",$P10="対象"),$Q10-判定日,""))</f>
        <v/>
      </c>
      <c r="U10" s="20" t="str">
        <f>IF($J10="","",IF($K10=0,"未到達",IF($H10&lt;&gt;"",IF($P10="対象","前倒し：出ません","対象外"),IF($P10&lt;&gt;"対象","対象外",IF($S10=0,"達成",IF($T10&lt;=警告日数,"要時季指定","進行中"))))))</f>
        <v/>
      </c>
      <c r="V10" s="20" t="str">
        <f>IF($J10="","",IF($K10&lt;2,"－",IF($H10&lt;&gt;"","前倒し：出ません",IF($W10="","－",IF($W10&lt;10,"対象外",IF($AF10&gt;=5,"達成","未達（期限超過）"))))))</f>
        <v/>
      </c>
      <c r="W10" s="16" t="str">
        <f>IF($J10="","",IF($K10&lt;2,"",IF(OR($I10="入力待ち",LEFT($I10,3)="区分外"),"",INDEX(tbl_fuyo,MATCH($I10,区分名,0),MIN($K10-1,7)))))</f>
        <v/>
      </c>
      <c r="X10" s="16" t="str">
        <f>IF($J10="","",IF($K10=0,"",IF($K10&lt;2,0,MIN(N($F10),N($W10)))))</f>
        <v/>
      </c>
      <c r="Y10" s="18" t="str">
        <f>IF(OR($J10="",$O10="",N($K10)=0),"",$X10+$O10-$AE10)</f>
        <v/>
      </c>
      <c r="Z10" s="21" t="str">
        <f>IF(OR($J10="",N($K10)=0),"",SUMIFS(取得日!$E$4:$E$503,取得日!$A$4:$A$503,$A10,取得日!$B$4:$B$503,"&gt;="&amp;$L10,取得日!$B$4:$B$503,"&lt;="&amp;IF(ISNUMBER($Q10),$Q10,$M10-1),取得日!$D$4:$D$503,"時間単位"))</f>
        <v/>
      </c>
      <c r="AA10" s="11" t="str">
        <f>IF($J10="","",(YEAR(判定日)-YEAR($J10))*12+MONTH(判定日)-MONTH($J10))</f>
        <v/>
      </c>
      <c r="AB10" s="11" t="str">
        <f>IF($J10="","",IF(判定日&lt;$J10,-1,INT($AA10/12)))</f>
        <v/>
      </c>
      <c r="AC10" s="22" t="str">
        <f>IF(OR($J10="",N($AB10)&lt;0),"",IF(DAY(EDATE($J10,12*($AB10)))&lt;DAY($J10),EDATE($J10,12*($AB10))+1,EDATE($J10,12*($AB10))))</f>
        <v/>
      </c>
      <c r="AD10" s="11" t="str">
        <f>IF($J10="","",IF($AB10&lt;0,-1,$AB10-IF($AC10&gt;判定日,1,0)))</f>
        <v/>
      </c>
      <c r="AE10" s="11" t="str">
        <f>IF(OR($J10="",N($K10)=0),"",SUMIFS(取得日!$C$4:$C$503,取得日!$A$4:$A$503,$A10,取得日!$B$4:$B$503,"&gt;="&amp;$L10,取得日!$B$4:$B$503,"&lt;="&amp;IF(ISNUMBER($Q10),$Q10,$M10-1),取得日!$D$4:$D$503,"&lt;&gt;時間単位"))</f>
        <v/>
      </c>
      <c r="AF10" s="11" t="str">
        <f>IF($J10="","",IF($K10&lt;2,"",SUMIFS(取得日!$C$4:$C$503,取得日!$A$4:$A$503,$A10,取得日!$B$4:$B$503,"&gt;="&amp;IF(DAY(EDATE($J10,12*($AD10-1)))&lt;DAY($J10),EDATE($J10,12*($AD10-1))+1,EDATE($J10,12*($AD10-1))),取得日!$B$4:$B$503,"&lt;"&amp;$L10,取得日!$D$4:$D$503,"&lt;&gt;時間単位")))</f>
        <v/>
      </c>
    </row>
    <row r="11" ht="21" customHeight="1">
      <c r="A11" s="12" t="n"/>
      <c r="B11" s="13" t="n"/>
      <c r="C11" s="14" t="n"/>
      <c r="D11" s="14" t="n"/>
      <c r="E11" s="14" t="n"/>
      <c r="F11" s="14" t="n"/>
      <c r="G11" s="14" t="n"/>
      <c r="H11" s="13" t="n"/>
      <c r="I11" s="23" t="str">
        <f>IF($B11="","",IF(N($E11)&gt;=30,"通常",IF(N($C11)&gt;=5,"通常",IF(N($C11)&gt;0,IF($C11=INT($C11),$C11&amp;"日","区分外（表に定めなし）"),IF(N($D11)&gt;=217,"通常",IF(N($D11)&gt;=169,"4日",IF(N($D11)&gt;=121,"3日",IF(N($D11)&gt;=73,"2日",IF(N($D11)&gt;=48,"1日",IF(N($D11)&gt;0,"区分外（表に定めなし）","入力待ち"))))))))))</f>
        <v/>
      </c>
      <c r="J11" s="24" t="str">
        <f>IF($B11="","",IF($H11&lt;&gt;"",$H11,IF(DAY(EDATE($B11,6))&lt;DAY($B11),EDATE($B11,6)+1,EDATE($B11,6))))</f>
        <v/>
      </c>
      <c r="K11" s="25" t="str">
        <f>IF($J11="","",$AD11+1)</f>
        <v/>
      </c>
      <c r="L11" s="24" t="str">
        <f>IF($J11="","",IF($K11=0,"未到達",IF(DAY(EDATE($J11,12*($AD11)))&lt;DAY($J11),EDATE($J11,12*($AD11))+1,EDATE($J11,12*($AD11)))))</f>
        <v/>
      </c>
      <c r="M11" s="24" t="str">
        <f>IF($J11="","",IF(DAY(EDATE($J11,12*($AD11+1)))&lt;DAY($J11),EDATE($J11,12*($AD11+1))+1,EDATE($J11,12*($AD11+1))))</f>
        <v/>
      </c>
      <c r="N11" s="25" t="str">
        <f>IF($J11="","",IF($K11=0,0,6+12*($K11-1)))</f>
        <v/>
      </c>
      <c r="O11" s="25" t="str">
        <f>IF(OR($J11="",$I11="入力待ち"),"",IF($K11=0,0,IF($G11="×",0,IF(LEFT($I11,3)="区分外","",INDEX(tbl_fuyo,MATCH($I11,区分名,0),MIN($K11,7))))))</f>
        <v/>
      </c>
      <c r="P11" s="23" t="str">
        <f>IF($O11="","",IF($O11&gt;=10,"対象","対象外"))</f>
        <v/>
      </c>
      <c r="Q11" s="26" t="str">
        <f>IF($J11="","",IF($H11&lt;&gt;"","前倒し：出ません",IF($P11="対象",IF(DAY(EDATE($L11,12))&lt;DAY($L11),EDATE($L11,12),EDATE($L11,12)-1),"")))</f>
        <v/>
      </c>
      <c r="R11" s="27" t="str">
        <f>IF($P11="対象",$AE11,"")</f>
        <v/>
      </c>
      <c r="S11" s="28" t="str">
        <f>IF($J11="","",IF($H11&lt;&gt;"",IF($P11="対象","前倒し：出ません",""),IF($P11="対象",MAX(0,年5日-$R11),"")))</f>
        <v/>
      </c>
      <c r="T11" s="25" t="str">
        <f>IF($J11="","",IF(AND($H11="",$P11="対象"),$Q11-判定日,""))</f>
        <v/>
      </c>
      <c r="U11" s="29" t="str">
        <f>IF($J11="","",IF($K11=0,"未到達",IF($H11&lt;&gt;"",IF($P11="対象","前倒し：出ません","対象外"),IF($P11&lt;&gt;"対象","対象外",IF($S11=0,"達成",IF($T11&lt;=警告日数,"要時季指定","進行中"))))))</f>
        <v/>
      </c>
      <c r="V11" s="29" t="str">
        <f>IF($J11="","",IF($K11&lt;2,"－",IF($H11&lt;&gt;"","前倒し：出ません",IF($W11="","－",IF($W11&lt;10,"対象外",IF($AF11&gt;=5,"達成","未達（期限超過）"))))))</f>
        <v/>
      </c>
      <c r="W11" s="25" t="str">
        <f>IF($J11="","",IF($K11&lt;2,"",IF(OR($I11="入力待ち",LEFT($I11,3)="区分外"),"",INDEX(tbl_fuyo,MATCH($I11,区分名,0),MIN($K11-1,7)))))</f>
        <v/>
      </c>
      <c r="X11" s="25" t="str">
        <f>IF($J11="","",IF($K11=0,"",IF($K11&lt;2,0,MIN(N($F11),N($W11)))))</f>
        <v/>
      </c>
      <c r="Y11" s="27" t="str">
        <f>IF(OR($J11="",$O11="",N($K11)=0),"",$X11+$O11-$AE11)</f>
        <v/>
      </c>
      <c r="Z11" s="30" t="str">
        <f>IF(OR($J11="",N($K11)=0),"",SUMIFS(取得日!$E$4:$E$503,取得日!$A$4:$A$503,$A11,取得日!$B$4:$B$503,"&gt;="&amp;$L11,取得日!$B$4:$B$503,"&lt;="&amp;IF(ISNUMBER($Q11),$Q11,$M11-1),取得日!$D$4:$D$503,"時間単位"))</f>
        <v/>
      </c>
      <c r="AA11" s="11" t="str">
        <f>IF($J11="","",(YEAR(判定日)-YEAR($J11))*12+MONTH(判定日)-MONTH($J11))</f>
        <v/>
      </c>
      <c r="AB11" s="11" t="str">
        <f>IF($J11="","",IF(判定日&lt;$J11,-1,INT($AA11/12)))</f>
        <v/>
      </c>
      <c r="AC11" s="22" t="str">
        <f>IF(OR($J11="",N($AB11)&lt;0),"",IF(DAY(EDATE($J11,12*($AB11)))&lt;DAY($J11),EDATE($J11,12*($AB11))+1,EDATE($J11,12*($AB11))))</f>
        <v/>
      </c>
      <c r="AD11" s="11" t="str">
        <f>IF($J11="","",IF($AB11&lt;0,-1,$AB11-IF($AC11&gt;判定日,1,0)))</f>
        <v/>
      </c>
      <c r="AE11" s="11" t="str">
        <f>IF(OR($J11="",N($K11)=0),"",SUMIFS(取得日!$C$4:$C$503,取得日!$A$4:$A$503,$A11,取得日!$B$4:$B$503,"&gt;="&amp;$L11,取得日!$B$4:$B$503,"&lt;="&amp;IF(ISNUMBER($Q11),$Q11,$M11-1),取得日!$D$4:$D$503,"&lt;&gt;時間単位"))</f>
        <v/>
      </c>
      <c r="AF11" s="11" t="str">
        <f>IF($J11="","",IF($K11&lt;2,"",SUMIFS(取得日!$C$4:$C$503,取得日!$A$4:$A$503,$A11,取得日!$B$4:$B$503,"&gt;="&amp;IF(DAY(EDATE($J11,12*($AD11-1)))&lt;DAY($J11),EDATE($J11,12*($AD11-1))+1,EDATE($J11,12*($AD11-1))),取得日!$B$4:$B$503,"&lt;"&amp;$L11,取得日!$D$4:$D$503,"&lt;&gt;時間単位")))</f>
        <v/>
      </c>
    </row>
    <row r="12" ht="21" customHeight="1">
      <c r="A12" s="12" t="n"/>
      <c r="B12" s="13" t="n"/>
      <c r="C12" s="14" t="n"/>
      <c r="D12" s="14" t="n"/>
      <c r="E12" s="14" t="n"/>
      <c r="F12" s="14" t="n"/>
      <c r="G12" s="14" t="n"/>
      <c r="H12" s="13" t="n"/>
      <c r="I12" s="9" t="str">
        <f>IF($B12="","",IF(N($E12)&gt;=30,"通常",IF(N($C12)&gt;=5,"通常",IF(N($C12)&gt;0,IF($C12=INT($C12),$C12&amp;"日","区分外（表に定めなし）"),IF(N($D12)&gt;=217,"通常",IF(N($D12)&gt;=169,"4日",IF(N($D12)&gt;=121,"3日",IF(N($D12)&gt;=73,"2日",IF(N($D12)&gt;=48,"1日",IF(N($D12)&gt;0,"区分外（表に定めなし）","入力待ち"))))))))))</f>
        <v/>
      </c>
      <c r="J12" s="15" t="str">
        <f>IF($B12="","",IF($H12&lt;&gt;"",$H12,IF(DAY(EDATE($B12,6))&lt;DAY($B12),EDATE($B12,6)+1,EDATE($B12,6))))</f>
        <v/>
      </c>
      <c r="K12" s="16" t="str">
        <f>IF($J12="","",$AD12+1)</f>
        <v/>
      </c>
      <c r="L12" s="15" t="str">
        <f>IF($J12="","",IF($K12=0,"未到達",IF(DAY(EDATE($J12,12*($AD12)))&lt;DAY($J12),EDATE($J12,12*($AD12))+1,EDATE($J12,12*($AD12)))))</f>
        <v/>
      </c>
      <c r="M12" s="15" t="str">
        <f>IF($J12="","",IF(DAY(EDATE($J12,12*($AD12+1)))&lt;DAY($J12),EDATE($J12,12*($AD12+1))+1,EDATE($J12,12*($AD12+1))))</f>
        <v/>
      </c>
      <c r="N12" s="16" t="str">
        <f>IF($J12="","",IF($K12=0,0,6+12*($K12-1)))</f>
        <v/>
      </c>
      <c r="O12" s="16" t="str">
        <f>IF(OR($J12="",$I12="入力待ち"),"",IF($K12=0,0,IF($G12="×",0,IF(LEFT($I12,3)="区分外","",INDEX(tbl_fuyo,MATCH($I12,区分名,0),MIN($K12,7))))))</f>
        <v/>
      </c>
      <c r="P12" s="9" t="str">
        <f>IF($O12="","",IF($O12&gt;=10,"対象","対象外"))</f>
        <v/>
      </c>
      <c r="Q12" s="17" t="str">
        <f>IF($J12="","",IF($H12&lt;&gt;"","前倒し：出ません",IF($P12="対象",IF(DAY(EDATE($L12,12))&lt;DAY($L12),EDATE($L12,12),EDATE($L12,12)-1),"")))</f>
        <v/>
      </c>
      <c r="R12" s="18" t="str">
        <f>IF($P12="対象",$AE12,"")</f>
        <v/>
      </c>
      <c r="S12" s="19" t="str">
        <f>IF($J12="","",IF($H12&lt;&gt;"",IF($P12="対象","前倒し：出ません",""),IF($P12="対象",MAX(0,年5日-$R12),"")))</f>
        <v/>
      </c>
      <c r="T12" s="16" t="str">
        <f>IF($J12="","",IF(AND($H12="",$P12="対象"),$Q12-判定日,""))</f>
        <v/>
      </c>
      <c r="U12" s="20" t="str">
        <f>IF($J12="","",IF($K12=0,"未到達",IF($H12&lt;&gt;"",IF($P12="対象","前倒し：出ません","対象外"),IF($P12&lt;&gt;"対象","対象外",IF($S12=0,"達成",IF($T12&lt;=警告日数,"要時季指定","進行中"))))))</f>
        <v/>
      </c>
      <c r="V12" s="20" t="str">
        <f>IF($J12="","",IF($K12&lt;2,"－",IF($H12&lt;&gt;"","前倒し：出ません",IF($W12="","－",IF($W12&lt;10,"対象外",IF($AF12&gt;=5,"達成","未達（期限超過）"))))))</f>
        <v/>
      </c>
      <c r="W12" s="16" t="str">
        <f>IF($J12="","",IF($K12&lt;2,"",IF(OR($I12="入力待ち",LEFT($I12,3)="区分外"),"",INDEX(tbl_fuyo,MATCH($I12,区分名,0),MIN($K12-1,7)))))</f>
        <v/>
      </c>
      <c r="X12" s="16" t="str">
        <f>IF($J12="","",IF($K12=0,"",IF($K12&lt;2,0,MIN(N($F12),N($W12)))))</f>
        <v/>
      </c>
      <c r="Y12" s="18" t="str">
        <f>IF(OR($J12="",$O12="",N($K12)=0),"",$X12+$O12-$AE12)</f>
        <v/>
      </c>
      <c r="Z12" s="21" t="str">
        <f>IF(OR($J12="",N($K12)=0),"",SUMIFS(取得日!$E$4:$E$503,取得日!$A$4:$A$503,$A12,取得日!$B$4:$B$503,"&gt;="&amp;$L12,取得日!$B$4:$B$503,"&lt;="&amp;IF(ISNUMBER($Q12),$Q12,$M12-1),取得日!$D$4:$D$503,"時間単位"))</f>
        <v/>
      </c>
      <c r="AA12" s="11" t="str">
        <f>IF($J12="","",(YEAR(判定日)-YEAR($J12))*12+MONTH(判定日)-MONTH($J12))</f>
        <v/>
      </c>
      <c r="AB12" s="11" t="str">
        <f>IF($J12="","",IF(判定日&lt;$J12,-1,INT($AA12/12)))</f>
        <v/>
      </c>
      <c r="AC12" s="22" t="str">
        <f>IF(OR($J12="",N($AB12)&lt;0),"",IF(DAY(EDATE($J12,12*($AB12)))&lt;DAY($J12),EDATE($J12,12*($AB12))+1,EDATE($J12,12*($AB12))))</f>
        <v/>
      </c>
      <c r="AD12" s="11" t="str">
        <f>IF($J12="","",IF($AB12&lt;0,-1,$AB12-IF($AC12&gt;判定日,1,0)))</f>
        <v/>
      </c>
      <c r="AE12" s="11" t="str">
        <f>IF(OR($J12="",N($K12)=0),"",SUMIFS(取得日!$C$4:$C$503,取得日!$A$4:$A$503,$A12,取得日!$B$4:$B$503,"&gt;="&amp;$L12,取得日!$B$4:$B$503,"&lt;="&amp;IF(ISNUMBER($Q12),$Q12,$M12-1),取得日!$D$4:$D$503,"&lt;&gt;時間単位"))</f>
        <v/>
      </c>
      <c r="AF12" s="11" t="str">
        <f>IF($J12="","",IF($K12&lt;2,"",SUMIFS(取得日!$C$4:$C$503,取得日!$A$4:$A$503,$A12,取得日!$B$4:$B$503,"&gt;="&amp;IF(DAY(EDATE($J12,12*($AD12-1)))&lt;DAY($J12),EDATE($J12,12*($AD12-1))+1,EDATE($J12,12*($AD12-1))),取得日!$B$4:$B$503,"&lt;"&amp;$L12,取得日!$D$4:$D$503,"&lt;&gt;時間単位")))</f>
        <v/>
      </c>
    </row>
    <row r="13" ht="21" customHeight="1">
      <c r="A13" s="12" t="n"/>
      <c r="B13" s="13" t="n"/>
      <c r="C13" s="14" t="n"/>
      <c r="D13" s="14" t="n"/>
      <c r="E13" s="14" t="n"/>
      <c r="F13" s="14" t="n"/>
      <c r="G13" s="14" t="n"/>
      <c r="H13" s="13" t="n"/>
      <c r="I13" s="23" t="str">
        <f>IF($B13="","",IF(N($E13)&gt;=30,"通常",IF(N($C13)&gt;=5,"通常",IF(N($C13)&gt;0,IF($C13=INT($C13),$C13&amp;"日","区分外（表に定めなし）"),IF(N($D13)&gt;=217,"通常",IF(N($D13)&gt;=169,"4日",IF(N($D13)&gt;=121,"3日",IF(N($D13)&gt;=73,"2日",IF(N($D13)&gt;=48,"1日",IF(N($D13)&gt;0,"区分外（表に定めなし）","入力待ち"))))))))))</f>
        <v/>
      </c>
      <c r="J13" s="24" t="str">
        <f>IF($B13="","",IF($H13&lt;&gt;"",$H13,IF(DAY(EDATE($B13,6))&lt;DAY($B13),EDATE($B13,6)+1,EDATE($B13,6))))</f>
        <v/>
      </c>
      <c r="K13" s="25" t="str">
        <f>IF($J13="","",$AD13+1)</f>
        <v/>
      </c>
      <c r="L13" s="24" t="str">
        <f>IF($J13="","",IF($K13=0,"未到達",IF(DAY(EDATE($J13,12*($AD13)))&lt;DAY($J13),EDATE($J13,12*($AD13))+1,EDATE($J13,12*($AD13)))))</f>
        <v/>
      </c>
      <c r="M13" s="24" t="str">
        <f>IF($J13="","",IF(DAY(EDATE($J13,12*($AD13+1)))&lt;DAY($J13),EDATE($J13,12*($AD13+1))+1,EDATE($J13,12*($AD13+1))))</f>
        <v/>
      </c>
      <c r="N13" s="25" t="str">
        <f>IF($J13="","",IF($K13=0,0,6+12*($K13-1)))</f>
        <v/>
      </c>
      <c r="O13" s="25" t="str">
        <f>IF(OR($J13="",$I13="入力待ち"),"",IF($K13=0,0,IF($G13="×",0,IF(LEFT($I13,3)="区分外","",INDEX(tbl_fuyo,MATCH($I13,区分名,0),MIN($K13,7))))))</f>
        <v/>
      </c>
      <c r="P13" s="23" t="str">
        <f>IF($O13="","",IF($O13&gt;=10,"対象","対象外"))</f>
        <v/>
      </c>
      <c r="Q13" s="26" t="str">
        <f>IF($J13="","",IF($H13&lt;&gt;"","前倒し：出ません",IF($P13="対象",IF(DAY(EDATE($L13,12))&lt;DAY($L13),EDATE($L13,12),EDATE($L13,12)-1),"")))</f>
        <v/>
      </c>
      <c r="R13" s="27" t="str">
        <f>IF($P13="対象",$AE13,"")</f>
        <v/>
      </c>
      <c r="S13" s="28" t="str">
        <f>IF($J13="","",IF($H13&lt;&gt;"",IF($P13="対象","前倒し：出ません",""),IF($P13="対象",MAX(0,年5日-$R13),"")))</f>
        <v/>
      </c>
      <c r="T13" s="25" t="str">
        <f>IF($J13="","",IF(AND($H13="",$P13="対象"),$Q13-判定日,""))</f>
        <v/>
      </c>
      <c r="U13" s="29" t="str">
        <f>IF($J13="","",IF($K13=0,"未到達",IF($H13&lt;&gt;"",IF($P13="対象","前倒し：出ません","対象外"),IF($P13&lt;&gt;"対象","対象外",IF($S13=0,"達成",IF($T13&lt;=警告日数,"要時季指定","進行中"))))))</f>
        <v/>
      </c>
      <c r="V13" s="29" t="str">
        <f>IF($J13="","",IF($K13&lt;2,"－",IF($H13&lt;&gt;"","前倒し：出ません",IF($W13="","－",IF($W13&lt;10,"対象外",IF($AF13&gt;=5,"達成","未達（期限超過）"))))))</f>
        <v/>
      </c>
      <c r="W13" s="25" t="str">
        <f>IF($J13="","",IF($K13&lt;2,"",IF(OR($I13="入力待ち",LEFT($I13,3)="区分外"),"",INDEX(tbl_fuyo,MATCH($I13,区分名,0),MIN($K13-1,7)))))</f>
        <v/>
      </c>
      <c r="X13" s="25" t="str">
        <f>IF($J13="","",IF($K13=0,"",IF($K13&lt;2,0,MIN(N($F13),N($W13)))))</f>
        <v/>
      </c>
      <c r="Y13" s="27" t="str">
        <f>IF(OR($J13="",$O13="",N($K13)=0),"",$X13+$O13-$AE13)</f>
        <v/>
      </c>
      <c r="Z13" s="30" t="str">
        <f>IF(OR($J13="",N($K13)=0),"",SUMIFS(取得日!$E$4:$E$503,取得日!$A$4:$A$503,$A13,取得日!$B$4:$B$503,"&gt;="&amp;$L13,取得日!$B$4:$B$503,"&lt;="&amp;IF(ISNUMBER($Q13),$Q13,$M13-1),取得日!$D$4:$D$503,"時間単位"))</f>
        <v/>
      </c>
      <c r="AA13" s="11" t="str">
        <f>IF($J13="","",(YEAR(判定日)-YEAR($J13))*12+MONTH(判定日)-MONTH($J13))</f>
        <v/>
      </c>
      <c r="AB13" s="11" t="str">
        <f>IF($J13="","",IF(判定日&lt;$J13,-1,INT($AA13/12)))</f>
        <v/>
      </c>
      <c r="AC13" s="22" t="str">
        <f>IF(OR($J13="",N($AB13)&lt;0),"",IF(DAY(EDATE($J13,12*($AB13)))&lt;DAY($J13),EDATE($J13,12*($AB13))+1,EDATE($J13,12*($AB13))))</f>
        <v/>
      </c>
      <c r="AD13" s="11" t="str">
        <f>IF($J13="","",IF($AB13&lt;0,-1,$AB13-IF($AC13&gt;判定日,1,0)))</f>
        <v/>
      </c>
      <c r="AE13" s="11" t="str">
        <f>IF(OR($J13="",N($K13)=0),"",SUMIFS(取得日!$C$4:$C$503,取得日!$A$4:$A$503,$A13,取得日!$B$4:$B$503,"&gt;="&amp;$L13,取得日!$B$4:$B$503,"&lt;="&amp;IF(ISNUMBER($Q13),$Q13,$M13-1),取得日!$D$4:$D$503,"&lt;&gt;時間単位"))</f>
        <v/>
      </c>
      <c r="AF13" s="11" t="str">
        <f>IF($J13="","",IF($K13&lt;2,"",SUMIFS(取得日!$C$4:$C$503,取得日!$A$4:$A$503,$A13,取得日!$B$4:$B$503,"&gt;="&amp;IF(DAY(EDATE($J13,12*($AD13-1)))&lt;DAY($J13),EDATE($J13,12*($AD13-1))+1,EDATE($J13,12*($AD13-1))),取得日!$B$4:$B$503,"&lt;"&amp;$L13,取得日!$D$4:$D$503,"&lt;&gt;時間単位")))</f>
        <v/>
      </c>
    </row>
    <row r="14" ht="21" customHeight="1">
      <c r="A14" s="12" t="n"/>
      <c r="B14" s="13" t="n"/>
      <c r="C14" s="14" t="n"/>
      <c r="D14" s="14" t="n"/>
      <c r="E14" s="14" t="n"/>
      <c r="F14" s="14" t="n"/>
      <c r="G14" s="14" t="n"/>
      <c r="H14" s="13" t="n"/>
      <c r="I14" s="9" t="str">
        <f>IF($B14="","",IF(N($E14)&gt;=30,"通常",IF(N($C14)&gt;=5,"通常",IF(N($C14)&gt;0,IF($C14=INT($C14),$C14&amp;"日","区分外（表に定めなし）"),IF(N($D14)&gt;=217,"通常",IF(N($D14)&gt;=169,"4日",IF(N($D14)&gt;=121,"3日",IF(N($D14)&gt;=73,"2日",IF(N($D14)&gt;=48,"1日",IF(N($D14)&gt;0,"区分外（表に定めなし）","入力待ち"))))))))))</f>
        <v/>
      </c>
      <c r="J14" s="15" t="str">
        <f>IF($B14="","",IF($H14&lt;&gt;"",$H14,IF(DAY(EDATE($B14,6))&lt;DAY($B14),EDATE($B14,6)+1,EDATE($B14,6))))</f>
        <v/>
      </c>
      <c r="K14" s="16" t="str">
        <f>IF($J14="","",$AD14+1)</f>
        <v/>
      </c>
      <c r="L14" s="15" t="str">
        <f>IF($J14="","",IF($K14=0,"未到達",IF(DAY(EDATE($J14,12*($AD14)))&lt;DAY($J14),EDATE($J14,12*($AD14))+1,EDATE($J14,12*($AD14)))))</f>
        <v/>
      </c>
      <c r="M14" s="15" t="str">
        <f>IF($J14="","",IF(DAY(EDATE($J14,12*($AD14+1)))&lt;DAY($J14),EDATE($J14,12*($AD14+1))+1,EDATE($J14,12*($AD14+1))))</f>
        <v/>
      </c>
      <c r="N14" s="16" t="str">
        <f>IF($J14="","",IF($K14=0,0,6+12*($K14-1)))</f>
        <v/>
      </c>
      <c r="O14" s="16" t="str">
        <f>IF(OR($J14="",$I14="入力待ち"),"",IF($K14=0,0,IF($G14="×",0,IF(LEFT($I14,3)="区分外","",INDEX(tbl_fuyo,MATCH($I14,区分名,0),MIN($K14,7))))))</f>
        <v/>
      </c>
      <c r="P14" s="9" t="str">
        <f>IF($O14="","",IF($O14&gt;=10,"対象","対象外"))</f>
        <v/>
      </c>
      <c r="Q14" s="17" t="str">
        <f>IF($J14="","",IF($H14&lt;&gt;"","前倒し：出ません",IF($P14="対象",IF(DAY(EDATE($L14,12))&lt;DAY($L14),EDATE($L14,12),EDATE($L14,12)-1),"")))</f>
        <v/>
      </c>
      <c r="R14" s="18" t="str">
        <f>IF($P14="対象",$AE14,"")</f>
        <v/>
      </c>
      <c r="S14" s="19" t="str">
        <f>IF($J14="","",IF($H14&lt;&gt;"",IF($P14="対象","前倒し：出ません",""),IF($P14="対象",MAX(0,年5日-$R14),"")))</f>
        <v/>
      </c>
      <c r="T14" s="16" t="str">
        <f>IF($J14="","",IF(AND($H14="",$P14="対象"),$Q14-判定日,""))</f>
        <v/>
      </c>
      <c r="U14" s="20" t="str">
        <f>IF($J14="","",IF($K14=0,"未到達",IF($H14&lt;&gt;"",IF($P14="対象","前倒し：出ません","対象外"),IF($P14&lt;&gt;"対象","対象外",IF($S14=0,"達成",IF($T14&lt;=警告日数,"要時季指定","進行中"))))))</f>
        <v/>
      </c>
      <c r="V14" s="20" t="str">
        <f>IF($J14="","",IF($K14&lt;2,"－",IF($H14&lt;&gt;"","前倒し：出ません",IF($W14="","－",IF($W14&lt;10,"対象外",IF($AF14&gt;=5,"達成","未達（期限超過）"))))))</f>
        <v/>
      </c>
      <c r="W14" s="16" t="str">
        <f>IF($J14="","",IF($K14&lt;2,"",IF(OR($I14="入力待ち",LEFT($I14,3)="区分外"),"",INDEX(tbl_fuyo,MATCH($I14,区分名,0),MIN($K14-1,7)))))</f>
        <v/>
      </c>
      <c r="X14" s="16" t="str">
        <f>IF($J14="","",IF($K14=0,"",IF($K14&lt;2,0,MIN(N($F14),N($W14)))))</f>
        <v/>
      </c>
      <c r="Y14" s="18" t="str">
        <f>IF(OR($J14="",$O14="",N($K14)=0),"",$X14+$O14-$AE14)</f>
        <v/>
      </c>
      <c r="Z14" s="21" t="str">
        <f>IF(OR($J14="",N($K14)=0),"",SUMIFS(取得日!$E$4:$E$503,取得日!$A$4:$A$503,$A14,取得日!$B$4:$B$503,"&gt;="&amp;$L14,取得日!$B$4:$B$503,"&lt;="&amp;IF(ISNUMBER($Q14),$Q14,$M14-1),取得日!$D$4:$D$503,"時間単位"))</f>
        <v/>
      </c>
      <c r="AA14" s="11" t="str">
        <f>IF($J14="","",(YEAR(判定日)-YEAR($J14))*12+MONTH(判定日)-MONTH($J14))</f>
        <v/>
      </c>
      <c r="AB14" s="11" t="str">
        <f>IF($J14="","",IF(判定日&lt;$J14,-1,INT($AA14/12)))</f>
        <v/>
      </c>
      <c r="AC14" s="22" t="str">
        <f>IF(OR($J14="",N($AB14)&lt;0),"",IF(DAY(EDATE($J14,12*($AB14)))&lt;DAY($J14),EDATE($J14,12*($AB14))+1,EDATE($J14,12*($AB14))))</f>
        <v/>
      </c>
      <c r="AD14" s="11" t="str">
        <f>IF($J14="","",IF($AB14&lt;0,-1,$AB14-IF($AC14&gt;判定日,1,0)))</f>
        <v/>
      </c>
      <c r="AE14" s="11" t="str">
        <f>IF(OR($J14="",N($K14)=0),"",SUMIFS(取得日!$C$4:$C$503,取得日!$A$4:$A$503,$A14,取得日!$B$4:$B$503,"&gt;="&amp;$L14,取得日!$B$4:$B$503,"&lt;="&amp;IF(ISNUMBER($Q14),$Q14,$M14-1),取得日!$D$4:$D$503,"&lt;&gt;時間単位"))</f>
        <v/>
      </c>
      <c r="AF14" s="11" t="str">
        <f>IF($J14="","",IF($K14&lt;2,"",SUMIFS(取得日!$C$4:$C$503,取得日!$A$4:$A$503,$A14,取得日!$B$4:$B$503,"&gt;="&amp;IF(DAY(EDATE($J14,12*($AD14-1)))&lt;DAY($J14),EDATE($J14,12*($AD14-1))+1,EDATE($J14,12*($AD14-1))),取得日!$B$4:$B$503,"&lt;"&amp;$L14,取得日!$D$4:$D$503,"&lt;&gt;時間単位")))</f>
        <v/>
      </c>
    </row>
    <row r="15" ht="21" customHeight="1">
      <c r="A15" s="12" t="n"/>
      <c r="B15" s="13" t="n"/>
      <c r="C15" s="14" t="n"/>
      <c r="D15" s="14" t="n"/>
      <c r="E15" s="14" t="n"/>
      <c r="F15" s="14" t="n"/>
      <c r="G15" s="14" t="n"/>
      <c r="H15" s="13" t="n"/>
      <c r="I15" s="23" t="str">
        <f>IF($B15="","",IF(N($E15)&gt;=30,"通常",IF(N($C15)&gt;=5,"通常",IF(N($C15)&gt;0,IF($C15=INT($C15),$C15&amp;"日","区分外（表に定めなし）"),IF(N($D15)&gt;=217,"通常",IF(N($D15)&gt;=169,"4日",IF(N($D15)&gt;=121,"3日",IF(N($D15)&gt;=73,"2日",IF(N($D15)&gt;=48,"1日",IF(N($D15)&gt;0,"区分外（表に定めなし）","入力待ち"))))))))))</f>
        <v/>
      </c>
      <c r="J15" s="24" t="str">
        <f>IF($B15="","",IF($H15&lt;&gt;"",$H15,IF(DAY(EDATE($B15,6))&lt;DAY($B15),EDATE($B15,6)+1,EDATE($B15,6))))</f>
        <v/>
      </c>
      <c r="K15" s="25" t="str">
        <f>IF($J15="","",$AD15+1)</f>
        <v/>
      </c>
      <c r="L15" s="24" t="str">
        <f>IF($J15="","",IF($K15=0,"未到達",IF(DAY(EDATE($J15,12*($AD15)))&lt;DAY($J15),EDATE($J15,12*($AD15))+1,EDATE($J15,12*($AD15)))))</f>
        <v/>
      </c>
      <c r="M15" s="24" t="str">
        <f>IF($J15="","",IF(DAY(EDATE($J15,12*($AD15+1)))&lt;DAY($J15),EDATE($J15,12*($AD15+1))+1,EDATE($J15,12*($AD15+1))))</f>
        <v/>
      </c>
      <c r="N15" s="25" t="str">
        <f>IF($J15="","",IF($K15=0,0,6+12*($K15-1)))</f>
        <v/>
      </c>
      <c r="O15" s="25" t="str">
        <f>IF(OR($J15="",$I15="入力待ち"),"",IF($K15=0,0,IF($G15="×",0,IF(LEFT($I15,3)="区分外","",INDEX(tbl_fuyo,MATCH($I15,区分名,0),MIN($K15,7))))))</f>
        <v/>
      </c>
      <c r="P15" s="23" t="str">
        <f>IF($O15="","",IF($O15&gt;=10,"対象","対象外"))</f>
        <v/>
      </c>
      <c r="Q15" s="26" t="str">
        <f>IF($J15="","",IF($H15&lt;&gt;"","前倒し：出ません",IF($P15="対象",IF(DAY(EDATE($L15,12))&lt;DAY($L15),EDATE($L15,12),EDATE($L15,12)-1),"")))</f>
        <v/>
      </c>
      <c r="R15" s="27" t="str">
        <f>IF($P15="対象",$AE15,"")</f>
        <v/>
      </c>
      <c r="S15" s="28" t="str">
        <f>IF($J15="","",IF($H15&lt;&gt;"",IF($P15="対象","前倒し：出ません",""),IF($P15="対象",MAX(0,年5日-$R15),"")))</f>
        <v/>
      </c>
      <c r="T15" s="25" t="str">
        <f>IF($J15="","",IF(AND($H15="",$P15="対象"),$Q15-判定日,""))</f>
        <v/>
      </c>
      <c r="U15" s="29" t="str">
        <f>IF($J15="","",IF($K15=0,"未到達",IF($H15&lt;&gt;"",IF($P15="対象","前倒し：出ません","対象外"),IF($P15&lt;&gt;"対象","対象外",IF($S15=0,"達成",IF($T15&lt;=警告日数,"要時季指定","進行中"))))))</f>
        <v/>
      </c>
      <c r="V15" s="29" t="str">
        <f>IF($J15="","",IF($K15&lt;2,"－",IF($H15&lt;&gt;"","前倒し：出ません",IF($W15="","－",IF($W15&lt;10,"対象外",IF($AF15&gt;=5,"達成","未達（期限超過）"))))))</f>
        <v/>
      </c>
      <c r="W15" s="25" t="str">
        <f>IF($J15="","",IF($K15&lt;2,"",IF(OR($I15="入力待ち",LEFT($I15,3)="区分外"),"",INDEX(tbl_fuyo,MATCH($I15,区分名,0),MIN($K15-1,7)))))</f>
        <v/>
      </c>
      <c r="X15" s="25" t="str">
        <f>IF($J15="","",IF($K15=0,"",IF($K15&lt;2,0,MIN(N($F15),N($W15)))))</f>
        <v/>
      </c>
      <c r="Y15" s="27" t="str">
        <f>IF(OR($J15="",$O15="",N($K15)=0),"",$X15+$O15-$AE15)</f>
        <v/>
      </c>
      <c r="Z15" s="30" t="str">
        <f>IF(OR($J15="",N($K15)=0),"",SUMIFS(取得日!$E$4:$E$503,取得日!$A$4:$A$503,$A15,取得日!$B$4:$B$503,"&gt;="&amp;$L15,取得日!$B$4:$B$503,"&lt;="&amp;IF(ISNUMBER($Q15),$Q15,$M15-1),取得日!$D$4:$D$503,"時間単位"))</f>
        <v/>
      </c>
      <c r="AA15" s="11" t="str">
        <f>IF($J15="","",(YEAR(判定日)-YEAR($J15))*12+MONTH(判定日)-MONTH($J15))</f>
        <v/>
      </c>
      <c r="AB15" s="11" t="str">
        <f>IF($J15="","",IF(判定日&lt;$J15,-1,INT($AA15/12)))</f>
        <v/>
      </c>
      <c r="AC15" s="22" t="str">
        <f>IF(OR($J15="",N($AB15)&lt;0),"",IF(DAY(EDATE($J15,12*($AB15)))&lt;DAY($J15),EDATE($J15,12*($AB15))+1,EDATE($J15,12*($AB15))))</f>
        <v/>
      </c>
      <c r="AD15" s="11" t="str">
        <f>IF($J15="","",IF($AB15&lt;0,-1,$AB15-IF($AC15&gt;判定日,1,0)))</f>
        <v/>
      </c>
      <c r="AE15" s="11" t="str">
        <f>IF(OR($J15="",N($K15)=0),"",SUMIFS(取得日!$C$4:$C$503,取得日!$A$4:$A$503,$A15,取得日!$B$4:$B$503,"&gt;="&amp;$L15,取得日!$B$4:$B$503,"&lt;="&amp;IF(ISNUMBER($Q15),$Q15,$M15-1),取得日!$D$4:$D$503,"&lt;&gt;時間単位"))</f>
        <v/>
      </c>
      <c r="AF15" s="11" t="str">
        <f>IF($J15="","",IF($K15&lt;2,"",SUMIFS(取得日!$C$4:$C$503,取得日!$A$4:$A$503,$A15,取得日!$B$4:$B$503,"&gt;="&amp;IF(DAY(EDATE($J15,12*($AD15-1)))&lt;DAY($J15),EDATE($J15,12*($AD15-1))+1,EDATE($J15,12*($AD15-1))),取得日!$B$4:$B$503,"&lt;"&amp;$L15,取得日!$D$4:$D$503,"&lt;&gt;時間単位")))</f>
        <v/>
      </c>
    </row>
    <row r="16" ht="21" customHeight="1">
      <c r="A16" s="12" t="n"/>
      <c r="B16" s="13" t="n"/>
      <c r="C16" s="14" t="n"/>
      <c r="D16" s="14" t="n"/>
      <c r="E16" s="14" t="n"/>
      <c r="F16" s="14" t="n"/>
      <c r="G16" s="14" t="n"/>
      <c r="H16" s="13" t="n"/>
      <c r="I16" s="9" t="str">
        <f>IF($B16="","",IF(N($E16)&gt;=30,"通常",IF(N($C16)&gt;=5,"通常",IF(N($C16)&gt;0,IF($C16=INT($C16),$C16&amp;"日","区分外（表に定めなし）"),IF(N($D16)&gt;=217,"通常",IF(N($D16)&gt;=169,"4日",IF(N($D16)&gt;=121,"3日",IF(N($D16)&gt;=73,"2日",IF(N($D16)&gt;=48,"1日",IF(N($D16)&gt;0,"区分外（表に定めなし）","入力待ち"))))))))))</f>
        <v/>
      </c>
      <c r="J16" s="15" t="str">
        <f>IF($B16="","",IF($H16&lt;&gt;"",$H16,IF(DAY(EDATE($B16,6))&lt;DAY($B16),EDATE($B16,6)+1,EDATE($B16,6))))</f>
        <v/>
      </c>
      <c r="K16" s="16" t="str">
        <f>IF($J16="","",$AD16+1)</f>
        <v/>
      </c>
      <c r="L16" s="15" t="str">
        <f>IF($J16="","",IF($K16=0,"未到達",IF(DAY(EDATE($J16,12*($AD16)))&lt;DAY($J16),EDATE($J16,12*($AD16))+1,EDATE($J16,12*($AD16)))))</f>
        <v/>
      </c>
      <c r="M16" s="15" t="str">
        <f>IF($J16="","",IF(DAY(EDATE($J16,12*($AD16+1)))&lt;DAY($J16),EDATE($J16,12*($AD16+1))+1,EDATE($J16,12*($AD16+1))))</f>
        <v/>
      </c>
      <c r="N16" s="16" t="str">
        <f>IF($J16="","",IF($K16=0,0,6+12*($K16-1)))</f>
        <v/>
      </c>
      <c r="O16" s="16" t="str">
        <f>IF(OR($J16="",$I16="入力待ち"),"",IF($K16=0,0,IF($G16="×",0,IF(LEFT($I16,3)="区分外","",INDEX(tbl_fuyo,MATCH($I16,区分名,0),MIN($K16,7))))))</f>
        <v/>
      </c>
      <c r="P16" s="9" t="str">
        <f>IF($O16="","",IF($O16&gt;=10,"対象","対象外"))</f>
        <v/>
      </c>
      <c r="Q16" s="17" t="str">
        <f>IF($J16="","",IF($H16&lt;&gt;"","前倒し：出ません",IF($P16="対象",IF(DAY(EDATE($L16,12))&lt;DAY($L16),EDATE($L16,12),EDATE($L16,12)-1),"")))</f>
        <v/>
      </c>
      <c r="R16" s="18" t="str">
        <f>IF($P16="対象",$AE16,"")</f>
        <v/>
      </c>
      <c r="S16" s="19" t="str">
        <f>IF($J16="","",IF($H16&lt;&gt;"",IF($P16="対象","前倒し：出ません",""),IF($P16="対象",MAX(0,年5日-$R16),"")))</f>
        <v/>
      </c>
      <c r="T16" s="16" t="str">
        <f>IF($J16="","",IF(AND($H16="",$P16="対象"),$Q16-判定日,""))</f>
        <v/>
      </c>
      <c r="U16" s="20" t="str">
        <f>IF($J16="","",IF($K16=0,"未到達",IF($H16&lt;&gt;"",IF($P16="対象","前倒し：出ません","対象外"),IF($P16&lt;&gt;"対象","対象外",IF($S16=0,"達成",IF($T16&lt;=警告日数,"要時季指定","進行中"))))))</f>
        <v/>
      </c>
      <c r="V16" s="20" t="str">
        <f>IF($J16="","",IF($K16&lt;2,"－",IF($H16&lt;&gt;"","前倒し：出ません",IF($W16="","－",IF($W16&lt;10,"対象外",IF($AF16&gt;=5,"達成","未達（期限超過）"))))))</f>
        <v/>
      </c>
      <c r="W16" s="16" t="str">
        <f>IF($J16="","",IF($K16&lt;2,"",IF(OR($I16="入力待ち",LEFT($I16,3)="区分外"),"",INDEX(tbl_fuyo,MATCH($I16,区分名,0),MIN($K16-1,7)))))</f>
        <v/>
      </c>
      <c r="X16" s="16" t="str">
        <f>IF($J16="","",IF($K16=0,"",IF($K16&lt;2,0,MIN(N($F16),N($W16)))))</f>
        <v/>
      </c>
      <c r="Y16" s="18" t="str">
        <f>IF(OR($J16="",$O16="",N($K16)=0),"",$X16+$O16-$AE16)</f>
        <v/>
      </c>
      <c r="Z16" s="21" t="str">
        <f>IF(OR($J16="",N($K16)=0),"",SUMIFS(取得日!$E$4:$E$503,取得日!$A$4:$A$503,$A16,取得日!$B$4:$B$503,"&gt;="&amp;$L16,取得日!$B$4:$B$503,"&lt;="&amp;IF(ISNUMBER($Q16),$Q16,$M16-1),取得日!$D$4:$D$503,"時間単位"))</f>
        <v/>
      </c>
      <c r="AA16" s="11" t="str">
        <f>IF($J16="","",(YEAR(判定日)-YEAR($J16))*12+MONTH(判定日)-MONTH($J16))</f>
        <v/>
      </c>
      <c r="AB16" s="11" t="str">
        <f>IF($J16="","",IF(判定日&lt;$J16,-1,INT($AA16/12)))</f>
        <v/>
      </c>
      <c r="AC16" s="22" t="str">
        <f>IF(OR($J16="",N($AB16)&lt;0),"",IF(DAY(EDATE($J16,12*($AB16)))&lt;DAY($J16),EDATE($J16,12*($AB16))+1,EDATE($J16,12*($AB16))))</f>
        <v/>
      </c>
      <c r="AD16" s="11" t="str">
        <f>IF($J16="","",IF($AB16&lt;0,-1,$AB16-IF($AC16&gt;判定日,1,0)))</f>
        <v/>
      </c>
      <c r="AE16" s="11" t="str">
        <f>IF(OR($J16="",N($K16)=0),"",SUMIFS(取得日!$C$4:$C$503,取得日!$A$4:$A$503,$A16,取得日!$B$4:$B$503,"&gt;="&amp;$L16,取得日!$B$4:$B$503,"&lt;="&amp;IF(ISNUMBER($Q16),$Q16,$M16-1),取得日!$D$4:$D$503,"&lt;&gt;時間単位"))</f>
        <v/>
      </c>
      <c r="AF16" s="11" t="str">
        <f>IF($J16="","",IF($K16&lt;2,"",SUMIFS(取得日!$C$4:$C$503,取得日!$A$4:$A$503,$A16,取得日!$B$4:$B$503,"&gt;="&amp;IF(DAY(EDATE($J16,12*($AD16-1)))&lt;DAY($J16),EDATE($J16,12*($AD16-1))+1,EDATE($J16,12*($AD16-1))),取得日!$B$4:$B$503,"&lt;"&amp;$L16,取得日!$D$4:$D$503,"&lt;&gt;時間単位")))</f>
        <v/>
      </c>
    </row>
    <row r="17" ht="21" customHeight="1">
      <c r="A17" s="12" t="n"/>
      <c r="B17" s="13" t="n"/>
      <c r="C17" s="14" t="n"/>
      <c r="D17" s="14" t="n"/>
      <c r="E17" s="14" t="n"/>
      <c r="F17" s="14" t="n"/>
      <c r="G17" s="14" t="n"/>
      <c r="H17" s="13" t="n"/>
      <c r="I17" s="23" t="str">
        <f>IF($B17="","",IF(N($E17)&gt;=30,"通常",IF(N($C17)&gt;=5,"通常",IF(N($C17)&gt;0,IF($C17=INT($C17),$C17&amp;"日","区分外（表に定めなし）"),IF(N($D17)&gt;=217,"通常",IF(N($D17)&gt;=169,"4日",IF(N($D17)&gt;=121,"3日",IF(N($D17)&gt;=73,"2日",IF(N($D17)&gt;=48,"1日",IF(N($D17)&gt;0,"区分外（表に定めなし）","入力待ち"))))))))))</f>
        <v/>
      </c>
      <c r="J17" s="24" t="str">
        <f>IF($B17="","",IF($H17&lt;&gt;"",$H17,IF(DAY(EDATE($B17,6))&lt;DAY($B17),EDATE($B17,6)+1,EDATE($B17,6))))</f>
        <v/>
      </c>
      <c r="K17" s="25" t="str">
        <f>IF($J17="","",$AD17+1)</f>
        <v/>
      </c>
      <c r="L17" s="24" t="str">
        <f>IF($J17="","",IF($K17=0,"未到達",IF(DAY(EDATE($J17,12*($AD17)))&lt;DAY($J17),EDATE($J17,12*($AD17))+1,EDATE($J17,12*($AD17)))))</f>
        <v/>
      </c>
      <c r="M17" s="24" t="str">
        <f>IF($J17="","",IF(DAY(EDATE($J17,12*($AD17+1)))&lt;DAY($J17),EDATE($J17,12*($AD17+1))+1,EDATE($J17,12*($AD17+1))))</f>
        <v/>
      </c>
      <c r="N17" s="25" t="str">
        <f>IF($J17="","",IF($K17=0,0,6+12*($K17-1)))</f>
        <v/>
      </c>
      <c r="O17" s="25" t="str">
        <f>IF(OR($J17="",$I17="入力待ち"),"",IF($K17=0,0,IF($G17="×",0,IF(LEFT($I17,3)="区分外","",INDEX(tbl_fuyo,MATCH($I17,区分名,0),MIN($K17,7))))))</f>
        <v/>
      </c>
      <c r="P17" s="23" t="str">
        <f>IF($O17="","",IF($O17&gt;=10,"対象","対象外"))</f>
        <v/>
      </c>
      <c r="Q17" s="26" t="str">
        <f>IF($J17="","",IF($H17&lt;&gt;"","前倒し：出ません",IF($P17="対象",IF(DAY(EDATE($L17,12))&lt;DAY($L17),EDATE($L17,12),EDATE($L17,12)-1),"")))</f>
        <v/>
      </c>
      <c r="R17" s="27" t="str">
        <f>IF($P17="対象",$AE17,"")</f>
        <v/>
      </c>
      <c r="S17" s="28" t="str">
        <f>IF($J17="","",IF($H17&lt;&gt;"",IF($P17="対象","前倒し：出ません",""),IF($P17="対象",MAX(0,年5日-$R17),"")))</f>
        <v/>
      </c>
      <c r="T17" s="25" t="str">
        <f>IF($J17="","",IF(AND($H17="",$P17="対象"),$Q17-判定日,""))</f>
        <v/>
      </c>
      <c r="U17" s="29" t="str">
        <f>IF($J17="","",IF($K17=0,"未到達",IF($H17&lt;&gt;"",IF($P17="対象","前倒し：出ません","対象外"),IF($P17&lt;&gt;"対象","対象外",IF($S17=0,"達成",IF($T17&lt;=警告日数,"要時季指定","進行中"))))))</f>
        <v/>
      </c>
      <c r="V17" s="29" t="str">
        <f>IF($J17="","",IF($K17&lt;2,"－",IF($H17&lt;&gt;"","前倒し：出ません",IF($W17="","－",IF($W17&lt;10,"対象外",IF($AF17&gt;=5,"達成","未達（期限超過）"))))))</f>
        <v/>
      </c>
      <c r="W17" s="25" t="str">
        <f>IF($J17="","",IF($K17&lt;2,"",IF(OR($I17="入力待ち",LEFT($I17,3)="区分外"),"",INDEX(tbl_fuyo,MATCH($I17,区分名,0),MIN($K17-1,7)))))</f>
        <v/>
      </c>
      <c r="X17" s="25" t="str">
        <f>IF($J17="","",IF($K17=0,"",IF($K17&lt;2,0,MIN(N($F17),N($W17)))))</f>
        <v/>
      </c>
      <c r="Y17" s="27" t="str">
        <f>IF(OR($J17="",$O17="",N($K17)=0),"",$X17+$O17-$AE17)</f>
        <v/>
      </c>
      <c r="Z17" s="30" t="str">
        <f>IF(OR($J17="",N($K17)=0),"",SUMIFS(取得日!$E$4:$E$503,取得日!$A$4:$A$503,$A17,取得日!$B$4:$B$503,"&gt;="&amp;$L17,取得日!$B$4:$B$503,"&lt;="&amp;IF(ISNUMBER($Q17),$Q17,$M17-1),取得日!$D$4:$D$503,"時間単位"))</f>
        <v/>
      </c>
      <c r="AA17" s="11" t="str">
        <f>IF($J17="","",(YEAR(判定日)-YEAR($J17))*12+MONTH(判定日)-MONTH($J17))</f>
        <v/>
      </c>
      <c r="AB17" s="11" t="str">
        <f>IF($J17="","",IF(判定日&lt;$J17,-1,INT($AA17/12)))</f>
        <v/>
      </c>
      <c r="AC17" s="22" t="str">
        <f>IF(OR($J17="",N($AB17)&lt;0),"",IF(DAY(EDATE($J17,12*($AB17)))&lt;DAY($J17),EDATE($J17,12*($AB17))+1,EDATE($J17,12*($AB17))))</f>
        <v/>
      </c>
      <c r="AD17" s="11" t="str">
        <f>IF($J17="","",IF($AB17&lt;0,-1,$AB17-IF($AC17&gt;判定日,1,0)))</f>
        <v/>
      </c>
      <c r="AE17" s="11" t="str">
        <f>IF(OR($J17="",N($K17)=0),"",SUMIFS(取得日!$C$4:$C$503,取得日!$A$4:$A$503,$A17,取得日!$B$4:$B$503,"&gt;="&amp;$L17,取得日!$B$4:$B$503,"&lt;="&amp;IF(ISNUMBER($Q17),$Q17,$M17-1),取得日!$D$4:$D$503,"&lt;&gt;時間単位"))</f>
        <v/>
      </c>
      <c r="AF17" s="11" t="str">
        <f>IF($J17="","",IF($K17&lt;2,"",SUMIFS(取得日!$C$4:$C$503,取得日!$A$4:$A$503,$A17,取得日!$B$4:$B$503,"&gt;="&amp;IF(DAY(EDATE($J17,12*($AD17-1)))&lt;DAY($J17),EDATE($J17,12*($AD17-1))+1,EDATE($J17,12*($AD17-1))),取得日!$B$4:$B$503,"&lt;"&amp;$L17,取得日!$D$4:$D$503,"&lt;&gt;時間単位")))</f>
        <v/>
      </c>
    </row>
    <row r="18" ht="21" customHeight="1">
      <c r="A18" s="12" t="n"/>
      <c r="B18" s="13" t="n"/>
      <c r="C18" s="14" t="n"/>
      <c r="D18" s="14" t="n"/>
      <c r="E18" s="14" t="n"/>
      <c r="F18" s="14" t="n"/>
      <c r="G18" s="14" t="n"/>
      <c r="H18" s="13" t="n"/>
      <c r="I18" s="9" t="str">
        <f>IF($B18="","",IF(N($E18)&gt;=30,"通常",IF(N($C18)&gt;=5,"通常",IF(N($C18)&gt;0,IF($C18=INT($C18),$C18&amp;"日","区分外（表に定めなし）"),IF(N($D18)&gt;=217,"通常",IF(N($D18)&gt;=169,"4日",IF(N($D18)&gt;=121,"3日",IF(N($D18)&gt;=73,"2日",IF(N($D18)&gt;=48,"1日",IF(N($D18)&gt;0,"区分外（表に定めなし）","入力待ち"))))))))))</f>
        <v/>
      </c>
      <c r="J18" s="15" t="str">
        <f>IF($B18="","",IF($H18&lt;&gt;"",$H18,IF(DAY(EDATE($B18,6))&lt;DAY($B18),EDATE($B18,6)+1,EDATE($B18,6))))</f>
        <v/>
      </c>
      <c r="K18" s="16" t="str">
        <f>IF($J18="","",$AD18+1)</f>
        <v/>
      </c>
      <c r="L18" s="15" t="str">
        <f>IF($J18="","",IF($K18=0,"未到達",IF(DAY(EDATE($J18,12*($AD18)))&lt;DAY($J18),EDATE($J18,12*($AD18))+1,EDATE($J18,12*($AD18)))))</f>
        <v/>
      </c>
      <c r="M18" s="15" t="str">
        <f>IF($J18="","",IF(DAY(EDATE($J18,12*($AD18+1)))&lt;DAY($J18),EDATE($J18,12*($AD18+1))+1,EDATE($J18,12*($AD18+1))))</f>
        <v/>
      </c>
      <c r="N18" s="16" t="str">
        <f>IF($J18="","",IF($K18=0,0,6+12*($K18-1)))</f>
        <v/>
      </c>
      <c r="O18" s="16" t="str">
        <f>IF(OR($J18="",$I18="入力待ち"),"",IF($K18=0,0,IF($G18="×",0,IF(LEFT($I18,3)="区分外","",INDEX(tbl_fuyo,MATCH($I18,区分名,0),MIN($K18,7))))))</f>
        <v/>
      </c>
      <c r="P18" s="9" t="str">
        <f>IF($O18="","",IF($O18&gt;=10,"対象","対象外"))</f>
        <v/>
      </c>
      <c r="Q18" s="17" t="str">
        <f>IF($J18="","",IF($H18&lt;&gt;"","前倒し：出ません",IF($P18="対象",IF(DAY(EDATE($L18,12))&lt;DAY($L18),EDATE($L18,12),EDATE($L18,12)-1),"")))</f>
        <v/>
      </c>
      <c r="R18" s="18" t="str">
        <f>IF($P18="対象",$AE18,"")</f>
        <v/>
      </c>
      <c r="S18" s="19" t="str">
        <f>IF($J18="","",IF($H18&lt;&gt;"",IF($P18="対象","前倒し：出ません",""),IF($P18="対象",MAX(0,年5日-$R18),"")))</f>
        <v/>
      </c>
      <c r="T18" s="16" t="str">
        <f>IF($J18="","",IF(AND($H18="",$P18="対象"),$Q18-判定日,""))</f>
        <v/>
      </c>
      <c r="U18" s="20" t="str">
        <f>IF($J18="","",IF($K18=0,"未到達",IF($H18&lt;&gt;"",IF($P18="対象","前倒し：出ません","対象外"),IF($P18&lt;&gt;"対象","対象外",IF($S18=0,"達成",IF($T18&lt;=警告日数,"要時季指定","進行中"))))))</f>
        <v/>
      </c>
      <c r="V18" s="20" t="str">
        <f>IF($J18="","",IF($K18&lt;2,"－",IF($H18&lt;&gt;"","前倒し：出ません",IF($W18="","－",IF($W18&lt;10,"対象外",IF($AF18&gt;=5,"達成","未達（期限超過）"))))))</f>
        <v/>
      </c>
      <c r="W18" s="16" t="str">
        <f>IF($J18="","",IF($K18&lt;2,"",IF(OR($I18="入力待ち",LEFT($I18,3)="区分外"),"",INDEX(tbl_fuyo,MATCH($I18,区分名,0),MIN($K18-1,7)))))</f>
        <v/>
      </c>
      <c r="X18" s="16" t="str">
        <f>IF($J18="","",IF($K18=0,"",IF($K18&lt;2,0,MIN(N($F18),N($W18)))))</f>
        <v/>
      </c>
      <c r="Y18" s="18" t="str">
        <f>IF(OR($J18="",$O18="",N($K18)=0),"",$X18+$O18-$AE18)</f>
        <v/>
      </c>
      <c r="Z18" s="21" t="str">
        <f>IF(OR($J18="",N($K18)=0),"",SUMIFS(取得日!$E$4:$E$503,取得日!$A$4:$A$503,$A18,取得日!$B$4:$B$503,"&gt;="&amp;$L18,取得日!$B$4:$B$503,"&lt;="&amp;IF(ISNUMBER($Q18),$Q18,$M18-1),取得日!$D$4:$D$503,"時間単位"))</f>
        <v/>
      </c>
      <c r="AA18" s="11" t="str">
        <f>IF($J18="","",(YEAR(判定日)-YEAR($J18))*12+MONTH(判定日)-MONTH($J18))</f>
        <v/>
      </c>
      <c r="AB18" s="11" t="str">
        <f>IF($J18="","",IF(判定日&lt;$J18,-1,INT($AA18/12)))</f>
        <v/>
      </c>
      <c r="AC18" s="22" t="str">
        <f>IF(OR($J18="",N($AB18)&lt;0),"",IF(DAY(EDATE($J18,12*($AB18)))&lt;DAY($J18),EDATE($J18,12*($AB18))+1,EDATE($J18,12*($AB18))))</f>
        <v/>
      </c>
      <c r="AD18" s="11" t="str">
        <f>IF($J18="","",IF($AB18&lt;0,-1,$AB18-IF($AC18&gt;判定日,1,0)))</f>
        <v/>
      </c>
      <c r="AE18" s="11" t="str">
        <f>IF(OR($J18="",N($K18)=0),"",SUMIFS(取得日!$C$4:$C$503,取得日!$A$4:$A$503,$A18,取得日!$B$4:$B$503,"&gt;="&amp;$L18,取得日!$B$4:$B$503,"&lt;="&amp;IF(ISNUMBER($Q18),$Q18,$M18-1),取得日!$D$4:$D$503,"&lt;&gt;時間単位"))</f>
        <v/>
      </c>
      <c r="AF18" s="11" t="str">
        <f>IF($J18="","",IF($K18&lt;2,"",SUMIFS(取得日!$C$4:$C$503,取得日!$A$4:$A$503,$A18,取得日!$B$4:$B$503,"&gt;="&amp;IF(DAY(EDATE($J18,12*($AD18-1)))&lt;DAY($J18),EDATE($J18,12*($AD18-1))+1,EDATE($J18,12*($AD18-1))),取得日!$B$4:$B$503,"&lt;"&amp;$L18,取得日!$D$4:$D$503,"&lt;&gt;時間単位")))</f>
        <v/>
      </c>
    </row>
    <row r="19" ht="21" customHeight="1">
      <c r="A19" s="12" t="n"/>
      <c r="B19" s="13" t="n"/>
      <c r="C19" s="14" t="n"/>
      <c r="D19" s="14" t="n"/>
      <c r="E19" s="14" t="n"/>
      <c r="F19" s="14" t="n"/>
      <c r="G19" s="14" t="n"/>
      <c r="H19" s="13" t="n"/>
      <c r="I19" s="23" t="str">
        <f>IF($B19="","",IF(N($E19)&gt;=30,"通常",IF(N($C19)&gt;=5,"通常",IF(N($C19)&gt;0,IF($C19=INT($C19),$C19&amp;"日","区分外（表に定めなし）"),IF(N($D19)&gt;=217,"通常",IF(N($D19)&gt;=169,"4日",IF(N($D19)&gt;=121,"3日",IF(N($D19)&gt;=73,"2日",IF(N($D19)&gt;=48,"1日",IF(N($D19)&gt;0,"区分外（表に定めなし）","入力待ち"))))))))))</f>
        <v/>
      </c>
      <c r="J19" s="24" t="str">
        <f>IF($B19="","",IF($H19&lt;&gt;"",$H19,IF(DAY(EDATE($B19,6))&lt;DAY($B19),EDATE($B19,6)+1,EDATE($B19,6))))</f>
        <v/>
      </c>
      <c r="K19" s="25" t="str">
        <f>IF($J19="","",$AD19+1)</f>
        <v/>
      </c>
      <c r="L19" s="24" t="str">
        <f>IF($J19="","",IF($K19=0,"未到達",IF(DAY(EDATE($J19,12*($AD19)))&lt;DAY($J19),EDATE($J19,12*($AD19))+1,EDATE($J19,12*($AD19)))))</f>
        <v/>
      </c>
      <c r="M19" s="24" t="str">
        <f>IF($J19="","",IF(DAY(EDATE($J19,12*($AD19+1)))&lt;DAY($J19),EDATE($J19,12*($AD19+1))+1,EDATE($J19,12*($AD19+1))))</f>
        <v/>
      </c>
      <c r="N19" s="25" t="str">
        <f>IF($J19="","",IF($K19=0,0,6+12*($K19-1)))</f>
        <v/>
      </c>
      <c r="O19" s="25" t="str">
        <f>IF(OR($J19="",$I19="入力待ち"),"",IF($K19=0,0,IF($G19="×",0,IF(LEFT($I19,3)="区分外","",INDEX(tbl_fuyo,MATCH($I19,区分名,0),MIN($K19,7))))))</f>
        <v/>
      </c>
      <c r="P19" s="23" t="str">
        <f>IF($O19="","",IF($O19&gt;=10,"対象","対象外"))</f>
        <v/>
      </c>
      <c r="Q19" s="26" t="str">
        <f>IF($J19="","",IF($H19&lt;&gt;"","前倒し：出ません",IF($P19="対象",IF(DAY(EDATE($L19,12))&lt;DAY($L19),EDATE($L19,12),EDATE($L19,12)-1),"")))</f>
        <v/>
      </c>
      <c r="R19" s="27" t="str">
        <f>IF($P19="対象",$AE19,"")</f>
        <v/>
      </c>
      <c r="S19" s="28" t="str">
        <f>IF($J19="","",IF($H19&lt;&gt;"",IF($P19="対象","前倒し：出ません",""),IF($P19="対象",MAX(0,年5日-$R19),"")))</f>
        <v/>
      </c>
      <c r="T19" s="25" t="str">
        <f>IF($J19="","",IF(AND($H19="",$P19="対象"),$Q19-判定日,""))</f>
        <v/>
      </c>
      <c r="U19" s="29" t="str">
        <f>IF($J19="","",IF($K19=0,"未到達",IF($H19&lt;&gt;"",IF($P19="対象","前倒し：出ません","対象外"),IF($P19&lt;&gt;"対象","対象外",IF($S19=0,"達成",IF($T19&lt;=警告日数,"要時季指定","進行中"))))))</f>
        <v/>
      </c>
      <c r="V19" s="29" t="str">
        <f>IF($J19="","",IF($K19&lt;2,"－",IF($H19&lt;&gt;"","前倒し：出ません",IF($W19="","－",IF($W19&lt;10,"対象外",IF($AF19&gt;=5,"達成","未達（期限超過）"))))))</f>
        <v/>
      </c>
      <c r="W19" s="25" t="str">
        <f>IF($J19="","",IF($K19&lt;2,"",IF(OR($I19="入力待ち",LEFT($I19,3)="区分外"),"",INDEX(tbl_fuyo,MATCH($I19,区分名,0),MIN($K19-1,7)))))</f>
        <v/>
      </c>
      <c r="X19" s="25" t="str">
        <f>IF($J19="","",IF($K19=0,"",IF($K19&lt;2,0,MIN(N($F19),N($W19)))))</f>
        <v/>
      </c>
      <c r="Y19" s="27" t="str">
        <f>IF(OR($J19="",$O19="",N($K19)=0),"",$X19+$O19-$AE19)</f>
        <v/>
      </c>
      <c r="Z19" s="30" t="str">
        <f>IF(OR($J19="",N($K19)=0),"",SUMIFS(取得日!$E$4:$E$503,取得日!$A$4:$A$503,$A19,取得日!$B$4:$B$503,"&gt;="&amp;$L19,取得日!$B$4:$B$503,"&lt;="&amp;IF(ISNUMBER($Q19),$Q19,$M19-1),取得日!$D$4:$D$503,"時間単位"))</f>
        <v/>
      </c>
      <c r="AA19" s="11" t="str">
        <f>IF($J19="","",(YEAR(判定日)-YEAR($J19))*12+MONTH(判定日)-MONTH($J19))</f>
        <v/>
      </c>
      <c r="AB19" s="11" t="str">
        <f>IF($J19="","",IF(判定日&lt;$J19,-1,INT($AA19/12)))</f>
        <v/>
      </c>
      <c r="AC19" s="22" t="str">
        <f>IF(OR($J19="",N($AB19)&lt;0),"",IF(DAY(EDATE($J19,12*($AB19)))&lt;DAY($J19),EDATE($J19,12*($AB19))+1,EDATE($J19,12*($AB19))))</f>
        <v/>
      </c>
      <c r="AD19" s="11" t="str">
        <f>IF($J19="","",IF($AB19&lt;0,-1,$AB19-IF($AC19&gt;判定日,1,0)))</f>
        <v/>
      </c>
      <c r="AE19" s="11" t="str">
        <f>IF(OR($J19="",N($K19)=0),"",SUMIFS(取得日!$C$4:$C$503,取得日!$A$4:$A$503,$A19,取得日!$B$4:$B$503,"&gt;="&amp;$L19,取得日!$B$4:$B$503,"&lt;="&amp;IF(ISNUMBER($Q19),$Q19,$M19-1),取得日!$D$4:$D$503,"&lt;&gt;時間単位"))</f>
        <v/>
      </c>
      <c r="AF19" s="11" t="str">
        <f>IF($J19="","",IF($K19&lt;2,"",SUMIFS(取得日!$C$4:$C$503,取得日!$A$4:$A$503,$A19,取得日!$B$4:$B$503,"&gt;="&amp;IF(DAY(EDATE($J19,12*($AD19-1)))&lt;DAY($J19),EDATE($J19,12*($AD19-1))+1,EDATE($J19,12*($AD19-1))),取得日!$B$4:$B$503,"&lt;"&amp;$L19,取得日!$D$4:$D$503,"&lt;&gt;時間単位")))</f>
        <v/>
      </c>
    </row>
    <row r="20" ht="21" customHeight="1">
      <c r="A20" s="12" t="n"/>
      <c r="B20" s="13" t="n"/>
      <c r="C20" s="14" t="n"/>
      <c r="D20" s="14" t="n"/>
      <c r="E20" s="14" t="n"/>
      <c r="F20" s="14" t="n"/>
      <c r="G20" s="14" t="n"/>
      <c r="H20" s="13" t="n"/>
      <c r="I20" s="9" t="str">
        <f>IF($B20="","",IF(N($E20)&gt;=30,"通常",IF(N($C20)&gt;=5,"通常",IF(N($C20)&gt;0,IF($C20=INT($C20),$C20&amp;"日","区分外（表に定めなし）"),IF(N($D20)&gt;=217,"通常",IF(N($D20)&gt;=169,"4日",IF(N($D20)&gt;=121,"3日",IF(N($D20)&gt;=73,"2日",IF(N($D20)&gt;=48,"1日",IF(N($D20)&gt;0,"区分外（表に定めなし）","入力待ち"))))))))))</f>
        <v/>
      </c>
      <c r="J20" s="15" t="str">
        <f>IF($B20="","",IF($H20&lt;&gt;"",$H20,IF(DAY(EDATE($B20,6))&lt;DAY($B20),EDATE($B20,6)+1,EDATE($B20,6))))</f>
        <v/>
      </c>
      <c r="K20" s="16" t="str">
        <f>IF($J20="","",$AD20+1)</f>
        <v/>
      </c>
      <c r="L20" s="15" t="str">
        <f>IF($J20="","",IF($K20=0,"未到達",IF(DAY(EDATE($J20,12*($AD20)))&lt;DAY($J20),EDATE($J20,12*($AD20))+1,EDATE($J20,12*($AD20)))))</f>
        <v/>
      </c>
      <c r="M20" s="15" t="str">
        <f>IF($J20="","",IF(DAY(EDATE($J20,12*($AD20+1)))&lt;DAY($J20),EDATE($J20,12*($AD20+1))+1,EDATE($J20,12*($AD20+1))))</f>
        <v/>
      </c>
      <c r="N20" s="16" t="str">
        <f>IF($J20="","",IF($K20=0,0,6+12*($K20-1)))</f>
        <v/>
      </c>
      <c r="O20" s="16" t="str">
        <f>IF(OR($J20="",$I20="入力待ち"),"",IF($K20=0,0,IF($G20="×",0,IF(LEFT($I20,3)="区分外","",INDEX(tbl_fuyo,MATCH($I20,区分名,0),MIN($K20,7))))))</f>
        <v/>
      </c>
      <c r="P20" s="9" t="str">
        <f>IF($O20="","",IF($O20&gt;=10,"対象","対象外"))</f>
        <v/>
      </c>
      <c r="Q20" s="17" t="str">
        <f>IF($J20="","",IF($H20&lt;&gt;"","前倒し：出ません",IF($P20="対象",IF(DAY(EDATE($L20,12))&lt;DAY($L20),EDATE($L20,12),EDATE($L20,12)-1),"")))</f>
        <v/>
      </c>
      <c r="R20" s="18" t="str">
        <f>IF($P20="対象",$AE20,"")</f>
        <v/>
      </c>
      <c r="S20" s="19" t="str">
        <f>IF($J20="","",IF($H20&lt;&gt;"",IF($P20="対象","前倒し：出ません",""),IF($P20="対象",MAX(0,年5日-$R20),"")))</f>
        <v/>
      </c>
      <c r="T20" s="16" t="str">
        <f>IF($J20="","",IF(AND($H20="",$P20="対象"),$Q20-判定日,""))</f>
        <v/>
      </c>
      <c r="U20" s="20" t="str">
        <f>IF($J20="","",IF($K20=0,"未到達",IF($H20&lt;&gt;"",IF($P20="対象","前倒し：出ません","対象外"),IF($P20&lt;&gt;"対象","対象外",IF($S20=0,"達成",IF($T20&lt;=警告日数,"要時季指定","進行中"))))))</f>
        <v/>
      </c>
      <c r="V20" s="20" t="str">
        <f>IF($J20="","",IF($K20&lt;2,"－",IF($H20&lt;&gt;"","前倒し：出ません",IF($W20="","－",IF($W20&lt;10,"対象外",IF($AF20&gt;=5,"達成","未達（期限超過）"))))))</f>
        <v/>
      </c>
      <c r="W20" s="16" t="str">
        <f>IF($J20="","",IF($K20&lt;2,"",IF(OR($I20="入力待ち",LEFT($I20,3)="区分外"),"",INDEX(tbl_fuyo,MATCH($I20,区分名,0),MIN($K20-1,7)))))</f>
        <v/>
      </c>
      <c r="X20" s="16" t="str">
        <f>IF($J20="","",IF($K20=0,"",IF($K20&lt;2,0,MIN(N($F20),N($W20)))))</f>
        <v/>
      </c>
      <c r="Y20" s="18" t="str">
        <f>IF(OR($J20="",$O20="",N($K20)=0),"",$X20+$O20-$AE20)</f>
        <v/>
      </c>
      <c r="Z20" s="21" t="str">
        <f>IF(OR($J20="",N($K20)=0),"",SUMIFS(取得日!$E$4:$E$503,取得日!$A$4:$A$503,$A20,取得日!$B$4:$B$503,"&gt;="&amp;$L20,取得日!$B$4:$B$503,"&lt;="&amp;IF(ISNUMBER($Q20),$Q20,$M20-1),取得日!$D$4:$D$503,"時間単位"))</f>
        <v/>
      </c>
      <c r="AA20" s="11" t="str">
        <f>IF($J20="","",(YEAR(判定日)-YEAR($J20))*12+MONTH(判定日)-MONTH($J20))</f>
        <v/>
      </c>
      <c r="AB20" s="11" t="str">
        <f>IF($J20="","",IF(判定日&lt;$J20,-1,INT($AA20/12)))</f>
        <v/>
      </c>
      <c r="AC20" s="22" t="str">
        <f>IF(OR($J20="",N($AB20)&lt;0),"",IF(DAY(EDATE($J20,12*($AB20)))&lt;DAY($J20),EDATE($J20,12*($AB20))+1,EDATE($J20,12*($AB20))))</f>
        <v/>
      </c>
      <c r="AD20" s="11" t="str">
        <f>IF($J20="","",IF($AB20&lt;0,-1,$AB20-IF($AC20&gt;判定日,1,0)))</f>
        <v/>
      </c>
      <c r="AE20" s="11" t="str">
        <f>IF(OR($J20="",N($K20)=0),"",SUMIFS(取得日!$C$4:$C$503,取得日!$A$4:$A$503,$A20,取得日!$B$4:$B$503,"&gt;="&amp;$L20,取得日!$B$4:$B$503,"&lt;="&amp;IF(ISNUMBER($Q20),$Q20,$M20-1),取得日!$D$4:$D$503,"&lt;&gt;時間単位"))</f>
        <v/>
      </c>
      <c r="AF20" s="11" t="str">
        <f>IF($J20="","",IF($K20&lt;2,"",SUMIFS(取得日!$C$4:$C$503,取得日!$A$4:$A$503,$A20,取得日!$B$4:$B$503,"&gt;="&amp;IF(DAY(EDATE($J20,12*($AD20-1)))&lt;DAY($J20),EDATE($J20,12*($AD20-1))+1,EDATE($J20,12*($AD20-1))),取得日!$B$4:$B$503,"&lt;"&amp;$L20,取得日!$D$4:$D$503,"&lt;&gt;時間単位")))</f>
        <v/>
      </c>
    </row>
    <row r="21" ht="21" customHeight="1">
      <c r="A21" s="12" t="n"/>
      <c r="B21" s="13" t="n"/>
      <c r="C21" s="14" t="n"/>
      <c r="D21" s="14" t="n"/>
      <c r="E21" s="14" t="n"/>
      <c r="F21" s="14" t="n"/>
      <c r="G21" s="14" t="n"/>
      <c r="H21" s="13" t="n"/>
      <c r="I21" s="23" t="str">
        <f>IF($B21="","",IF(N($E21)&gt;=30,"通常",IF(N($C21)&gt;=5,"通常",IF(N($C21)&gt;0,IF($C21=INT($C21),$C21&amp;"日","区分外（表に定めなし）"),IF(N($D21)&gt;=217,"通常",IF(N($D21)&gt;=169,"4日",IF(N($D21)&gt;=121,"3日",IF(N($D21)&gt;=73,"2日",IF(N($D21)&gt;=48,"1日",IF(N($D21)&gt;0,"区分外（表に定めなし）","入力待ち"))))))))))</f>
        <v/>
      </c>
      <c r="J21" s="24" t="str">
        <f>IF($B21="","",IF($H21&lt;&gt;"",$H21,IF(DAY(EDATE($B21,6))&lt;DAY($B21),EDATE($B21,6)+1,EDATE($B21,6))))</f>
        <v/>
      </c>
      <c r="K21" s="25" t="str">
        <f>IF($J21="","",$AD21+1)</f>
        <v/>
      </c>
      <c r="L21" s="24" t="str">
        <f>IF($J21="","",IF($K21=0,"未到達",IF(DAY(EDATE($J21,12*($AD21)))&lt;DAY($J21),EDATE($J21,12*($AD21))+1,EDATE($J21,12*($AD21)))))</f>
        <v/>
      </c>
      <c r="M21" s="24" t="str">
        <f>IF($J21="","",IF(DAY(EDATE($J21,12*($AD21+1)))&lt;DAY($J21),EDATE($J21,12*($AD21+1))+1,EDATE($J21,12*($AD21+1))))</f>
        <v/>
      </c>
      <c r="N21" s="25" t="str">
        <f>IF($J21="","",IF($K21=0,0,6+12*($K21-1)))</f>
        <v/>
      </c>
      <c r="O21" s="25" t="str">
        <f>IF(OR($J21="",$I21="入力待ち"),"",IF($K21=0,0,IF($G21="×",0,IF(LEFT($I21,3)="区分外","",INDEX(tbl_fuyo,MATCH($I21,区分名,0),MIN($K21,7))))))</f>
        <v/>
      </c>
      <c r="P21" s="23" t="str">
        <f>IF($O21="","",IF($O21&gt;=10,"対象","対象外"))</f>
        <v/>
      </c>
      <c r="Q21" s="26" t="str">
        <f>IF($J21="","",IF($H21&lt;&gt;"","前倒し：出ません",IF($P21="対象",IF(DAY(EDATE($L21,12))&lt;DAY($L21),EDATE($L21,12),EDATE($L21,12)-1),"")))</f>
        <v/>
      </c>
      <c r="R21" s="27" t="str">
        <f>IF($P21="対象",$AE21,"")</f>
        <v/>
      </c>
      <c r="S21" s="28" t="str">
        <f>IF($J21="","",IF($H21&lt;&gt;"",IF($P21="対象","前倒し：出ません",""),IF($P21="対象",MAX(0,年5日-$R21),"")))</f>
        <v/>
      </c>
      <c r="T21" s="25" t="str">
        <f>IF($J21="","",IF(AND($H21="",$P21="対象"),$Q21-判定日,""))</f>
        <v/>
      </c>
      <c r="U21" s="29" t="str">
        <f>IF($J21="","",IF($K21=0,"未到達",IF($H21&lt;&gt;"",IF($P21="対象","前倒し：出ません","対象外"),IF($P21&lt;&gt;"対象","対象外",IF($S21=0,"達成",IF($T21&lt;=警告日数,"要時季指定","進行中"))))))</f>
        <v/>
      </c>
      <c r="V21" s="29" t="str">
        <f>IF($J21="","",IF($K21&lt;2,"－",IF($H21&lt;&gt;"","前倒し：出ません",IF($W21="","－",IF($W21&lt;10,"対象外",IF($AF21&gt;=5,"達成","未達（期限超過）"))))))</f>
        <v/>
      </c>
      <c r="W21" s="25" t="str">
        <f>IF($J21="","",IF($K21&lt;2,"",IF(OR($I21="入力待ち",LEFT($I21,3)="区分外"),"",INDEX(tbl_fuyo,MATCH($I21,区分名,0),MIN($K21-1,7)))))</f>
        <v/>
      </c>
      <c r="X21" s="25" t="str">
        <f>IF($J21="","",IF($K21=0,"",IF($K21&lt;2,0,MIN(N($F21),N($W21)))))</f>
        <v/>
      </c>
      <c r="Y21" s="27" t="str">
        <f>IF(OR($J21="",$O21="",N($K21)=0),"",$X21+$O21-$AE21)</f>
        <v/>
      </c>
      <c r="Z21" s="30" t="str">
        <f>IF(OR($J21="",N($K21)=0),"",SUMIFS(取得日!$E$4:$E$503,取得日!$A$4:$A$503,$A21,取得日!$B$4:$B$503,"&gt;="&amp;$L21,取得日!$B$4:$B$503,"&lt;="&amp;IF(ISNUMBER($Q21),$Q21,$M21-1),取得日!$D$4:$D$503,"時間単位"))</f>
        <v/>
      </c>
      <c r="AA21" s="11" t="str">
        <f>IF($J21="","",(YEAR(判定日)-YEAR($J21))*12+MONTH(判定日)-MONTH($J21))</f>
        <v/>
      </c>
      <c r="AB21" s="11" t="str">
        <f>IF($J21="","",IF(判定日&lt;$J21,-1,INT($AA21/12)))</f>
        <v/>
      </c>
      <c r="AC21" s="22" t="str">
        <f>IF(OR($J21="",N($AB21)&lt;0),"",IF(DAY(EDATE($J21,12*($AB21)))&lt;DAY($J21),EDATE($J21,12*($AB21))+1,EDATE($J21,12*($AB21))))</f>
        <v/>
      </c>
      <c r="AD21" s="11" t="str">
        <f>IF($J21="","",IF($AB21&lt;0,-1,$AB21-IF($AC21&gt;判定日,1,0)))</f>
        <v/>
      </c>
      <c r="AE21" s="11" t="str">
        <f>IF(OR($J21="",N($K21)=0),"",SUMIFS(取得日!$C$4:$C$503,取得日!$A$4:$A$503,$A21,取得日!$B$4:$B$503,"&gt;="&amp;$L21,取得日!$B$4:$B$503,"&lt;="&amp;IF(ISNUMBER($Q21),$Q21,$M21-1),取得日!$D$4:$D$503,"&lt;&gt;時間単位"))</f>
        <v/>
      </c>
      <c r="AF21" s="11" t="str">
        <f>IF($J21="","",IF($K21&lt;2,"",SUMIFS(取得日!$C$4:$C$503,取得日!$A$4:$A$503,$A21,取得日!$B$4:$B$503,"&gt;="&amp;IF(DAY(EDATE($J21,12*($AD21-1)))&lt;DAY($J21),EDATE($J21,12*($AD21-1))+1,EDATE($J21,12*($AD21-1))),取得日!$B$4:$B$503,"&lt;"&amp;$L21,取得日!$D$4:$D$503,"&lt;&gt;時間単位")))</f>
        <v/>
      </c>
    </row>
    <row r="22" ht="21" customHeight="1">
      <c r="A22" s="12" t="n"/>
      <c r="B22" s="13" t="n"/>
      <c r="C22" s="14" t="n"/>
      <c r="D22" s="14" t="n"/>
      <c r="E22" s="14" t="n"/>
      <c r="F22" s="14" t="n"/>
      <c r="G22" s="14" t="n"/>
      <c r="H22" s="13" t="n"/>
      <c r="I22" s="9" t="str">
        <f>IF($B22="","",IF(N($E22)&gt;=30,"通常",IF(N($C22)&gt;=5,"通常",IF(N($C22)&gt;0,IF($C22=INT($C22),$C22&amp;"日","区分外（表に定めなし）"),IF(N($D22)&gt;=217,"通常",IF(N($D22)&gt;=169,"4日",IF(N($D22)&gt;=121,"3日",IF(N($D22)&gt;=73,"2日",IF(N($D22)&gt;=48,"1日",IF(N($D22)&gt;0,"区分外（表に定めなし）","入力待ち"))))))))))</f>
        <v/>
      </c>
      <c r="J22" s="15" t="str">
        <f>IF($B22="","",IF($H22&lt;&gt;"",$H22,IF(DAY(EDATE($B22,6))&lt;DAY($B22),EDATE($B22,6)+1,EDATE($B22,6))))</f>
        <v/>
      </c>
      <c r="K22" s="16" t="str">
        <f>IF($J22="","",$AD22+1)</f>
        <v/>
      </c>
      <c r="L22" s="15" t="str">
        <f>IF($J22="","",IF($K22=0,"未到達",IF(DAY(EDATE($J22,12*($AD22)))&lt;DAY($J22),EDATE($J22,12*($AD22))+1,EDATE($J22,12*($AD22)))))</f>
        <v/>
      </c>
      <c r="M22" s="15" t="str">
        <f>IF($J22="","",IF(DAY(EDATE($J22,12*($AD22+1)))&lt;DAY($J22),EDATE($J22,12*($AD22+1))+1,EDATE($J22,12*($AD22+1))))</f>
        <v/>
      </c>
      <c r="N22" s="16" t="str">
        <f>IF($J22="","",IF($K22=0,0,6+12*($K22-1)))</f>
        <v/>
      </c>
      <c r="O22" s="16" t="str">
        <f>IF(OR($J22="",$I22="入力待ち"),"",IF($K22=0,0,IF($G22="×",0,IF(LEFT($I22,3)="区分外","",INDEX(tbl_fuyo,MATCH($I22,区分名,0),MIN($K22,7))))))</f>
        <v/>
      </c>
      <c r="P22" s="9" t="str">
        <f>IF($O22="","",IF($O22&gt;=10,"対象","対象外"))</f>
        <v/>
      </c>
      <c r="Q22" s="17" t="str">
        <f>IF($J22="","",IF($H22&lt;&gt;"","前倒し：出ません",IF($P22="対象",IF(DAY(EDATE($L22,12))&lt;DAY($L22),EDATE($L22,12),EDATE($L22,12)-1),"")))</f>
        <v/>
      </c>
      <c r="R22" s="18" t="str">
        <f>IF($P22="対象",$AE22,"")</f>
        <v/>
      </c>
      <c r="S22" s="19" t="str">
        <f>IF($J22="","",IF($H22&lt;&gt;"",IF($P22="対象","前倒し：出ません",""),IF($P22="対象",MAX(0,年5日-$R22),"")))</f>
        <v/>
      </c>
      <c r="T22" s="16" t="str">
        <f>IF($J22="","",IF(AND($H22="",$P22="対象"),$Q22-判定日,""))</f>
        <v/>
      </c>
      <c r="U22" s="20" t="str">
        <f>IF($J22="","",IF($K22=0,"未到達",IF($H22&lt;&gt;"",IF($P22="対象","前倒し：出ません","対象外"),IF($P22&lt;&gt;"対象","対象外",IF($S22=0,"達成",IF($T22&lt;=警告日数,"要時季指定","進行中"))))))</f>
        <v/>
      </c>
      <c r="V22" s="20" t="str">
        <f>IF($J22="","",IF($K22&lt;2,"－",IF($H22&lt;&gt;"","前倒し：出ません",IF($W22="","－",IF($W22&lt;10,"対象外",IF($AF22&gt;=5,"達成","未達（期限超過）"))))))</f>
        <v/>
      </c>
      <c r="W22" s="16" t="str">
        <f>IF($J22="","",IF($K22&lt;2,"",IF(OR($I22="入力待ち",LEFT($I22,3)="区分外"),"",INDEX(tbl_fuyo,MATCH($I22,区分名,0),MIN($K22-1,7)))))</f>
        <v/>
      </c>
      <c r="X22" s="16" t="str">
        <f>IF($J22="","",IF($K22=0,"",IF($K22&lt;2,0,MIN(N($F22),N($W22)))))</f>
        <v/>
      </c>
      <c r="Y22" s="18" t="str">
        <f>IF(OR($J22="",$O22="",N($K22)=0),"",$X22+$O22-$AE22)</f>
        <v/>
      </c>
      <c r="Z22" s="21" t="str">
        <f>IF(OR($J22="",N($K22)=0),"",SUMIFS(取得日!$E$4:$E$503,取得日!$A$4:$A$503,$A22,取得日!$B$4:$B$503,"&gt;="&amp;$L22,取得日!$B$4:$B$503,"&lt;="&amp;IF(ISNUMBER($Q22),$Q22,$M22-1),取得日!$D$4:$D$503,"時間単位"))</f>
        <v/>
      </c>
      <c r="AA22" s="11" t="str">
        <f>IF($J22="","",(YEAR(判定日)-YEAR($J22))*12+MONTH(判定日)-MONTH($J22))</f>
        <v/>
      </c>
      <c r="AB22" s="11" t="str">
        <f>IF($J22="","",IF(判定日&lt;$J22,-1,INT($AA22/12)))</f>
        <v/>
      </c>
      <c r="AC22" s="22" t="str">
        <f>IF(OR($J22="",N($AB22)&lt;0),"",IF(DAY(EDATE($J22,12*($AB22)))&lt;DAY($J22),EDATE($J22,12*($AB22))+1,EDATE($J22,12*($AB22))))</f>
        <v/>
      </c>
      <c r="AD22" s="11" t="str">
        <f>IF($J22="","",IF($AB22&lt;0,-1,$AB22-IF($AC22&gt;判定日,1,0)))</f>
        <v/>
      </c>
      <c r="AE22" s="11" t="str">
        <f>IF(OR($J22="",N($K22)=0),"",SUMIFS(取得日!$C$4:$C$503,取得日!$A$4:$A$503,$A22,取得日!$B$4:$B$503,"&gt;="&amp;$L22,取得日!$B$4:$B$503,"&lt;="&amp;IF(ISNUMBER($Q22),$Q22,$M22-1),取得日!$D$4:$D$503,"&lt;&gt;時間単位"))</f>
        <v/>
      </c>
      <c r="AF22" s="11" t="str">
        <f>IF($J22="","",IF($K22&lt;2,"",SUMIFS(取得日!$C$4:$C$503,取得日!$A$4:$A$503,$A22,取得日!$B$4:$B$503,"&gt;="&amp;IF(DAY(EDATE($J22,12*($AD22-1)))&lt;DAY($J22),EDATE($J22,12*($AD22-1))+1,EDATE($J22,12*($AD22-1))),取得日!$B$4:$B$503,"&lt;"&amp;$L22,取得日!$D$4:$D$503,"&lt;&gt;時間単位")))</f>
        <v/>
      </c>
    </row>
    <row r="23" ht="21" customHeight="1">
      <c r="A23" s="12" t="n"/>
      <c r="B23" s="13" t="n"/>
      <c r="C23" s="14" t="n"/>
      <c r="D23" s="14" t="n"/>
      <c r="E23" s="14" t="n"/>
      <c r="F23" s="14" t="n"/>
      <c r="G23" s="14" t="n"/>
      <c r="H23" s="13" t="n"/>
      <c r="I23" s="23" t="str">
        <f>IF($B23="","",IF(N($E23)&gt;=30,"通常",IF(N($C23)&gt;=5,"通常",IF(N($C23)&gt;0,IF($C23=INT($C23),$C23&amp;"日","区分外（表に定めなし）"),IF(N($D23)&gt;=217,"通常",IF(N($D23)&gt;=169,"4日",IF(N($D23)&gt;=121,"3日",IF(N($D23)&gt;=73,"2日",IF(N($D23)&gt;=48,"1日",IF(N($D23)&gt;0,"区分外（表に定めなし）","入力待ち"))))))))))</f>
        <v/>
      </c>
      <c r="J23" s="24" t="str">
        <f>IF($B23="","",IF($H23&lt;&gt;"",$H23,IF(DAY(EDATE($B23,6))&lt;DAY($B23),EDATE($B23,6)+1,EDATE($B23,6))))</f>
        <v/>
      </c>
      <c r="K23" s="25" t="str">
        <f>IF($J23="","",$AD23+1)</f>
        <v/>
      </c>
      <c r="L23" s="24" t="str">
        <f>IF($J23="","",IF($K23=0,"未到達",IF(DAY(EDATE($J23,12*($AD23)))&lt;DAY($J23),EDATE($J23,12*($AD23))+1,EDATE($J23,12*($AD23)))))</f>
        <v/>
      </c>
      <c r="M23" s="24" t="str">
        <f>IF($J23="","",IF(DAY(EDATE($J23,12*($AD23+1)))&lt;DAY($J23),EDATE($J23,12*($AD23+1))+1,EDATE($J23,12*($AD23+1))))</f>
        <v/>
      </c>
      <c r="N23" s="25" t="str">
        <f>IF($J23="","",IF($K23=0,0,6+12*($K23-1)))</f>
        <v/>
      </c>
      <c r="O23" s="25" t="str">
        <f>IF(OR($J23="",$I23="入力待ち"),"",IF($K23=0,0,IF($G23="×",0,IF(LEFT($I23,3)="区分外","",INDEX(tbl_fuyo,MATCH($I23,区分名,0),MIN($K23,7))))))</f>
        <v/>
      </c>
      <c r="P23" s="23" t="str">
        <f>IF($O23="","",IF($O23&gt;=10,"対象","対象外"))</f>
        <v/>
      </c>
      <c r="Q23" s="26" t="str">
        <f>IF($J23="","",IF($H23&lt;&gt;"","前倒し：出ません",IF($P23="対象",IF(DAY(EDATE($L23,12))&lt;DAY($L23),EDATE($L23,12),EDATE($L23,12)-1),"")))</f>
        <v/>
      </c>
      <c r="R23" s="27" t="str">
        <f>IF($P23="対象",$AE23,"")</f>
        <v/>
      </c>
      <c r="S23" s="28" t="str">
        <f>IF($J23="","",IF($H23&lt;&gt;"",IF($P23="対象","前倒し：出ません",""),IF($P23="対象",MAX(0,年5日-$R23),"")))</f>
        <v/>
      </c>
      <c r="T23" s="25" t="str">
        <f>IF($J23="","",IF(AND($H23="",$P23="対象"),$Q23-判定日,""))</f>
        <v/>
      </c>
      <c r="U23" s="29" t="str">
        <f>IF($J23="","",IF($K23=0,"未到達",IF($H23&lt;&gt;"",IF($P23="対象","前倒し：出ません","対象外"),IF($P23&lt;&gt;"対象","対象外",IF($S23=0,"達成",IF($T23&lt;=警告日数,"要時季指定","進行中"))))))</f>
        <v/>
      </c>
      <c r="V23" s="29" t="str">
        <f>IF($J23="","",IF($K23&lt;2,"－",IF($H23&lt;&gt;"","前倒し：出ません",IF($W23="","－",IF($W23&lt;10,"対象外",IF($AF23&gt;=5,"達成","未達（期限超過）"))))))</f>
        <v/>
      </c>
      <c r="W23" s="25" t="str">
        <f>IF($J23="","",IF($K23&lt;2,"",IF(OR($I23="入力待ち",LEFT($I23,3)="区分外"),"",INDEX(tbl_fuyo,MATCH($I23,区分名,0),MIN($K23-1,7)))))</f>
        <v/>
      </c>
      <c r="X23" s="25" t="str">
        <f>IF($J23="","",IF($K23=0,"",IF($K23&lt;2,0,MIN(N($F23),N($W23)))))</f>
        <v/>
      </c>
      <c r="Y23" s="27" t="str">
        <f>IF(OR($J23="",$O23="",N($K23)=0),"",$X23+$O23-$AE23)</f>
        <v/>
      </c>
      <c r="Z23" s="30" t="str">
        <f>IF(OR($J23="",N($K23)=0),"",SUMIFS(取得日!$E$4:$E$503,取得日!$A$4:$A$503,$A23,取得日!$B$4:$B$503,"&gt;="&amp;$L23,取得日!$B$4:$B$503,"&lt;="&amp;IF(ISNUMBER($Q23),$Q23,$M23-1),取得日!$D$4:$D$503,"時間単位"))</f>
        <v/>
      </c>
      <c r="AA23" s="11" t="str">
        <f>IF($J23="","",(YEAR(判定日)-YEAR($J23))*12+MONTH(判定日)-MONTH($J23))</f>
        <v/>
      </c>
      <c r="AB23" s="11" t="str">
        <f>IF($J23="","",IF(判定日&lt;$J23,-1,INT($AA23/12)))</f>
        <v/>
      </c>
      <c r="AC23" s="22" t="str">
        <f>IF(OR($J23="",N($AB23)&lt;0),"",IF(DAY(EDATE($J23,12*($AB23)))&lt;DAY($J23),EDATE($J23,12*($AB23))+1,EDATE($J23,12*($AB23))))</f>
        <v/>
      </c>
      <c r="AD23" s="11" t="str">
        <f>IF($J23="","",IF($AB23&lt;0,-1,$AB23-IF($AC23&gt;判定日,1,0)))</f>
        <v/>
      </c>
      <c r="AE23" s="11" t="str">
        <f>IF(OR($J23="",N($K23)=0),"",SUMIFS(取得日!$C$4:$C$503,取得日!$A$4:$A$503,$A23,取得日!$B$4:$B$503,"&gt;="&amp;$L23,取得日!$B$4:$B$503,"&lt;="&amp;IF(ISNUMBER($Q23),$Q23,$M23-1),取得日!$D$4:$D$503,"&lt;&gt;時間単位"))</f>
        <v/>
      </c>
      <c r="AF23" s="11" t="str">
        <f>IF($J23="","",IF($K23&lt;2,"",SUMIFS(取得日!$C$4:$C$503,取得日!$A$4:$A$503,$A23,取得日!$B$4:$B$503,"&gt;="&amp;IF(DAY(EDATE($J23,12*($AD23-1)))&lt;DAY($J23),EDATE($J23,12*($AD23-1))+1,EDATE($J23,12*($AD23-1))),取得日!$B$4:$B$503,"&lt;"&amp;$L23,取得日!$D$4:$D$503,"&lt;&gt;時間単位")))</f>
        <v/>
      </c>
    </row>
    <row r="24" ht="21" customHeight="1">
      <c r="A24" s="12" t="n"/>
      <c r="B24" s="13" t="n"/>
      <c r="C24" s="14" t="n"/>
      <c r="D24" s="14" t="n"/>
      <c r="E24" s="14" t="n"/>
      <c r="F24" s="14" t="n"/>
      <c r="G24" s="14" t="n"/>
      <c r="H24" s="13" t="n"/>
      <c r="I24" s="9" t="str">
        <f>IF($B24="","",IF(N($E24)&gt;=30,"通常",IF(N($C24)&gt;=5,"通常",IF(N($C24)&gt;0,IF($C24=INT($C24),$C24&amp;"日","区分外（表に定めなし）"),IF(N($D24)&gt;=217,"通常",IF(N($D24)&gt;=169,"4日",IF(N($D24)&gt;=121,"3日",IF(N($D24)&gt;=73,"2日",IF(N($D24)&gt;=48,"1日",IF(N($D24)&gt;0,"区分外（表に定めなし）","入力待ち"))))))))))</f>
        <v/>
      </c>
      <c r="J24" s="15" t="str">
        <f>IF($B24="","",IF($H24&lt;&gt;"",$H24,IF(DAY(EDATE($B24,6))&lt;DAY($B24),EDATE($B24,6)+1,EDATE($B24,6))))</f>
        <v/>
      </c>
      <c r="K24" s="16" t="str">
        <f>IF($J24="","",$AD24+1)</f>
        <v/>
      </c>
      <c r="L24" s="15" t="str">
        <f>IF($J24="","",IF($K24=0,"未到達",IF(DAY(EDATE($J24,12*($AD24)))&lt;DAY($J24),EDATE($J24,12*($AD24))+1,EDATE($J24,12*($AD24)))))</f>
        <v/>
      </c>
      <c r="M24" s="15" t="str">
        <f>IF($J24="","",IF(DAY(EDATE($J24,12*($AD24+1)))&lt;DAY($J24),EDATE($J24,12*($AD24+1))+1,EDATE($J24,12*($AD24+1))))</f>
        <v/>
      </c>
      <c r="N24" s="16" t="str">
        <f>IF($J24="","",IF($K24=0,0,6+12*($K24-1)))</f>
        <v/>
      </c>
      <c r="O24" s="16" t="str">
        <f>IF(OR($J24="",$I24="入力待ち"),"",IF($K24=0,0,IF($G24="×",0,IF(LEFT($I24,3)="区分外","",INDEX(tbl_fuyo,MATCH($I24,区分名,0),MIN($K24,7))))))</f>
        <v/>
      </c>
      <c r="P24" s="9" t="str">
        <f>IF($O24="","",IF($O24&gt;=10,"対象","対象外"))</f>
        <v/>
      </c>
      <c r="Q24" s="17" t="str">
        <f>IF($J24="","",IF($H24&lt;&gt;"","前倒し：出ません",IF($P24="対象",IF(DAY(EDATE($L24,12))&lt;DAY($L24),EDATE($L24,12),EDATE($L24,12)-1),"")))</f>
        <v/>
      </c>
      <c r="R24" s="18" t="str">
        <f>IF($P24="対象",$AE24,"")</f>
        <v/>
      </c>
      <c r="S24" s="19" t="str">
        <f>IF($J24="","",IF($H24&lt;&gt;"",IF($P24="対象","前倒し：出ません",""),IF($P24="対象",MAX(0,年5日-$R24),"")))</f>
        <v/>
      </c>
      <c r="T24" s="16" t="str">
        <f>IF($J24="","",IF(AND($H24="",$P24="対象"),$Q24-判定日,""))</f>
        <v/>
      </c>
      <c r="U24" s="20" t="str">
        <f>IF($J24="","",IF($K24=0,"未到達",IF($H24&lt;&gt;"",IF($P24="対象","前倒し：出ません","対象外"),IF($P24&lt;&gt;"対象","対象外",IF($S24=0,"達成",IF($T24&lt;=警告日数,"要時季指定","進行中"))))))</f>
        <v/>
      </c>
      <c r="V24" s="20" t="str">
        <f>IF($J24="","",IF($K24&lt;2,"－",IF($H24&lt;&gt;"","前倒し：出ません",IF($W24="","－",IF($W24&lt;10,"対象外",IF($AF24&gt;=5,"達成","未達（期限超過）"))))))</f>
        <v/>
      </c>
      <c r="W24" s="16" t="str">
        <f>IF($J24="","",IF($K24&lt;2,"",IF(OR($I24="入力待ち",LEFT($I24,3)="区分外"),"",INDEX(tbl_fuyo,MATCH($I24,区分名,0),MIN($K24-1,7)))))</f>
        <v/>
      </c>
      <c r="X24" s="16" t="str">
        <f>IF($J24="","",IF($K24=0,"",IF($K24&lt;2,0,MIN(N($F24),N($W24)))))</f>
        <v/>
      </c>
      <c r="Y24" s="18" t="str">
        <f>IF(OR($J24="",$O24="",N($K24)=0),"",$X24+$O24-$AE24)</f>
        <v/>
      </c>
      <c r="Z24" s="21" t="str">
        <f>IF(OR($J24="",N($K24)=0),"",SUMIFS(取得日!$E$4:$E$503,取得日!$A$4:$A$503,$A24,取得日!$B$4:$B$503,"&gt;="&amp;$L24,取得日!$B$4:$B$503,"&lt;="&amp;IF(ISNUMBER($Q24),$Q24,$M24-1),取得日!$D$4:$D$503,"時間単位"))</f>
        <v/>
      </c>
      <c r="AA24" s="11" t="str">
        <f>IF($J24="","",(YEAR(判定日)-YEAR($J24))*12+MONTH(判定日)-MONTH($J24))</f>
        <v/>
      </c>
      <c r="AB24" s="11" t="str">
        <f>IF($J24="","",IF(判定日&lt;$J24,-1,INT($AA24/12)))</f>
        <v/>
      </c>
      <c r="AC24" s="22" t="str">
        <f>IF(OR($J24="",N($AB24)&lt;0),"",IF(DAY(EDATE($J24,12*($AB24)))&lt;DAY($J24),EDATE($J24,12*($AB24))+1,EDATE($J24,12*($AB24))))</f>
        <v/>
      </c>
      <c r="AD24" s="11" t="str">
        <f>IF($J24="","",IF($AB24&lt;0,-1,$AB24-IF($AC24&gt;判定日,1,0)))</f>
        <v/>
      </c>
      <c r="AE24" s="11" t="str">
        <f>IF(OR($J24="",N($K24)=0),"",SUMIFS(取得日!$C$4:$C$503,取得日!$A$4:$A$503,$A24,取得日!$B$4:$B$503,"&gt;="&amp;$L24,取得日!$B$4:$B$503,"&lt;="&amp;IF(ISNUMBER($Q24),$Q24,$M24-1),取得日!$D$4:$D$503,"&lt;&gt;時間単位"))</f>
        <v/>
      </c>
      <c r="AF24" s="11" t="str">
        <f>IF($J24="","",IF($K24&lt;2,"",SUMIFS(取得日!$C$4:$C$503,取得日!$A$4:$A$503,$A24,取得日!$B$4:$B$503,"&gt;="&amp;IF(DAY(EDATE($J24,12*($AD24-1)))&lt;DAY($J24),EDATE($J24,12*($AD24-1))+1,EDATE($J24,12*($AD24-1))),取得日!$B$4:$B$503,"&lt;"&amp;$L24,取得日!$D$4:$D$503,"&lt;&gt;時間単位")))</f>
        <v/>
      </c>
    </row>
    <row r="25" ht="21" customHeight="1">
      <c r="A25" s="12" t="n"/>
      <c r="B25" s="13" t="n"/>
      <c r="C25" s="14" t="n"/>
      <c r="D25" s="14" t="n"/>
      <c r="E25" s="14" t="n"/>
      <c r="F25" s="14" t="n"/>
      <c r="G25" s="14" t="n"/>
      <c r="H25" s="13" t="n"/>
      <c r="I25" s="23" t="str">
        <f>IF($B25="","",IF(N($E25)&gt;=30,"通常",IF(N($C25)&gt;=5,"通常",IF(N($C25)&gt;0,IF($C25=INT($C25),$C25&amp;"日","区分外（表に定めなし）"),IF(N($D25)&gt;=217,"通常",IF(N($D25)&gt;=169,"4日",IF(N($D25)&gt;=121,"3日",IF(N($D25)&gt;=73,"2日",IF(N($D25)&gt;=48,"1日",IF(N($D25)&gt;0,"区分外（表に定めなし）","入力待ち"))))))))))</f>
        <v/>
      </c>
      <c r="J25" s="24" t="str">
        <f>IF($B25="","",IF($H25&lt;&gt;"",$H25,IF(DAY(EDATE($B25,6))&lt;DAY($B25),EDATE($B25,6)+1,EDATE($B25,6))))</f>
        <v/>
      </c>
      <c r="K25" s="25" t="str">
        <f>IF($J25="","",$AD25+1)</f>
        <v/>
      </c>
      <c r="L25" s="24" t="str">
        <f>IF($J25="","",IF($K25=0,"未到達",IF(DAY(EDATE($J25,12*($AD25)))&lt;DAY($J25),EDATE($J25,12*($AD25))+1,EDATE($J25,12*($AD25)))))</f>
        <v/>
      </c>
      <c r="M25" s="24" t="str">
        <f>IF($J25="","",IF(DAY(EDATE($J25,12*($AD25+1)))&lt;DAY($J25),EDATE($J25,12*($AD25+1))+1,EDATE($J25,12*($AD25+1))))</f>
        <v/>
      </c>
      <c r="N25" s="25" t="str">
        <f>IF($J25="","",IF($K25=0,0,6+12*($K25-1)))</f>
        <v/>
      </c>
      <c r="O25" s="25" t="str">
        <f>IF(OR($J25="",$I25="入力待ち"),"",IF($K25=0,0,IF($G25="×",0,IF(LEFT($I25,3)="区分外","",INDEX(tbl_fuyo,MATCH($I25,区分名,0),MIN($K25,7))))))</f>
        <v/>
      </c>
      <c r="P25" s="23" t="str">
        <f>IF($O25="","",IF($O25&gt;=10,"対象","対象外"))</f>
        <v/>
      </c>
      <c r="Q25" s="26" t="str">
        <f>IF($J25="","",IF($H25&lt;&gt;"","前倒し：出ません",IF($P25="対象",IF(DAY(EDATE($L25,12))&lt;DAY($L25),EDATE($L25,12),EDATE($L25,12)-1),"")))</f>
        <v/>
      </c>
      <c r="R25" s="27" t="str">
        <f>IF($P25="対象",$AE25,"")</f>
        <v/>
      </c>
      <c r="S25" s="28" t="str">
        <f>IF($J25="","",IF($H25&lt;&gt;"",IF($P25="対象","前倒し：出ません",""),IF($P25="対象",MAX(0,年5日-$R25),"")))</f>
        <v/>
      </c>
      <c r="T25" s="25" t="str">
        <f>IF($J25="","",IF(AND($H25="",$P25="対象"),$Q25-判定日,""))</f>
        <v/>
      </c>
      <c r="U25" s="29" t="str">
        <f>IF($J25="","",IF($K25=0,"未到達",IF($H25&lt;&gt;"",IF($P25="対象","前倒し：出ません","対象外"),IF($P25&lt;&gt;"対象","対象外",IF($S25=0,"達成",IF($T25&lt;=警告日数,"要時季指定","進行中"))))))</f>
        <v/>
      </c>
      <c r="V25" s="29" t="str">
        <f>IF($J25="","",IF($K25&lt;2,"－",IF($H25&lt;&gt;"","前倒し：出ません",IF($W25="","－",IF($W25&lt;10,"対象外",IF($AF25&gt;=5,"達成","未達（期限超過）"))))))</f>
        <v/>
      </c>
      <c r="W25" s="25" t="str">
        <f>IF($J25="","",IF($K25&lt;2,"",IF(OR($I25="入力待ち",LEFT($I25,3)="区分外"),"",INDEX(tbl_fuyo,MATCH($I25,区分名,0),MIN($K25-1,7)))))</f>
        <v/>
      </c>
      <c r="X25" s="25" t="str">
        <f>IF($J25="","",IF($K25=0,"",IF($K25&lt;2,0,MIN(N($F25),N($W25)))))</f>
        <v/>
      </c>
      <c r="Y25" s="27" t="str">
        <f>IF(OR($J25="",$O25="",N($K25)=0),"",$X25+$O25-$AE25)</f>
        <v/>
      </c>
      <c r="Z25" s="30" t="str">
        <f>IF(OR($J25="",N($K25)=0),"",SUMIFS(取得日!$E$4:$E$503,取得日!$A$4:$A$503,$A25,取得日!$B$4:$B$503,"&gt;="&amp;$L25,取得日!$B$4:$B$503,"&lt;="&amp;IF(ISNUMBER($Q25),$Q25,$M25-1),取得日!$D$4:$D$503,"時間単位"))</f>
        <v/>
      </c>
      <c r="AA25" s="11" t="str">
        <f>IF($J25="","",(YEAR(判定日)-YEAR($J25))*12+MONTH(判定日)-MONTH($J25))</f>
        <v/>
      </c>
      <c r="AB25" s="11" t="str">
        <f>IF($J25="","",IF(判定日&lt;$J25,-1,INT($AA25/12)))</f>
        <v/>
      </c>
      <c r="AC25" s="22" t="str">
        <f>IF(OR($J25="",N($AB25)&lt;0),"",IF(DAY(EDATE($J25,12*($AB25)))&lt;DAY($J25),EDATE($J25,12*($AB25))+1,EDATE($J25,12*($AB25))))</f>
        <v/>
      </c>
      <c r="AD25" s="11" t="str">
        <f>IF($J25="","",IF($AB25&lt;0,-1,$AB25-IF($AC25&gt;判定日,1,0)))</f>
        <v/>
      </c>
      <c r="AE25" s="11" t="str">
        <f>IF(OR($J25="",N($K25)=0),"",SUMIFS(取得日!$C$4:$C$503,取得日!$A$4:$A$503,$A25,取得日!$B$4:$B$503,"&gt;="&amp;$L25,取得日!$B$4:$B$503,"&lt;="&amp;IF(ISNUMBER($Q25),$Q25,$M25-1),取得日!$D$4:$D$503,"&lt;&gt;時間単位"))</f>
        <v/>
      </c>
      <c r="AF25" s="11" t="str">
        <f>IF($J25="","",IF($K25&lt;2,"",SUMIFS(取得日!$C$4:$C$503,取得日!$A$4:$A$503,$A25,取得日!$B$4:$B$503,"&gt;="&amp;IF(DAY(EDATE($J25,12*($AD25-1)))&lt;DAY($J25),EDATE($J25,12*($AD25-1))+1,EDATE($J25,12*($AD25-1))),取得日!$B$4:$B$503,"&lt;"&amp;$L25,取得日!$D$4:$D$503,"&lt;&gt;時間単位")))</f>
        <v/>
      </c>
    </row>
    <row r="26" ht="21" customHeight="1">
      <c r="A26" s="12" t="n"/>
      <c r="B26" s="13" t="n"/>
      <c r="C26" s="14" t="n"/>
      <c r="D26" s="14" t="n"/>
      <c r="E26" s="14" t="n"/>
      <c r="F26" s="14" t="n"/>
      <c r="G26" s="14" t="n"/>
      <c r="H26" s="13" t="n"/>
      <c r="I26" s="9" t="str">
        <f>IF($B26="","",IF(N($E26)&gt;=30,"通常",IF(N($C26)&gt;=5,"通常",IF(N($C26)&gt;0,IF($C26=INT($C26),$C26&amp;"日","区分外（表に定めなし）"),IF(N($D26)&gt;=217,"通常",IF(N($D26)&gt;=169,"4日",IF(N($D26)&gt;=121,"3日",IF(N($D26)&gt;=73,"2日",IF(N($D26)&gt;=48,"1日",IF(N($D26)&gt;0,"区分外（表に定めなし）","入力待ち"))))))))))</f>
        <v/>
      </c>
      <c r="J26" s="15" t="str">
        <f>IF($B26="","",IF($H26&lt;&gt;"",$H26,IF(DAY(EDATE($B26,6))&lt;DAY($B26),EDATE($B26,6)+1,EDATE($B26,6))))</f>
        <v/>
      </c>
      <c r="K26" s="16" t="str">
        <f>IF($J26="","",$AD26+1)</f>
        <v/>
      </c>
      <c r="L26" s="15" t="str">
        <f>IF($J26="","",IF($K26=0,"未到達",IF(DAY(EDATE($J26,12*($AD26)))&lt;DAY($J26),EDATE($J26,12*($AD26))+1,EDATE($J26,12*($AD26)))))</f>
        <v/>
      </c>
      <c r="M26" s="15" t="str">
        <f>IF($J26="","",IF(DAY(EDATE($J26,12*($AD26+1)))&lt;DAY($J26),EDATE($J26,12*($AD26+1))+1,EDATE($J26,12*($AD26+1))))</f>
        <v/>
      </c>
      <c r="N26" s="16" t="str">
        <f>IF($J26="","",IF($K26=0,0,6+12*($K26-1)))</f>
        <v/>
      </c>
      <c r="O26" s="16" t="str">
        <f>IF(OR($J26="",$I26="入力待ち"),"",IF($K26=0,0,IF($G26="×",0,IF(LEFT($I26,3)="区分外","",INDEX(tbl_fuyo,MATCH($I26,区分名,0),MIN($K26,7))))))</f>
        <v/>
      </c>
      <c r="P26" s="9" t="str">
        <f>IF($O26="","",IF($O26&gt;=10,"対象","対象外"))</f>
        <v/>
      </c>
      <c r="Q26" s="17" t="str">
        <f>IF($J26="","",IF($H26&lt;&gt;"","前倒し：出ません",IF($P26="対象",IF(DAY(EDATE($L26,12))&lt;DAY($L26),EDATE($L26,12),EDATE($L26,12)-1),"")))</f>
        <v/>
      </c>
      <c r="R26" s="18" t="str">
        <f>IF($P26="対象",$AE26,"")</f>
        <v/>
      </c>
      <c r="S26" s="19" t="str">
        <f>IF($J26="","",IF($H26&lt;&gt;"",IF($P26="対象","前倒し：出ません",""),IF($P26="対象",MAX(0,年5日-$R26),"")))</f>
        <v/>
      </c>
      <c r="T26" s="16" t="str">
        <f>IF($J26="","",IF(AND($H26="",$P26="対象"),$Q26-判定日,""))</f>
        <v/>
      </c>
      <c r="U26" s="20" t="str">
        <f>IF($J26="","",IF($K26=0,"未到達",IF($H26&lt;&gt;"",IF($P26="対象","前倒し：出ません","対象外"),IF($P26&lt;&gt;"対象","対象外",IF($S26=0,"達成",IF($T26&lt;=警告日数,"要時季指定","進行中"))))))</f>
        <v/>
      </c>
      <c r="V26" s="20" t="str">
        <f>IF($J26="","",IF($K26&lt;2,"－",IF($H26&lt;&gt;"","前倒し：出ません",IF($W26="","－",IF($W26&lt;10,"対象外",IF($AF26&gt;=5,"達成","未達（期限超過）"))))))</f>
        <v/>
      </c>
      <c r="W26" s="16" t="str">
        <f>IF($J26="","",IF($K26&lt;2,"",IF(OR($I26="入力待ち",LEFT($I26,3)="区分外"),"",INDEX(tbl_fuyo,MATCH($I26,区分名,0),MIN($K26-1,7)))))</f>
        <v/>
      </c>
      <c r="X26" s="16" t="str">
        <f>IF($J26="","",IF($K26=0,"",IF($K26&lt;2,0,MIN(N($F26),N($W26)))))</f>
        <v/>
      </c>
      <c r="Y26" s="18" t="str">
        <f>IF(OR($J26="",$O26="",N($K26)=0),"",$X26+$O26-$AE26)</f>
        <v/>
      </c>
      <c r="Z26" s="21" t="str">
        <f>IF(OR($J26="",N($K26)=0),"",SUMIFS(取得日!$E$4:$E$503,取得日!$A$4:$A$503,$A26,取得日!$B$4:$B$503,"&gt;="&amp;$L26,取得日!$B$4:$B$503,"&lt;="&amp;IF(ISNUMBER($Q26),$Q26,$M26-1),取得日!$D$4:$D$503,"時間単位"))</f>
        <v/>
      </c>
      <c r="AA26" s="11" t="str">
        <f>IF($J26="","",(YEAR(判定日)-YEAR($J26))*12+MONTH(判定日)-MONTH($J26))</f>
        <v/>
      </c>
      <c r="AB26" s="11" t="str">
        <f>IF($J26="","",IF(判定日&lt;$J26,-1,INT($AA26/12)))</f>
        <v/>
      </c>
      <c r="AC26" s="22" t="str">
        <f>IF(OR($J26="",N($AB26)&lt;0),"",IF(DAY(EDATE($J26,12*($AB26)))&lt;DAY($J26),EDATE($J26,12*($AB26))+1,EDATE($J26,12*($AB26))))</f>
        <v/>
      </c>
      <c r="AD26" s="11" t="str">
        <f>IF($J26="","",IF($AB26&lt;0,-1,$AB26-IF($AC26&gt;判定日,1,0)))</f>
        <v/>
      </c>
      <c r="AE26" s="11" t="str">
        <f>IF(OR($J26="",N($K26)=0),"",SUMIFS(取得日!$C$4:$C$503,取得日!$A$4:$A$503,$A26,取得日!$B$4:$B$503,"&gt;="&amp;$L26,取得日!$B$4:$B$503,"&lt;="&amp;IF(ISNUMBER($Q26),$Q26,$M26-1),取得日!$D$4:$D$503,"&lt;&gt;時間単位"))</f>
        <v/>
      </c>
      <c r="AF26" s="11" t="str">
        <f>IF($J26="","",IF($K26&lt;2,"",SUMIFS(取得日!$C$4:$C$503,取得日!$A$4:$A$503,$A26,取得日!$B$4:$B$503,"&gt;="&amp;IF(DAY(EDATE($J26,12*($AD26-1)))&lt;DAY($J26),EDATE($J26,12*($AD26-1))+1,EDATE($J26,12*($AD26-1))),取得日!$B$4:$B$503,"&lt;"&amp;$L26,取得日!$D$4:$D$503,"&lt;&gt;時間単位")))</f>
        <v/>
      </c>
    </row>
    <row r="27" ht="21" customHeight="1">
      <c r="A27" s="12" t="n"/>
      <c r="B27" s="13" t="n"/>
      <c r="C27" s="14" t="n"/>
      <c r="D27" s="14" t="n"/>
      <c r="E27" s="14" t="n"/>
      <c r="F27" s="14" t="n"/>
      <c r="G27" s="14" t="n"/>
      <c r="H27" s="13" t="n"/>
      <c r="I27" s="23" t="str">
        <f>IF($B27="","",IF(N($E27)&gt;=30,"通常",IF(N($C27)&gt;=5,"通常",IF(N($C27)&gt;0,IF($C27=INT($C27),$C27&amp;"日","区分外（表に定めなし）"),IF(N($D27)&gt;=217,"通常",IF(N($D27)&gt;=169,"4日",IF(N($D27)&gt;=121,"3日",IF(N($D27)&gt;=73,"2日",IF(N($D27)&gt;=48,"1日",IF(N($D27)&gt;0,"区分外（表に定めなし）","入力待ち"))))))))))</f>
        <v/>
      </c>
      <c r="J27" s="24" t="str">
        <f>IF($B27="","",IF($H27&lt;&gt;"",$H27,IF(DAY(EDATE($B27,6))&lt;DAY($B27),EDATE($B27,6)+1,EDATE($B27,6))))</f>
        <v/>
      </c>
      <c r="K27" s="25" t="str">
        <f>IF($J27="","",$AD27+1)</f>
        <v/>
      </c>
      <c r="L27" s="24" t="str">
        <f>IF($J27="","",IF($K27=0,"未到達",IF(DAY(EDATE($J27,12*($AD27)))&lt;DAY($J27),EDATE($J27,12*($AD27))+1,EDATE($J27,12*($AD27)))))</f>
        <v/>
      </c>
      <c r="M27" s="24" t="str">
        <f>IF($J27="","",IF(DAY(EDATE($J27,12*($AD27+1)))&lt;DAY($J27),EDATE($J27,12*($AD27+1))+1,EDATE($J27,12*($AD27+1))))</f>
        <v/>
      </c>
      <c r="N27" s="25" t="str">
        <f>IF($J27="","",IF($K27=0,0,6+12*($K27-1)))</f>
        <v/>
      </c>
      <c r="O27" s="25" t="str">
        <f>IF(OR($J27="",$I27="入力待ち"),"",IF($K27=0,0,IF($G27="×",0,IF(LEFT($I27,3)="区分外","",INDEX(tbl_fuyo,MATCH($I27,区分名,0),MIN($K27,7))))))</f>
        <v/>
      </c>
      <c r="P27" s="23" t="str">
        <f>IF($O27="","",IF($O27&gt;=10,"対象","対象外"))</f>
        <v/>
      </c>
      <c r="Q27" s="26" t="str">
        <f>IF($J27="","",IF($H27&lt;&gt;"","前倒し：出ません",IF($P27="対象",IF(DAY(EDATE($L27,12))&lt;DAY($L27),EDATE($L27,12),EDATE($L27,12)-1),"")))</f>
        <v/>
      </c>
      <c r="R27" s="27" t="str">
        <f>IF($P27="対象",$AE27,"")</f>
        <v/>
      </c>
      <c r="S27" s="28" t="str">
        <f>IF($J27="","",IF($H27&lt;&gt;"",IF($P27="対象","前倒し：出ません",""),IF($P27="対象",MAX(0,年5日-$R27),"")))</f>
        <v/>
      </c>
      <c r="T27" s="25" t="str">
        <f>IF($J27="","",IF(AND($H27="",$P27="対象"),$Q27-判定日,""))</f>
        <v/>
      </c>
      <c r="U27" s="29" t="str">
        <f>IF($J27="","",IF($K27=0,"未到達",IF($H27&lt;&gt;"",IF($P27="対象","前倒し：出ません","対象外"),IF($P27&lt;&gt;"対象","対象外",IF($S27=0,"達成",IF($T27&lt;=警告日数,"要時季指定","進行中"))))))</f>
        <v/>
      </c>
      <c r="V27" s="29" t="str">
        <f>IF($J27="","",IF($K27&lt;2,"－",IF($H27&lt;&gt;"","前倒し：出ません",IF($W27="","－",IF($W27&lt;10,"対象外",IF($AF27&gt;=5,"達成","未達（期限超過）"))))))</f>
        <v/>
      </c>
      <c r="W27" s="25" t="str">
        <f>IF($J27="","",IF($K27&lt;2,"",IF(OR($I27="入力待ち",LEFT($I27,3)="区分外"),"",INDEX(tbl_fuyo,MATCH($I27,区分名,0),MIN($K27-1,7)))))</f>
        <v/>
      </c>
      <c r="X27" s="25" t="str">
        <f>IF($J27="","",IF($K27=0,"",IF($K27&lt;2,0,MIN(N($F27),N($W27)))))</f>
        <v/>
      </c>
      <c r="Y27" s="27" t="str">
        <f>IF(OR($J27="",$O27="",N($K27)=0),"",$X27+$O27-$AE27)</f>
        <v/>
      </c>
      <c r="Z27" s="30" t="str">
        <f>IF(OR($J27="",N($K27)=0),"",SUMIFS(取得日!$E$4:$E$503,取得日!$A$4:$A$503,$A27,取得日!$B$4:$B$503,"&gt;="&amp;$L27,取得日!$B$4:$B$503,"&lt;="&amp;IF(ISNUMBER($Q27),$Q27,$M27-1),取得日!$D$4:$D$503,"時間単位"))</f>
        <v/>
      </c>
      <c r="AA27" s="11" t="str">
        <f>IF($J27="","",(YEAR(判定日)-YEAR($J27))*12+MONTH(判定日)-MONTH($J27))</f>
        <v/>
      </c>
      <c r="AB27" s="11" t="str">
        <f>IF($J27="","",IF(判定日&lt;$J27,-1,INT($AA27/12)))</f>
        <v/>
      </c>
      <c r="AC27" s="22" t="str">
        <f>IF(OR($J27="",N($AB27)&lt;0),"",IF(DAY(EDATE($J27,12*($AB27)))&lt;DAY($J27),EDATE($J27,12*($AB27))+1,EDATE($J27,12*($AB27))))</f>
        <v/>
      </c>
      <c r="AD27" s="11" t="str">
        <f>IF($J27="","",IF($AB27&lt;0,-1,$AB27-IF($AC27&gt;判定日,1,0)))</f>
        <v/>
      </c>
      <c r="AE27" s="11" t="str">
        <f>IF(OR($J27="",N($K27)=0),"",SUMIFS(取得日!$C$4:$C$503,取得日!$A$4:$A$503,$A27,取得日!$B$4:$B$503,"&gt;="&amp;$L27,取得日!$B$4:$B$503,"&lt;="&amp;IF(ISNUMBER($Q27),$Q27,$M27-1),取得日!$D$4:$D$503,"&lt;&gt;時間単位"))</f>
        <v/>
      </c>
      <c r="AF27" s="11" t="str">
        <f>IF($J27="","",IF($K27&lt;2,"",SUMIFS(取得日!$C$4:$C$503,取得日!$A$4:$A$503,$A27,取得日!$B$4:$B$503,"&gt;="&amp;IF(DAY(EDATE($J27,12*($AD27-1)))&lt;DAY($J27),EDATE($J27,12*($AD27-1))+1,EDATE($J27,12*($AD27-1))),取得日!$B$4:$B$503,"&lt;"&amp;$L27,取得日!$D$4:$D$503,"&lt;&gt;時間単位")))</f>
        <v/>
      </c>
    </row>
    <row r="28" ht="21" customHeight="1">
      <c r="A28" s="12" t="n"/>
      <c r="B28" s="13" t="n"/>
      <c r="C28" s="14" t="n"/>
      <c r="D28" s="14" t="n"/>
      <c r="E28" s="14" t="n"/>
      <c r="F28" s="14" t="n"/>
      <c r="G28" s="14" t="n"/>
      <c r="H28" s="13" t="n"/>
      <c r="I28" s="9" t="str">
        <f>IF($B28="","",IF(N($E28)&gt;=30,"通常",IF(N($C28)&gt;=5,"通常",IF(N($C28)&gt;0,IF($C28=INT($C28),$C28&amp;"日","区分外（表に定めなし）"),IF(N($D28)&gt;=217,"通常",IF(N($D28)&gt;=169,"4日",IF(N($D28)&gt;=121,"3日",IF(N($D28)&gt;=73,"2日",IF(N($D28)&gt;=48,"1日",IF(N($D28)&gt;0,"区分外（表に定めなし）","入力待ち"))))))))))</f>
        <v/>
      </c>
      <c r="J28" s="15" t="str">
        <f>IF($B28="","",IF($H28&lt;&gt;"",$H28,IF(DAY(EDATE($B28,6))&lt;DAY($B28),EDATE($B28,6)+1,EDATE($B28,6))))</f>
        <v/>
      </c>
      <c r="K28" s="16" t="str">
        <f>IF($J28="","",$AD28+1)</f>
        <v/>
      </c>
      <c r="L28" s="15" t="str">
        <f>IF($J28="","",IF($K28=0,"未到達",IF(DAY(EDATE($J28,12*($AD28)))&lt;DAY($J28),EDATE($J28,12*($AD28))+1,EDATE($J28,12*($AD28)))))</f>
        <v/>
      </c>
      <c r="M28" s="15" t="str">
        <f>IF($J28="","",IF(DAY(EDATE($J28,12*($AD28+1)))&lt;DAY($J28),EDATE($J28,12*($AD28+1))+1,EDATE($J28,12*($AD28+1))))</f>
        <v/>
      </c>
      <c r="N28" s="16" t="str">
        <f>IF($J28="","",IF($K28=0,0,6+12*($K28-1)))</f>
        <v/>
      </c>
      <c r="O28" s="16" t="str">
        <f>IF(OR($J28="",$I28="入力待ち"),"",IF($K28=0,0,IF($G28="×",0,IF(LEFT($I28,3)="区分外","",INDEX(tbl_fuyo,MATCH($I28,区分名,0),MIN($K28,7))))))</f>
        <v/>
      </c>
      <c r="P28" s="9" t="str">
        <f>IF($O28="","",IF($O28&gt;=10,"対象","対象外"))</f>
        <v/>
      </c>
      <c r="Q28" s="17" t="str">
        <f>IF($J28="","",IF($H28&lt;&gt;"","前倒し：出ません",IF($P28="対象",IF(DAY(EDATE($L28,12))&lt;DAY($L28),EDATE($L28,12),EDATE($L28,12)-1),"")))</f>
        <v/>
      </c>
      <c r="R28" s="18" t="str">
        <f>IF($P28="対象",$AE28,"")</f>
        <v/>
      </c>
      <c r="S28" s="19" t="str">
        <f>IF($J28="","",IF($H28&lt;&gt;"",IF($P28="対象","前倒し：出ません",""),IF($P28="対象",MAX(0,年5日-$R28),"")))</f>
        <v/>
      </c>
      <c r="T28" s="16" t="str">
        <f>IF($J28="","",IF(AND($H28="",$P28="対象"),$Q28-判定日,""))</f>
        <v/>
      </c>
      <c r="U28" s="20" t="str">
        <f>IF($J28="","",IF($K28=0,"未到達",IF($H28&lt;&gt;"",IF($P28="対象","前倒し：出ません","対象外"),IF($P28&lt;&gt;"対象","対象外",IF($S28=0,"達成",IF($T28&lt;=警告日数,"要時季指定","進行中"))))))</f>
        <v/>
      </c>
      <c r="V28" s="20" t="str">
        <f>IF($J28="","",IF($K28&lt;2,"－",IF($H28&lt;&gt;"","前倒し：出ません",IF($W28="","－",IF($W28&lt;10,"対象外",IF($AF28&gt;=5,"達成","未達（期限超過）"))))))</f>
        <v/>
      </c>
      <c r="W28" s="16" t="str">
        <f>IF($J28="","",IF($K28&lt;2,"",IF(OR($I28="入力待ち",LEFT($I28,3)="区分外"),"",INDEX(tbl_fuyo,MATCH($I28,区分名,0),MIN($K28-1,7)))))</f>
        <v/>
      </c>
      <c r="X28" s="16" t="str">
        <f>IF($J28="","",IF($K28=0,"",IF($K28&lt;2,0,MIN(N($F28),N($W28)))))</f>
        <v/>
      </c>
      <c r="Y28" s="18" t="str">
        <f>IF(OR($J28="",$O28="",N($K28)=0),"",$X28+$O28-$AE28)</f>
        <v/>
      </c>
      <c r="Z28" s="21" t="str">
        <f>IF(OR($J28="",N($K28)=0),"",SUMIFS(取得日!$E$4:$E$503,取得日!$A$4:$A$503,$A28,取得日!$B$4:$B$503,"&gt;="&amp;$L28,取得日!$B$4:$B$503,"&lt;="&amp;IF(ISNUMBER($Q28),$Q28,$M28-1),取得日!$D$4:$D$503,"時間単位"))</f>
        <v/>
      </c>
      <c r="AA28" s="11" t="str">
        <f>IF($J28="","",(YEAR(判定日)-YEAR($J28))*12+MONTH(判定日)-MONTH($J28))</f>
        <v/>
      </c>
      <c r="AB28" s="11" t="str">
        <f>IF($J28="","",IF(判定日&lt;$J28,-1,INT($AA28/12)))</f>
        <v/>
      </c>
      <c r="AC28" s="22" t="str">
        <f>IF(OR($J28="",N($AB28)&lt;0),"",IF(DAY(EDATE($J28,12*($AB28)))&lt;DAY($J28),EDATE($J28,12*($AB28))+1,EDATE($J28,12*($AB28))))</f>
        <v/>
      </c>
      <c r="AD28" s="11" t="str">
        <f>IF($J28="","",IF($AB28&lt;0,-1,$AB28-IF($AC28&gt;判定日,1,0)))</f>
        <v/>
      </c>
      <c r="AE28" s="11" t="str">
        <f>IF(OR($J28="",N($K28)=0),"",SUMIFS(取得日!$C$4:$C$503,取得日!$A$4:$A$503,$A28,取得日!$B$4:$B$503,"&gt;="&amp;$L28,取得日!$B$4:$B$503,"&lt;="&amp;IF(ISNUMBER($Q28),$Q28,$M28-1),取得日!$D$4:$D$503,"&lt;&gt;時間単位"))</f>
        <v/>
      </c>
      <c r="AF28" s="11" t="str">
        <f>IF($J28="","",IF($K28&lt;2,"",SUMIFS(取得日!$C$4:$C$503,取得日!$A$4:$A$503,$A28,取得日!$B$4:$B$503,"&gt;="&amp;IF(DAY(EDATE($J28,12*($AD28-1)))&lt;DAY($J28),EDATE($J28,12*($AD28-1))+1,EDATE($J28,12*($AD28-1))),取得日!$B$4:$B$503,"&lt;"&amp;$L28,取得日!$D$4:$D$503,"&lt;&gt;時間単位")))</f>
        <v/>
      </c>
    </row>
    <row r="29" ht="21" customHeight="1">
      <c r="A29" s="12" t="n"/>
      <c r="B29" s="13" t="n"/>
      <c r="C29" s="14" t="n"/>
      <c r="D29" s="14" t="n"/>
      <c r="E29" s="14" t="n"/>
      <c r="F29" s="14" t="n"/>
      <c r="G29" s="14" t="n"/>
      <c r="H29" s="13" t="n"/>
      <c r="I29" s="23" t="str">
        <f>IF($B29="","",IF(N($E29)&gt;=30,"通常",IF(N($C29)&gt;=5,"通常",IF(N($C29)&gt;0,IF($C29=INT($C29),$C29&amp;"日","区分外（表に定めなし）"),IF(N($D29)&gt;=217,"通常",IF(N($D29)&gt;=169,"4日",IF(N($D29)&gt;=121,"3日",IF(N($D29)&gt;=73,"2日",IF(N($D29)&gt;=48,"1日",IF(N($D29)&gt;0,"区分外（表に定めなし）","入力待ち"))))))))))</f>
        <v/>
      </c>
      <c r="J29" s="24" t="str">
        <f>IF($B29="","",IF($H29&lt;&gt;"",$H29,IF(DAY(EDATE($B29,6))&lt;DAY($B29),EDATE($B29,6)+1,EDATE($B29,6))))</f>
        <v/>
      </c>
      <c r="K29" s="25" t="str">
        <f>IF($J29="","",$AD29+1)</f>
        <v/>
      </c>
      <c r="L29" s="24" t="str">
        <f>IF($J29="","",IF($K29=0,"未到達",IF(DAY(EDATE($J29,12*($AD29)))&lt;DAY($J29),EDATE($J29,12*($AD29))+1,EDATE($J29,12*($AD29)))))</f>
        <v/>
      </c>
      <c r="M29" s="24" t="str">
        <f>IF($J29="","",IF(DAY(EDATE($J29,12*($AD29+1)))&lt;DAY($J29),EDATE($J29,12*($AD29+1))+1,EDATE($J29,12*($AD29+1))))</f>
        <v/>
      </c>
      <c r="N29" s="25" t="str">
        <f>IF($J29="","",IF($K29=0,0,6+12*($K29-1)))</f>
        <v/>
      </c>
      <c r="O29" s="25" t="str">
        <f>IF(OR($J29="",$I29="入力待ち"),"",IF($K29=0,0,IF($G29="×",0,IF(LEFT($I29,3)="区分外","",INDEX(tbl_fuyo,MATCH($I29,区分名,0),MIN($K29,7))))))</f>
        <v/>
      </c>
      <c r="P29" s="23" t="str">
        <f>IF($O29="","",IF($O29&gt;=10,"対象","対象外"))</f>
        <v/>
      </c>
      <c r="Q29" s="26" t="str">
        <f>IF($J29="","",IF($H29&lt;&gt;"","前倒し：出ません",IF($P29="対象",IF(DAY(EDATE($L29,12))&lt;DAY($L29),EDATE($L29,12),EDATE($L29,12)-1),"")))</f>
        <v/>
      </c>
      <c r="R29" s="27" t="str">
        <f>IF($P29="対象",$AE29,"")</f>
        <v/>
      </c>
      <c r="S29" s="28" t="str">
        <f>IF($J29="","",IF($H29&lt;&gt;"",IF($P29="対象","前倒し：出ません",""),IF($P29="対象",MAX(0,年5日-$R29),"")))</f>
        <v/>
      </c>
      <c r="T29" s="25" t="str">
        <f>IF($J29="","",IF(AND($H29="",$P29="対象"),$Q29-判定日,""))</f>
        <v/>
      </c>
      <c r="U29" s="29" t="str">
        <f>IF($J29="","",IF($K29=0,"未到達",IF($H29&lt;&gt;"",IF($P29="対象","前倒し：出ません","対象外"),IF($P29&lt;&gt;"対象","対象外",IF($S29=0,"達成",IF($T29&lt;=警告日数,"要時季指定","進行中"))))))</f>
        <v/>
      </c>
      <c r="V29" s="29" t="str">
        <f>IF($J29="","",IF($K29&lt;2,"－",IF($H29&lt;&gt;"","前倒し：出ません",IF($W29="","－",IF($W29&lt;10,"対象外",IF($AF29&gt;=5,"達成","未達（期限超過）"))))))</f>
        <v/>
      </c>
      <c r="W29" s="25" t="str">
        <f>IF($J29="","",IF($K29&lt;2,"",IF(OR($I29="入力待ち",LEFT($I29,3)="区分外"),"",INDEX(tbl_fuyo,MATCH($I29,区分名,0),MIN($K29-1,7)))))</f>
        <v/>
      </c>
      <c r="X29" s="25" t="str">
        <f>IF($J29="","",IF($K29=0,"",IF($K29&lt;2,0,MIN(N($F29),N($W29)))))</f>
        <v/>
      </c>
      <c r="Y29" s="27" t="str">
        <f>IF(OR($J29="",$O29="",N($K29)=0),"",$X29+$O29-$AE29)</f>
        <v/>
      </c>
      <c r="Z29" s="30" t="str">
        <f>IF(OR($J29="",N($K29)=0),"",SUMIFS(取得日!$E$4:$E$503,取得日!$A$4:$A$503,$A29,取得日!$B$4:$B$503,"&gt;="&amp;$L29,取得日!$B$4:$B$503,"&lt;="&amp;IF(ISNUMBER($Q29),$Q29,$M29-1),取得日!$D$4:$D$503,"時間単位"))</f>
        <v/>
      </c>
      <c r="AA29" s="11" t="str">
        <f>IF($J29="","",(YEAR(判定日)-YEAR($J29))*12+MONTH(判定日)-MONTH($J29))</f>
        <v/>
      </c>
      <c r="AB29" s="11" t="str">
        <f>IF($J29="","",IF(判定日&lt;$J29,-1,INT($AA29/12)))</f>
        <v/>
      </c>
      <c r="AC29" s="22" t="str">
        <f>IF(OR($J29="",N($AB29)&lt;0),"",IF(DAY(EDATE($J29,12*($AB29)))&lt;DAY($J29),EDATE($J29,12*($AB29))+1,EDATE($J29,12*($AB29))))</f>
        <v/>
      </c>
      <c r="AD29" s="11" t="str">
        <f>IF($J29="","",IF($AB29&lt;0,-1,$AB29-IF($AC29&gt;判定日,1,0)))</f>
        <v/>
      </c>
      <c r="AE29" s="11" t="str">
        <f>IF(OR($J29="",N($K29)=0),"",SUMIFS(取得日!$C$4:$C$503,取得日!$A$4:$A$503,$A29,取得日!$B$4:$B$503,"&gt;="&amp;$L29,取得日!$B$4:$B$503,"&lt;="&amp;IF(ISNUMBER($Q29),$Q29,$M29-1),取得日!$D$4:$D$503,"&lt;&gt;時間単位"))</f>
        <v/>
      </c>
      <c r="AF29" s="11" t="str">
        <f>IF($J29="","",IF($K29&lt;2,"",SUMIFS(取得日!$C$4:$C$503,取得日!$A$4:$A$503,$A29,取得日!$B$4:$B$503,"&gt;="&amp;IF(DAY(EDATE($J29,12*($AD29-1)))&lt;DAY($J29),EDATE($J29,12*($AD29-1))+1,EDATE($J29,12*($AD29-1))),取得日!$B$4:$B$503,"&lt;"&amp;$L29,取得日!$D$4:$D$503,"&lt;&gt;時間単位")))</f>
        <v/>
      </c>
    </row>
    <row r="30" ht="21" customHeight="1">
      <c r="A30" s="12" t="n"/>
      <c r="B30" s="13" t="n"/>
      <c r="C30" s="14" t="n"/>
      <c r="D30" s="14" t="n"/>
      <c r="E30" s="14" t="n"/>
      <c r="F30" s="14" t="n"/>
      <c r="G30" s="14" t="n"/>
      <c r="H30" s="13" t="n"/>
      <c r="I30" s="9" t="str">
        <f>IF($B30="","",IF(N($E30)&gt;=30,"通常",IF(N($C30)&gt;=5,"通常",IF(N($C30)&gt;0,IF($C30=INT($C30),$C30&amp;"日","区分外（表に定めなし）"),IF(N($D30)&gt;=217,"通常",IF(N($D30)&gt;=169,"4日",IF(N($D30)&gt;=121,"3日",IF(N($D30)&gt;=73,"2日",IF(N($D30)&gt;=48,"1日",IF(N($D30)&gt;0,"区分外（表に定めなし）","入力待ち"))))))))))</f>
        <v/>
      </c>
      <c r="J30" s="15" t="str">
        <f>IF($B30="","",IF($H30&lt;&gt;"",$H30,IF(DAY(EDATE($B30,6))&lt;DAY($B30),EDATE($B30,6)+1,EDATE($B30,6))))</f>
        <v/>
      </c>
      <c r="K30" s="16" t="str">
        <f>IF($J30="","",$AD30+1)</f>
        <v/>
      </c>
      <c r="L30" s="15" t="str">
        <f>IF($J30="","",IF($K30=0,"未到達",IF(DAY(EDATE($J30,12*($AD30)))&lt;DAY($J30),EDATE($J30,12*($AD30))+1,EDATE($J30,12*($AD30)))))</f>
        <v/>
      </c>
      <c r="M30" s="15" t="str">
        <f>IF($J30="","",IF(DAY(EDATE($J30,12*($AD30+1)))&lt;DAY($J30),EDATE($J30,12*($AD30+1))+1,EDATE($J30,12*($AD30+1))))</f>
        <v/>
      </c>
      <c r="N30" s="16" t="str">
        <f>IF($J30="","",IF($K30=0,0,6+12*($K30-1)))</f>
        <v/>
      </c>
      <c r="O30" s="16" t="str">
        <f>IF(OR($J30="",$I30="入力待ち"),"",IF($K30=0,0,IF($G30="×",0,IF(LEFT($I30,3)="区分外","",INDEX(tbl_fuyo,MATCH($I30,区分名,0),MIN($K30,7))))))</f>
        <v/>
      </c>
      <c r="P30" s="9" t="str">
        <f>IF($O30="","",IF($O30&gt;=10,"対象","対象外"))</f>
        <v/>
      </c>
      <c r="Q30" s="17" t="str">
        <f>IF($J30="","",IF($H30&lt;&gt;"","前倒し：出ません",IF($P30="対象",IF(DAY(EDATE($L30,12))&lt;DAY($L30),EDATE($L30,12),EDATE($L30,12)-1),"")))</f>
        <v/>
      </c>
      <c r="R30" s="18" t="str">
        <f>IF($P30="対象",$AE30,"")</f>
        <v/>
      </c>
      <c r="S30" s="19" t="str">
        <f>IF($J30="","",IF($H30&lt;&gt;"",IF($P30="対象","前倒し：出ません",""),IF($P30="対象",MAX(0,年5日-$R30),"")))</f>
        <v/>
      </c>
      <c r="T30" s="16" t="str">
        <f>IF($J30="","",IF(AND($H30="",$P30="対象"),$Q30-判定日,""))</f>
        <v/>
      </c>
      <c r="U30" s="20" t="str">
        <f>IF($J30="","",IF($K30=0,"未到達",IF($H30&lt;&gt;"",IF($P30="対象","前倒し：出ません","対象外"),IF($P30&lt;&gt;"対象","対象外",IF($S30=0,"達成",IF($T30&lt;=警告日数,"要時季指定","進行中"))))))</f>
        <v/>
      </c>
      <c r="V30" s="20" t="str">
        <f>IF($J30="","",IF($K30&lt;2,"－",IF($H30&lt;&gt;"","前倒し：出ません",IF($W30="","－",IF($W30&lt;10,"対象外",IF($AF30&gt;=5,"達成","未達（期限超過）"))))))</f>
        <v/>
      </c>
      <c r="W30" s="16" t="str">
        <f>IF($J30="","",IF($K30&lt;2,"",IF(OR($I30="入力待ち",LEFT($I30,3)="区分外"),"",INDEX(tbl_fuyo,MATCH($I30,区分名,0),MIN($K30-1,7)))))</f>
        <v/>
      </c>
      <c r="X30" s="16" t="str">
        <f>IF($J30="","",IF($K30=0,"",IF($K30&lt;2,0,MIN(N($F30),N($W30)))))</f>
        <v/>
      </c>
      <c r="Y30" s="18" t="str">
        <f>IF(OR($J30="",$O30="",N($K30)=0),"",$X30+$O30-$AE30)</f>
        <v/>
      </c>
      <c r="Z30" s="21" t="str">
        <f>IF(OR($J30="",N($K30)=0),"",SUMIFS(取得日!$E$4:$E$503,取得日!$A$4:$A$503,$A30,取得日!$B$4:$B$503,"&gt;="&amp;$L30,取得日!$B$4:$B$503,"&lt;="&amp;IF(ISNUMBER($Q30),$Q30,$M30-1),取得日!$D$4:$D$503,"時間単位"))</f>
        <v/>
      </c>
      <c r="AA30" s="11" t="str">
        <f>IF($J30="","",(YEAR(判定日)-YEAR($J30))*12+MONTH(判定日)-MONTH($J30))</f>
        <v/>
      </c>
      <c r="AB30" s="11" t="str">
        <f>IF($J30="","",IF(判定日&lt;$J30,-1,INT($AA30/12)))</f>
        <v/>
      </c>
      <c r="AC30" s="22" t="str">
        <f>IF(OR($J30="",N($AB30)&lt;0),"",IF(DAY(EDATE($J30,12*($AB30)))&lt;DAY($J30),EDATE($J30,12*($AB30))+1,EDATE($J30,12*($AB30))))</f>
        <v/>
      </c>
      <c r="AD30" s="11" t="str">
        <f>IF($J30="","",IF($AB30&lt;0,-1,$AB30-IF($AC30&gt;判定日,1,0)))</f>
        <v/>
      </c>
      <c r="AE30" s="11" t="str">
        <f>IF(OR($J30="",N($K30)=0),"",SUMIFS(取得日!$C$4:$C$503,取得日!$A$4:$A$503,$A30,取得日!$B$4:$B$503,"&gt;="&amp;$L30,取得日!$B$4:$B$503,"&lt;="&amp;IF(ISNUMBER($Q30),$Q30,$M30-1),取得日!$D$4:$D$503,"&lt;&gt;時間単位"))</f>
        <v/>
      </c>
      <c r="AF30" s="11" t="str">
        <f>IF($J30="","",IF($K30&lt;2,"",SUMIFS(取得日!$C$4:$C$503,取得日!$A$4:$A$503,$A30,取得日!$B$4:$B$503,"&gt;="&amp;IF(DAY(EDATE($J30,12*($AD30-1)))&lt;DAY($J30),EDATE($J30,12*($AD30-1))+1,EDATE($J30,12*($AD30-1))),取得日!$B$4:$B$503,"&lt;"&amp;$L30,取得日!$D$4:$D$503,"&lt;&gt;時間単位")))</f>
        <v/>
      </c>
    </row>
    <row r="31" ht="21" customHeight="1">
      <c r="A31" s="12" t="n"/>
      <c r="B31" s="13" t="n"/>
      <c r="C31" s="14" t="n"/>
      <c r="D31" s="14" t="n"/>
      <c r="E31" s="14" t="n"/>
      <c r="F31" s="14" t="n"/>
      <c r="G31" s="14" t="n"/>
      <c r="H31" s="13" t="n"/>
      <c r="I31" s="23" t="str">
        <f>IF($B31="","",IF(N($E31)&gt;=30,"通常",IF(N($C31)&gt;=5,"通常",IF(N($C31)&gt;0,IF($C31=INT($C31),$C31&amp;"日","区分外（表に定めなし）"),IF(N($D31)&gt;=217,"通常",IF(N($D31)&gt;=169,"4日",IF(N($D31)&gt;=121,"3日",IF(N($D31)&gt;=73,"2日",IF(N($D31)&gt;=48,"1日",IF(N($D31)&gt;0,"区分外（表に定めなし）","入力待ち"))))))))))</f>
        <v/>
      </c>
      <c r="J31" s="24" t="str">
        <f>IF($B31="","",IF($H31&lt;&gt;"",$H31,IF(DAY(EDATE($B31,6))&lt;DAY($B31),EDATE($B31,6)+1,EDATE($B31,6))))</f>
        <v/>
      </c>
      <c r="K31" s="25" t="str">
        <f>IF($J31="","",$AD31+1)</f>
        <v/>
      </c>
      <c r="L31" s="24" t="str">
        <f>IF($J31="","",IF($K31=0,"未到達",IF(DAY(EDATE($J31,12*($AD31)))&lt;DAY($J31),EDATE($J31,12*($AD31))+1,EDATE($J31,12*($AD31)))))</f>
        <v/>
      </c>
      <c r="M31" s="24" t="str">
        <f>IF($J31="","",IF(DAY(EDATE($J31,12*($AD31+1)))&lt;DAY($J31),EDATE($J31,12*($AD31+1))+1,EDATE($J31,12*($AD31+1))))</f>
        <v/>
      </c>
      <c r="N31" s="25" t="str">
        <f>IF($J31="","",IF($K31=0,0,6+12*($K31-1)))</f>
        <v/>
      </c>
      <c r="O31" s="25" t="str">
        <f>IF(OR($J31="",$I31="入力待ち"),"",IF($K31=0,0,IF($G31="×",0,IF(LEFT($I31,3)="区分外","",INDEX(tbl_fuyo,MATCH($I31,区分名,0),MIN($K31,7))))))</f>
        <v/>
      </c>
      <c r="P31" s="23" t="str">
        <f>IF($O31="","",IF($O31&gt;=10,"対象","対象外"))</f>
        <v/>
      </c>
      <c r="Q31" s="26" t="str">
        <f>IF($J31="","",IF($H31&lt;&gt;"","前倒し：出ません",IF($P31="対象",IF(DAY(EDATE($L31,12))&lt;DAY($L31),EDATE($L31,12),EDATE($L31,12)-1),"")))</f>
        <v/>
      </c>
      <c r="R31" s="27" t="str">
        <f>IF($P31="対象",$AE31,"")</f>
        <v/>
      </c>
      <c r="S31" s="28" t="str">
        <f>IF($J31="","",IF($H31&lt;&gt;"",IF($P31="対象","前倒し：出ません",""),IF($P31="対象",MAX(0,年5日-$R31),"")))</f>
        <v/>
      </c>
      <c r="T31" s="25" t="str">
        <f>IF($J31="","",IF(AND($H31="",$P31="対象"),$Q31-判定日,""))</f>
        <v/>
      </c>
      <c r="U31" s="29" t="str">
        <f>IF($J31="","",IF($K31=0,"未到達",IF($H31&lt;&gt;"",IF($P31="対象","前倒し：出ません","対象外"),IF($P31&lt;&gt;"対象","対象外",IF($S31=0,"達成",IF($T31&lt;=警告日数,"要時季指定","進行中"))))))</f>
        <v/>
      </c>
      <c r="V31" s="29" t="str">
        <f>IF($J31="","",IF($K31&lt;2,"－",IF($H31&lt;&gt;"","前倒し：出ません",IF($W31="","－",IF($W31&lt;10,"対象外",IF($AF31&gt;=5,"達成","未達（期限超過）"))))))</f>
        <v/>
      </c>
      <c r="W31" s="25" t="str">
        <f>IF($J31="","",IF($K31&lt;2,"",IF(OR($I31="入力待ち",LEFT($I31,3)="区分外"),"",INDEX(tbl_fuyo,MATCH($I31,区分名,0),MIN($K31-1,7)))))</f>
        <v/>
      </c>
      <c r="X31" s="25" t="str">
        <f>IF($J31="","",IF($K31=0,"",IF($K31&lt;2,0,MIN(N($F31),N($W31)))))</f>
        <v/>
      </c>
      <c r="Y31" s="27" t="str">
        <f>IF(OR($J31="",$O31="",N($K31)=0),"",$X31+$O31-$AE31)</f>
        <v/>
      </c>
      <c r="Z31" s="30" t="str">
        <f>IF(OR($J31="",N($K31)=0),"",SUMIFS(取得日!$E$4:$E$503,取得日!$A$4:$A$503,$A31,取得日!$B$4:$B$503,"&gt;="&amp;$L31,取得日!$B$4:$B$503,"&lt;="&amp;IF(ISNUMBER($Q31),$Q31,$M31-1),取得日!$D$4:$D$503,"時間単位"))</f>
        <v/>
      </c>
      <c r="AA31" s="11" t="str">
        <f>IF($J31="","",(YEAR(判定日)-YEAR($J31))*12+MONTH(判定日)-MONTH($J31))</f>
        <v/>
      </c>
      <c r="AB31" s="11" t="str">
        <f>IF($J31="","",IF(判定日&lt;$J31,-1,INT($AA31/12)))</f>
        <v/>
      </c>
      <c r="AC31" s="22" t="str">
        <f>IF(OR($J31="",N($AB31)&lt;0),"",IF(DAY(EDATE($J31,12*($AB31)))&lt;DAY($J31),EDATE($J31,12*($AB31))+1,EDATE($J31,12*($AB31))))</f>
        <v/>
      </c>
      <c r="AD31" s="11" t="str">
        <f>IF($J31="","",IF($AB31&lt;0,-1,$AB31-IF($AC31&gt;判定日,1,0)))</f>
        <v/>
      </c>
      <c r="AE31" s="11" t="str">
        <f>IF(OR($J31="",N($K31)=0),"",SUMIFS(取得日!$C$4:$C$503,取得日!$A$4:$A$503,$A31,取得日!$B$4:$B$503,"&gt;="&amp;$L31,取得日!$B$4:$B$503,"&lt;="&amp;IF(ISNUMBER($Q31),$Q31,$M31-1),取得日!$D$4:$D$503,"&lt;&gt;時間単位"))</f>
        <v/>
      </c>
      <c r="AF31" s="11" t="str">
        <f>IF($J31="","",IF($K31&lt;2,"",SUMIFS(取得日!$C$4:$C$503,取得日!$A$4:$A$503,$A31,取得日!$B$4:$B$503,"&gt;="&amp;IF(DAY(EDATE($J31,12*($AD31-1)))&lt;DAY($J31),EDATE($J31,12*($AD31-1))+1,EDATE($J31,12*($AD31-1))),取得日!$B$4:$B$503,"&lt;"&amp;$L31,取得日!$D$4:$D$503,"&lt;&gt;時間単位")))</f>
        <v/>
      </c>
    </row>
    <row r="32" ht="21" customHeight="1">
      <c r="A32" s="12" t="n"/>
      <c r="B32" s="13" t="n"/>
      <c r="C32" s="14" t="n"/>
      <c r="D32" s="14" t="n"/>
      <c r="E32" s="14" t="n"/>
      <c r="F32" s="14" t="n"/>
      <c r="G32" s="14" t="n"/>
      <c r="H32" s="13" t="n"/>
      <c r="I32" s="9" t="str">
        <f>IF($B32="","",IF(N($E32)&gt;=30,"通常",IF(N($C32)&gt;=5,"通常",IF(N($C32)&gt;0,IF($C32=INT($C32),$C32&amp;"日","区分外（表に定めなし）"),IF(N($D32)&gt;=217,"通常",IF(N($D32)&gt;=169,"4日",IF(N($D32)&gt;=121,"3日",IF(N($D32)&gt;=73,"2日",IF(N($D32)&gt;=48,"1日",IF(N($D32)&gt;0,"区分外（表に定めなし）","入力待ち"))))))))))</f>
        <v/>
      </c>
      <c r="J32" s="15" t="str">
        <f>IF($B32="","",IF($H32&lt;&gt;"",$H32,IF(DAY(EDATE($B32,6))&lt;DAY($B32),EDATE($B32,6)+1,EDATE($B32,6))))</f>
        <v/>
      </c>
      <c r="K32" s="16" t="str">
        <f>IF($J32="","",$AD32+1)</f>
        <v/>
      </c>
      <c r="L32" s="15" t="str">
        <f>IF($J32="","",IF($K32=0,"未到達",IF(DAY(EDATE($J32,12*($AD32)))&lt;DAY($J32),EDATE($J32,12*($AD32))+1,EDATE($J32,12*($AD32)))))</f>
        <v/>
      </c>
      <c r="M32" s="15" t="str">
        <f>IF($J32="","",IF(DAY(EDATE($J32,12*($AD32+1)))&lt;DAY($J32),EDATE($J32,12*($AD32+1))+1,EDATE($J32,12*($AD32+1))))</f>
        <v/>
      </c>
      <c r="N32" s="16" t="str">
        <f>IF($J32="","",IF($K32=0,0,6+12*($K32-1)))</f>
        <v/>
      </c>
      <c r="O32" s="16" t="str">
        <f>IF(OR($J32="",$I32="入力待ち"),"",IF($K32=0,0,IF($G32="×",0,IF(LEFT($I32,3)="区分外","",INDEX(tbl_fuyo,MATCH($I32,区分名,0),MIN($K32,7))))))</f>
        <v/>
      </c>
      <c r="P32" s="9" t="str">
        <f>IF($O32="","",IF($O32&gt;=10,"対象","対象外"))</f>
        <v/>
      </c>
      <c r="Q32" s="17" t="str">
        <f>IF($J32="","",IF($H32&lt;&gt;"","前倒し：出ません",IF($P32="対象",IF(DAY(EDATE($L32,12))&lt;DAY($L32),EDATE($L32,12),EDATE($L32,12)-1),"")))</f>
        <v/>
      </c>
      <c r="R32" s="18" t="str">
        <f>IF($P32="対象",$AE32,"")</f>
        <v/>
      </c>
      <c r="S32" s="19" t="str">
        <f>IF($J32="","",IF($H32&lt;&gt;"",IF($P32="対象","前倒し：出ません",""),IF($P32="対象",MAX(0,年5日-$R32),"")))</f>
        <v/>
      </c>
      <c r="T32" s="16" t="str">
        <f>IF($J32="","",IF(AND($H32="",$P32="対象"),$Q32-判定日,""))</f>
        <v/>
      </c>
      <c r="U32" s="20" t="str">
        <f>IF($J32="","",IF($K32=0,"未到達",IF($H32&lt;&gt;"",IF($P32="対象","前倒し：出ません","対象外"),IF($P32&lt;&gt;"対象","対象外",IF($S32=0,"達成",IF($T32&lt;=警告日数,"要時季指定","進行中"))))))</f>
        <v/>
      </c>
      <c r="V32" s="20" t="str">
        <f>IF($J32="","",IF($K32&lt;2,"－",IF($H32&lt;&gt;"","前倒し：出ません",IF($W32="","－",IF($W32&lt;10,"対象外",IF($AF32&gt;=5,"達成","未達（期限超過）"))))))</f>
        <v/>
      </c>
      <c r="W32" s="16" t="str">
        <f>IF($J32="","",IF($K32&lt;2,"",IF(OR($I32="入力待ち",LEFT($I32,3)="区分外"),"",INDEX(tbl_fuyo,MATCH($I32,区分名,0),MIN($K32-1,7)))))</f>
        <v/>
      </c>
      <c r="X32" s="16" t="str">
        <f>IF($J32="","",IF($K32=0,"",IF($K32&lt;2,0,MIN(N($F32),N($W32)))))</f>
        <v/>
      </c>
      <c r="Y32" s="18" t="str">
        <f>IF(OR($J32="",$O32="",N($K32)=0),"",$X32+$O32-$AE32)</f>
        <v/>
      </c>
      <c r="Z32" s="21" t="str">
        <f>IF(OR($J32="",N($K32)=0),"",SUMIFS(取得日!$E$4:$E$503,取得日!$A$4:$A$503,$A32,取得日!$B$4:$B$503,"&gt;="&amp;$L32,取得日!$B$4:$B$503,"&lt;="&amp;IF(ISNUMBER($Q32),$Q32,$M32-1),取得日!$D$4:$D$503,"時間単位"))</f>
        <v/>
      </c>
      <c r="AA32" s="11" t="str">
        <f>IF($J32="","",(YEAR(判定日)-YEAR($J32))*12+MONTH(判定日)-MONTH($J32))</f>
        <v/>
      </c>
      <c r="AB32" s="11" t="str">
        <f>IF($J32="","",IF(判定日&lt;$J32,-1,INT($AA32/12)))</f>
        <v/>
      </c>
      <c r="AC32" s="22" t="str">
        <f>IF(OR($J32="",N($AB32)&lt;0),"",IF(DAY(EDATE($J32,12*($AB32)))&lt;DAY($J32),EDATE($J32,12*($AB32))+1,EDATE($J32,12*($AB32))))</f>
        <v/>
      </c>
      <c r="AD32" s="11" t="str">
        <f>IF($J32="","",IF($AB32&lt;0,-1,$AB32-IF($AC32&gt;判定日,1,0)))</f>
        <v/>
      </c>
      <c r="AE32" s="11" t="str">
        <f>IF(OR($J32="",N($K32)=0),"",SUMIFS(取得日!$C$4:$C$503,取得日!$A$4:$A$503,$A32,取得日!$B$4:$B$503,"&gt;="&amp;$L32,取得日!$B$4:$B$503,"&lt;="&amp;IF(ISNUMBER($Q32),$Q32,$M32-1),取得日!$D$4:$D$503,"&lt;&gt;時間単位"))</f>
        <v/>
      </c>
      <c r="AF32" s="11" t="str">
        <f>IF($J32="","",IF($K32&lt;2,"",SUMIFS(取得日!$C$4:$C$503,取得日!$A$4:$A$503,$A32,取得日!$B$4:$B$503,"&gt;="&amp;IF(DAY(EDATE($J32,12*($AD32-1)))&lt;DAY($J32),EDATE($J32,12*($AD32-1))+1,EDATE($J32,12*($AD32-1))),取得日!$B$4:$B$503,"&lt;"&amp;$L32,取得日!$D$4:$D$503,"&lt;&gt;時間単位")))</f>
        <v/>
      </c>
    </row>
    <row r="33" ht="21" customHeight="1">
      <c r="A33" s="12" t="n"/>
      <c r="B33" s="13" t="n"/>
      <c r="C33" s="14" t="n"/>
      <c r="D33" s="14" t="n"/>
      <c r="E33" s="14" t="n"/>
      <c r="F33" s="14" t="n"/>
      <c r="G33" s="14" t="n"/>
      <c r="H33" s="13" t="n"/>
      <c r="I33" s="23" t="str">
        <f>IF($B33="","",IF(N($E33)&gt;=30,"通常",IF(N($C33)&gt;=5,"通常",IF(N($C33)&gt;0,IF($C33=INT($C33),$C33&amp;"日","区分外（表に定めなし）"),IF(N($D33)&gt;=217,"通常",IF(N($D33)&gt;=169,"4日",IF(N($D33)&gt;=121,"3日",IF(N($D33)&gt;=73,"2日",IF(N($D33)&gt;=48,"1日",IF(N($D33)&gt;0,"区分外（表に定めなし）","入力待ち"))))))))))</f>
        <v/>
      </c>
      <c r="J33" s="24" t="str">
        <f>IF($B33="","",IF($H33&lt;&gt;"",$H33,IF(DAY(EDATE($B33,6))&lt;DAY($B33),EDATE($B33,6)+1,EDATE($B33,6))))</f>
        <v/>
      </c>
      <c r="K33" s="25" t="str">
        <f>IF($J33="","",$AD33+1)</f>
        <v/>
      </c>
      <c r="L33" s="24" t="str">
        <f>IF($J33="","",IF($K33=0,"未到達",IF(DAY(EDATE($J33,12*($AD33)))&lt;DAY($J33),EDATE($J33,12*($AD33))+1,EDATE($J33,12*($AD33)))))</f>
        <v/>
      </c>
      <c r="M33" s="24" t="str">
        <f>IF($J33="","",IF(DAY(EDATE($J33,12*($AD33+1)))&lt;DAY($J33),EDATE($J33,12*($AD33+1))+1,EDATE($J33,12*($AD33+1))))</f>
        <v/>
      </c>
      <c r="N33" s="25" t="str">
        <f>IF($J33="","",IF($K33=0,0,6+12*($K33-1)))</f>
        <v/>
      </c>
      <c r="O33" s="25" t="str">
        <f>IF(OR($J33="",$I33="入力待ち"),"",IF($K33=0,0,IF($G33="×",0,IF(LEFT($I33,3)="区分外","",INDEX(tbl_fuyo,MATCH($I33,区分名,0),MIN($K33,7))))))</f>
        <v/>
      </c>
      <c r="P33" s="23" t="str">
        <f>IF($O33="","",IF($O33&gt;=10,"対象","対象外"))</f>
        <v/>
      </c>
      <c r="Q33" s="26" t="str">
        <f>IF($J33="","",IF($H33&lt;&gt;"","前倒し：出ません",IF($P33="対象",IF(DAY(EDATE($L33,12))&lt;DAY($L33),EDATE($L33,12),EDATE($L33,12)-1),"")))</f>
        <v/>
      </c>
      <c r="R33" s="27" t="str">
        <f>IF($P33="対象",$AE33,"")</f>
        <v/>
      </c>
      <c r="S33" s="28" t="str">
        <f>IF($J33="","",IF($H33&lt;&gt;"",IF($P33="対象","前倒し：出ません",""),IF($P33="対象",MAX(0,年5日-$R33),"")))</f>
        <v/>
      </c>
      <c r="T33" s="25" t="str">
        <f>IF($J33="","",IF(AND($H33="",$P33="対象"),$Q33-判定日,""))</f>
        <v/>
      </c>
      <c r="U33" s="29" t="str">
        <f>IF($J33="","",IF($K33=0,"未到達",IF($H33&lt;&gt;"",IF($P33="対象","前倒し：出ません","対象外"),IF($P33&lt;&gt;"対象","対象外",IF($S33=0,"達成",IF($T33&lt;=警告日数,"要時季指定","進行中"))))))</f>
        <v/>
      </c>
      <c r="V33" s="29" t="str">
        <f>IF($J33="","",IF($K33&lt;2,"－",IF($H33&lt;&gt;"","前倒し：出ません",IF($W33="","－",IF($W33&lt;10,"対象外",IF($AF33&gt;=5,"達成","未達（期限超過）"))))))</f>
        <v/>
      </c>
      <c r="W33" s="25" t="str">
        <f>IF($J33="","",IF($K33&lt;2,"",IF(OR($I33="入力待ち",LEFT($I33,3)="区分外"),"",INDEX(tbl_fuyo,MATCH($I33,区分名,0),MIN($K33-1,7)))))</f>
        <v/>
      </c>
      <c r="X33" s="25" t="str">
        <f>IF($J33="","",IF($K33=0,"",IF($K33&lt;2,0,MIN(N($F33),N($W33)))))</f>
        <v/>
      </c>
      <c r="Y33" s="27" t="str">
        <f>IF(OR($J33="",$O33="",N($K33)=0),"",$X33+$O33-$AE33)</f>
        <v/>
      </c>
      <c r="Z33" s="30" t="str">
        <f>IF(OR($J33="",N($K33)=0),"",SUMIFS(取得日!$E$4:$E$503,取得日!$A$4:$A$503,$A33,取得日!$B$4:$B$503,"&gt;="&amp;$L33,取得日!$B$4:$B$503,"&lt;="&amp;IF(ISNUMBER($Q33),$Q33,$M33-1),取得日!$D$4:$D$503,"時間単位"))</f>
        <v/>
      </c>
      <c r="AA33" s="11" t="str">
        <f>IF($J33="","",(YEAR(判定日)-YEAR($J33))*12+MONTH(判定日)-MONTH($J33))</f>
        <v/>
      </c>
      <c r="AB33" s="11" t="str">
        <f>IF($J33="","",IF(判定日&lt;$J33,-1,INT($AA33/12)))</f>
        <v/>
      </c>
      <c r="AC33" s="22" t="str">
        <f>IF(OR($J33="",N($AB33)&lt;0),"",IF(DAY(EDATE($J33,12*($AB33)))&lt;DAY($J33),EDATE($J33,12*($AB33))+1,EDATE($J33,12*($AB33))))</f>
        <v/>
      </c>
      <c r="AD33" s="11" t="str">
        <f>IF($J33="","",IF($AB33&lt;0,-1,$AB33-IF($AC33&gt;判定日,1,0)))</f>
        <v/>
      </c>
      <c r="AE33" s="11" t="str">
        <f>IF(OR($J33="",N($K33)=0),"",SUMIFS(取得日!$C$4:$C$503,取得日!$A$4:$A$503,$A33,取得日!$B$4:$B$503,"&gt;="&amp;$L33,取得日!$B$4:$B$503,"&lt;="&amp;IF(ISNUMBER($Q33),$Q33,$M33-1),取得日!$D$4:$D$503,"&lt;&gt;時間単位"))</f>
        <v/>
      </c>
      <c r="AF33" s="11" t="str">
        <f>IF($J33="","",IF($K33&lt;2,"",SUMIFS(取得日!$C$4:$C$503,取得日!$A$4:$A$503,$A33,取得日!$B$4:$B$503,"&gt;="&amp;IF(DAY(EDATE($J33,12*($AD33-1)))&lt;DAY($J33),EDATE($J33,12*($AD33-1))+1,EDATE($J33,12*($AD33-1))),取得日!$B$4:$B$503,"&lt;"&amp;$L33,取得日!$D$4:$D$503,"&lt;&gt;時間単位")))</f>
        <v/>
      </c>
    </row>
    <row r="34" ht="21" customHeight="1">
      <c r="A34" s="12" t="n"/>
      <c r="B34" s="13" t="n"/>
      <c r="C34" s="14" t="n"/>
      <c r="D34" s="14" t="n"/>
      <c r="E34" s="14" t="n"/>
      <c r="F34" s="14" t="n"/>
      <c r="G34" s="14" t="n"/>
      <c r="H34" s="13" t="n"/>
      <c r="I34" s="9" t="str">
        <f>IF($B34="","",IF(N($E34)&gt;=30,"通常",IF(N($C34)&gt;=5,"通常",IF(N($C34)&gt;0,IF($C34=INT($C34),$C34&amp;"日","区分外（表に定めなし）"),IF(N($D34)&gt;=217,"通常",IF(N($D34)&gt;=169,"4日",IF(N($D34)&gt;=121,"3日",IF(N($D34)&gt;=73,"2日",IF(N($D34)&gt;=48,"1日",IF(N($D34)&gt;0,"区分外（表に定めなし）","入力待ち"))))))))))</f>
        <v/>
      </c>
      <c r="J34" s="15" t="str">
        <f>IF($B34="","",IF($H34&lt;&gt;"",$H34,IF(DAY(EDATE($B34,6))&lt;DAY($B34),EDATE($B34,6)+1,EDATE($B34,6))))</f>
        <v/>
      </c>
      <c r="K34" s="16" t="str">
        <f>IF($J34="","",$AD34+1)</f>
        <v/>
      </c>
      <c r="L34" s="15" t="str">
        <f>IF($J34="","",IF($K34=0,"未到達",IF(DAY(EDATE($J34,12*($AD34)))&lt;DAY($J34),EDATE($J34,12*($AD34))+1,EDATE($J34,12*($AD34)))))</f>
        <v/>
      </c>
      <c r="M34" s="15" t="str">
        <f>IF($J34="","",IF(DAY(EDATE($J34,12*($AD34+1)))&lt;DAY($J34),EDATE($J34,12*($AD34+1))+1,EDATE($J34,12*($AD34+1))))</f>
        <v/>
      </c>
      <c r="N34" s="16" t="str">
        <f>IF($J34="","",IF($K34=0,0,6+12*($K34-1)))</f>
        <v/>
      </c>
      <c r="O34" s="16" t="str">
        <f>IF(OR($J34="",$I34="入力待ち"),"",IF($K34=0,0,IF($G34="×",0,IF(LEFT($I34,3)="区分外","",INDEX(tbl_fuyo,MATCH($I34,区分名,0),MIN($K34,7))))))</f>
        <v/>
      </c>
      <c r="P34" s="9" t="str">
        <f>IF($O34="","",IF($O34&gt;=10,"対象","対象外"))</f>
        <v/>
      </c>
      <c r="Q34" s="17" t="str">
        <f>IF($J34="","",IF($H34&lt;&gt;"","前倒し：出ません",IF($P34="対象",IF(DAY(EDATE($L34,12))&lt;DAY($L34),EDATE($L34,12),EDATE($L34,12)-1),"")))</f>
        <v/>
      </c>
      <c r="R34" s="18" t="str">
        <f>IF($P34="対象",$AE34,"")</f>
        <v/>
      </c>
      <c r="S34" s="19" t="str">
        <f>IF($J34="","",IF($H34&lt;&gt;"",IF($P34="対象","前倒し：出ません",""),IF($P34="対象",MAX(0,年5日-$R34),"")))</f>
        <v/>
      </c>
      <c r="T34" s="16" t="str">
        <f>IF($J34="","",IF(AND($H34="",$P34="対象"),$Q34-判定日,""))</f>
        <v/>
      </c>
      <c r="U34" s="20" t="str">
        <f>IF($J34="","",IF($K34=0,"未到達",IF($H34&lt;&gt;"",IF($P34="対象","前倒し：出ません","対象外"),IF($P34&lt;&gt;"対象","対象外",IF($S34=0,"達成",IF($T34&lt;=警告日数,"要時季指定","進行中"))))))</f>
        <v/>
      </c>
      <c r="V34" s="20" t="str">
        <f>IF($J34="","",IF($K34&lt;2,"－",IF($H34&lt;&gt;"","前倒し：出ません",IF($W34="","－",IF($W34&lt;10,"対象外",IF($AF34&gt;=5,"達成","未達（期限超過）"))))))</f>
        <v/>
      </c>
      <c r="W34" s="16" t="str">
        <f>IF($J34="","",IF($K34&lt;2,"",IF(OR($I34="入力待ち",LEFT($I34,3)="区分外"),"",INDEX(tbl_fuyo,MATCH($I34,区分名,0),MIN($K34-1,7)))))</f>
        <v/>
      </c>
      <c r="X34" s="16" t="str">
        <f>IF($J34="","",IF($K34=0,"",IF($K34&lt;2,0,MIN(N($F34),N($W34)))))</f>
        <v/>
      </c>
      <c r="Y34" s="18" t="str">
        <f>IF(OR($J34="",$O34="",N($K34)=0),"",$X34+$O34-$AE34)</f>
        <v/>
      </c>
      <c r="Z34" s="21" t="str">
        <f>IF(OR($J34="",N($K34)=0),"",SUMIFS(取得日!$E$4:$E$503,取得日!$A$4:$A$503,$A34,取得日!$B$4:$B$503,"&gt;="&amp;$L34,取得日!$B$4:$B$503,"&lt;="&amp;IF(ISNUMBER($Q34),$Q34,$M34-1),取得日!$D$4:$D$503,"時間単位"))</f>
        <v/>
      </c>
      <c r="AA34" s="11" t="str">
        <f>IF($J34="","",(YEAR(判定日)-YEAR($J34))*12+MONTH(判定日)-MONTH($J34))</f>
        <v/>
      </c>
      <c r="AB34" s="11" t="str">
        <f>IF($J34="","",IF(判定日&lt;$J34,-1,INT($AA34/12)))</f>
        <v/>
      </c>
      <c r="AC34" s="22" t="str">
        <f>IF(OR($J34="",N($AB34)&lt;0),"",IF(DAY(EDATE($J34,12*($AB34)))&lt;DAY($J34),EDATE($J34,12*($AB34))+1,EDATE($J34,12*($AB34))))</f>
        <v/>
      </c>
      <c r="AD34" s="11" t="str">
        <f>IF($J34="","",IF($AB34&lt;0,-1,$AB34-IF($AC34&gt;判定日,1,0)))</f>
        <v/>
      </c>
      <c r="AE34" s="11" t="str">
        <f>IF(OR($J34="",N($K34)=0),"",SUMIFS(取得日!$C$4:$C$503,取得日!$A$4:$A$503,$A34,取得日!$B$4:$B$503,"&gt;="&amp;$L34,取得日!$B$4:$B$503,"&lt;="&amp;IF(ISNUMBER($Q34),$Q34,$M34-1),取得日!$D$4:$D$503,"&lt;&gt;時間単位"))</f>
        <v/>
      </c>
      <c r="AF34" s="11" t="str">
        <f>IF($J34="","",IF($K34&lt;2,"",SUMIFS(取得日!$C$4:$C$503,取得日!$A$4:$A$503,$A34,取得日!$B$4:$B$503,"&gt;="&amp;IF(DAY(EDATE($J34,12*($AD34-1)))&lt;DAY($J34),EDATE($J34,12*($AD34-1))+1,EDATE($J34,12*($AD34-1))),取得日!$B$4:$B$503,"&lt;"&amp;$L34,取得日!$D$4:$D$503,"&lt;&gt;時間単位")))</f>
        <v/>
      </c>
    </row>
    <row r="35" ht="21" customHeight="1">
      <c r="A35" s="12" t="n"/>
      <c r="B35" s="13" t="n"/>
      <c r="C35" s="14" t="n"/>
      <c r="D35" s="14" t="n"/>
      <c r="E35" s="14" t="n"/>
      <c r="F35" s="14" t="n"/>
      <c r="G35" s="14" t="n"/>
      <c r="H35" s="13" t="n"/>
      <c r="I35" s="23" t="str">
        <f>IF($B35="","",IF(N($E35)&gt;=30,"通常",IF(N($C35)&gt;=5,"通常",IF(N($C35)&gt;0,IF($C35=INT($C35),$C35&amp;"日","区分外（表に定めなし）"),IF(N($D35)&gt;=217,"通常",IF(N($D35)&gt;=169,"4日",IF(N($D35)&gt;=121,"3日",IF(N($D35)&gt;=73,"2日",IF(N($D35)&gt;=48,"1日",IF(N($D35)&gt;0,"区分外（表に定めなし）","入力待ち"))))))))))</f>
        <v/>
      </c>
      <c r="J35" s="24" t="str">
        <f>IF($B35="","",IF($H35&lt;&gt;"",$H35,IF(DAY(EDATE($B35,6))&lt;DAY($B35),EDATE($B35,6)+1,EDATE($B35,6))))</f>
        <v/>
      </c>
      <c r="K35" s="25" t="str">
        <f>IF($J35="","",$AD35+1)</f>
        <v/>
      </c>
      <c r="L35" s="24" t="str">
        <f>IF($J35="","",IF($K35=0,"未到達",IF(DAY(EDATE($J35,12*($AD35)))&lt;DAY($J35),EDATE($J35,12*($AD35))+1,EDATE($J35,12*($AD35)))))</f>
        <v/>
      </c>
      <c r="M35" s="24" t="str">
        <f>IF($J35="","",IF(DAY(EDATE($J35,12*($AD35+1)))&lt;DAY($J35),EDATE($J35,12*($AD35+1))+1,EDATE($J35,12*($AD35+1))))</f>
        <v/>
      </c>
      <c r="N35" s="25" t="str">
        <f>IF($J35="","",IF($K35=0,0,6+12*($K35-1)))</f>
        <v/>
      </c>
      <c r="O35" s="25" t="str">
        <f>IF(OR($J35="",$I35="入力待ち"),"",IF($K35=0,0,IF($G35="×",0,IF(LEFT($I35,3)="区分外","",INDEX(tbl_fuyo,MATCH($I35,区分名,0),MIN($K35,7))))))</f>
        <v/>
      </c>
      <c r="P35" s="23" t="str">
        <f>IF($O35="","",IF($O35&gt;=10,"対象","対象外"))</f>
        <v/>
      </c>
      <c r="Q35" s="26" t="str">
        <f>IF($J35="","",IF($H35&lt;&gt;"","前倒し：出ません",IF($P35="対象",IF(DAY(EDATE($L35,12))&lt;DAY($L35),EDATE($L35,12),EDATE($L35,12)-1),"")))</f>
        <v/>
      </c>
      <c r="R35" s="27" t="str">
        <f>IF($P35="対象",$AE35,"")</f>
        <v/>
      </c>
      <c r="S35" s="28" t="str">
        <f>IF($J35="","",IF($H35&lt;&gt;"",IF($P35="対象","前倒し：出ません",""),IF($P35="対象",MAX(0,年5日-$R35),"")))</f>
        <v/>
      </c>
      <c r="T35" s="25" t="str">
        <f>IF($J35="","",IF(AND($H35="",$P35="対象"),$Q35-判定日,""))</f>
        <v/>
      </c>
      <c r="U35" s="29" t="str">
        <f>IF($J35="","",IF($K35=0,"未到達",IF($H35&lt;&gt;"",IF($P35="対象","前倒し：出ません","対象外"),IF($P35&lt;&gt;"対象","対象外",IF($S35=0,"達成",IF($T35&lt;=警告日数,"要時季指定","進行中"))))))</f>
        <v/>
      </c>
      <c r="V35" s="29" t="str">
        <f>IF($J35="","",IF($K35&lt;2,"－",IF($H35&lt;&gt;"","前倒し：出ません",IF($W35="","－",IF($W35&lt;10,"対象外",IF($AF35&gt;=5,"達成","未達（期限超過）"))))))</f>
        <v/>
      </c>
      <c r="W35" s="25" t="str">
        <f>IF($J35="","",IF($K35&lt;2,"",IF(OR($I35="入力待ち",LEFT($I35,3)="区分外"),"",INDEX(tbl_fuyo,MATCH($I35,区分名,0),MIN($K35-1,7)))))</f>
        <v/>
      </c>
      <c r="X35" s="25" t="str">
        <f>IF($J35="","",IF($K35=0,"",IF($K35&lt;2,0,MIN(N($F35),N($W35)))))</f>
        <v/>
      </c>
      <c r="Y35" s="27" t="str">
        <f>IF(OR($J35="",$O35="",N($K35)=0),"",$X35+$O35-$AE35)</f>
        <v/>
      </c>
      <c r="Z35" s="30" t="str">
        <f>IF(OR($J35="",N($K35)=0),"",SUMIFS(取得日!$E$4:$E$503,取得日!$A$4:$A$503,$A35,取得日!$B$4:$B$503,"&gt;="&amp;$L35,取得日!$B$4:$B$503,"&lt;="&amp;IF(ISNUMBER($Q35),$Q35,$M35-1),取得日!$D$4:$D$503,"時間単位"))</f>
        <v/>
      </c>
      <c r="AA35" s="11" t="str">
        <f>IF($J35="","",(YEAR(判定日)-YEAR($J35))*12+MONTH(判定日)-MONTH($J35))</f>
        <v/>
      </c>
      <c r="AB35" s="11" t="str">
        <f>IF($J35="","",IF(判定日&lt;$J35,-1,INT($AA35/12)))</f>
        <v/>
      </c>
      <c r="AC35" s="22" t="str">
        <f>IF(OR($J35="",N($AB35)&lt;0),"",IF(DAY(EDATE($J35,12*($AB35)))&lt;DAY($J35),EDATE($J35,12*($AB35))+1,EDATE($J35,12*($AB35))))</f>
        <v/>
      </c>
      <c r="AD35" s="11" t="str">
        <f>IF($J35="","",IF($AB35&lt;0,-1,$AB35-IF($AC35&gt;判定日,1,0)))</f>
        <v/>
      </c>
      <c r="AE35" s="11" t="str">
        <f>IF(OR($J35="",N($K35)=0),"",SUMIFS(取得日!$C$4:$C$503,取得日!$A$4:$A$503,$A35,取得日!$B$4:$B$503,"&gt;="&amp;$L35,取得日!$B$4:$B$503,"&lt;="&amp;IF(ISNUMBER($Q35),$Q35,$M35-1),取得日!$D$4:$D$503,"&lt;&gt;時間単位"))</f>
        <v/>
      </c>
      <c r="AF35" s="11" t="str">
        <f>IF($J35="","",IF($K35&lt;2,"",SUMIFS(取得日!$C$4:$C$503,取得日!$A$4:$A$503,$A35,取得日!$B$4:$B$503,"&gt;="&amp;IF(DAY(EDATE($J35,12*($AD35-1)))&lt;DAY($J35),EDATE($J35,12*($AD35-1))+1,EDATE($J35,12*($AD35-1))),取得日!$B$4:$B$503,"&lt;"&amp;$L35,取得日!$D$4:$D$503,"&lt;&gt;時間単位")))</f>
        <v/>
      </c>
    </row>
    <row r="36" ht="21" customHeight="1">
      <c r="A36" s="12" t="n"/>
      <c r="B36" s="13" t="n"/>
      <c r="C36" s="14" t="n"/>
      <c r="D36" s="14" t="n"/>
      <c r="E36" s="14" t="n"/>
      <c r="F36" s="14" t="n"/>
      <c r="G36" s="14" t="n"/>
      <c r="H36" s="13" t="n"/>
      <c r="I36" s="9" t="str">
        <f>IF($B36="","",IF(N($E36)&gt;=30,"通常",IF(N($C36)&gt;=5,"通常",IF(N($C36)&gt;0,IF($C36=INT($C36),$C36&amp;"日","区分外（表に定めなし）"),IF(N($D36)&gt;=217,"通常",IF(N($D36)&gt;=169,"4日",IF(N($D36)&gt;=121,"3日",IF(N($D36)&gt;=73,"2日",IF(N($D36)&gt;=48,"1日",IF(N($D36)&gt;0,"区分外（表に定めなし）","入力待ち"))))))))))</f>
        <v/>
      </c>
      <c r="J36" s="15" t="str">
        <f>IF($B36="","",IF($H36&lt;&gt;"",$H36,IF(DAY(EDATE($B36,6))&lt;DAY($B36),EDATE($B36,6)+1,EDATE($B36,6))))</f>
        <v/>
      </c>
      <c r="K36" s="16" t="str">
        <f>IF($J36="","",$AD36+1)</f>
        <v/>
      </c>
      <c r="L36" s="15" t="str">
        <f>IF($J36="","",IF($K36=0,"未到達",IF(DAY(EDATE($J36,12*($AD36)))&lt;DAY($J36),EDATE($J36,12*($AD36))+1,EDATE($J36,12*($AD36)))))</f>
        <v/>
      </c>
      <c r="M36" s="15" t="str">
        <f>IF($J36="","",IF(DAY(EDATE($J36,12*($AD36+1)))&lt;DAY($J36),EDATE($J36,12*($AD36+1))+1,EDATE($J36,12*($AD36+1))))</f>
        <v/>
      </c>
      <c r="N36" s="16" t="str">
        <f>IF($J36="","",IF($K36=0,0,6+12*($K36-1)))</f>
        <v/>
      </c>
      <c r="O36" s="16" t="str">
        <f>IF(OR($J36="",$I36="入力待ち"),"",IF($K36=0,0,IF($G36="×",0,IF(LEFT($I36,3)="区分外","",INDEX(tbl_fuyo,MATCH($I36,区分名,0),MIN($K36,7))))))</f>
        <v/>
      </c>
      <c r="P36" s="9" t="str">
        <f>IF($O36="","",IF($O36&gt;=10,"対象","対象外"))</f>
        <v/>
      </c>
      <c r="Q36" s="17" t="str">
        <f>IF($J36="","",IF($H36&lt;&gt;"","前倒し：出ません",IF($P36="対象",IF(DAY(EDATE($L36,12))&lt;DAY($L36),EDATE($L36,12),EDATE($L36,12)-1),"")))</f>
        <v/>
      </c>
      <c r="R36" s="18" t="str">
        <f>IF($P36="対象",$AE36,"")</f>
        <v/>
      </c>
      <c r="S36" s="19" t="str">
        <f>IF($J36="","",IF($H36&lt;&gt;"",IF($P36="対象","前倒し：出ません",""),IF($P36="対象",MAX(0,年5日-$R36),"")))</f>
        <v/>
      </c>
      <c r="T36" s="16" t="str">
        <f>IF($J36="","",IF(AND($H36="",$P36="対象"),$Q36-判定日,""))</f>
        <v/>
      </c>
      <c r="U36" s="20" t="str">
        <f>IF($J36="","",IF($K36=0,"未到達",IF($H36&lt;&gt;"",IF($P36="対象","前倒し：出ません","対象外"),IF($P36&lt;&gt;"対象","対象外",IF($S36=0,"達成",IF($T36&lt;=警告日数,"要時季指定","進行中"))))))</f>
        <v/>
      </c>
      <c r="V36" s="20" t="str">
        <f>IF($J36="","",IF($K36&lt;2,"－",IF($H36&lt;&gt;"","前倒し：出ません",IF($W36="","－",IF($W36&lt;10,"対象外",IF($AF36&gt;=5,"達成","未達（期限超過）"))))))</f>
        <v/>
      </c>
      <c r="W36" s="16" t="str">
        <f>IF($J36="","",IF($K36&lt;2,"",IF(OR($I36="入力待ち",LEFT($I36,3)="区分外"),"",INDEX(tbl_fuyo,MATCH($I36,区分名,0),MIN($K36-1,7)))))</f>
        <v/>
      </c>
      <c r="X36" s="16" t="str">
        <f>IF($J36="","",IF($K36=0,"",IF($K36&lt;2,0,MIN(N($F36),N($W36)))))</f>
        <v/>
      </c>
      <c r="Y36" s="18" t="str">
        <f>IF(OR($J36="",$O36="",N($K36)=0),"",$X36+$O36-$AE36)</f>
        <v/>
      </c>
      <c r="Z36" s="21" t="str">
        <f>IF(OR($J36="",N($K36)=0),"",SUMIFS(取得日!$E$4:$E$503,取得日!$A$4:$A$503,$A36,取得日!$B$4:$B$503,"&gt;="&amp;$L36,取得日!$B$4:$B$503,"&lt;="&amp;IF(ISNUMBER($Q36),$Q36,$M36-1),取得日!$D$4:$D$503,"時間単位"))</f>
        <v/>
      </c>
      <c r="AA36" s="11" t="str">
        <f>IF($J36="","",(YEAR(判定日)-YEAR($J36))*12+MONTH(判定日)-MONTH($J36))</f>
        <v/>
      </c>
      <c r="AB36" s="11" t="str">
        <f>IF($J36="","",IF(判定日&lt;$J36,-1,INT($AA36/12)))</f>
        <v/>
      </c>
      <c r="AC36" s="22" t="str">
        <f>IF(OR($J36="",N($AB36)&lt;0),"",IF(DAY(EDATE($J36,12*($AB36)))&lt;DAY($J36),EDATE($J36,12*($AB36))+1,EDATE($J36,12*($AB36))))</f>
        <v/>
      </c>
      <c r="AD36" s="11" t="str">
        <f>IF($J36="","",IF($AB36&lt;0,-1,$AB36-IF($AC36&gt;判定日,1,0)))</f>
        <v/>
      </c>
      <c r="AE36" s="11" t="str">
        <f>IF(OR($J36="",N($K36)=0),"",SUMIFS(取得日!$C$4:$C$503,取得日!$A$4:$A$503,$A36,取得日!$B$4:$B$503,"&gt;="&amp;$L36,取得日!$B$4:$B$503,"&lt;="&amp;IF(ISNUMBER($Q36),$Q36,$M36-1),取得日!$D$4:$D$503,"&lt;&gt;時間単位"))</f>
        <v/>
      </c>
      <c r="AF36" s="11" t="str">
        <f>IF($J36="","",IF($K36&lt;2,"",SUMIFS(取得日!$C$4:$C$503,取得日!$A$4:$A$503,$A36,取得日!$B$4:$B$503,"&gt;="&amp;IF(DAY(EDATE($J36,12*($AD36-1)))&lt;DAY($J36),EDATE($J36,12*($AD36-1))+1,EDATE($J36,12*($AD36-1))),取得日!$B$4:$B$503,"&lt;"&amp;$L36,取得日!$D$4:$D$503,"&lt;&gt;時間単位")))</f>
        <v/>
      </c>
    </row>
    <row r="37" ht="21" customHeight="1">
      <c r="A37" s="12" t="n"/>
      <c r="B37" s="13" t="n"/>
      <c r="C37" s="14" t="n"/>
      <c r="D37" s="14" t="n"/>
      <c r="E37" s="14" t="n"/>
      <c r="F37" s="14" t="n"/>
      <c r="G37" s="14" t="n"/>
      <c r="H37" s="13" t="n"/>
      <c r="I37" s="23" t="str">
        <f>IF($B37="","",IF(N($E37)&gt;=30,"通常",IF(N($C37)&gt;=5,"通常",IF(N($C37)&gt;0,IF($C37=INT($C37),$C37&amp;"日","区分外（表に定めなし）"),IF(N($D37)&gt;=217,"通常",IF(N($D37)&gt;=169,"4日",IF(N($D37)&gt;=121,"3日",IF(N($D37)&gt;=73,"2日",IF(N($D37)&gt;=48,"1日",IF(N($D37)&gt;0,"区分外（表に定めなし）","入力待ち"))))))))))</f>
        <v/>
      </c>
      <c r="J37" s="24" t="str">
        <f>IF($B37="","",IF($H37&lt;&gt;"",$H37,IF(DAY(EDATE($B37,6))&lt;DAY($B37),EDATE($B37,6)+1,EDATE($B37,6))))</f>
        <v/>
      </c>
      <c r="K37" s="25" t="str">
        <f>IF($J37="","",$AD37+1)</f>
        <v/>
      </c>
      <c r="L37" s="24" t="str">
        <f>IF($J37="","",IF($K37=0,"未到達",IF(DAY(EDATE($J37,12*($AD37)))&lt;DAY($J37),EDATE($J37,12*($AD37))+1,EDATE($J37,12*($AD37)))))</f>
        <v/>
      </c>
      <c r="M37" s="24" t="str">
        <f>IF($J37="","",IF(DAY(EDATE($J37,12*($AD37+1)))&lt;DAY($J37),EDATE($J37,12*($AD37+1))+1,EDATE($J37,12*($AD37+1))))</f>
        <v/>
      </c>
      <c r="N37" s="25" t="str">
        <f>IF($J37="","",IF($K37=0,0,6+12*($K37-1)))</f>
        <v/>
      </c>
      <c r="O37" s="25" t="str">
        <f>IF(OR($J37="",$I37="入力待ち"),"",IF($K37=0,0,IF($G37="×",0,IF(LEFT($I37,3)="区分外","",INDEX(tbl_fuyo,MATCH($I37,区分名,0),MIN($K37,7))))))</f>
        <v/>
      </c>
      <c r="P37" s="23" t="str">
        <f>IF($O37="","",IF($O37&gt;=10,"対象","対象外"))</f>
        <v/>
      </c>
      <c r="Q37" s="26" t="str">
        <f>IF($J37="","",IF($H37&lt;&gt;"","前倒し：出ません",IF($P37="対象",IF(DAY(EDATE($L37,12))&lt;DAY($L37),EDATE($L37,12),EDATE($L37,12)-1),"")))</f>
        <v/>
      </c>
      <c r="R37" s="27" t="str">
        <f>IF($P37="対象",$AE37,"")</f>
        <v/>
      </c>
      <c r="S37" s="28" t="str">
        <f>IF($J37="","",IF($H37&lt;&gt;"",IF($P37="対象","前倒し：出ません",""),IF($P37="対象",MAX(0,年5日-$R37),"")))</f>
        <v/>
      </c>
      <c r="T37" s="25" t="str">
        <f>IF($J37="","",IF(AND($H37="",$P37="対象"),$Q37-判定日,""))</f>
        <v/>
      </c>
      <c r="U37" s="29" t="str">
        <f>IF($J37="","",IF($K37=0,"未到達",IF($H37&lt;&gt;"",IF($P37="対象","前倒し：出ません","対象外"),IF($P37&lt;&gt;"対象","対象外",IF($S37=0,"達成",IF($T37&lt;=警告日数,"要時季指定","進行中"))))))</f>
        <v/>
      </c>
      <c r="V37" s="29" t="str">
        <f>IF($J37="","",IF($K37&lt;2,"－",IF($H37&lt;&gt;"","前倒し：出ません",IF($W37="","－",IF($W37&lt;10,"対象外",IF($AF37&gt;=5,"達成","未達（期限超過）"))))))</f>
        <v/>
      </c>
      <c r="W37" s="25" t="str">
        <f>IF($J37="","",IF($K37&lt;2,"",IF(OR($I37="入力待ち",LEFT($I37,3)="区分外"),"",INDEX(tbl_fuyo,MATCH($I37,区分名,0),MIN($K37-1,7)))))</f>
        <v/>
      </c>
      <c r="X37" s="25" t="str">
        <f>IF($J37="","",IF($K37=0,"",IF($K37&lt;2,0,MIN(N($F37),N($W37)))))</f>
        <v/>
      </c>
      <c r="Y37" s="27" t="str">
        <f>IF(OR($J37="",$O37="",N($K37)=0),"",$X37+$O37-$AE37)</f>
        <v/>
      </c>
      <c r="Z37" s="30" t="str">
        <f>IF(OR($J37="",N($K37)=0),"",SUMIFS(取得日!$E$4:$E$503,取得日!$A$4:$A$503,$A37,取得日!$B$4:$B$503,"&gt;="&amp;$L37,取得日!$B$4:$B$503,"&lt;="&amp;IF(ISNUMBER($Q37),$Q37,$M37-1),取得日!$D$4:$D$503,"時間単位"))</f>
        <v/>
      </c>
      <c r="AA37" s="11" t="str">
        <f>IF($J37="","",(YEAR(判定日)-YEAR($J37))*12+MONTH(判定日)-MONTH($J37))</f>
        <v/>
      </c>
      <c r="AB37" s="11" t="str">
        <f>IF($J37="","",IF(判定日&lt;$J37,-1,INT($AA37/12)))</f>
        <v/>
      </c>
      <c r="AC37" s="22" t="str">
        <f>IF(OR($J37="",N($AB37)&lt;0),"",IF(DAY(EDATE($J37,12*($AB37)))&lt;DAY($J37),EDATE($J37,12*($AB37))+1,EDATE($J37,12*($AB37))))</f>
        <v/>
      </c>
      <c r="AD37" s="11" t="str">
        <f>IF($J37="","",IF($AB37&lt;0,-1,$AB37-IF($AC37&gt;判定日,1,0)))</f>
        <v/>
      </c>
      <c r="AE37" s="11" t="str">
        <f>IF(OR($J37="",N($K37)=0),"",SUMIFS(取得日!$C$4:$C$503,取得日!$A$4:$A$503,$A37,取得日!$B$4:$B$503,"&gt;="&amp;$L37,取得日!$B$4:$B$503,"&lt;="&amp;IF(ISNUMBER($Q37),$Q37,$M37-1),取得日!$D$4:$D$503,"&lt;&gt;時間単位"))</f>
        <v/>
      </c>
      <c r="AF37" s="11" t="str">
        <f>IF($J37="","",IF($K37&lt;2,"",SUMIFS(取得日!$C$4:$C$503,取得日!$A$4:$A$503,$A37,取得日!$B$4:$B$503,"&gt;="&amp;IF(DAY(EDATE($J37,12*($AD37-1)))&lt;DAY($J37),EDATE($J37,12*($AD37-1))+1,EDATE($J37,12*($AD37-1))),取得日!$B$4:$B$503,"&lt;"&amp;$L37,取得日!$D$4:$D$503,"&lt;&gt;時間単位")))</f>
        <v/>
      </c>
    </row>
    <row r="38" ht="21" customHeight="1">
      <c r="A38" s="12" t="n"/>
      <c r="B38" s="13" t="n"/>
      <c r="C38" s="14" t="n"/>
      <c r="D38" s="14" t="n"/>
      <c r="E38" s="14" t="n"/>
      <c r="F38" s="14" t="n"/>
      <c r="G38" s="14" t="n"/>
      <c r="H38" s="13" t="n"/>
      <c r="I38" s="9" t="str">
        <f>IF($B38="","",IF(N($E38)&gt;=30,"通常",IF(N($C38)&gt;=5,"通常",IF(N($C38)&gt;0,IF($C38=INT($C38),$C38&amp;"日","区分外（表に定めなし）"),IF(N($D38)&gt;=217,"通常",IF(N($D38)&gt;=169,"4日",IF(N($D38)&gt;=121,"3日",IF(N($D38)&gt;=73,"2日",IF(N($D38)&gt;=48,"1日",IF(N($D38)&gt;0,"区分外（表に定めなし）","入力待ち"))))))))))</f>
        <v/>
      </c>
      <c r="J38" s="15" t="str">
        <f>IF($B38="","",IF($H38&lt;&gt;"",$H38,IF(DAY(EDATE($B38,6))&lt;DAY($B38),EDATE($B38,6)+1,EDATE($B38,6))))</f>
        <v/>
      </c>
      <c r="K38" s="16" t="str">
        <f>IF($J38="","",$AD38+1)</f>
        <v/>
      </c>
      <c r="L38" s="15" t="str">
        <f>IF($J38="","",IF($K38=0,"未到達",IF(DAY(EDATE($J38,12*($AD38)))&lt;DAY($J38),EDATE($J38,12*($AD38))+1,EDATE($J38,12*($AD38)))))</f>
        <v/>
      </c>
      <c r="M38" s="15" t="str">
        <f>IF($J38="","",IF(DAY(EDATE($J38,12*($AD38+1)))&lt;DAY($J38),EDATE($J38,12*($AD38+1))+1,EDATE($J38,12*($AD38+1))))</f>
        <v/>
      </c>
      <c r="N38" s="16" t="str">
        <f>IF($J38="","",IF($K38=0,0,6+12*($K38-1)))</f>
        <v/>
      </c>
      <c r="O38" s="16" t="str">
        <f>IF(OR($J38="",$I38="入力待ち"),"",IF($K38=0,0,IF($G38="×",0,IF(LEFT($I38,3)="区分外","",INDEX(tbl_fuyo,MATCH($I38,区分名,0),MIN($K38,7))))))</f>
        <v/>
      </c>
      <c r="P38" s="9" t="str">
        <f>IF($O38="","",IF($O38&gt;=10,"対象","対象外"))</f>
        <v/>
      </c>
      <c r="Q38" s="17" t="str">
        <f>IF($J38="","",IF($H38&lt;&gt;"","前倒し：出ません",IF($P38="対象",IF(DAY(EDATE($L38,12))&lt;DAY($L38),EDATE($L38,12),EDATE($L38,12)-1),"")))</f>
        <v/>
      </c>
      <c r="R38" s="18" t="str">
        <f>IF($P38="対象",$AE38,"")</f>
        <v/>
      </c>
      <c r="S38" s="19" t="str">
        <f>IF($J38="","",IF($H38&lt;&gt;"",IF($P38="対象","前倒し：出ません",""),IF($P38="対象",MAX(0,年5日-$R38),"")))</f>
        <v/>
      </c>
      <c r="T38" s="16" t="str">
        <f>IF($J38="","",IF(AND($H38="",$P38="対象"),$Q38-判定日,""))</f>
        <v/>
      </c>
      <c r="U38" s="20" t="str">
        <f>IF($J38="","",IF($K38=0,"未到達",IF($H38&lt;&gt;"",IF($P38="対象","前倒し：出ません","対象外"),IF($P38&lt;&gt;"対象","対象外",IF($S38=0,"達成",IF($T38&lt;=警告日数,"要時季指定","進行中"))))))</f>
        <v/>
      </c>
      <c r="V38" s="20" t="str">
        <f>IF($J38="","",IF($K38&lt;2,"－",IF($H38&lt;&gt;"","前倒し：出ません",IF($W38="","－",IF($W38&lt;10,"対象外",IF($AF38&gt;=5,"達成","未達（期限超過）"))))))</f>
        <v/>
      </c>
      <c r="W38" s="16" t="str">
        <f>IF($J38="","",IF($K38&lt;2,"",IF(OR($I38="入力待ち",LEFT($I38,3)="区分外"),"",INDEX(tbl_fuyo,MATCH($I38,区分名,0),MIN($K38-1,7)))))</f>
        <v/>
      </c>
      <c r="X38" s="16" t="str">
        <f>IF($J38="","",IF($K38=0,"",IF($K38&lt;2,0,MIN(N($F38),N($W38)))))</f>
        <v/>
      </c>
      <c r="Y38" s="18" t="str">
        <f>IF(OR($J38="",$O38="",N($K38)=0),"",$X38+$O38-$AE38)</f>
        <v/>
      </c>
      <c r="Z38" s="21" t="str">
        <f>IF(OR($J38="",N($K38)=0),"",SUMIFS(取得日!$E$4:$E$503,取得日!$A$4:$A$503,$A38,取得日!$B$4:$B$503,"&gt;="&amp;$L38,取得日!$B$4:$B$503,"&lt;="&amp;IF(ISNUMBER($Q38),$Q38,$M38-1),取得日!$D$4:$D$503,"時間単位"))</f>
        <v/>
      </c>
      <c r="AA38" s="11" t="str">
        <f>IF($J38="","",(YEAR(判定日)-YEAR($J38))*12+MONTH(判定日)-MONTH($J38))</f>
        <v/>
      </c>
      <c r="AB38" s="11" t="str">
        <f>IF($J38="","",IF(判定日&lt;$J38,-1,INT($AA38/12)))</f>
        <v/>
      </c>
      <c r="AC38" s="22" t="str">
        <f>IF(OR($J38="",N($AB38)&lt;0),"",IF(DAY(EDATE($J38,12*($AB38)))&lt;DAY($J38),EDATE($J38,12*($AB38))+1,EDATE($J38,12*($AB38))))</f>
        <v/>
      </c>
      <c r="AD38" s="11" t="str">
        <f>IF($J38="","",IF($AB38&lt;0,-1,$AB38-IF($AC38&gt;判定日,1,0)))</f>
        <v/>
      </c>
      <c r="AE38" s="11" t="str">
        <f>IF(OR($J38="",N($K38)=0),"",SUMIFS(取得日!$C$4:$C$503,取得日!$A$4:$A$503,$A38,取得日!$B$4:$B$503,"&gt;="&amp;$L38,取得日!$B$4:$B$503,"&lt;="&amp;IF(ISNUMBER($Q38),$Q38,$M38-1),取得日!$D$4:$D$503,"&lt;&gt;時間単位"))</f>
        <v/>
      </c>
      <c r="AF38" s="11" t="str">
        <f>IF($J38="","",IF($K38&lt;2,"",SUMIFS(取得日!$C$4:$C$503,取得日!$A$4:$A$503,$A38,取得日!$B$4:$B$503,"&gt;="&amp;IF(DAY(EDATE($J38,12*($AD38-1)))&lt;DAY($J38),EDATE($J38,12*($AD38-1))+1,EDATE($J38,12*($AD38-1))),取得日!$B$4:$B$503,"&lt;"&amp;$L38,取得日!$D$4:$D$503,"&lt;&gt;時間単位")))</f>
        <v/>
      </c>
    </row>
    <row r="39" ht="21" customHeight="1">
      <c r="A39" s="12" t="n"/>
      <c r="B39" s="13" t="n"/>
      <c r="C39" s="14" t="n"/>
      <c r="D39" s="14" t="n"/>
      <c r="E39" s="14" t="n"/>
      <c r="F39" s="14" t="n"/>
      <c r="G39" s="14" t="n"/>
      <c r="H39" s="13" t="n"/>
      <c r="I39" s="23" t="str">
        <f>IF($B39="","",IF(N($E39)&gt;=30,"通常",IF(N($C39)&gt;=5,"通常",IF(N($C39)&gt;0,IF($C39=INT($C39),$C39&amp;"日","区分外（表に定めなし）"),IF(N($D39)&gt;=217,"通常",IF(N($D39)&gt;=169,"4日",IF(N($D39)&gt;=121,"3日",IF(N($D39)&gt;=73,"2日",IF(N($D39)&gt;=48,"1日",IF(N($D39)&gt;0,"区分外（表に定めなし）","入力待ち"))))))))))</f>
        <v/>
      </c>
      <c r="J39" s="24" t="str">
        <f>IF($B39="","",IF($H39&lt;&gt;"",$H39,IF(DAY(EDATE($B39,6))&lt;DAY($B39),EDATE($B39,6)+1,EDATE($B39,6))))</f>
        <v/>
      </c>
      <c r="K39" s="25" t="str">
        <f>IF($J39="","",$AD39+1)</f>
        <v/>
      </c>
      <c r="L39" s="24" t="str">
        <f>IF($J39="","",IF($K39=0,"未到達",IF(DAY(EDATE($J39,12*($AD39)))&lt;DAY($J39),EDATE($J39,12*($AD39))+1,EDATE($J39,12*($AD39)))))</f>
        <v/>
      </c>
      <c r="M39" s="24" t="str">
        <f>IF($J39="","",IF(DAY(EDATE($J39,12*($AD39+1)))&lt;DAY($J39),EDATE($J39,12*($AD39+1))+1,EDATE($J39,12*($AD39+1))))</f>
        <v/>
      </c>
      <c r="N39" s="25" t="str">
        <f>IF($J39="","",IF($K39=0,0,6+12*($K39-1)))</f>
        <v/>
      </c>
      <c r="O39" s="25" t="str">
        <f>IF(OR($J39="",$I39="入力待ち"),"",IF($K39=0,0,IF($G39="×",0,IF(LEFT($I39,3)="区分外","",INDEX(tbl_fuyo,MATCH($I39,区分名,0),MIN($K39,7))))))</f>
        <v/>
      </c>
      <c r="P39" s="23" t="str">
        <f>IF($O39="","",IF($O39&gt;=10,"対象","対象外"))</f>
        <v/>
      </c>
      <c r="Q39" s="26" t="str">
        <f>IF($J39="","",IF($H39&lt;&gt;"","前倒し：出ません",IF($P39="対象",IF(DAY(EDATE($L39,12))&lt;DAY($L39),EDATE($L39,12),EDATE($L39,12)-1),"")))</f>
        <v/>
      </c>
      <c r="R39" s="27" t="str">
        <f>IF($P39="対象",$AE39,"")</f>
        <v/>
      </c>
      <c r="S39" s="28" t="str">
        <f>IF($J39="","",IF($H39&lt;&gt;"",IF($P39="対象","前倒し：出ません",""),IF($P39="対象",MAX(0,年5日-$R39),"")))</f>
        <v/>
      </c>
      <c r="T39" s="25" t="str">
        <f>IF($J39="","",IF(AND($H39="",$P39="対象"),$Q39-判定日,""))</f>
        <v/>
      </c>
      <c r="U39" s="29" t="str">
        <f>IF($J39="","",IF($K39=0,"未到達",IF($H39&lt;&gt;"",IF($P39="対象","前倒し：出ません","対象外"),IF($P39&lt;&gt;"対象","対象外",IF($S39=0,"達成",IF($T39&lt;=警告日数,"要時季指定","進行中"))))))</f>
        <v/>
      </c>
      <c r="V39" s="29" t="str">
        <f>IF($J39="","",IF($K39&lt;2,"－",IF($H39&lt;&gt;"","前倒し：出ません",IF($W39="","－",IF($W39&lt;10,"対象外",IF($AF39&gt;=5,"達成","未達（期限超過）"))))))</f>
        <v/>
      </c>
      <c r="W39" s="25" t="str">
        <f>IF($J39="","",IF($K39&lt;2,"",IF(OR($I39="入力待ち",LEFT($I39,3)="区分外"),"",INDEX(tbl_fuyo,MATCH($I39,区分名,0),MIN($K39-1,7)))))</f>
        <v/>
      </c>
      <c r="X39" s="25" t="str">
        <f>IF($J39="","",IF($K39=0,"",IF($K39&lt;2,0,MIN(N($F39),N($W39)))))</f>
        <v/>
      </c>
      <c r="Y39" s="27" t="str">
        <f>IF(OR($J39="",$O39="",N($K39)=0),"",$X39+$O39-$AE39)</f>
        <v/>
      </c>
      <c r="Z39" s="30" t="str">
        <f>IF(OR($J39="",N($K39)=0),"",SUMIFS(取得日!$E$4:$E$503,取得日!$A$4:$A$503,$A39,取得日!$B$4:$B$503,"&gt;="&amp;$L39,取得日!$B$4:$B$503,"&lt;="&amp;IF(ISNUMBER($Q39),$Q39,$M39-1),取得日!$D$4:$D$503,"時間単位"))</f>
        <v/>
      </c>
      <c r="AA39" s="11" t="str">
        <f>IF($J39="","",(YEAR(判定日)-YEAR($J39))*12+MONTH(判定日)-MONTH($J39))</f>
        <v/>
      </c>
      <c r="AB39" s="11" t="str">
        <f>IF($J39="","",IF(判定日&lt;$J39,-1,INT($AA39/12)))</f>
        <v/>
      </c>
      <c r="AC39" s="22" t="str">
        <f>IF(OR($J39="",N($AB39)&lt;0),"",IF(DAY(EDATE($J39,12*($AB39)))&lt;DAY($J39),EDATE($J39,12*($AB39))+1,EDATE($J39,12*($AB39))))</f>
        <v/>
      </c>
      <c r="AD39" s="11" t="str">
        <f>IF($J39="","",IF($AB39&lt;0,-1,$AB39-IF($AC39&gt;判定日,1,0)))</f>
        <v/>
      </c>
      <c r="AE39" s="11" t="str">
        <f>IF(OR($J39="",N($K39)=0),"",SUMIFS(取得日!$C$4:$C$503,取得日!$A$4:$A$503,$A39,取得日!$B$4:$B$503,"&gt;="&amp;$L39,取得日!$B$4:$B$503,"&lt;="&amp;IF(ISNUMBER($Q39),$Q39,$M39-1),取得日!$D$4:$D$503,"&lt;&gt;時間単位"))</f>
        <v/>
      </c>
      <c r="AF39" s="11" t="str">
        <f>IF($J39="","",IF($K39&lt;2,"",SUMIFS(取得日!$C$4:$C$503,取得日!$A$4:$A$503,$A39,取得日!$B$4:$B$503,"&gt;="&amp;IF(DAY(EDATE($J39,12*($AD39-1)))&lt;DAY($J39),EDATE($J39,12*($AD39-1))+1,EDATE($J39,12*($AD39-1))),取得日!$B$4:$B$503,"&lt;"&amp;$L39,取得日!$D$4:$D$503,"&lt;&gt;時間単位")))</f>
        <v/>
      </c>
    </row>
    <row r="40" ht="21" customHeight="1">
      <c r="A40" s="12" t="n"/>
      <c r="B40" s="13" t="n"/>
      <c r="C40" s="14" t="n"/>
      <c r="D40" s="14" t="n"/>
      <c r="E40" s="14" t="n"/>
      <c r="F40" s="14" t="n"/>
      <c r="G40" s="14" t="n"/>
      <c r="H40" s="13" t="n"/>
      <c r="I40" s="9" t="str">
        <f>IF($B40="","",IF(N($E40)&gt;=30,"通常",IF(N($C40)&gt;=5,"通常",IF(N($C40)&gt;0,IF($C40=INT($C40),$C40&amp;"日","区分外（表に定めなし）"),IF(N($D40)&gt;=217,"通常",IF(N($D40)&gt;=169,"4日",IF(N($D40)&gt;=121,"3日",IF(N($D40)&gt;=73,"2日",IF(N($D40)&gt;=48,"1日",IF(N($D40)&gt;0,"区分外（表に定めなし）","入力待ち"))))))))))</f>
        <v/>
      </c>
      <c r="J40" s="15" t="str">
        <f>IF($B40="","",IF($H40&lt;&gt;"",$H40,IF(DAY(EDATE($B40,6))&lt;DAY($B40),EDATE($B40,6)+1,EDATE($B40,6))))</f>
        <v/>
      </c>
      <c r="K40" s="16" t="str">
        <f>IF($J40="","",$AD40+1)</f>
        <v/>
      </c>
      <c r="L40" s="15" t="str">
        <f>IF($J40="","",IF($K40=0,"未到達",IF(DAY(EDATE($J40,12*($AD40)))&lt;DAY($J40),EDATE($J40,12*($AD40))+1,EDATE($J40,12*($AD40)))))</f>
        <v/>
      </c>
      <c r="M40" s="15" t="str">
        <f>IF($J40="","",IF(DAY(EDATE($J40,12*($AD40+1)))&lt;DAY($J40),EDATE($J40,12*($AD40+1))+1,EDATE($J40,12*($AD40+1))))</f>
        <v/>
      </c>
      <c r="N40" s="16" t="str">
        <f>IF($J40="","",IF($K40=0,0,6+12*($K40-1)))</f>
        <v/>
      </c>
      <c r="O40" s="16" t="str">
        <f>IF(OR($J40="",$I40="入力待ち"),"",IF($K40=0,0,IF($G40="×",0,IF(LEFT($I40,3)="区分外","",INDEX(tbl_fuyo,MATCH($I40,区分名,0),MIN($K40,7))))))</f>
        <v/>
      </c>
      <c r="P40" s="9" t="str">
        <f>IF($O40="","",IF($O40&gt;=10,"対象","対象外"))</f>
        <v/>
      </c>
      <c r="Q40" s="17" t="str">
        <f>IF($J40="","",IF($H40&lt;&gt;"","前倒し：出ません",IF($P40="対象",IF(DAY(EDATE($L40,12))&lt;DAY($L40),EDATE($L40,12),EDATE($L40,12)-1),"")))</f>
        <v/>
      </c>
      <c r="R40" s="18" t="str">
        <f>IF($P40="対象",$AE40,"")</f>
        <v/>
      </c>
      <c r="S40" s="19" t="str">
        <f>IF($J40="","",IF($H40&lt;&gt;"",IF($P40="対象","前倒し：出ません",""),IF($P40="対象",MAX(0,年5日-$R40),"")))</f>
        <v/>
      </c>
      <c r="T40" s="16" t="str">
        <f>IF($J40="","",IF(AND($H40="",$P40="対象"),$Q40-判定日,""))</f>
        <v/>
      </c>
      <c r="U40" s="20" t="str">
        <f>IF($J40="","",IF($K40=0,"未到達",IF($H40&lt;&gt;"",IF($P40="対象","前倒し：出ません","対象外"),IF($P40&lt;&gt;"対象","対象外",IF($S40=0,"達成",IF($T40&lt;=警告日数,"要時季指定","進行中"))))))</f>
        <v/>
      </c>
      <c r="V40" s="20" t="str">
        <f>IF($J40="","",IF($K40&lt;2,"－",IF($H40&lt;&gt;"","前倒し：出ません",IF($W40="","－",IF($W40&lt;10,"対象外",IF($AF40&gt;=5,"達成","未達（期限超過）"))))))</f>
        <v/>
      </c>
      <c r="W40" s="16" t="str">
        <f>IF($J40="","",IF($K40&lt;2,"",IF(OR($I40="入力待ち",LEFT($I40,3)="区分外"),"",INDEX(tbl_fuyo,MATCH($I40,区分名,0),MIN($K40-1,7)))))</f>
        <v/>
      </c>
      <c r="X40" s="16" t="str">
        <f>IF($J40="","",IF($K40=0,"",IF($K40&lt;2,0,MIN(N($F40),N($W40)))))</f>
        <v/>
      </c>
      <c r="Y40" s="18" t="str">
        <f>IF(OR($J40="",$O40="",N($K40)=0),"",$X40+$O40-$AE40)</f>
        <v/>
      </c>
      <c r="Z40" s="21" t="str">
        <f>IF(OR($J40="",N($K40)=0),"",SUMIFS(取得日!$E$4:$E$503,取得日!$A$4:$A$503,$A40,取得日!$B$4:$B$503,"&gt;="&amp;$L40,取得日!$B$4:$B$503,"&lt;="&amp;IF(ISNUMBER($Q40),$Q40,$M40-1),取得日!$D$4:$D$503,"時間単位"))</f>
        <v/>
      </c>
      <c r="AA40" s="11" t="str">
        <f>IF($J40="","",(YEAR(判定日)-YEAR($J40))*12+MONTH(判定日)-MONTH($J40))</f>
        <v/>
      </c>
      <c r="AB40" s="11" t="str">
        <f>IF($J40="","",IF(判定日&lt;$J40,-1,INT($AA40/12)))</f>
        <v/>
      </c>
      <c r="AC40" s="22" t="str">
        <f>IF(OR($J40="",N($AB40)&lt;0),"",IF(DAY(EDATE($J40,12*($AB40)))&lt;DAY($J40),EDATE($J40,12*($AB40))+1,EDATE($J40,12*($AB40))))</f>
        <v/>
      </c>
      <c r="AD40" s="11" t="str">
        <f>IF($J40="","",IF($AB40&lt;0,-1,$AB40-IF($AC40&gt;判定日,1,0)))</f>
        <v/>
      </c>
      <c r="AE40" s="11" t="str">
        <f>IF(OR($J40="",N($K40)=0),"",SUMIFS(取得日!$C$4:$C$503,取得日!$A$4:$A$503,$A40,取得日!$B$4:$B$503,"&gt;="&amp;$L40,取得日!$B$4:$B$503,"&lt;="&amp;IF(ISNUMBER($Q40),$Q40,$M40-1),取得日!$D$4:$D$503,"&lt;&gt;時間単位"))</f>
        <v/>
      </c>
      <c r="AF40" s="11" t="str">
        <f>IF($J40="","",IF($K40&lt;2,"",SUMIFS(取得日!$C$4:$C$503,取得日!$A$4:$A$503,$A40,取得日!$B$4:$B$503,"&gt;="&amp;IF(DAY(EDATE($J40,12*($AD40-1)))&lt;DAY($J40),EDATE($J40,12*($AD40-1))+1,EDATE($J40,12*($AD40-1))),取得日!$B$4:$B$503,"&lt;"&amp;$L40,取得日!$D$4:$D$503,"&lt;&gt;時間単位")))</f>
        <v/>
      </c>
    </row>
    <row r="41" ht="21" customHeight="1">
      <c r="A41" s="12" t="n"/>
      <c r="B41" s="13" t="n"/>
      <c r="C41" s="14" t="n"/>
      <c r="D41" s="14" t="n"/>
      <c r="E41" s="14" t="n"/>
      <c r="F41" s="14" t="n"/>
      <c r="G41" s="14" t="n"/>
      <c r="H41" s="13" t="n"/>
      <c r="I41" s="23" t="str">
        <f>IF($B41="","",IF(N($E41)&gt;=30,"通常",IF(N($C41)&gt;=5,"通常",IF(N($C41)&gt;0,IF($C41=INT($C41),$C41&amp;"日","区分外（表に定めなし）"),IF(N($D41)&gt;=217,"通常",IF(N($D41)&gt;=169,"4日",IF(N($D41)&gt;=121,"3日",IF(N($D41)&gt;=73,"2日",IF(N($D41)&gt;=48,"1日",IF(N($D41)&gt;0,"区分外（表に定めなし）","入力待ち"))))))))))</f>
        <v/>
      </c>
      <c r="J41" s="24" t="str">
        <f>IF($B41="","",IF($H41&lt;&gt;"",$H41,IF(DAY(EDATE($B41,6))&lt;DAY($B41),EDATE($B41,6)+1,EDATE($B41,6))))</f>
        <v/>
      </c>
      <c r="K41" s="25" t="str">
        <f>IF($J41="","",$AD41+1)</f>
        <v/>
      </c>
      <c r="L41" s="24" t="str">
        <f>IF($J41="","",IF($K41=0,"未到達",IF(DAY(EDATE($J41,12*($AD41)))&lt;DAY($J41),EDATE($J41,12*($AD41))+1,EDATE($J41,12*($AD41)))))</f>
        <v/>
      </c>
      <c r="M41" s="24" t="str">
        <f>IF($J41="","",IF(DAY(EDATE($J41,12*($AD41+1)))&lt;DAY($J41),EDATE($J41,12*($AD41+1))+1,EDATE($J41,12*($AD41+1))))</f>
        <v/>
      </c>
      <c r="N41" s="25" t="str">
        <f>IF($J41="","",IF($K41=0,0,6+12*($K41-1)))</f>
        <v/>
      </c>
      <c r="O41" s="25" t="str">
        <f>IF(OR($J41="",$I41="入力待ち"),"",IF($K41=0,0,IF($G41="×",0,IF(LEFT($I41,3)="区分外","",INDEX(tbl_fuyo,MATCH($I41,区分名,0),MIN($K41,7))))))</f>
        <v/>
      </c>
      <c r="P41" s="23" t="str">
        <f>IF($O41="","",IF($O41&gt;=10,"対象","対象外"))</f>
        <v/>
      </c>
      <c r="Q41" s="26" t="str">
        <f>IF($J41="","",IF($H41&lt;&gt;"","前倒し：出ません",IF($P41="対象",IF(DAY(EDATE($L41,12))&lt;DAY($L41),EDATE($L41,12),EDATE($L41,12)-1),"")))</f>
        <v/>
      </c>
      <c r="R41" s="27" t="str">
        <f>IF($P41="対象",$AE41,"")</f>
        <v/>
      </c>
      <c r="S41" s="28" t="str">
        <f>IF($J41="","",IF($H41&lt;&gt;"",IF($P41="対象","前倒し：出ません",""),IF($P41="対象",MAX(0,年5日-$R41),"")))</f>
        <v/>
      </c>
      <c r="T41" s="25" t="str">
        <f>IF($J41="","",IF(AND($H41="",$P41="対象"),$Q41-判定日,""))</f>
        <v/>
      </c>
      <c r="U41" s="29" t="str">
        <f>IF($J41="","",IF($K41=0,"未到達",IF($H41&lt;&gt;"",IF($P41="対象","前倒し：出ません","対象外"),IF($P41&lt;&gt;"対象","対象外",IF($S41=0,"達成",IF($T41&lt;=警告日数,"要時季指定","進行中"))))))</f>
        <v/>
      </c>
      <c r="V41" s="29" t="str">
        <f>IF($J41="","",IF($K41&lt;2,"－",IF($H41&lt;&gt;"","前倒し：出ません",IF($W41="","－",IF($W41&lt;10,"対象外",IF($AF41&gt;=5,"達成","未達（期限超過）"))))))</f>
        <v/>
      </c>
      <c r="W41" s="25" t="str">
        <f>IF($J41="","",IF($K41&lt;2,"",IF(OR($I41="入力待ち",LEFT($I41,3)="区分外"),"",INDEX(tbl_fuyo,MATCH($I41,区分名,0),MIN($K41-1,7)))))</f>
        <v/>
      </c>
      <c r="X41" s="25" t="str">
        <f>IF($J41="","",IF($K41=0,"",IF($K41&lt;2,0,MIN(N($F41),N($W41)))))</f>
        <v/>
      </c>
      <c r="Y41" s="27" t="str">
        <f>IF(OR($J41="",$O41="",N($K41)=0),"",$X41+$O41-$AE41)</f>
        <v/>
      </c>
      <c r="Z41" s="30" t="str">
        <f>IF(OR($J41="",N($K41)=0),"",SUMIFS(取得日!$E$4:$E$503,取得日!$A$4:$A$503,$A41,取得日!$B$4:$B$503,"&gt;="&amp;$L41,取得日!$B$4:$B$503,"&lt;="&amp;IF(ISNUMBER($Q41),$Q41,$M41-1),取得日!$D$4:$D$503,"時間単位"))</f>
        <v/>
      </c>
      <c r="AA41" s="11" t="str">
        <f>IF($J41="","",(YEAR(判定日)-YEAR($J41))*12+MONTH(判定日)-MONTH($J41))</f>
        <v/>
      </c>
      <c r="AB41" s="11" t="str">
        <f>IF($J41="","",IF(判定日&lt;$J41,-1,INT($AA41/12)))</f>
        <v/>
      </c>
      <c r="AC41" s="22" t="str">
        <f>IF(OR($J41="",N($AB41)&lt;0),"",IF(DAY(EDATE($J41,12*($AB41)))&lt;DAY($J41),EDATE($J41,12*($AB41))+1,EDATE($J41,12*($AB41))))</f>
        <v/>
      </c>
      <c r="AD41" s="11" t="str">
        <f>IF($J41="","",IF($AB41&lt;0,-1,$AB41-IF($AC41&gt;判定日,1,0)))</f>
        <v/>
      </c>
      <c r="AE41" s="11" t="str">
        <f>IF(OR($J41="",N($K41)=0),"",SUMIFS(取得日!$C$4:$C$503,取得日!$A$4:$A$503,$A41,取得日!$B$4:$B$503,"&gt;="&amp;$L41,取得日!$B$4:$B$503,"&lt;="&amp;IF(ISNUMBER($Q41),$Q41,$M41-1),取得日!$D$4:$D$503,"&lt;&gt;時間単位"))</f>
        <v/>
      </c>
      <c r="AF41" s="11" t="str">
        <f>IF($J41="","",IF($K41&lt;2,"",SUMIFS(取得日!$C$4:$C$503,取得日!$A$4:$A$503,$A41,取得日!$B$4:$B$503,"&gt;="&amp;IF(DAY(EDATE($J41,12*($AD41-1)))&lt;DAY($J41),EDATE($J41,12*($AD41-1))+1,EDATE($J41,12*($AD41-1))),取得日!$B$4:$B$503,"&lt;"&amp;$L41,取得日!$D$4:$D$503,"&lt;&gt;時間単位")))</f>
        <v/>
      </c>
    </row>
    <row r="42" ht="21" customHeight="1">
      <c r="A42" s="12" t="n"/>
      <c r="B42" s="13" t="n"/>
      <c r="C42" s="14" t="n"/>
      <c r="D42" s="14" t="n"/>
      <c r="E42" s="14" t="n"/>
      <c r="F42" s="14" t="n"/>
      <c r="G42" s="14" t="n"/>
      <c r="H42" s="13" t="n"/>
      <c r="I42" s="9" t="str">
        <f>IF($B42="","",IF(N($E42)&gt;=30,"通常",IF(N($C42)&gt;=5,"通常",IF(N($C42)&gt;0,IF($C42=INT($C42),$C42&amp;"日","区分外（表に定めなし）"),IF(N($D42)&gt;=217,"通常",IF(N($D42)&gt;=169,"4日",IF(N($D42)&gt;=121,"3日",IF(N($D42)&gt;=73,"2日",IF(N($D42)&gt;=48,"1日",IF(N($D42)&gt;0,"区分外（表に定めなし）","入力待ち"))))))))))</f>
        <v/>
      </c>
      <c r="J42" s="15" t="str">
        <f>IF($B42="","",IF($H42&lt;&gt;"",$H42,IF(DAY(EDATE($B42,6))&lt;DAY($B42),EDATE($B42,6)+1,EDATE($B42,6))))</f>
        <v/>
      </c>
      <c r="K42" s="16" t="str">
        <f>IF($J42="","",$AD42+1)</f>
        <v/>
      </c>
      <c r="L42" s="15" t="str">
        <f>IF($J42="","",IF($K42=0,"未到達",IF(DAY(EDATE($J42,12*($AD42)))&lt;DAY($J42),EDATE($J42,12*($AD42))+1,EDATE($J42,12*($AD42)))))</f>
        <v/>
      </c>
      <c r="M42" s="15" t="str">
        <f>IF($J42="","",IF(DAY(EDATE($J42,12*($AD42+1)))&lt;DAY($J42),EDATE($J42,12*($AD42+1))+1,EDATE($J42,12*($AD42+1))))</f>
        <v/>
      </c>
      <c r="N42" s="16" t="str">
        <f>IF($J42="","",IF($K42=0,0,6+12*($K42-1)))</f>
        <v/>
      </c>
      <c r="O42" s="16" t="str">
        <f>IF(OR($J42="",$I42="入力待ち"),"",IF($K42=0,0,IF($G42="×",0,IF(LEFT($I42,3)="区分外","",INDEX(tbl_fuyo,MATCH($I42,区分名,0),MIN($K42,7))))))</f>
        <v/>
      </c>
      <c r="P42" s="9" t="str">
        <f>IF($O42="","",IF($O42&gt;=10,"対象","対象外"))</f>
        <v/>
      </c>
      <c r="Q42" s="17" t="str">
        <f>IF($J42="","",IF($H42&lt;&gt;"","前倒し：出ません",IF($P42="対象",IF(DAY(EDATE($L42,12))&lt;DAY($L42),EDATE($L42,12),EDATE($L42,12)-1),"")))</f>
        <v/>
      </c>
      <c r="R42" s="18" t="str">
        <f>IF($P42="対象",$AE42,"")</f>
        <v/>
      </c>
      <c r="S42" s="19" t="str">
        <f>IF($J42="","",IF($H42&lt;&gt;"",IF($P42="対象","前倒し：出ません",""),IF($P42="対象",MAX(0,年5日-$R42),"")))</f>
        <v/>
      </c>
      <c r="T42" s="16" t="str">
        <f>IF($J42="","",IF(AND($H42="",$P42="対象"),$Q42-判定日,""))</f>
        <v/>
      </c>
      <c r="U42" s="20" t="str">
        <f>IF($J42="","",IF($K42=0,"未到達",IF($H42&lt;&gt;"",IF($P42="対象","前倒し：出ません","対象外"),IF($P42&lt;&gt;"対象","対象外",IF($S42=0,"達成",IF($T42&lt;=警告日数,"要時季指定","進行中"))))))</f>
        <v/>
      </c>
      <c r="V42" s="20" t="str">
        <f>IF($J42="","",IF($K42&lt;2,"－",IF($H42&lt;&gt;"","前倒し：出ません",IF($W42="","－",IF($W42&lt;10,"対象外",IF($AF42&gt;=5,"達成","未達（期限超過）"))))))</f>
        <v/>
      </c>
      <c r="W42" s="16" t="str">
        <f>IF($J42="","",IF($K42&lt;2,"",IF(OR($I42="入力待ち",LEFT($I42,3)="区分外"),"",INDEX(tbl_fuyo,MATCH($I42,区分名,0),MIN($K42-1,7)))))</f>
        <v/>
      </c>
      <c r="X42" s="16" t="str">
        <f>IF($J42="","",IF($K42=0,"",IF($K42&lt;2,0,MIN(N($F42),N($W42)))))</f>
        <v/>
      </c>
      <c r="Y42" s="18" t="str">
        <f>IF(OR($J42="",$O42="",N($K42)=0),"",$X42+$O42-$AE42)</f>
        <v/>
      </c>
      <c r="Z42" s="21" t="str">
        <f>IF(OR($J42="",N($K42)=0),"",SUMIFS(取得日!$E$4:$E$503,取得日!$A$4:$A$503,$A42,取得日!$B$4:$B$503,"&gt;="&amp;$L42,取得日!$B$4:$B$503,"&lt;="&amp;IF(ISNUMBER($Q42),$Q42,$M42-1),取得日!$D$4:$D$503,"時間単位"))</f>
        <v/>
      </c>
      <c r="AA42" s="11" t="str">
        <f>IF($J42="","",(YEAR(判定日)-YEAR($J42))*12+MONTH(判定日)-MONTH($J42))</f>
        <v/>
      </c>
      <c r="AB42" s="11" t="str">
        <f>IF($J42="","",IF(判定日&lt;$J42,-1,INT($AA42/12)))</f>
        <v/>
      </c>
      <c r="AC42" s="22" t="str">
        <f>IF(OR($J42="",N($AB42)&lt;0),"",IF(DAY(EDATE($J42,12*($AB42)))&lt;DAY($J42),EDATE($J42,12*($AB42))+1,EDATE($J42,12*($AB42))))</f>
        <v/>
      </c>
      <c r="AD42" s="11" t="str">
        <f>IF($J42="","",IF($AB42&lt;0,-1,$AB42-IF($AC42&gt;判定日,1,0)))</f>
        <v/>
      </c>
      <c r="AE42" s="11" t="str">
        <f>IF(OR($J42="",N($K42)=0),"",SUMIFS(取得日!$C$4:$C$503,取得日!$A$4:$A$503,$A42,取得日!$B$4:$B$503,"&gt;="&amp;$L42,取得日!$B$4:$B$503,"&lt;="&amp;IF(ISNUMBER($Q42),$Q42,$M42-1),取得日!$D$4:$D$503,"&lt;&gt;時間単位"))</f>
        <v/>
      </c>
      <c r="AF42" s="11" t="str">
        <f>IF($J42="","",IF($K42&lt;2,"",SUMIFS(取得日!$C$4:$C$503,取得日!$A$4:$A$503,$A42,取得日!$B$4:$B$503,"&gt;="&amp;IF(DAY(EDATE($J42,12*($AD42-1)))&lt;DAY($J42),EDATE($J42,12*($AD42-1))+1,EDATE($J42,12*($AD42-1))),取得日!$B$4:$B$503,"&lt;"&amp;$L42,取得日!$D$4:$D$503,"&lt;&gt;時間単位")))</f>
        <v/>
      </c>
    </row>
    <row r="43" ht="21" customHeight="1">
      <c r="A43" s="12" t="n"/>
      <c r="B43" s="13" t="n"/>
      <c r="C43" s="14" t="n"/>
      <c r="D43" s="14" t="n"/>
      <c r="E43" s="14" t="n"/>
      <c r="F43" s="14" t="n"/>
      <c r="G43" s="14" t="n"/>
      <c r="H43" s="13" t="n"/>
      <c r="I43" s="23" t="str">
        <f>IF($B43="","",IF(N($E43)&gt;=30,"通常",IF(N($C43)&gt;=5,"通常",IF(N($C43)&gt;0,IF($C43=INT($C43),$C43&amp;"日","区分外（表に定めなし）"),IF(N($D43)&gt;=217,"通常",IF(N($D43)&gt;=169,"4日",IF(N($D43)&gt;=121,"3日",IF(N($D43)&gt;=73,"2日",IF(N($D43)&gt;=48,"1日",IF(N($D43)&gt;0,"区分外（表に定めなし）","入力待ち"))))))))))</f>
        <v/>
      </c>
      <c r="J43" s="24" t="str">
        <f>IF($B43="","",IF($H43&lt;&gt;"",$H43,IF(DAY(EDATE($B43,6))&lt;DAY($B43),EDATE($B43,6)+1,EDATE($B43,6))))</f>
        <v/>
      </c>
      <c r="K43" s="25" t="str">
        <f>IF($J43="","",$AD43+1)</f>
        <v/>
      </c>
      <c r="L43" s="24" t="str">
        <f>IF($J43="","",IF($K43=0,"未到達",IF(DAY(EDATE($J43,12*($AD43)))&lt;DAY($J43),EDATE($J43,12*($AD43))+1,EDATE($J43,12*($AD43)))))</f>
        <v/>
      </c>
      <c r="M43" s="24" t="str">
        <f>IF($J43="","",IF(DAY(EDATE($J43,12*($AD43+1)))&lt;DAY($J43),EDATE($J43,12*($AD43+1))+1,EDATE($J43,12*($AD43+1))))</f>
        <v/>
      </c>
      <c r="N43" s="25" t="str">
        <f>IF($J43="","",IF($K43=0,0,6+12*($K43-1)))</f>
        <v/>
      </c>
      <c r="O43" s="25" t="str">
        <f>IF(OR($J43="",$I43="入力待ち"),"",IF($K43=0,0,IF($G43="×",0,IF(LEFT($I43,3)="区分外","",INDEX(tbl_fuyo,MATCH($I43,区分名,0),MIN($K43,7))))))</f>
        <v/>
      </c>
      <c r="P43" s="23" t="str">
        <f>IF($O43="","",IF($O43&gt;=10,"対象","対象外"))</f>
        <v/>
      </c>
      <c r="Q43" s="26" t="str">
        <f>IF($J43="","",IF($H43&lt;&gt;"","前倒し：出ません",IF($P43="対象",IF(DAY(EDATE($L43,12))&lt;DAY($L43),EDATE($L43,12),EDATE($L43,12)-1),"")))</f>
        <v/>
      </c>
      <c r="R43" s="27" t="str">
        <f>IF($P43="対象",$AE43,"")</f>
        <v/>
      </c>
      <c r="S43" s="28" t="str">
        <f>IF($J43="","",IF($H43&lt;&gt;"",IF($P43="対象","前倒し：出ません",""),IF($P43="対象",MAX(0,年5日-$R43),"")))</f>
        <v/>
      </c>
      <c r="T43" s="25" t="str">
        <f>IF($J43="","",IF(AND($H43="",$P43="対象"),$Q43-判定日,""))</f>
        <v/>
      </c>
      <c r="U43" s="29" t="str">
        <f>IF($J43="","",IF($K43=0,"未到達",IF($H43&lt;&gt;"",IF($P43="対象","前倒し：出ません","対象外"),IF($P43&lt;&gt;"対象","対象外",IF($S43=0,"達成",IF($T43&lt;=警告日数,"要時季指定","進行中"))))))</f>
        <v/>
      </c>
      <c r="V43" s="29" t="str">
        <f>IF($J43="","",IF($K43&lt;2,"－",IF($H43&lt;&gt;"","前倒し：出ません",IF($W43="","－",IF($W43&lt;10,"対象外",IF($AF43&gt;=5,"達成","未達（期限超過）"))))))</f>
        <v/>
      </c>
      <c r="W43" s="25" t="str">
        <f>IF($J43="","",IF($K43&lt;2,"",IF(OR($I43="入力待ち",LEFT($I43,3)="区分外"),"",INDEX(tbl_fuyo,MATCH($I43,区分名,0),MIN($K43-1,7)))))</f>
        <v/>
      </c>
      <c r="X43" s="25" t="str">
        <f>IF($J43="","",IF($K43=0,"",IF($K43&lt;2,0,MIN(N($F43),N($W43)))))</f>
        <v/>
      </c>
      <c r="Y43" s="27" t="str">
        <f>IF(OR($J43="",$O43="",N($K43)=0),"",$X43+$O43-$AE43)</f>
        <v/>
      </c>
      <c r="Z43" s="30" t="str">
        <f>IF(OR($J43="",N($K43)=0),"",SUMIFS(取得日!$E$4:$E$503,取得日!$A$4:$A$503,$A43,取得日!$B$4:$B$503,"&gt;="&amp;$L43,取得日!$B$4:$B$503,"&lt;="&amp;IF(ISNUMBER($Q43),$Q43,$M43-1),取得日!$D$4:$D$503,"時間単位"))</f>
        <v/>
      </c>
      <c r="AA43" s="11" t="str">
        <f>IF($J43="","",(YEAR(判定日)-YEAR($J43))*12+MONTH(判定日)-MONTH($J43))</f>
        <v/>
      </c>
      <c r="AB43" s="11" t="str">
        <f>IF($J43="","",IF(判定日&lt;$J43,-1,INT($AA43/12)))</f>
        <v/>
      </c>
      <c r="AC43" s="22" t="str">
        <f>IF(OR($J43="",N($AB43)&lt;0),"",IF(DAY(EDATE($J43,12*($AB43)))&lt;DAY($J43),EDATE($J43,12*($AB43))+1,EDATE($J43,12*($AB43))))</f>
        <v/>
      </c>
      <c r="AD43" s="11" t="str">
        <f>IF($J43="","",IF($AB43&lt;0,-1,$AB43-IF($AC43&gt;判定日,1,0)))</f>
        <v/>
      </c>
      <c r="AE43" s="11" t="str">
        <f>IF(OR($J43="",N($K43)=0),"",SUMIFS(取得日!$C$4:$C$503,取得日!$A$4:$A$503,$A43,取得日!$B$4:$B$503,"&gt;="&amp;$L43,取得日!$B$4:$B$503,"&lt;="&amp;IF(ISNUMBER($Q43),$Q43,$M43-1),取得日!$D$4:$D$503,"&lt;&gt;時間単位"))</f>
        <v/>
      </c>
      <c r="AF43" s="11" t="str">
        <f>IF($J43="","",IF($K43&lt;2,"",SUMIFS(取得日!$C$4:$C$503,取得日!$A$4:$A$503,$A43,取得日!$B$4:$B$503,"&gt;="&amp;IF(DAY(EDATE($J43,12*($AD43-1)))&lt;DAY($J43),EDATE($J43,12*($AD43-1))+1,EDATE($J43,12*($AD43-1))),取得日!$B$4:$B$503,"&lt;"&amp;$L43,取得日!$D$4:$D$503,"&lt;&gt;時間単位")))</f>
        <v/>
      </c>
    </row>
    <row r="44" ht="21" customHeight="1">
      <c r="A44" s="12" t="n"/>
      <c r="B44" s="13" t="n"/>
      <c r="C44" s="14" t="n"/>
      <c r="D44" s="14" t="n"/>
      <c r="E44" s="14" t="n"/>
      <c r="F44" s="14" t="n"/>
      <c r="G44" s="14" t="n"/>
      <c r="H44" s="13" t="n"/>
      <c r="I44" s="9" t="str">
        <f>IF($B44="","",IF(N($E44)&gt;=30,"通常",IF(N($C44)&gt;=5,"通常",IF(N($C44)&gt;0,IF($C44=INT($C44),$C44&amp;"日","区分外（表に定めなし）"),IF(N($D44)&gt;=217,"通常",IF(N($D44)&gt;=169,"4日",IF(N($D44)&gt;=121,"3日",IF(N($D44)&gt;=73,"2日",IF(N($D44)&gt;=48,"1日",IF(N($D44)&gt;0,"区分外（表に定めなし）","入力待ち"))))))))))</f>
        <v/>
      </c>
      <c r="J44" s="15" t="str">
        <f>IF($B44="","",IF($H44&lt;&gt;"",$H44,IF(DAY(EDATE($B44,6))&lt;DAY($B44),EDATE($B44,6)+1,EDATE($B44,6))))</f>
        <v/>
      </c>
      <c r="K44" s="16" t="str">
        <f>IF($J44="","",$AD44+1)</f>
        <v/>
      </c>
      <c r="L44" s="15" t="str">
        <f>IF($J44="","",IF($K44=0,"未到達",IF(DAY(EDATE($J44,12*($AD44)))&lt;DAY($J44),EDATE($J44,12*($AD44))+1,EDATE($J44,12*($AD44)))))</f>
        <v/>
      </c>
      <c r="M44" s="15" t="str">
        <f>IF($J44="","",IF(DAY(EDATE($J44,12*($AD44+1)))&lt;DAY($J44),EDATE($J44,12*($AD44+1))+1,EDATE($J44,12*($AD44+1))))</f>
        <v/>
      </c>
      <c r="N44" s="16" t="str">
        <f>IF($J44="","",IF($K44=0,0,6+12*($K44-1)))</f>
        <v/>
      </c>
      <c r="O44" s="16" t="str">
        <f>IF(OR($J44="",$I44="入力待ち"),"",IF($K44=0,0,IF($G44="×",0,IF(LEFT($I44,3)="区分外","",INDEX(tbl_fuyo,MATCH($I44,区分名,0),MIN($K44,7))))))</f>
        <v/>
      </c>
      <c r="P44" s="9" t="str">
        <f>IF($O44="","",IF($O44&gt;=10,"対象","対象外"))</f>
        <v/>
      </c>
      <c r="Q44" s="17" t="str">
        <f>IF($J44="","",IF($H44&lt;&gt;"","前倒し：出ません",IF($P44="対象",IF(DAY(EDATE($L44,12))&lt;DAY($L44),EDATE($L44,12),EDATE($L44,12)-1),"")))</f>
        <v/>
      </c>
      <c r="R44" s="18" t="str">
        <f>IF($P44="対象",$AE44,"")</f>
        <v/>
      </c>
      <c r="S44" s="19" t="str">
        <f>IF($J44="","",IF($H44&lt;&gt;"",IF($P44="対象","前倒し：出ません",""),IF($P44="対象",MAX(0,年5日-$R44),"")))</f>
        <v/>
      </c>
      <c r="T44" s="16" t="str">
        <f>IF($J44="","",IF(AND($H44="",$P44="対象"),$Q44-判定日,""))</f>
        <v/>
      </c>
      <c r="U44" s="20" t="str">
        <f>IF($J44="","",IF($K44=0,"未到達",IF($H44&lt;&gt;"",IF($P44="対象","前倒し：出ません","対象外"),IF($P44&lt;&gt;"対象","対象外",IF($S44=0,"達成",IF($T44&lt;=警告日数,"要時季指定","進行中"))))))</f>
        <v/>
      </c>
      <c r="V44" s="20" t="str">
        <f>IF($J44="","",IF($K44&lt;2,"－",IF($H44&lt;&gt;"","前倒し：出ません",IF($W44="","－",IF($W44&lt;10,"対象外",IF($AF44&gt;=5,"達成","未達（期限超過）"))))))</f>
        <v/>
      </c>
      <c r="W44" s="16" t="str">
        <f>IF($J44="","",IF($K44&lt;2,"",IF(OR($I44="入力待ち",LEFT($I44,3)="区分外"),"",INDEX(tbl_fuyo,MATCH($I44,区分名,0),MIN($K44-1,7)))))</f>
        <v/>
      </c>
      <c r="X44" s="16" t="str">
        <f>IF($J44="","",IF($K44=0,"",IF($K44&lt;2,0,MIN(N($F44),N($W44)))))</f>
        <v/>
      </c>
      <c r="Y44" s="18" t="str">
        <f>IF(OR($J44="",$O44="",N($K44)=0),"",$X44+$O44-$AE44)</f>
        <v/>
      </c>
      <c r="Z44" s="21" t="str">
        <f>IF(OR($J44="",N($K44)=0),"",SUMIFS(取得日!$E$4:$E$503,取得日!$A$4:$A$503,$A44,取得日!$B$4:$B$503,"&gt;="&amp;$L44,取得日!$B$4:$B$503,"&lt;="&amp;IF(ISNUMBER($Q44),$Q44,$M44-1),取得日!$D$4:$D$503,"時間単位"))</f>
        <v/>
      </c>
      <c r="AA44" s="11" t="str">
        <f>IF($J44="","",(YEAR(判定日)-YEAR($J44))*12+MONTH(判定日)-MONTH($J44))</f>
        <v/>
      </c>
      <c r="AB44" s="11" t="str">
        <f>IF($J44="","",IF(判定日&lt;$J44,-1,INT($AA44/12)))</f>
        <v/>
      </c>
      <c r="AC44" s="22" t="str">
        <f>IF(OR($J44="",N($AB44)&lt;0),"",IF(DAY(EDATE($J44,12*($AB44)))&lt;DAY($J44),EDATE($J44,12*($AB44))+1,EDATE($J44,12*($AB44))))</f>
        <v/>
      </c>
      <c r="AD44" s="11" t="str">
        <f>IF($J44="","",IF($AB44&lt;0,-1,$AB44-IF($AC44&gt;判定日,1,0)))</f>
        <v/>
      </c>
      <c r="AE44" s="11" t="str">
        <f>IF(OR($J44="",N($K44)=0),"",SUMIFS(取得日!$C$4:$C$503,取得日!$A$4:$A$503,$A44,取得日!$B$4:$B$503,"&gt;="&amp;$L44,取得日!$B$4:$B$503,"&lt;="&amp;IF(ISNUMBER($Q44),$Q44,$M44-1),取得日!$D$4:$D$503,"&lt;&gt;時間単位"))</f>
        <v/>
      </c>
      <c r="AF44" s="11" t="str">
        <f>IF($J44="","",IF($K44&lt;2,"",SUMIFS(取得日!$C$4:$C$503,取得日!$A$4:$A$503,$A44,取得日!$B$4:$B$503,"&gt;="&amp;IF(DAY(EDATE($J44,12*($AD44-1)))&lt;DAY($J44),EDATE($J44,12*($AD44-1))+1,EDATE($J44,12*($AD44-1))),取得日!$B$4:$B$503,"&lt;"&amp;$L44,取得日!$D$4:$D$503,"&lt;&gt;時間単位")))</f>
        <v/>
      </c>
    </row>
    <row r="45" ht="21" customHeight="1">
      <c r="A45" s="12" t="n"/>
      <c r="B45" s="13" t="n"/>
      <c r="C45" s="14" t="n"/>
      <c r="D45" s="14" t="n"/>
      <c r="E45" s="14" t="n"/>
      <c r="F45" s="14" t="n"/>
      <c r="G45" s="14" t="n"/>
      <c r="H45" s="13" t="n"/>
      <c r="I45" s="23" t="str">
        <f>IF($B45="","",IF(N($E45)&gt;=30,"通常",IF(N($C45)&gt;=5,"通常",IF(N($C45)&gt;0,IF($C45=INT($C45),$C45&amp;"日","区分外（表に定めなし）"),IF(N($D45)&gt;=217,"通常",IF(N($D45)&gt;=169,"4日",IF(N($D45)&gt;=121,"3日",IF(N($D45)&gt;=73,"2日",IF(N($D45)&gt;=48,"1日",IF(N($D45)&gt;0,"区分外（表に定めなし）","入力待ち"))))))))))</f>
        <v/>
      </c>
      <c r="J45" s="24" t="str">
        <f>IF($B45="","",IF($H45&lt;&gt;"",$H45,IF(DAY(EDATE($B45,6))&lt;DAY($B45),EDATE($B45,6)+1,EDATE($B45,6))))</f>
        <v/>
      </c>
      <c r="K45" s="25" t="str">
        <f>IF($J45="","",$AD45+1)</f>
        <v/>
      </c>
      <c r="L45" s="24" t="str">
        <f>IF($J45="","",IF($K45=0,"未到達",IF(DAY(EDATE($J45,12*($AD45)))&lt;DAY($J45),EDATE($J45,12*($AD45))+1,EDATE($J45,12*($AD45)))))</f>
        <v/>
      </c>
      <c r="M45" s="24" t="str">
        <f>IF($J45="","",IF(DAY(EDATE($J45,12*($AD45+1)))&lt;DAY($J45),EDATE($J45,12*($AD45+1))+1,EDATE($J45,12*($AD45+1))))</f>
        <v/>
      </c>
      <c r="N45" s="25" t="str">
        <f>IF($J45="","",IF($K45=0,0,6+12*($K45-1)))</f>
        <v/>
      </c>
      <c r="O45" s="25" t="str">
        <f>IF(OR($J45="",$I45="入力待ち"),"",IF($K45=0,0,IF($G45="×",0,IF(LEFT($I45,3)="区分外","",INDEX(tbl_fuyo,MATCH($I45,区分名,0),MIN($K45,7))))))</f>
        <v/>
      </c>
      <c r="P45" s="23" t="str">
        <f>IF($O45="","",IF($O45&gt;=10,"対象","対象外"))</f>
        <v/>
      </c>
      <c r="Q45" s="26" t="str">
        <f>IF($J45="","",IF($H45&lt;&gt;"","前倒し：出ません",IF($P45="対象",IF(DAY(EDATE($L45,12))&lt;DAY($L45),EDATE($L45,12),EDATE($L45,12)-1),"")))</f>
        <v/>
      </c>
      <c r="R45" s="27" t="str">
        <f>IF($P45="対象",$AE45,"")</f>
        <v/>
      </c>
      <c r="S45" s="28" t="str">
        <f>IF($J45="","",IF($H45&lt;&gt;"",IF($P45="対象","前倒し：出ません",""),IF($P45="対象",MAX(0,年5日-$R45),"")))</f>
        <v/>
      </c>
      <c r="T45" s="25" t="str">
        <f>IF($J45="","",IF(AND($H45="",$P45="対象"),$Q45-判定日,""))</f>
        <v/>
      </c>
      <c r="U45" s="29" t="str">
        <f>IF($J45="","",IF($K45=0,"未到達",IF($H45&lt;&gt;"",IF($P45="対象","前倒し：出ません","対象外"),IF($P45&lt;&gt;"対象","対象外",IF($S45=0,"達成",IF($T45&lt;=警告日数,"要時季指定","進行中"))))))</f>
        <v/>
      </c>
      <c r="V45" s="29" t="str">
        <f>IF($J45="","",IF($K45&lt;2,"－",IF($H45&lt;&gt;"","前倒し：出ません",IF($W45="","－",IF($W45&lt;10,"対象外",IF($AF45&gt;=5,"達成","未達（期限超過）"))))))</f>
        <v/>
      </c>
      <c r="W45" s="25" t="str">
        <f>IF($J45="","",IF($K45&lt;2,"",IF(OR($I45="入力待ち",LEFT($I45,3)="区分外"),"",INDEX(tbl_fuyo,MATCH($I45,区分名,0),MIN($K45-1,7)))))</f>
        <v/>
      </c>
      <c r="X45" s="25" t="str">
        <f>IF($J45="","",IF($K45=0,"",IF($K45&lt;2,0,MIN(N($F45),N($W45)))))</f>
        <v/>
      </c>
      <c r="Y45" s="27" t="str">
        <f>IF(OR($J45="",$O45="",N($K45)=0),"",$X45+$O45-$AE45)</f>
        <v/>
      </c>
      <c r="Z45" s="30" t="str">
        <f>IF(OR($J45="",N($K45)=0),"",SUMIFS(取得日!$E$4:$E$503,取得日!$A$4:$A$503,$A45,取得日!$B$4:$B$503,"&gt;="&amp;$L45,取得日!$B$4:$B$503,"&lt;="&amp;IF(ISNUMBER($Q45),$Q45,$M45-1),取得日!$D$4:$D$503,"時間単位"))</f>
        <v/>
      </c>
      <c r="AA45" s="11" t="str">
        <f>IF($J45="","",(YEAR(判定日)-YEAR($J45))*12+MONTH(判定日)-MONTH($J45))</f>
        <v/>
      </c>
      <c r="AB45" s="11" t="str">
        <f>IF($J45="","",IF(判定日&lt;$J45,-1,INT($AA45/12)))</f>
        <v/>
      </c>
      <c r="AC45" s="22" t="str">
        <f>IF(OR($J45="",N($AB45)&lt;0),"",IF(DAY(EDATE($J45,12*($AB45)))&lt;DAY($J45),EDATE($J45,12*($AB45))+1,EDATE($J45,12*($AB45))))</f>
        <v/>
      </c>
      <c r="AD45" s="11" t="str">
        <f>IF($J45="","",IF($AB45&lt;0,-1,$AB45-IF($AC45&gt;判定日,1,0)))</f>
        <v/>
      </c>
      <c r="AE45" s="11" t="str">
        <f>IF(OR($J45="",N($K45)=0),"",SUMIFS(取得日!$C$4:$C$503,取得日!$A$4:$A$503,$A45,取得日!$B$4:$B$503,"&gt;="&amp;$L45,取得日!$B$4:$B$503,"&lt;="&amp;IF(ISNUMBER($Q45),$Q45,$M45-1),取得日!$D$4:$D$503,"&lt;&gt;時間単位"))</f>
        <v/>
      </c>
      <c r="AF45" s="11" t="str">
        <f>IF($J45="","",IF($K45&lt;2,"",SUMIFS(取得日!$C$4:$C$503,取得日!$A$4:$A$503,$A45,取得日!$B$4:$B$503,"&gt;="&amp;IF(DAY(EDATE($J45,12*($AD45-1)))&lt;DAY($J45),EDATE($J45,12*($AD45-1))+1,EDATE($J45,12*($AD45-1))),取得日!$B$4:$B$503,"&lt;"&amp;$L45,取得日!$D$4:$D$503,"&lt;&gt;時間単位")))</f>
        <v/>
      </c>
    </row>
    <row r="46" ht="21" customHeight="1">
      <c r="A46" s="12" t="n"/>
      <c r="B46" s="13" t="n"/>
      <c r="C46" s="14" t="n"/>
      <c r="D46" s="14" t="n"/>
      <c r="E46" s="14" t="n"/>
      <c r="F46" s="14" t="n"/>
      <c r="G46" s="14" t="n"/>
      <c r="H46" s="13" t="n"/>
      <c r="I46" s="9" t="str">
        <f>IF($B46="","",IF(N($E46)&gt;=30,"通常",IF(N($C46)&gt;=5,"通常",IF(N($C46)&gt;0,IF($C46=INT($C46),$C46&amp;"日","区分外（表に定めなし）"),IF(N($D46)&gt;=217,"通常",IF(N($D46)&gt;=169,"4日",IF(N($D46)&gt;=121,"3日",IF(N($D46)&gt;=73,"2日",IF(N($D46)&gt;=48,"1日",IF(N($D46)&gt;0,"区分外（表に定めなし）","入力待ち"))))))))))</f>
        <v/>
      </c>
      <c r="J46" s="15" t="str">
        <f>IF($B46="","",IF($H46&lt;&gt;"",$H46,IF(DAY(EDATE($B46,6))&lt;DAY($B46),EDATE($B46,6)+1,EDATE($B46,6))))</f>
        <v/>
      </c>
      <c r="K46" s="16" t="str">
        <f>IF($J46="","",$AD46+1)</f>
        <v/>
      </c>
      <c r="L46" s="15" t="str">
        <f>IF($J46="","",IF($K46=0,"未到達",IF(DAY(EDATE($J46,12*($AD46)))&lt;DAY($J46),EDATE($J46,12*($AD46))+1,EDATE($J46,12*($AD46)))))</f>
        <v/>
      </c>
      <c r="M46" s="15" t="str">
        <f>IF($J46="","",IF(DAY(EDATE($J46,12*($AD46+1)))&lt;DAY($J46),EDATE($J46,12*($AD46+1))+1,EDATE($J46,12*($AD46+1))))</f>
        <v/>
      </c>
      <c r="N46" s="16" t="str">
        <f>IF($J46="","",IF($K46=0,0,6+12*($K46-1)))</f>
        <v/>
      </c>
      <c r="O46" s="16" t="str">
        <f>IF(OR($J46="",$I46="入力待ち"),"",IF($K46=0,0,IF($G46="×",0,IF(LEFT($I46,3)="区分外","",INDEX(tbl_fuyo,MATCH($I46,区分名,0),MIN($K46,7))))))</f>
        <v/>
      </c>
      <c r="P46" s="9" t="str">
        <f>IF($O46="","",IF($O46&gt;=10,"対象","対象外"))</f>
        <v/>
      </c>
      <c r="Q46" s="17" t="str">
        <f>IF($J46="","",IF($H46&lt;&gt;"","前倒し：出ません",IF($P46="対象",IF(DAY(EDATE($L46,12))&lt;DAY($L46),EDATE($L46,12),EDATE($L46,12)-1),"")))</f>
        <v/>
      </c>
      <c r="R46" s="18" t="str">
        <f>IF($P46="対象",$AE46,"")</f>
        <v/>
      </c>
      <c r="S46" s="19" t="str">
        <f>IF($J46="","",IF($H46&lt;&gt;"",IF($P46="対象","前倒し：出ません",""),IF($P46="対象",MAX(0,年5日-$R46),"")))</f>
        <v/>
      </c>
      <c r="T46" s="16" t="str">
        <f>IF($J46="","",IF(AND($H46="",$P46="対象"),$Q46-判定日,""))</f>
        <v/>
      </c>
      <c r="U46" s="20" t="str">
        <f>IF($J46="","",IF($K46=0,"未到達",IF($H46&lt;&gt;"",IF($P46="対象","前倒し：出ません","対象外"),IF($P46&lt;&gt;"対象","対象外",IF($S46=0,"達成",IF($T46&lt;=警告日数,"要時季指定","進行中"))))))</f>
        <v/>
      </c>
      <c r="V46" s="20" t="str">
        <f>IF($J46="","",IF($K46&lt;2,"－",IF($H46&lt;&gt;"","前倒し：出ません",IF($W46="","－",IF($W46&lt;10,"対象外",IF($AF46&gt;=5,"達成","未達（期限超過）"))))))</f>
        <v/>
      </c>
      <c r="W46" s="16" t="str">
        <f>IF($J46="","",IF($K46&lt;2,"",IF(OR($I46="入力待ち",LEFT($I46,3)="区分外"),"",INDEX(tbl_fuyo,MATCH($I46,区分名,0),MIN($K46-1,7)))))</f>
        <v/>
      </c>
      <c r="X46" s="16" t="str">
        <f>IF($J46="","",IF($K46=0,"",IF($K46&lt;2,0,MIN(N($F46),N($W46)))))</f>
        <v/>
      </c>
      <c r="Y46" s="18" t="str">
        <f>IF(OR($J46="",$O46="",N($K46)=0),"",$X46+$O46-$AE46)</f>
        <v/>
      </c>
      <c r="Z46" s="21" t="str">
        <f>IF(OR($J46="",N($K46)=0),"",SUMIFS(取得日!$E$4:$E$503,取得日!$A$4:$A$503,$A46,取得日!$B$4:$B$503,"&gt;="&amp;$L46,取得日!$B$4:$B$503,"&lt;="&amp;IF(ISNUMBER($Q46),$Q46,$M46-1),取得日!$D$4:$D$503,"時間単位"))</f>
        <v/>
      </c>
      <c r="AA46" s="11" t="str">
        <f>IF($J46="","",(YEAR(判定日)-YEAR($J46))*12+MONTH(判定日)-MONTH($J46))</f>
        <v/>
      </c>
      <c r="AB46" s="11" t="str">
        <f>IF($J46="","",IF(判定日&lt;$J46,-1,INT($AA46/12)))</f>
        <v/>
      </c>
      <c r="AC46" s="22" t="str">
        <f>IF(OR($J46="",N($AB46)&lt;0),"",IF(DAY(EDATE($J46,12*($AB46)))&lt;DAY($J46),EDATE($J46,12*($AB46))+1,EDATE($J46,12*($AB46))))</f>
        <v/>
      </c>
      <c r="AD46" s="11" t="str">
        <f>IF($J46="","",IF($AB46&lt;0,-1,$AB46-IF($AC46&gt;判定日,1,0)))</f>
        <v/>
      </c>
      <c r="AE46" s="11" t="str">
        <f>IF(OR($J46="",N($K46)=0),"",SUMIFS(取得日!$C$4:$C$503,取得日!$A$4:$A$503,$A46,取得日!$B$4:$B$503,"&gt;="&amp;$L46,取得日!$B$4:$B$503,"&lt;="&amp;IF(ISNUMBER($Q46),$Q46,$M46-1),取得日!$D$4:$D$503,"&lt;&gt;時間単位"))</f>
        <v/>
      </c>
      <c r="AF46" s="11" t="str">
        <f>IF($J46="","",IF($K46&lt;2,"",SUMIFS(取得日!$C$4:$C$503,取得日!$A$4:$A$503,$A46,取得日!$B$4:$B$503,"&gt;="&amp;IF(DAY(EDATE($J46,12*($AD46-1)))&lt;DAY($J46),EDATE($J46,12*($AD46-1))+1,EDATE($J46,12*($AD46-1))),取得日!$B$4:$B$503,"&lt;"&amp;$L46,取得日!$D$4:$D$503,"&lt;&gt;時間単位")))</f>
        <v/>
      </c>
    </row>
    <row r="47" ht="21" customHeight="1">
      <c r="A47" s="12" t="n"/>
      <c r="B47" s="13" t="n"/>
      <c r="C47" s="14" t="n"/>
      <c r="D47" s="14" t="n"/>
      <c r="E47" s="14" t="n"/>
      <c r="F47" s="14" t="n"/>
      <c r="G47" s="14" t="n"/>
      <c r="H47" s="13" t="n"/>
      <c r="I47" s="23" t="str">
        <f>IF($B47="","",IF(N($E47)&gt;=30,"通常",IF(N($C47)&gt;=5,"通常",IF(N($C47)&gt;0,IF($C47=INT($C47),$C47&amp;"日","区分外（表に定めなし）"),IF(N($D47)&gt;=217,"通常",IF(N($D47)&gt;=169,"4日",IF(N($D47)&gt;=121,"3日",IF(N($D47)&gt;=73,"2日",IF(N($D47)&gt;=48,"1日",IF(N($D47)&gt;0,"区分外（表に定めなし）","入力待ち"))))))))))</f>
        <v/>
      </c>
      <c r="J47" s="24" t="str">
        <f>IF($B47="","",IF($H47&lt;&gt;"",$H47,IF(DAY(EDATE($B47,6))&lt;DAY($B47),EDATE($B47,6)+1,EDATE($B47,6))))</f>
        <v/>
      </c>
      <c r="K47" s="25" t="str">
        <f>IF($J47="","",$AD47+1)</f>
        <v/>
      </c>
      <c r="L47" s="24" t="str">
        <f>IF($J47="","",IF($K47=0,"未到達",IF(DAY(EDATE($J47,12*($AD47)))&lt;DAY($J47),EDATE($J47,12*($AD47))+1,EDATE($J47,12*($AD47)))))</f>
        <v/>
      </c>
      <c r="M47" s="24" t="str">
        <f>IF($J47="","",IF(DAY(EDATE($J47,12*($AD47+1)))&lt;DAY($J47),EDATE($J47,12*($AD47+1))+1,EDATE($J47,12*($AD47+1))))</f>
        <v/>
      </c>
      <c r="N47" s="25" t="str">
        <f>IF($J47="","",IF($K47=0,0,6+12*($K47-1)))</f>
        <v/>
      </c>
      <c r="O47" s="25" t="str">
        <f>IF(OR($J47="",$I47="入力待ち"),"",IF($K47=0,0,IF($G47="×",0,IF(LEFT($I47,3)="区分外","",INDEX(tbl_fuyo,MATCH($I47,区分名,0),MIN($K47,7))))))</f>
        <v/>
      </c>
      <c r="P47" s="23" t="str">
        <f>IF($O47="","",IF($O47&gt;=10,"対象","対象外"))</f>
        <v/>
      </c>
      <c r="Q47" s="26" t="str">
        <f>IF($J47="","",IF($H47&lt;&gt;"","前倒し：出ません",IF($P47="対象",IF(DAY(EDATE($L47,12))&lt;DAY($L47),EDATE($L47,12),EDATE($L47,12)-1),"")))</f>
        <v/>
      </c>
      <c r="R47" s="27" t="str">
        <f>IF($P47="対象",$AE47,"")</f>
        <v/>
      </c>
      <c r="S47" s="28" t="str">
        <f>IF($J47="","",IF($H47&lt;&gt;"",IF($P47="対象","前倒し：出ません",""),IF($P47="対象",MAX(0,年5日-$R47),"")))</f>
        <v/>
      </c>
      <c r="T47" s="25" t="str">
        <f>IF($J47="","",IF(AND($H47="",$P47="対象"),$Q47-判定日,""))</f>
        <v/>
      </c>
      <c r="U47" s="29" t="str">
        <f>IF($J47="","",IF($K47=0,"未到達",IF($H47&lt;&gt;"",IF($P47="対象","前倒し：出ません","対象外"),IF($P47&lt;&gt;"対象","対象外",IF($S47=0,"達成",IF($T47&lt;=警告日数,"要時季指定","進行中"))))))</f>
        <v/>
      </c>
      <c r="V47" s="29" t="str">
        <f>IF($J47="","",IF($K47&lt;2,"－",IF($H47&lt;&gt;"","前倒し：出ません",IF($W47="","－",IF($W47&lt;10,"対象外",IF($AF47&gt;=5,"達成","未達（期限超過）"))))))</f>
        <v/>
      </c>
      <c r="W47" s="25" t="str">
        <f>IF($J47="","",IF($K47&lt;2,"",IF(OR($I47="入力待ち",LEFT($I47,3)="区分外"),"",INDEX(tbl_fuyo,MATCH($I47,区分名,0),MIN($K47-1,7)))))</f>
        <v/>
      </c>
      <c r="X47" s="25" t="str">
        <f>IF($J47="","",IF($K47=0,"",IF($K47&lt;2,0,MIN(N($F47),N($W47)))))</f>
        <v/>
      </c>
      <c r="Y47" s="27" t="str">
        <f>IF(OR($J47="",$O47="",N($K47)=0),"",$X47+$O47-$AE47)</f>
        <v/>
      </c>
      <c r="Z47" s="30" t="str">
        <f>IF(OR($J47="",N($K47)=0),"",SUMIFS(取得日!$E$4:$E$503,取得日!$A$4:$A$503,$A47,取得日!$B$4:$B$503,"&gt;="&amp;$L47,取得日!$B$4:$B$503,"&lt;="&amp;IF(ISNUMBER($Q47),$Q47,$M47-1),取得日!$D$4:$D$503,"時間単位"))</f>
        <v/>
      </c>
      <c r="AA47" s="11" t="str">
        <f>IF($J47="","",(YEAR(判定日)-YEAR($J47))*12+MONTH(判定日)-MONTH($J47))</f>
        <v/>
      </c>
      <c r="AB47" s="11" t="str">
        <f>IF($J47="","",IF(判定日&lt;$J47,-1,INT($AA47/12)))</f>
        <v/>
      </c>
      <c r="AC47" s="22" t="str">
        <f>IF(OR($J47="",N($AB47)&lt;0),"",IF(DAY(EDATE($J47,12*($AB47)))&lt;DAY($J47),EDATE($J47,12*($AB47))+1,EDATE($J47,12*($AB47))))</f>
        <v/>
      </c>
      <c r="AD47" s="11" t="str">
        <f>IF($J47="","",IF($AB47&lt;0,-1,$AB47-IF($AC47&gt;判定日,1,0)))</f>
        <v/>
      </c>
      <c r="AE47" s="11" t="str">
        <f>IF(OR($J47="",N($K47)=0),"",SUMIFS(取得日!$C$4:$C$503,取得日!$A$4:$A$503,$A47,取得日!$B$4:$B$503,"&gt;="&amp;$L47,取得日!$B$4:$B$503,"&lt;="&amp;IF(ISNUMBER($Q47),$Q47,$M47-1),取得日!$D$4:$D$503,"&lt;&gt;時間単位"))</f>
        <v/>
      </c>
      <c r="AF47" s="11" t="str">
        <f>IF($J47="","",IF($K47&lt;2,"",SUMIFS(取得日!$C$4:$C$503,取得日!$A$4:$A$503,$A47,取得日!$B$4:$B$503,"&gt;="&amp;IF(DAY(EDATE($J47,12*($AD47-1)))&lt;DAY($J47),EDATE($J47,12*($AD47-1))+1,EDATE($J47,12*($AD47-1))),取得日!$B$4:$B$503,"&lt;"&amp;$L47,取得日!$D$4:$D$503,"&lt;&gt;時間単位")))</f>
        <v/>
      </c>
    </row>
    <row r="48" ht="21" customHeight="1">
      <c r="A48" s="12" t="n"/>
      <c r="B48" s="13" t="n"/>
      <c r="C48" s="14" t="n"/>
      <c r="D48" s="14" t="n"/>
      <c r="E48" s="14" t="n"/>
      <c r="F48" s="14" t="n"/>
      <c r="G48" s="14" t="n"/>
      <c r="H48" s="13" t="n"/>
      <c r="I48" s="9" t="str">
        <f>IF($B48="","",IF(N($E48)&gt;=30,"通常",IF(N($C48)&gt;=5,"通常",IF(N($C48)&gt;0,IF($C48=INT($C48),$C48&amp;"日","区分外（表に定めなし）"),IF(N($D48)&gt;=217,"通常",IF(N($D48)&gt;=169,"4日",IF(N($D48)&gt;=121,"3日",IF(N($D48)&gt;=73,"2日",IF(N($D48)&gt;=48,"1日",IF(N($D48)&gt;0,"区分外（表に定めなし）","入力待ち"))))))))))</f>
        <v/>
      </c>
      <c r="J48" s="15" t="str">
        <f>IF($B48="","",IF($H48&lt;&gt;"",$H48,IF(DAY(EDATE($B48,6))&lt;DAY($B48),EDATE($B48,6)+1,EDATE($B48,6))))</f>
        <v/>
      </c>
      <c r="K48" s="16" t="str">
        <f>IF($J48="","",$AD48+1)</f>
        <v/>
      </c>
      <c r="L48" s="15" t="str">
        <f>IF($J48="","",IF($K48=0,"未到達",IF(DAY(EDATE($J48,12*($AD48)))&lt;DAY($J48),EDATE($J48,12*($AD48))+1,EDATE($J48,12*($AD48)))))</f>
        <v/>
      </c>
      <c r="M48" s="15" t="str">
        <f>IF($J48="","",IF(DAY(EDATE($J48,12*($AD48+1)))&lt;DAY($J48),EDATE($J48,12*($AD48+1))+1,EDATE($J48,12*($AD48+1))))</f>
        <v/>
      </c>
      <c r="N48" s="16" t="str">
        <f>IF($J48="","",IF($K48=0,0,6+12*($K48-1)))</f>
        <v/>
      </c>
      <c r="O48" s="16" t="str">
        <f>IF(OR($J48="",$I48="入力待ち"),"",IF($K48=0,0,IF($G48="×",0,IF(LEFT($I48,3)="区分外","",INDEX(tbl_fuyo,MATCH($I48,区分名,0),MIN($K48,7))))))</f>
        <v/>
      </c>
      <c r="P48" s="9" t="str">
        <f>IF($O48="","",IF($O48&gt;=10,"対象","対象外"))</f>
        <v/>
      </c>
      <c r="Q48" s="17" t="str">
        <f>IF($J48="","",IF($H48&lt;&gt;"","前倒し：出ません",IF($P48="対象",IF(DAY(EDATE($L48,12))&lt;DAY($L48),EDATE($L48,12),EDATE($L48,12)-1),"")))</f>
        <v/>
      </c>
      <c r="R48" s="18" t="str">
        <f>IF($P48="対象",$AE48,"")</f>
        <v/>
      </c>
      <c r="S48" s="19" t="str">
        <f>IF($J48="","",IF($H48&lt;&gt;"",IF($P48="対象","前倒し：出ません",""),IF($P48="対象",MAX(0,年5日-$R48),"")))</f>
        <v/>
      </c>
      <c r="T48" s="16" t="str">
        <f>IF($J48="","",IF(AND($H48="",$P48="対象"),$Q48-判定日,""))</f>
        <v/>
      </c>
      <c r="U48" s="20" t="str">
        <f>IF($J48="","",IF($K48=0,"未到達",IF($H48&lt;&gt;"",IF($P48="対象","前倒し：出ません","対象外"),IF($P48&lt;&gt;"対象","対象外",IF($S48=0,"達成",IF($T48&lt;=警告日数,"要時季指定","進行中"))))))</f>
        <v/>
      </c>
      <c r="V48" s="20" t="str">
        <f>IF($J48="","",IF($K48&lt;2,"－",IF($H48&lt;&gt;"","前倒し：出ません",IF($W48="","－",IF($W48&lt;10,"対象外",IF($AF48&gt;=5,"達成","未達（期限超過）"))))))</f>
        <v/>
      </c>
      <c r="W48" s="16" t="str">
        <f>IF($J48="","",IF($K48&lt;2,"",IF(OR($I48="入力待ち",LEFT($I48,3)="区分外"),"",INDEX(tbl_fuyo,MATCH($I48,区分名,0),MIN($K48-1,7)))))</f>
        <v/>
      </c>
      <c r="X48" s="16" t="str">
        <f>IF($J48="","",IF($K48=0,"",IF($K48&lt;2,0,MIN(N($F48),N($W48)))))</f>
        <v/>
      </c>
      <c r="Y48" s="18" t="str">
        <f>IF(OR($J48="",$O48="",N($K48)=0),"",$X48+$O48-$AE48)</f>
        <v/>
      </c>
      <c r="Z48" s="21" t="str">
        <f>IF(OR($J48="",N($K48)=0),"",SUMIFS(取得日!$E$4:$E$503,取得日!$A$4:$A$503,$A48,取得日!$B$4:$B$503,"&gt;="&amp;$L48,取得日!$B$4:$B$503,"&lt;="&amp;IF(ISNUMBER($Q48),$Q48,$M48-1),取得日!$D$4:$D$503,"時間単位"))</f>
        <v/>
      </c>
      <c r="AA48" s="11" t="str">
        <f>IF($J48="","",(YEAR(判定日)-YEAR($J48))*12+MONTH(判定日)-MONTH($J48))</f>
        <v/>
      </c>
      <c r="AB48" s="11" t="str">
        <f>IF($J48="","",IF(判定日&lt;$J48,-1,INT($AA48/12)))</f>
        <v/>
      </c>
      <c r="AC48" s="22" t="str">
        <f>IF(OR($J48="",N($AB48)&lt;0),"",IF(DAY(EDATE($J48,12*($AB48)))&lt;DAY($J48),EDATE($J48,12*($AB48))+1,EDATE($J48,12*($AB48))))</f>
        <v/>
      </c>
      <c r="AD48" s="11" t="str">
        <f>IF($J48="","",IF($AB48&lt;0,-1,$AB48-IF($AC48&gt;判定日,1,0)))</f>
        <v/>
      </c>
      <c r="AE48" s="11" t="str">
        <f>IF(OR($J48="",N($K48)=0),"",SUMIFS(取得日!$C$4:$C$503,取得日!$A$4:$A$503,$A48,取得日!$B$4:$B$503,"&gt;="&amp;$L48,取得日!$B$4:$B$503,"&lt;="&amp;IF(ISNUMBER($Q48),$Q48,$M48-1),取得日!$D$4:$D$503,"&lt;&gt;時間単位"))</f>
        <v/>
      </c>
      <c r="AF48" s="11" t="str">
        <f>IF($J48="","",IF($K48&lt;2,"",SUMIFS(取得日!$C$4:$C$503,取得日!$A$4:$A$503,$A48,取得日!$B$4:$B$503,"&gt;="&amp;IF(DAY(EDATE($J48,12*($AD48-1)))&lt;DAY($J48),EDATE($J48,12*($AD48-1))+1,EDATE($J48,12*($AD48-1))),取得日!$B$4:$B$503,"&lt;"&amp;$L48,取得日!$D$4:$D$503,"&lt;&gt;時間単位")))</f>
        <v/>
      </c>
    </row>
    <row r="49" ht="21" customHeight="1">
      <c r="A49" s="12" t="n"/>
      <c r="B49" s="13" t="n"/>
      <c r="C49" s="14" t="n"/>
      <c r="D49" s="14" t="n"/>
      <c r="E49" s="14" t="n"/>
      <c r="F49" s="14" t="n"/>
      <c r="G49" s="14" t="n"/>
      <c r="H49" s="13" t="n"/>
      <c r="I49" s="23" t="str">
        <f>IF($B49="","",IF(N($E49)&gt;=30,"通常",IF(N($C49)&gt;=5,"通常",IF(N($C49)&gt;0,IF($C49=INT($C49),$C49&amp;"日","区分外（表に定めなし）"),IF(N($D49)&gt;=217,"通常",IF(N($D49)&gt;=169,"4日",IF(N($D49)&gt;=121,"3日",IF(N($D49)&gt;=73,"2日",IF(N($D49)&gt;=48,"1日",IF(N($D49)&gt;0,"区分外（表に定めなし）","入力待ち"))))))))))</f>
        <v/>
      </c>
      <c r="J49" s="24" t="str">
        <f>IF($B49="","",IF($H49&lt;&gt;"",$H49,IF(DAY(EDATE($B49,6))&lt;DAY($B49),EDATE($B49,6)+1,EDATE($B49,6))))</f>
        <v/>
      </c>
      <c r="K49" s="25" t="str">
        <f>IF($J49="","",$AD49+1)</f>
        <v/>
      </c>
      <c r="L49" s="24" t="str">
        <f>IF($J49="","",IF($K49=0,"未到達",IF(DAY(EDATE($J49,12*($AD49)))&lt;DAY($J49),EDATE($J49,12*($AD49))+1,EDATE($J49,12*($AD49)))))</f>
        <v/>
      </c>
      <c r="M49" s="24" t="str">
        <f>IF($J49="","",IF(DAY(EDATE($J49,12*($AD49+1)))&lt;DAY($J49),EDATE($J49,12*($AD49+1))+1,EDATE($J49,12*($AD49+1))))</f>
        <v/>
      </c>
      <c r="N49" s="25" t="str">
        <f>IF($J49="","",IF($K49=0,0,6+12*($K49-1)))</f>
        <v/>
      </c>
      <c r="O49" s="25" t="str">
        <f>IF(OR($J49="",$I49="入力待ち"),"",IF($K49=0,0,IF($G49="×",0,IF(LEFT($I49,3)="区分外","",INDEX(tbl_fuyo,MATCH($I49,区分名,0),MIN($K49,7))))))</f>
        <v/>
      </c>
      <c r="P49" s="23" t="str">
        <f>IF($O49="","",IF($O49&gt;=10,"対象","対象外"))</f>
        <v/>
      </c>
      <c r="Q49" s="26" t="str">
        <f>IF($J49="","",IF($H49&lt;&gt;"","前倒し：出ません",IF($P49="対象",IF(DAY(EDATE($L49,12))&lt;DAY($L49),EDATE($L49,12),EDATE($L49,12)-1),"")))</f>
        <v/>
      </c>
      <c r="R49" s="27" t="str">
        <f>IF($P49="対象",$AE49,"")</f>
        <v/>
      </c>
      <c r="S49" s="28" t="str">
        <f>IF($J49="","",IF($H49&lt;&gt;"",IF($P49="対象","前倒し：出ません",""),IF($P49="対象",MAX(0,年5日-$R49),"")))</f>
        <v/>
      </c>
      <c r="T49" s="25" t="str">
        <f>IF($J49="","",IF(AND($H49="",$P49="対象"),$Q49-判定日,""))</f>
        <v/>
      </c>
      <c r="U49" s="29" t="str">
        <f>IF($J49="","",IF($K49=0,"未到達",IF($H49&lt;&gt;"",IF($P49="対象","前倒し：出ません","対象外"),IF($P49&lt;&gt;"対象","対象外",IF($S49=0,"達成",IF($T49&lt;=警告日数,"要時季指定","進行中"))))))</f>
        <v/>
      </c>
      <c r="V49" s="29" t="str">
        <f>IF($J49="","",IF($K49&lt;2,"－",IF($H49&lt;&gt;"","前倒し：出ません",IF($W49="","－",IF($W49&lt;10,"対象外",IF($AF49&gt;=5,"達成","未達（期限超過）"))))))</f>
        <v/>
      </c>
      <c r="W49" s="25" t="str">
        <f>IF($J49="","",IF($K49&lt;2,"",IF(OR($I49="入力待ち",LEFT($I49,3)="区分外"),"",INDEX(tbl_fuyo,MATCH($I49,区分名,0),MIN($K49-1,7)))))</f>
        <v/>
      </c>
      <c r="X49" s="25" t="str">
        <f>IF($J49="","",IF($K49=0,"",IF($K49&lt;2,0,MIN(N($F49),N($W49)))))</f>
        <v/>
      </c>
      <c r="Y49" s="27" t="str">
        <f>IF(OR($J49="",$O49="",N($K49)=0),"",$X49+$O49-$AE49)</f>
        <v/>
      </c>
      <c r="Z49" s="30" t="str">
        <f>IF(OR($J49="",N($K49)=0),"",SUMIFS(取得日!$E$4:$E$503,取得日!$A$4:$A$503,$A49,取得日!$B$4:$B$503,"&gt;="&amp;$L49,取得日!$B$4:$B$503,"&lt;="&amp;IF(ISNUMBER($Q49),$Q49,$M49-1),取得日!$D$4:$D$503,"時間単位"))</f>
        <v/>
      </c>
      <c r="AA49" s="11" t="str">
        <f>IF($J49="","",(YEAR(判定日)-YEAR($J49))*12+MONTH(判定日)-MONTH($J49))</f>
        <v/>
      </c>
      <c r="AB49" s="11" t="str">
        <f>IF($J49="","",IF(判定日&lt;$J49,-1,INT($AA49/12)))</f>
        <v/>
      </c>
      <c r="AC49" s="22" t="str">
        <f>IF(OR($J49="",N($AB49)&lt;0),"",IF(DAY(EDATE($J49,12*($AB49)))&lt;DAY($J49),EDATE($J49,12*($AB49))+1,EDATE($J49,12*($AB49))))</f>
        <v/>
      </c>
      <c r="AD49" s="11" t="str">
        <f>IF($J49="","",IF($AB49&lt;0,-1,$AB49-IF($AC49&gt;判定日,1,0)))</f>
        <v/>
      </c>
      <c r="AE49" s="11" t="str">
        <f>IF(OR($J49="",N($K49)=0),"",SUMIFS(取得日!$C$4:$C$503,取得日!$A$4:$A$503,$A49,取得日!$B$4:$B$503,"&gt;="&amp;$L49,取得日!$B$4:$B$503,"&lt;="&amp;IF(ISNUMBER($Q49),$Q49,$M49-1),取得日!$D$4:$D$503,"&lt;&gt;時間単位"))</f>
        <v/>
      </c>
      <c r="AF49" s="11" t="str">
        <f>IF($J49="","",IF($K49&lt;2,"",SUMIFS(取得日!$C$4:$C$503,取得日!$A$4:$A$503,$A49,取得日!$B$4:$B$503,"&gt;="&amp;IF(DAY(EDATE($J49,12*($AD49-1)))&lt;DAY($J49),EDATE($J49,12*($AD49-1))+1,EDATE($J49,12*($AD49-1))),取得日!$B$4:$B$503,"&lt;"&amp;$L49,取得日!$D$4:$D$503,"&lt;&gt;時間単位")))</f>
        <v/>
      </c>
    </row>
    <row r="50" ht="21" customHeight="1">
      <c r="A50" s="12" t="n"/>
      <c r="B50" s="13" t="n"/>
      <c r="C50" s="14" t="n"/>
      <c r="D50" s="14" t="n"/>
      <c r="E50" s="14" t="n"/>
      <c r="F50" s="14" t="n"/>
      <c r="G50" s="14" t="n"/>
      <c r="H50" s="13" t="n"/>
      <c r="I50" s="9" t="str">
        <f>IF($B50="","",IF(N($E50)&gt;=30,"通常",IF(N($C50)&gt;=5,"通常",IF(N($C50)&gt;0,IF($C50=INT($C50),$C50&amp;"日","区分外（表に定めなし）"),IF(N($D50)&gt;=217,"通常",IF(N($D50)&gt;=169,"4日",IF(N($D50)&gt;=121,"3日",IF(N($D50)&gt;=73,"2日",IF(N($D50)&gt;=48,"1日",IF(N($D50)&gt;0,"区分外（表に定めなし）","入力待ち"))))))))))</f>
        <v/>
      </c>
      <c r="J50" s="15" t="str">
        <f>IF($B50="","",IF($H50&lt;&gt;"",$H50,IF(DAY(EDATE($B50,6))&lt;DAY($B50),EDATE($B50,6)+1,EDATE($B50,6))))</f>
        <v/>
      </c>
      <c r="K50" s="16" t="str">
        <f>IF($J50="","",$AD50+1)</f>
        <v/>
      </c>
      <c r="L50" s="15" t="str">
        <f>IF($J50="","",IF($K50=0,"未到達",IF(DAY(EDATE($J50,12*($AD50)))&lt;DAY($J50),EDATE($J50,12*($AD50))+1,EDATE($J50,12*($AD50)))))</f>
        <v/>
      </c>
      <c r="M50" s="15" t="str">
        <f>IF($J50="","",IF(DAY(EDATE($J50,12*($AD50+1)))&lt;DAY($J50),EDATE($J50,12*($AD50+1))+1,EDATE($J50,12*($AD50+1))))</f>
        <v/>
      </c>
      <c r="N50" s="16" t="str">
        <f>IF($J50="","",IF($K50=0,0,6+12*($K50-1)))</f>
        <v/>
      </c>
      <c r="O50" s="16" t="str">
        <f>IF(OR($J50="",$I50="入力待ち"),"",IF($K50=0,0,IF($G50="×",0,IF(LEFT($I50,3)="区分外","",INDEX(tbl_fuyo,MATCH($I50,区分名,0),MIN($K50,7))))))</f>
        <v/>
      </c>
      <c r="P50" s="9" t="str">
        <f>IF($O50="","",IF($O50&gt;=10,"対象","対象外"))</f>
        <v/>
      </c>
      <c r="Q50" s="17" t="str">
        <f>IF($J50="","",IF($H50&lt;&gt;"","前倒し：出ません",IF($P50="対象",IF(DAY(EDATE($L50,12))&lt;DAY($L50),EDATE($L50,12),EDATE($L50,12)-1),"")))</f>
        <v/>
      </c>
      <c r="R50" s="18" t="str">
        <f>IF($P50="対象",$AE50,"")</f>
        <v/>
      </c>
      <c r="S50" s="19" t="str">
        <f>IF($J50="","",IF($H50&lt;&gt;"",IF($P50="対象","前倒し：出ません",""),IF($P50="対象",MAX(0,年5日-$R50),"")))</f>
        <v/>
      </c>
      <c r="T50" s="16" t="str">
        <f>IF($J50="","",IF(AND($H50="",$P50="対象"),$Q50-判定日,""))</f>
        <v/>
      </c>
      <c r="U50" s="20" t="str">
        <f>IF($J50="","",IF($K50=0,"未到達",IF($H50&lt;&gt;"",IF($P50="対象","前倒し：出ません","対象外"),IF($P50&lt;&gt;"対象","対象外",IF($S50=0,"達成",IF($T50&lt;=警告日数,"要時季指定","進行中"))))))</f>
        <v/>
      </c>
      <c r="V50" s="20" t="str">
        <f>IF($J50="","",IF($K50&lt;2,"－",IF($H50&lt;&gt;"","前倒し：出ません",IF($W50="","－",IF($W50&lt;10,"対象外",IF($AF50&gt;=5,"達成","未達（期限超過）"))))))</f>
        <v/>
      </c>
      <c r="W50" s="16" t="str">
        <f>IF($J50="","",IF($K50&lt;2,"",IF(OR($I50="入力待ち",LEFT($I50,3)="区分外"),"",INDEX(tbl_fuyo,MATCH($I50,区分名,0),MIN($K50-1,7)))))</f>
        <v/>
      </c>
      <c r="X50" s="16" t="str">
        <f>IF($J50="","",IF($K50=0,"",IF($K50&lt;2,0,MIN(N($F50),N($W50)))))</f>
        <v/>
      </c>
      <c r="Y50" s="18" t="str">
        <f>IF(OR($J50="",$O50="",N($K50)=0),"",$X50+$O50-$AE50)</f>
        <v/>
      </c>
      <c r="Z50" s="21" t="str">
        <f>IF(OR($J50="",N($K50)=0),"",SUMIFS(取得日!$E$4:$E$503,取得日!$A$4:$A$503,$A50,取得日!$B$4:$B$503,"&gt;="&amp;$L50,取得日!$B$4:$B$503,"&lt;="&amp;IF(ISNUMBER($Q50),$Q50,$M50-1),取得日!$D$4:$D$503,"時間単位"))</f>
        <v/>
      </c>
      <c r="AA50" s="11" t="str">
        <f>IF($J50="","",(YEAR(判定日)-YEAR($J50))*12+MONTH(判定日)-MONTH($J50))</f>
        <v/>
      </c>
      <c r="AB50" s="11" t="str">
        <f>IF($J50="","",IF(判定日&lt;$J50,-1,INT($AA50/12)))</f>
        <v/>
      </c>
      <c r="AC50" s="22" t="str">
        <f>IF(OR($J50="",N($AB50)&lt;0),"",IF(DAY(EDATE($J50,12*($AB50)))&lt;DAY($J50),EDATE($J50,12*($AB50))+1,EDATE($J50,12*($AB50))))</f>
        <v/>
      </c>
      <c r="AD50" s="11" t="str">
        <f>IF($J50="","",IF($AB50&lt;0,-1,$AB50-IF($AC50&gt;判定日,1,0)))</f>
        <v/>
      </c>
      <c r="AE50" s="11" t="str">
        <f>IF(OR($J50="",N($K50)=0),"",SUMIFS(取得日!$C$4:$C$503,取得日!$A$4:$A$503,$A50,取得日!$B$4:$B$503,"&gt;="&amp;$L50,取得日!$B$4:$B$503,"&lt;="&amp;IF(ISNUMBER($Q50),$Q50,$M50-1),取得日!$D$4:$D$503,"&lt;&gt;時間単位"))</f>
        <v/>
      </c>
      <c r="AF50" s="11" t="str">
        <f>IF($J50="","",IF($K50&lt;2,"",SUMIFS(取得日!$C$4:$C$503,取得日!$A$4:$A$503,$A50,取得日!$B$4:$B$503,"&gt;="&amp;IF(DAY(EDATE($J50,12*($AD50-1)))&lt;DAY($J50),EDATE($J50,12*($AD50-1))+1,EDATE($J50,12*($AD50-1))),取得日!$B$4:$B$503,"&lt;"&amp;$L50,取得日!$D$4:$D$503,"&lt;&gt;時間単位")))</f>
        <v/>
      </c>
    </row>
    <row r="51" ht="21" customHeight="1">
      <c r="A51" s="12" t="n"/>
      <c r="B51" s="13" t="n"/>
      <c r="C51" s="14" t="n"/>
      <c r="D51" s="14" t="n"/>
      <c r="E51" s="14" t="n"/>
      <c r="F51" s="14" t="n"/>
      <c r="G51" s="14" t="n"/>
      <c r="H51" s="13" t="n"/>
      <c r="I51" s="23" t="str">
        <f>IF($B51="","",IF(N($E51)&gt;=30,"通常",IF(N($C51)&gt;=5,"通常",IF(N($C51)&gt;0,IF($C51=INT($C51),$C51&amp;"日","区分外（表に定めなし）"),IF(N($D51)&gt;=217,"通常",IF(N($D51)&gt;=169,"4日",IF(N($D51)&gt;=121,"3日",IF(N($D51)&gt;=73,"2日",IF(N($D51)&gt;=48,"1日",IF(N($D51)&gt;0,"区分外（表に定めなし）","入力待ち"))))))))))</f>
        <v/>
      </c>
      <c r="J51" s="24" t="str">
        <f>IF($B51="","",IF($H51&lt;&gt;"",$H51,IF(DAY(EDATE($B51,6))&lt;DAY($B51),EDATE($B51,6)+1,EDATE($B51,6))))</f>
        <v/>
      </c>
      <c r="K51" s="25" t="str">
        <f>IF($J51="","",$AD51+1)</f>
        <v/>
      </c>
      <c r="L51" s="24" t="str">
        <f>IF($J51="","",IF($K51=0,"未到達",IF(DAY(EDATE($J51,12*($AD51)))&lt;DAY($J51),EDATE($J51,12*($AD51))+1,EDATE($J51,12*($AD51)))))</f>
        <v/>
      </c>
      <c r="M51" s="24" t="str">
        <f>IF($J51="","",IF(DAY(EDATE($J51,12*($AD51+1)))&lt;DAY($J51),EDATE($J51,12*($AD51+1))+1,EDATE($J51,12*($AD51+1))))</f>
        <v/>
      </c>
      <c r="N51" s="25" t="str">
        <f>IF($J51="","",IF($K51=0,0,6+12*($K51-1)))</f>
        <v/>
      </c>
      <c r="O51" s="25" t="str">
        <f>IF(OR($J51="",$I51="入力待ち"),"",IF($K51=0,0,IF($G51="×",0,IF(LEFT($I51,3)="区分外","",INDEX(tbl_fuyo,MATCH($I51,区分名,0),MIN($K51,7))))))</f>
        <v/>
      </c>
      <c r="P51" s="23" t="str">
        <f>IF($O51="","",IF($O51&gt;=10,"対象","対象外"))</f>
        <v/>
      </c>
      <c r="Q51" s="26" t="str">
        <f>IF($J51="","",IF($H51&lt;&gt;"","前倒し：出ません",IF($P51="対象",IF(DAY(EDATE($L51,12))&lt;DAY($L51),EDATE($L51,12),EDATE($L51,12)-1),"")))</f>
        <v/>
      </c>
      <c r="R51" s="27" t="str">
        <f>IF($P51="対象",$AE51,"")</f>
        <v/>
      </c>
      <c r="S51" s="28" t="str">
        <f>IF($J51="","",IF($H51&lt;&gt;"",IF($P51="対象","前倒し：出ません",""),IF($P51="対象",MAX(0,年5日-$R51),"")))</f>
        <v/>
      </c>
      <c r="T51" s="25" t="str">
        <f>IF($J51="","",IF(AND($H51="",$P51="対象"),$Q51-判定日,""))</f>
        <v/>
      </c>
      <c r="U51" s="29" t="str">
        <f>IF($J51="","",IF($K51=0,"未到達",IF($H51&lt;&gt;"",IF($P51="対象","前倒し：出ません","対象外"),IF($P51&lt;&gt;"対象","対象外",IF($S51=0,"達成",IF($T51&lt;=警告日数,"要時季指定","進行中"))))))</f>
        <v/>
      </c>
      <c r="V51" s="29" t="str">
        <f>IF($J51="","",IF($K51&lt;2,"－",IF($H51&lt;&gt;"","前倒し：出ません",IF($W51="","－",IF($W51&lt;10,"対象外",IF($AF51&gt;=5,"達成","未達（期限超過）"))))))</f>
        <v/>
      </c>
      <c r="W51" s="25" t="str">
        <f>IF($J51="","",IF($K51&lt;2,"",IF(OR($I51="入力待ち",LEFT($I51,3)="区分外"),"",INDEX(tbl_fuyo,MATCH($I51,区分名,0),MIN($K51-1,7)))))</f>
        <v/>
      </c>
      <c r="X51" s="25" t="str">
        <f>IF($J51="","",IF($K51=0,"",IF($K51&lt;2,0,MIN(N($F51),N($W51)))))</f>
        <v/>
      </c>
      <c r="Y51" s="27" t="str">
        <f>IF(OR($J51="",$O51="",N($K51)=0),"",$X51+$O51-$AE51)</f>
        <v/>
      </c>
      <c r="Z51" s="30" t="str">
        <f>IF(OR($J51="",N($K51)=0),"",SUMIFS(取得日!$E$4:$E$503,取得日!$A$4:$A$503,$A51,取得日!$B$4:$B$503,"&gt;="&amp;$L51,取得日!$B$4:$B$503,"&lt;="&amp;IF(ISNUMBER($Q51),$Q51,$M51-1),取得日!$D$4:$D$503,"時間単位"))</f>
        <v/>
      </c>
      <c r="AA51" s="11" t="str">
        <f>IF($J51="","",(YEAR(判定日)-YEAR($J51))*12+MONTH(判定日)-MONTH($J51))</f>
        <v/>
      </c>
      <c r="AB51" s="11" t="str">
        <f>IF($J51="","",IF(判定日&lt;$J51,-1,INT($AA51/12)))</f>
        <v/>
      </c>
      <c r="AC51" s="22" t="str">
        <f>IF(OR($J51="",N($AB51)&lt;0),"",IF(DAY(EDATE($J51,12*($AB51)))&lt;DAY($J51),EDATE($J51,12*($AB51))+1,EDATE($J51,12*($AB51))))</f>
        <v/>
      </c>
      <c r="AD51" s="11" t="str">
        <f>IF($J51="","",IF($AB51&lt;0,-1,$AB51-IF($AC51&gt;判定日,1,0)))</f>
        <v/>
      </c>
      <c r="AE51" s="11" t="str">
        <f>IF(OR($J51="",N($K51)=0),"",SUMIFS(取得日!$C$4:$C$503,取得日!$A$4:$A$503,$A51,取得日!$B$4:$B$503,"&gt;="&amp;$L51,取得日!$B$4:$B$503,"&lt;="&amp;IF(ISNUMBER($Q51),$Q51,$M51-1),取得日!$D$4:$D$503,"&lt;&gt;時間単位"))</f>
        <v/>
      </c>
      <c r="AF51" s="11" t="str">
        <f>IF($J51="","",IF($K51&lt;2,"",SUMIFS(取得日!$C$4:$C$503,取得日!$A$4:$A$503,$A51,取得日!$B$4:$B$503,"&gt;="&amp;IF(DAY(EDATE($J51,12*($AD51-1)))&lt;DAY($J51),EDATE($J51,12*($AD51-1))+1,EDATE($J51,12*($AD51-1))),取得日!$B$4:$B$503,"&lt;"&amp;$L51,取得日!$D$4:$D$503,"&lt;&gt;時間単位")))</f>
        <v/>
      </c>
    </row>
    <row r="52" ht="21" customHeight="1">
      <c r="A52" s="12" t="n"/>
      <c r="B52" s="13" t="n"/>
      <c r="C52" s="14" t="n"/>
      <c r="D52" s="14" t="n"/>
      <c r="E52" s="14" t="n"/>
      <c r="F52" s="14" t="n"/>
      <c r="G52" s="14" t="n"/>
      <c r="H52" s="13" t="n"/>
      <c r="I52" s="9" t="str">
        <f>IF($B52="","",IF(N($E52)&gt;=30,"通常",IF(N($C52)&gt;=5,"通常",IF(N($C52)&gt;0,IF($C52=INT($C52),$C52&amp;"日","区分外（表に定めなし）"),IF(N($D52)&gt;=217,"通常",IF(N($D52)&gt;=169,"4日",IF(N($D52)&gt;=121,"3日",IF(N($D52)&gt;=73,"2日",IF(N($D52)&gt;=48,"1日",IF(N($D52)&gt;0,"区分外（表に定めなし）","入力待ち"))))))))))</f>
        <v/>
      </c>
      <c r="J52" s="15" t="str">
        <f>IF($B52="","",IF($H52&lt;&gt;"",$H52,IF(DAY(EDATE($B52,6))&lt;DAY($B52),EDATE($B52,6)+1,EDATE($B52,6))))</f>
        <v/>
      </c>
      <c r="K52" s="16" t="str">
        <f>IF($J52="","",$AD52+1)</f>
        <v/>
      </c>
      <c r="L52" s="15" t="str">
        <f>IF($J52="","",IF($K52=0,"未到達",IF(DAY(EDATE($J52,12*($AD52)))&lt;DAY($J52),EDATE($J52,12*($AD52))+1,EDATE($J52,12*($AD52)))))</f>
        <v/>
      </c>
      <c r="M52" s="15" t="str">
        <f>IF($J52="","",IF(DAY(EDATE($J52,12*($AD52+1)))&lt;DAY($J52),EDATE($J52,12*($AD52+1))+1,EDATE($J52,12*($AD52+1))))</f>
        <v/>
      </c>
      <c r="N52" s="16" t="str">
        <f>IF($J52="","",IF($K52=0,0,6+12*($K52-1)))</f>
        <v/>
      </c>
      <c r="O52" s="16" t="str">
        <f>IF(OR($J52="",$I52="入力待ち"),"",IF($K52=0,0,IF($G52="×",0,IF(LEFT($I52,3)="区分外","",INDEX(tbl_fuyo,MATCH($I52,区分名,0),MIN($K52,7))))))</f>
        <v/>
      </c>
      <c r="P52" s="9" t="str">
        <f>IF($O52="","",IF($O52&gt;=10,"対象","対象外"))</f>
        <v/>
      </c>
      <c r="Q52" s="17" t="str">
        <f>IF($J52="","",IF($H52&lt;&gt;"","前倒し：出ません",IF($P52="対象",IF(DAY(EDATE($L52,12))&lt;DAY($L52),EDATE($L52,12),EDATE($L52,12)-1),"")))</f>
        <v/>
      </c>
      <c r="R52" s="18" t="str">
        <f>IF($P52="対象",$AE52,"")</f>
        <v/>
      </c>
      <c r="S52" s="19" t="str">
        <f>IF($J52="","",IF($H52&lt;&gt;"",IF($P52="対象","前倒し：出ません",""),IF($P52="対象",MAX(0,年5日-$R52),"")))</f>
        <v/>
      </c>
      <c r="T52" s="16" t="str">
        <f>IF($J52="","",IF(AND($H52="",$P52="対象"),$Q52-判定日,""))</f>
        <v/>
      </c>
      <c r="U52" s="20" t="str">
        <f>IF($J52="","",IF($K52=0,"未到達",IF($H52&lt;&gt;"",IF($P52="対象","前倒し：出ません","対象外"),IF($P52&lt;&gt;"対象","対象外",IF($S52=0,"達成",IF($T52&lt;=警告日数,"要時季指定","進行中"))))))</f>
        <v/>
      </c>
      <c r="V52" s="20" t="str">
        <f>IF($J52="","",IF($K52&lt;2,"－",IF($H52&lt;&gt;"","前倒し：出ません",IF($W52="","－",IF($W52&lt;10,"対象外",IF($AF52&gt;=5,"達成","未達（期限超過）"))))))</f>
        <v/>
      </c>
      <c r="W52" s="16" t="str">
        <f>IF($J52="","",IF($K52&lt;2,"",IF(OR($I52="入力待ち",LEFT($I52,3)="区分外"),"",INDEX(tbl_fuyo,MATCH($I52,区分名,0),MIN($K52-1,7)))))</f>
        <v/>
      </c>
      <c r="X52" s="16" t="str">
        <f>IF($J52="","",IF($K52=0,"",IF($K52&lt;2,0,MIN(N($F52),N($W52)))))</f>
        <v/>
      </c>
      <c r="Y52" s="18" t="str">
        <f>IF(OR($J52="",$O52="",N($K52)=0),"",$X52+$O52-$AE52)</f>
        <v/>
      </c>
      <c r="Z52" s="21" t="str">
        <f>IF(OR($J52="",N($K52)=0),"",SUMIFS(取得日!$E$4:$E$503,取得日!$A$4:$A$503,$A52,取得日!$B$4:$B$503,"&gt;="&amp;$L52,取得日!$B$4:$B$503,"&lt;="&amp;IF(ISNUMBER($Q52),$Q52,$M52-1),取得日!$D$4:$D$503,"時間単位"))</f>
        <v/>
      </c>
      <c r="AA52" s="11" t="str">
        <f>IF($J52="","",(YEAR(判定日)-YEAR($J52))*12+MONTH(判定日)-MONTH($J52))</f>
        <v/>
      </c>
      <c r="AB52" s="11" t="str">
        <f>IF($J52="","",IF(判定日&lt;$J52,-1,INT($AA52/12)))</f>
        <v/>
      </c>
      <c r="AC52" s="22" t="str">
        <f>IF(OR($J52="",N($AB52)&lt;0),"",IF(DAY(EDATE($J52,12*($AB52)))&lt;DAY($J52),EDATE($J52,12*($AB52))+1,EDATE($J52,12*($AB52))))</f>
        <v/>
      </c>
      <c r="AD52" s="11" t="str">
        <f>IF($J52="","",IF($AB52&lt;0,-1,$AB52-IF($AC52&gt;判定日,1,0)))</f>
        <v/>
      </c>
      <c r="AE52" s="11" t="str">
        <f>IF(OR($J52="",N($K52)=0),"",SUMIFS(取得日!$C$4:$C$503,取得日!$A$4:$A$503,$A52,取得日!$B$4:$B$503,"&gt;="&amp;$L52,取得日!$B$4:$B$503,"&lt;="&amp;IF(ISNUMBER($Q52),$Q52,$M52-1),取得日!$D$4:$D$503,"&lt;&gt;時間単位"))</f>
        <v/>
      </c>
      <c r="AF52" s="11" t="str">
        <f>IF($J52="","",IF($K52&lt;2,"",SUMIFS(取得日!$C$4:$C$503,取得日!$A$4:$A$503,$A52,取得日!$B$4:$B$503,"&gt;="&amp;IF(DAY(EDATE($J52,12*($AD52-1)))&lt;DAY($J52),EDATE($J52,12*($AD52-1))+1,EDATE($J52,12*($AD52-1))),取得日!$B$4:$B$503,"&lt;"&amp;$L52,取得日!$D$4:$D$503,"&lt;&gt;時間単位")))</f>
        <v/>
      </c>
    </row>
    <row r="53" ht="21" customHeight="1">
      <c r="A53" s="12" t="n"/>
      <c r="B53" s="13" t="n"/>
      <c r="C53" s="14" t="n"/>
      <c r="D53" s="14" t="n"/>
      <c r="E53" s="14" t="n"/>
      <c r="F53" s="14" t="n"/>
      <c r="G53" s="14" t="n"/>
      <c r="H53" s="13" t="n"/>
      <c r="I53" s="23" t="str">
        <f>IF($B53="","",IF(N($E53)&gt;=30,"通常",IF(N($C53)&gt;=5,"通常",IF(N($C53)&gt;0,IF($C53=INT($C53),$C53&amp;"日","区分外（表に定めなし）"),IF(N($D53)&gt;=217,"通常",IF(N($D53)&gt;=169,"4日",IF(N($D53)&gt;=121,"3日",IF(N($D53)&gt;=73,"2日",IF(N($D53)&gt;=48,"1日",IF(N($D53)&gt;0,"区分外（表に定めなし）","入力待ち"))))))))))</f>
        <v/>
      </c>
      <c r="J53" s="24" t="str">
        <f>IF($B53="","",IF($H53&lt;&gt;"",$H53,IF(DAY(EDATE($B53,6))&lt;DAY($B53),EDATE($B53,6)+1,EDATE($B53,6))))</f>
        <v/>
      </c>
      <c r="K53" s="25" t="str">
        <f>IF($J53="","",$AD53+1)</f>
        <v/>
      </c>
      <c r="L53" s="24" t="str">
        <f>IF($J53="","",IF($K53=0,"未到達",IF(DAY(EDATE($J53,12*($AD53)))&lt;DAY($J53),EDATE($J53,12*($AD53))+1,EDATE($J53,12*($AD53)))))</f>
        <v/>
      </c>
      <c r="M53" s="24" t="str">
        <f>IF($J53="","",IF(DAY(EDATE($J53,12*($AD53+1)))&lt;DAY($J53),EDATE($J53,12*($AD53+1))+1,EDATE($J53,12*($AD53+1))))</f>
        <v/>
      </c>
      <c r="N53" s="25" t="str">
        <f>IF($J53="","",IF($K53=0,0,6+12*($K53-1)))</f>
        <v/>
      </c>
      <c r="O53" s="25" t="str">
        <f>IF(OR($J53="",$I53="入力待ち"),"",IF($K53=0,0,IF($G53="×",0,IF(LEFT($I53,3)="区分外","",INDEX(tbl_fuyo,MATCH($I53,区分名,0),MIN($K53,7))))))</f>
        <v/>
      </c>
      <c r="P53" s="23" t="str">
        <f>IF($O53="","",IF($O53&gt;=10,"対象","対象外"))</f>
        <v/>
      </c>
      <c r="Q53" s="26" t="str">
        <f>IF($J53="","",IF($H53&lt;&gt;"","前倒し：出ません",IF($P53="対象",IF(DAY(EDATE($L53,12))&lt;DAY($L53),EDATE($L53,12),EDATE($L53,12)-1),"")))</f>
        <v/>
      </c>
      <c r="R53" s="27" t="str">
        <f>IF($P53="対象",$AE53,"")</f>
        <v/>
      </c>
      <c r="S53" s="28" t="str">
        <f>IF($J53="","",IF($H53&lt;&gt;"",IF($P53="対象","前倒し：出ません",""),IF($P53="対象",MAX(0,年5日-$R53),"")))</f>
        <v/>
      </c>
      <c r="T53" s="25" t="str">
        <f>IF($J53="","",IF(AND($H53="",$P53="対象"),$Q53-判定日,""))</f>
        <v/>
      </c>
      <c r="U53" s="29" t="str">
        <f>IF($J53="","",IF($K53=0,"未到達",IF($H53&lt;&gt;"",IF($P53="対象","前倒し：出ません","対象外"),IF($P53&lt;&gt;"対象","対象外",IF($S53=0,"達成",IF($T53&lt;=警告日数,"要時季指定","進行中"))))))</f>
        <v/>
      </c>
      <c r="V53" s="29" t="str">
        <f>IF($J53="","",IF($K53&lt;2,"－",IF($H53&lt;&gt;"","前倒し：出ません",IF($W53="","－",IF($W53&lt;10,"対象外",IF($AF53&gt;=5,"達成","未達（期限超過）"))))))</f>
        <v/>
      </c>
      <c r="W53" s="25" t="str">
        <f>IF($J53="","",IF($K53&lt;2,"",IF(OR($I53="入力待ち",LEFT($I53,3)="区分外"),"",INDEX(tbl_fuyo,MATCH($I53,区分名,0),MIN($K53-1,7)))))</f>
        <v/>
      </c>
      <c r="X53" s="25" t="str">
        <f>IF($J53="","",IF($K53=0,"",IF($K53&lt;2,0,MIN(N($F53),N($W53)))))</f>
        <v/>
      </c>
      <c r="Y53" s="27" t="str">
        <f>IF(OR($J53="",$O53="",N($K53)=0),"",$X53+$O53-$AE53)</f>
        <v/>
      </c>
      <c r="Z53" s="30" t="str">
        <f>IF(OR($J53="",N($K53)=0),"",SUMIFS(取得日!$E$4:$E$503,取得日!$A$4:$A$503,$A53,取得日!$B$4:$B$503,"&gt;="&amp;$L53,取得日!$B$4:$B$503,"&lt;="&amp;IF(ISNUMBER($Q53),$Q53,$M53-1),取得日!$D$4:$D$503,"時間単位"))</f>
        <v/>
      </c>
      <c r="AA53" s="11" t="str">
        <f>IF($J53="","",(YEAR(判定日)-YEAR($J53))*12+MONTH(判定日)-MONTH($J53))</f>
        <v/>
      </c>
      <c r="AB53" s="11" t="str">
        <f>IF($J53="","",IF(判定日&lt;$J53,-1,INT($AA53/12)))</f>
        <v/>
      </c>
      <c r="AC53" s="22" t="str">
        <f>IF(OR($J53="",N($AB53)&lt;0),"",IF(DAY(EDATE($J53,12*($AB53)))&lt;DAY($J53),EDATE($J53,12*($AB53))+1,EDATE($J53,12*($AB53))))</f>
        <v/>
      </c>
      <c r="AD53" s="11" t="str">
        <f>IF($J53="","",IF($AB53&lt;0,-1,$AB53-IF($AC53&gt;判定日,1,0)))</f>
        <v/>
      </c>
      <c r="AE53" s="11" t="str">
        <f>IF(OR($J53="",N($K53)=0),"",SUMIFS(取得日!$C$4:$C$503,取得日!$A$4:$A$503,$A53,取得日!$B$4:$B$503,"&gt;="&amp;$L53,取得日!$B$4:$B$503,"&lt;="&amp;IF(ISNUMBER($Q53),$Q53,$M53-1),取得日!$D$4:$D$503,"&lt;&gt;時間単位"))</f>
        <v/>
      </c>
      <c r="AF53" s="11" t="str">
        <f>IF($J53="","",IF($K53&lt;2,"",SUMIFS(取得日!$C$4:$C$503,取得日!$A$4:$A$503,$A53,取得日!$B$4:$B$503,"&gt;="&amp;IF(DAY(EDATE($J53,12*($AD53-1)))&lt;DAY($J53),EDATE($J53,12*($AD53-1))+1,EDATE($J53,12*($AD53-1))),取得日!$B$4:$B$503,"&lt;"&amp;$L53,取得日!$D$4:$D$503,"&lt;&gt;時間単位"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A1:Z1"/>
    <mergeCell ref="A2:Z2"/>
  </mergeCells>
  <conditionalFormatting sqref="U4:U53">
    <cfRule type="expression" priority="1" dxfId="0">
      <formula>U4="要時季指定"</formula>
    </cfRule>
    <cfRule type="expression" priority="2" dxfId="1">
      <formula>U4="達成"</formula>
    </cfRule>
  </conditionalFormatting>
  <conditionalFormatting sqref="V4:V53">
    <cfRule type="expression" priority="3" dxfId="2">
      <formula>LEFT(V4,2)="未達"</formula>
    </cfRule>
  </conditionalFormatting>
  <dataValidations count="5">
    <dataValidation sqref="C4:C53" showDropDown="0" showInputMessage="0" showErrorMessage="0" allowBlank="1" error="5（5日以上）・4・3・2・1 から選んでください。週以外の期間で定めるときは D 列に年間日数を入れます" type="list">
      <formula1>"5,4,3,2,1"</formula1>
    </dataValidation>
    <dataValidation sqref="G4:G53" showDropDown="0" showInputMessage="0" showErrorMessage="0" allowBlank="1" type="list">
      <formula1>"〇,×"</formula1>
    </dataValidation>
    <dataValidation sqref="B4:B53 H4:H53" showDropDown="0" showInputMessage="0" showErrorMessage="0" allowBlank="1" error="日付を 2025/4/1 の形で入力してください" type="date" operator="greaterThan">
      <formula1>1</formula1>
    </dataValidation>
    <dataValidation sqref="B4:B53 H4:H53" showDropDown="0" showInputMessage="0" showErrorMessage="0" allowBlank="1" error="日付を 2025/4/1 の形で入力してください" type="date" operator="greaterThan">
      <formula1>1</formula1>
    </dataValidation>
    <dataValidation sqref="D4:F53" showDropDown="0" showInputMessage="0" showErrorMessage="0" allowBlank="1" type="decimal" operator="greaterThanOrEqual">
      <formula1>0</formula1>
    </dataValidation>
  </dataValidations>
  <pageMargins left="0.5" right="0.5" top="0.6" bottom="0.6" header="0.3" footer="0.3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7.5" customWidth="1" min="5" max="5"/>
    <col width="15.5" customWidth="1" min="6" max="6"/>
  </cols>
  <sheetData>
    <row r="1">
      <c r="A1" s="36" t="inlineStr">
        <is>
          <t>取得日（有給を取った日を1行ずつ記録）</t>
        </is>
      </c>
    </row>
    <row r="2" ht="30" customHeight="1">
      <c r="A2" s="38" t="inlineStr">
        <is>
          <t>全日・半日・計画的付与は『日数』に 1 または 0.5。時間単位は『日数』を空にして『時間数』に時間を入れます（時間単位は年5日に数えません）。会社独自の特別休暇（慶弔休暇など）はここに入れません。</t>
        </is>
      </c>
    </row>
    <row r="3" ht="34" customHeight="1">
      <c r="A3" s="8" t="inlineStr">
        <is>
          <t>氏名</t>
        </is>
      </c>
      <c r="B3" s="8" t="inlineStr">
        <is>
          <t>取得日</t>
        </is>
      </c>
      <c r="C3" s="8" t="inlineStr">
        <is>
          <t>日数
（0.5 または 1）</t>
        </is>
      </c>
      <c r="D3" s="8" t="inlineStr">
        <is>
          <t>種別</t>
        </is>
      </c>
      <c r="E3" s="8" t="inlineStr">
        <is>
          <t>時間数
（時間単位のみ）</t>
        </is>
      </c>
      <c r="F3" s="8" t="inlineStr">
        <is>
          <t>管理簿用の連番
（自動）</t>
        </is>
      </c>
    </row>
    <row r="4">
      <c r="A4" s="12" t="inlineStr">
        <is>
          <t>山田 太郎（例）</t>
        </is>
      </c>
      <c r="B4" s="13" t="n">
        <v>45646</v>
      </c>
      <c r="C4" s="14" t="n">
        <v>1</v>
      </c>
      <c r="D4" s="14" t="inlineStr">
        <is>
          <t>全日</t>
        </is>
      </c>
      <c r="E4" s="14" t="n"/>
      <c r="F4" s="11">
        <f>IF(AND($A4&lt;&gt;"",$A4=管理簿!$B$3,$B4&lt;&gt;""),COUNTIFS($A$4:$A$503,管理簿!$B$3,$B$4:$B$503,"&lt;"&amp;$B4)+COUNTIFS($A$4:$A4,管理簿!$B$3,$B$4:$B4,$B4),"")</f>
        <v>1</v>
      </c>
    </row>
    <row r="5">
      <c r="A5" s="12" t="inlineStr">
        <is>
          <t>山田 太郎（例）</t>
        </is>
      </c>
      <c r="B5" s="13" t="n">
        <v>45730</v>
      </c>
      <c r="C5" s="14" t="n">
        <v>1</v>
      </c>
      <c r="D5" s="14" t="inlineStr">
        <is>
          <t>全日</t>
        </is>
      </c>
      <c r="E5" s="14" t="n"/>
      <c r="F5" s="11">
        <f>IF(AND($A5&lt;&gt;"",$A5=管理簿!$B$3,$B5&lt;&gt;""),COUNTIFS($A$4:$A$503,管理簿!$B$3,$B$4:$B$503,"&lt;"&amp;$B5)+COUNTIFS($A$4:$A5,管理簿!$B$3,$B$4:$B5,$B5),"")</f>
        <v>2</v>
      </c>
    </row>
    <row r="6">
      <c r="A6" s="12" t="inlineStr">
        <is>
          <t>山田 太郎（例）</t>
        </is>
      </c>
      <c r="B6" s="13" t="n">
        <v>45779</v>
      </c>
      <c r="C6" s="14" t="n">
        <v>1</v>
      </c>
      <c r="D6" s="14" t="inlineStr">
        <is>
          <t>全日</t>
        </is>
      </c>
      <c r="E6" s="14" t="n"/>
      <c r="F6" s="11">
        <f>IF(AND($A6&lt;&gt;"",$A6=管理簿!$B$3,$B6&lt;&gt;""),COUNTIFS($A$4:$A$503,管理簿!$B$3,$B$4:$B$503,"&lt;"&amp;$B6)+COUNTIFS($A$4:$A6,管理簿!$B$3,$B$4:$B6,$B6),"")</f>
        <v>3</v>
      </c>
    </row>
    <row r="7">
      <c r="A7" s="12" t="inlineStr">
        <is>
          <t>山田 太郎（例）</t>
        </is>
      </c>
      <c r="B7" s="13" t="n">
        <v>45856</v>
      </c>
      <c r="C7" s="14" t="n">
        <v>1</v>
      </c>
      <c r="D7" s="14" t="inlineStr">
        <is>
          <t>全日</t>
        </is>
      </c>
      <c r="E7" s="14" t="n"/>
      <c r="F7" s="11">
        <f>IF(AND($A7&lt;&gt;"",$A7=管理簿!$B$3,$B7&lt;&gt;""),COUNTIFS($A$4:$A$503,管理簿!$B$3,$B$4:$B$503,"&lt;"&amp;$B7)+COUNTIFS($A$4:$A7,管理簿!$B$3,$B$4:$B7,$B7),"")</f>
        <v>4</v>
      </c>
    </row>
    <row r="8">
      <c r="A8" s="12" t="inlineStr">
        <is>
          <t>山田 太郎（例）</t>
        </is>
      </c>
      <c r="B8" s="13" t="n">
        <v>45894</v>
      </c>
      <c r="C8" s="14" t="n">
        <v>1</v>
      </c>
      <c r="D8" s="14" t="inlineStr">
        <is>
          <t>全日</t>
        </is>
      </c>
      <c r="E8" s="14" t="n"/>
      <c r="F8" s="11">
        <f>IF(AND($A8&lt;&gt;"",$A8=管理簿!$B$3,$B8&lt;&gt;""),COUNTIFS($A$4:$A$503,管理簿!$B$3,$B$4:$B$503,"&lt;"&amp;$B8)+COUNTIFS($A$4:$A8,管理簿!$B$3,$B$4:$B8,$B8),"")</f>
        <v>5</v>
      </c>
    </row>
    <row r="9">
      <c r="A9" s="12" t="inlineStr">
        <is>
          <t>山田 太郎（例）</t>
        </is>
      </c>
      <c r="B9" s="13" t="n">
        <v>45971</v>
      </c>
      <c r="C9" s="14" t="n">
        <v>1</v>
      </c>
      <c r="D9" s="14" t="inlineStr">
        <is>
          <t>全日</t>
        </is>
      </c>
      <c r="E9" s="14" t="n"/>
      <c r="F9" s="11">
        <f>IF(AND($A9&lt;&gt;"",$A9=管理簿!$B$3,$B9&lt;&gt;""),COUNTIFS($A$4:$A$503,管理簿!$B$3,$B$4:$B$503,"&lt;"&amp;$B9)+COUNTIFS($A$4:$A9,管理簿!$B$3,$B$4:$B9,$B9),"")</f>
        <v>6</v>
      </c>
    </row>
    <row r="10">
      <c r="A10" s="12" t="inlineStr">
        <is>
          <t>山田 太郎（例）</t>
        </is>
      </c>
      <c r="B10" s="13" t="n">
        <v>46027</v>
      </c>
      <c r="C10" s="14" t="n">
        <v>0.5</v>
      </c>
      <c r="D10" s="14" t="inlineStr">
        <is>
          <t>半日</t>
        </is>
      </c>
      <c r="E10" s="14" t="n"/>
      <c r="F10" s="11">
        <f>IF(AND($A10&lt;&gt;"",$A10=管理簿!$B$3,$B10&lt;&gt;""),COUNTIFS($A$4:$A$503,管理簿!$B$3,$B$4:$B$503,"&lt;"&amp;$B10)+COUNTIFS($A$4:$A10,管理簿!$B$3,$B$4:$B10,$B10),"")</f>
        <v>7</v>
      </c>
    </row>
    <row r="11">
      <c r="A11" s="12" t="inlineStr">
        <is>
          <t>山田 太郎（例）</t>
        </is>
      </c>
      <c r="B11" s="13" t="n">
        <v>46069</v>
      </c>
      <c r="C11" s="14" t="n">
        <v>1</v>
      </c>
      <c r="D11" s="14" t="inlineStr">
        <is>
          <t>計画的付与</t>
        </is>
      </c>
      <c r="E11" s="14" t="n"/>
      <c r="F11" s="11">
        <f>IF(AND($A11&lt;&gt;"",$A11=管理簿!$B$3,$B11&lt;&gt;""),COUNTIFS($A$4:$A$503,管理簿!$B$3,$B$4:$B$503,"&lt;"&amp;$B11)+COUNTIFS($A$4:$A11,管理簿!$B$3,$B$4:$B11,$B11),"")</f>
        <v>8</v>
      </c>
    </row>
    <row r="12">
      <c r="A12" s="12" t="inlineStr">
        <is>
          <t>山田 太郎（例）</t>
        </is>
      </c>
      <c r="B12" s="13" t="n">
        <v>46085</v>
      </c>
      <c r="C12" s="14" t="n"/>
      <c r="D12" s="14" t="inlineStr">
        <is>
          <t>時間単位</t>
        </is>
      </c>
      <c r="E12" s="14" t="n">
        <v>2</v>
      </c>
      <c r="F12" s="11">
        <f>IF(AND($A12&lt;&gt;"",$A12=管理簿!$B$3,$B12&lt;&gt;""),COUNTIFS($A$4:$A$503,管理簿!$B$3,$B$4:$B$503,"&lt;"&amp;$B12)+COUNTIFS($A$4:$A12,管理簿!$B$3,$B$4:$B12,$B12),"")</f>
        <v>9</v>
      </c>
    </row>
    <row r="13">
      <c r="A13" s="12" t="inlineStr">
        <is>
          <t>田中 次郎（例）</t>
        </is>
      </c>
      <c r="B13" s="13" t="n">
        <v>46013</v>
      </c>
      <c r="C13" s="14" t="n">
        <v>1</v>
      </c>
      <c r="D13" s="14" t="inlineStr">
        <is>
          <t>全日</t>
        </is>
      </c>
      <c r="E13" s="14" t="n"/>
      <c r="F13" s="11" t="str">
        <f>IF(AND($A13&lt;&gt;"",$A13=管理簿!$B$3,$B13&lt;&gt;""),COUNTIFS($A$4:$A$503,管理簿!$B$3,$B$4:$B$503,"&lt;"&amp;$B13)+COUNTIFS($A$4:$A13,管理簿!$B$3,$B$4:$B13,$B13),"")</f>
        <v/>
      </c>
    </row>
    <row r="14">
      <c r="A14" s="12" t="inlineStr">
        <is>
          <t>田中 次郎（例）</t>
        </is>
      </c>
      <c r="B14" s="13" t="n">
        <v>46188</v>
      </c>
      <c r="C14" s="14" t="n">
        <v>1</v>
      </c>
      <c r="D14" s="14" t="inlineStr">
        <is>
          <t>全日</t>
        </is>
      </c>
      <c r="E14" s="14" t="n"/>
      <c r="F14" s="11" t="str">
        <f>IF(AND($A14&lt;&gt;"",$A14=管理簿!$B$3,$B14&lt;&gt;""),COUNTIFS($A$4:$A$503,管理簿!$B$3,$B$4:$B$503,"&lt;"&amp;$B14)+COUNTIFS($A$4:$A14,管理簿!$B$3,$B$4:$B14,$B14),"")</f>
        <v/>
      </c>
    </row>
    <row r="15">
      <c r="A15" s="12" t="inlineStr">
        <is>
          <t>佐藤 美咲（例）</t>
        </is>
      </c>
      <c r="B15" s="13" t="n">
        <v>46153</v>
      </c>
      <c r="C15" s="14" t="n">
        <v>1</v>
      </c>
      <c r="D15" s="14" t="inlineStr">
        <is>
          <t>全日</t>
        </is>
      </c>
      <c r="E15" s="14" t="n"/>
      <c r="F15" s="11" t="str">
        <f>IF(AND($A15&lt;&gt;"",$A15=管理簿!$B$3,$B15&lt;&gt;""),COUNTIFS($A$4:$A$503,管理簿!$B$3,$B$4:$B$503,"&lt;"&amp;$B15)+COUNTIFS($A$4:$A15,管理簿!$B$3,$B$4:$B15,$B15),"")</f>
        <v/>
      </c>
    </row>
    <row r="16">
      <c r="A16" s="12" t="n"/>
      <c r="B16" s="13" t="n"/>
      <c r="C16" s="14" t="n"/>
      <c r="D16" s="14" t="n"/>
      <c r="E16" s="14" t="n"/>
      <c r="F16" s="11" t="str">
        <f>IF(AND($A16&lt;&gt;"",$A16=管理簿!$B$3,$B16&lt;&gt;""),COUNTIFS($A$4:$A$503,管理簿!$B$3,$B$4:$B$503,"&lt;"&amp;$B16)+COUNTIFS($A$4:$A16,管理簿!$B$3,$B$4:$B16,$B16),"")</f>
        <v/>
      </c>
    </row>
    <row r="17">
      <c r="A17" s="12" t="n"/>
      <c r="B17" s="13" t="n"/>
      <c r="C17" s="14" t="n"/>
      <c r="D17" s="14" t="n"/>
      <c r="E17" s="14" t="n"/>
      <c r="F17" s="11" t="str">
        <f>IF(AND($A17&lt;&gt;"",$A17=管理簿!$B$3,$B17&lt;&gt;""),COUNTIFS($A$4:$A$503,管理簿!$B$3,$B$4:$B$503,"&lt;"&amp;$B17)+COUNTIFS($A$4:$A17,管理簿!$B$3,$B$4:$B17,$B17),"")</f>
        <v/>
      </c>
    </row>
    <row r="18">
      <c r="A18" s="12" t="n"/>
      <c r="B18" s="13" t="n"/>
      <c r="C18" s="14" t="n"/>
      <c r="D18" s="14" t="n"/>
      <c r="E18" s="14" t="n"/>
      <c r="F18" s="11" t="str">
        <f>IF(AND($A18&lt;&gt;"",$A18=管理簿!$B$3,$B18&lt;&gt;""),COUNTIFS($A$4:$A$503,管理簿!$B$3,$B$4:$B$503,"&lt;"&amp;$B18)+COUNTIFS($A$4:$A18,管理簿!$B$3,$B$4:$B18,$B18),"")</f>
        <v/>
      </c>
    </row>
    <row r="19">
      <c r="A19" s="12" t="n"/>
      <c r="B19" s="13" t="n"/>
      <c r="C19" s="14" t="n"/>
      <c r="D19" s="14" t="n"/>
      <c r="E19" s="14" t="n"/>
      <c r="F19" s="11" t="str">
        <f>IF(AND($A19&lt;&gt;"",$A19=管理簿!$B$3,$B19&lt;&gt;""),COUNTIFS($A$4:$A$503,管理簿!$B$3,$B$4:$B$503,"&lt;"&amp;$B19)+COUNTIFS($A$4:$A19,管理簿!$B$3,$B$4:$B19,$B19),"")</f>
        <v/>
      </c>
    </row>
    <row r="20">
      <c r="A20" s="12" t="n"/>
      <c r="B20" s="13" t="n"/>
      <c r="C20" s="14" t="n"/>
      <c r="D20" s="14" t="n"/>
      <c r="E20" s="14" t="n"/>
      <c r="F20" s="11" t="str">
        <f>IF(AND($A20&lt;&gt;"",$A20=管理簿!$B$3,$B20&lt;&gt;""),COUNTIFS($A$4:$A$503,管理簿!$B$3,$B$4:$B$503,"&lt;"&amp;$B20)+COUNTIFS($A$4:$A20,管理簿!$B$3,$B$4:$B20,$B20),"")</f>
        <v/>
      </c>
    </row>
    <row r="21">
      <c r="A21" s="12" t="n"/>
      <c r="B21" s="13" t="n"/>
      <c r="C21" s="14" t="n"/>
      <c r="D21" s="14" t="n"/>
      <c r="E21" s="14" t="n"/>
      <c r="F21" s="11" t="str">
        <f>IF(AND($A21&lt;&gt;"",$A21=管理簿!$B$3,$B21&lt;&gt;""),COUNTIFS($A$4:$A$503,管理簿!$B$3,$B$4:$B$503,"&lt;"&amp;$B21)+COUNTIFS($A$4:$A21,管理簿!$B$3,$B$4:$B21,$B21),"")</f>
        <v/>
      </c>
    </row>
    <row r="22">
      <c r="A22" s="12" t="n"/>
      <c r="B22" s="13" t="n"/>
      <c r="C22" s="14" t="n"/>
      <c r="D22" s="14" t="n"/>
      <c r="E22" s="14" t="n"/>
      <c r="F22" s="11" t="str">
        <f>IF(AND($A22&lt;&gt;"",$A22=管理簿!$B$3,$B22&lt;&gt;""),COUNTIFS($A$4:$A$503,管理簿!$B$3,$B$4:$B$503,"&lt;"&amp;$B22)+COUNTIFS($A$4:$A22,管理簿!$B$3,$B$4:$B22,$B22),"")</f>
        <v/>
      </c>
    </row>
    <row r="23">
      <c r="A23" s="12" t="n"/>
      <c r="B23" s="13" t="n"/>
      <c r="C23" s="14" t="n"/>
      <c r="D23" s="14" t="n"/>
      <c r="E23" s="14" t="n"/>
      <c r="F23" s="11" t="str">
        <f>IF(AND($A23&lt;&gt;"",$A23=管理簿!$B$3,$B23&lt;&gt;""),COUNTIFS($A$4:$A$503,管理簿!$B$3,$B$4:$B$503,"&lt;"&amp;$B23)+COUNTIFS($A$4:$A23,管理簿!$B$3,$B$4:$B23,$B23),"")</f>
        <v/>
      </c>
    </row>
    <row r="24">
      <c r="A24" s="12" t="n"/>
      <c r="B24" s="13" t="n"/>
      <c r="C24" s="14" t="n"/>
      <c r="D24" s="14" t="n"/>
      <c r="E24" s="14" t="n"/>
      <c r="F24" s="11" t="str">
        <f>IF(AND($A24&lt;&gt;"",$A24=管理簿!$B$3,$B24&lt;&gt;""),COUNTIFS($A$4:$A$503,管理簿!$B$3,$B$4:$B$503,"&lt;"&amp;$B24)+COUNTIFS($A$4:$A24,管理簿!$B$3,$B$4:$B24,$B24),"")</f>
        <v/>
      </c>
    </row>
    <row r="25">
      <c r="A25" s="12" t="n"/>
      <c r="B25" s="13" t="n"/>
      <c r="C25" s="14" t="n"/>
      <c r="D25" s="14" t="n"/>
      <c r="E25" s="14" t="n"/>
      <c r="F25" s="11" t="str">
        <f>IF(AND($A25&lt;&gt;"",$A25=管理簿!$B$3,$B25&lt;&gt;""),COUNTIFS($A$4:$A$503,管理簿!$B$3,$B$4:$B$503,"&lt;"&amp;$B25)+COUNTIFS($A$4:$A25,管理簿!$B$3,$B$4:$B25,$B25),"")</f>
        <v/>
      </c>
    </row>
    <row r="26">
      <c r="A26" s="12" t="n"/>
      <c r="B26" s="13" t="n"/>
      <c r="C26" s="14" t="n"/>
      <c r="D26" s="14" t="n"/>
      <c r="E26" s="14" t="n"/>
      <c r="F26" s="11" t="str">
        <f>IF(AND($A26&lt;&gt;"",$A26=管理簿!$B$3,$B26&lt;&gt;""),COUNTIFS($A$4:$A$503,管理簿!$B$3,$B$4:$B$503,"&lt;"&amp;$B26)+COUNTIFS($A$4:$A26,管理簿!$B$3,$B$4:$B26,$B26),"")</f>
        <v/>
      </c>
    </row>
    <row r="27">
      <c r="A27" s="12" t="n"/>
      <c r="B27" s="13" t="n"/>
      <c r="C27" s="14" t="n"/>
      <c r="D27" s="14" t="n"/>
      <c r="E27" s="14" t="n"/>
      <c r="F27" s="11" t="str">
        <f>IF(AND($A27&lt;&gt;"",$A27=管理簿!$B$3,$B27&lt;&gt;""),COUNTIFS($A$4:$A$503,管理簿!$B$3,$B$4:$B$503,"&lt;"&amp;$B27)+COUNTIFS($A$4:$A27,管理簿!$B$3,$B$4:$B27,$B27),"")</f>
        <v/>
      </c>
    </row>
    <row r="28">
      <c r="A28" s="12" t="n"/>
      <c r="B28" s="13" t="n"/>
      <c r="C28" s="14" t="n"/>
      <c r="D28" s="14" t="n"/>
      <c r="E28" s="14" t="n"/>
      <c r="F28" s="11" t="str">
        <f>IF(AND($A28&lt;&gt;"",$A28=管理簿!$B$3,$B28&lt;&gt;""),COUNTIFS($A$4:$A$503,管理簿!$B$3,$B$4:$B$503,"&lt;"&amp;$B28)+COUNTIFS($A$4:$A28,管理簿!$B$3,$B$4:$B28,$B28),"")</f>
        <v/>
      </c>
    </row>
    <row r="29">
      <c r="A29" s="12" t="n"/>
      <c r="B29" s="13" t="n"/>
      <c r="C29" s="14" t="n"/>
      <c r="D29" s="14" t="n"/>
      <c r="E29" s="14" t="n"/>
      <c r="F29" s="11" t="str">
        <f>IF(AND($A29&lt;&gt;"",$A29=管理簿!$B$3,$B29&lt;&gt;""),COUNTIFS($A$4:$A$503,管理簿!$B$3,$B$4:$B$503,"&lt;"&amp;$B29)+COUNTIFS($A$4:$A29,管理簿!$B$3,$B$4:$B29,$B29),"")</f>
        <v/>
      </c>
    </row>
    <row r="30">
      <c r="A30" s="12" t="n"/>
      <c r="B30" s="13" t="n"/>
      <c r="C30" s="14" t="n"/>
      <c r="D30" s="14" t="n"/>
      <c r="E30" s="14" t="n"/>
      <c r="F30" s="11" t="str">
        <f>IF(AND($A30&lt;&gt;"",$A30=管理簿!$B$3,$B30&lt;&gt;""),COUNTIFS($A$4:$A$503,管理簿!$B$3,$B$4:$B$503,"&lt;"&amp;$B30)+COUNTIFS($A$4:$A30,管理簿!$B$3,$B$4:$B30,$B30),"")</f>
        <v/>
      </c>
    </row>
    <row r="31">
      <c r="A31" s="12" t="n"/>
      <c r="B31" s="13" t="n"/>
      <c r="C31" s="14" t="n"/>
      <c r="D31" s="14" t="n"/>
      <c r="E31" s="14" t="n"/>
      <c r="F31" s="11" t="str">
        <f>IF(AND($A31&lt;&gt;"",$A31=管理簿!$B$3,$B31&lt;&gt;""),COUNTIFS($A$4:$A$503,管理簿!$B$3,$B$4:$B$503,"&lt;"&amp;$B31)+COUNTIFS($A$4:$A31,管理簿!$B$3,$B$4:$B31,$B31),"")</f>
        <v/>
      </c>
    </row>
    <row r="32">
      <c r="A32" s="12" t="n"/>
      <c r="B32" s="13" t="n"/>
      <c r="C32" s="14" t="n"/>
      <c r="D32" s="14" t="n"/>
      <c r="E32" s="14" t="n"/>
      <c r="F32" s="11" t="str">
        <f>IF(AND($A32&lt;&gt;"",$A32=管理簿!$B$3,$B32&lt;&gt;""),COUNTIFS($A$4:$A$503,管理簿!$B$3,$B$4:$B$503,"&lt;"&amp;$B32)+COUNTIFS($A$4:$A32,管理簿!$B$3,$B$4:$B32,$B32),"")</f>
        <v/>
      </c>
    </row>
    <row r="33">
      <c r="A33" s="12" t="n"/>
      <c r="B33" s="13" t="n"/>
      <c r="C33" s="14" t="n"/>
      <c r="D33" s="14" t="n"/>
      <c r="E33" s="14" t="n"/>
      <c r="F33" s="11" t="str">
        <f>IF(AND($A33&lt;&gt;"",$A33=管理簿!$B$3,$B33&lt;&gt;""),COUNTIFS($A$4:$A$503,管理簿!$B$3,$B$4:$B$503,"&lt;"&amp;$B33)+COUNTIFS($A$4:$A33,管理簿!$B$3,$B$4:$B33,$B33),"")</f>
        <v/>
      </c>
    </row>
    <row r="34">
      <c r="A34" s="12" t="n"/>
      <c r="B34" s="13" t="n"/>
      <c r="C34" s="14" t="n"/>
      <c r="D34" s="14" t="n"/>
      <c r="E34" s="14" t="n"/>
      <c r="F34" s="11" t="str">
        <f>IF(AND($A34&lt;&gt;"",$A34=管理簿!$B$3,$B34&lt;&gt;""),COUNTIFS($A$4:$A$503,管理簿!$B$3,$B$4:$B$503,"&lt;"&amp;$B34)+COUNTIFS($A$4:$A34,管理簿!$B$3,$B$4:$B34,$B34),"")</f>
        <v/>
      </c>
    </row>
    <row r="35">
      <c r="A35" s="12" t="n"/>
      <c r="B35" s="13" t="n"/>
      <c r="C35" s="14" t="n"/>
      <c r="D35" s="14" t="n"/>
      <c r="E35" s="14" t="n"/>
      <c r="F35" s="11" t="str">
        <f>IF(AND($A35&lt;&gt;"",$A35=管理簿!$B$3,$B35&lt;&gt;""),COUNTIFS($A$4:$A$503,管理簿!$B$3,$B$4:$B$503,"&lt;"&amp;$B35)+COUNTIFS($A$4:$A35,管理簿!$B$3,$B$4:$B35,$B35),"")</f>
        <v/>
      </c>
    </row>
    <row r="36">
      <c r="A36" s="12" t="n"/>
      <c r="B36" s="13" t="n"/>
      <c r="C36" s="14" t="n"/>
      <c r="D36" s="14" t="n"/>
      <c r="E36" s="14" t="n"/>
      <c r="F36" s="11" t="str">
        <f>IF(AND($A36&lt;&gt;"",$A36=管理簿!$B$3,$B36&lt;&gt;""),COUNTIFS($A$4:$A$503,管理簿!$B$3,$B$4:$B$503,"&lt;"&amp;$B36)+COUNTIFS($A$4:$A36,管理簿!$B$3,$B$4:$B36,$B36),"")</f>
        <v/>
      </c>
    </row>
    <row r="37">
      <c r="A37" s="12" t="n"/>
      <c r="B37" s="13" t="n"/>
      <c r="C37" s="14" t="n"/>
      <c r="D37" s="14" t="n"/>
      <c r="E37" s="14" t="n"/>
      <c r="F37" s="11" t="str">
        <f>IF(AND($A37&lt;&gt;"",$A37=管理簿!$B$3,$B37&lt;&gt;""),COUNTIFS($A$4:$A$503,管理簿!$B$3,$B$4:$B$503,"&lt;"&amp;$B37)+COUNTIFS($A$4:$A37,管理簿!$B$3,$B$4:$B37,$B37),"")</f>
        <v/>
      </c>
    </row>
    <row r="38">
      <c r="A38" s="12" t="n"/>
      <c r="B38" s="13" t="n"/>
      <c r="C38" s="14" t="n"/>
      <c r="D38" s="14" t="n"/>
      <c r="E38" s="14" t="n"/>
      <c r="F38" s="11" t="str">
        <f>IF(AND($A38&lt;&gt;"",$A38=管理簿!$B$3,$B38&lt;&gt;""),COUNTIFS($A$4:$A$503,管理簿!$B$3,$B$4:$B$503,"&lt;"&amp;$B38)+COUNTIFS($A$4:$A38,管理簿!$B$3,$B$4:$B38,$B38),"")</f>
        <v/>
      </c>
    </row>
    <row r="39">
      <c r="A39" s="12" t="n"/>
      <c r="B39" s="13" t="n"/>
      <c r="C39" s="14" t="n"/>
      <c r="D39" s="14" t="n"/>
      <c r="E39" s="14" t="n"/>
      <c r="F39" s="11" t="str">
        <f>IF(AND($A39&lt;&gt;"",$A39=管理簿!$B$3,$B39&lt;&gt;""),COUNTIFS($A$4:$A$503,管理簿!$B$3,$B$4:$B$503,"&lt;"&amp;$B39)+COUNTIFS($A$4:$A39,管理簿!$B$3,$B$4:$B39,$B39),"")</f>
        <v/>
      </c>
    </row>
    <row r="40">
      <c r="A40" s="12" t="n"/>
      <c r="B40" s="13" t="n"/>
      <c r="C40" s="14" t="n"/>
      <c r="D40" s="14" t="n"/>
      <c r="E40" s="14" t="n"/>
      <c r="F40" s="11" t="str">
        <f>IF(AND($A40&lt;&gt;"",$A40=管理簿!$B$3,$B40&lt;&gt;""),COUNTIFS($A$4:$A$503,管理簿!$B$3,$B$4:$B$503,"&lt;"&amp;$B40)+COUNTIFS($A$4:$A40,管理簿!$B$3,$B$4:$B40,$B40),"")</f>
        <v/>
      </c>
    </row>
    <row r="41">
      <c r="A41" s="12" t="n"/>
      <c r="B41" s="13" t="n"/>
      <c r="C41" s="14" t="n"/>
      <c r="D41" s="14" t="n"/>
      <c r="E41" s="14" t="n"/>
      <c r="F41" s="11" t="str">
        <f>IF(AND($A41&lt;&gt;"",$A41=管理簿!$B$3,$B41&lt;&gt;""),COUNTIFS($A$4:$A$503,管理簿!$B$3,$B$4:$B$503,"&lt;"&amp;$B41)+COUNTIFS($A$4:$A41,管理簿!$B$3,$B$4:$B41,$B41),"")</f>
        <v/>
      </c>
    </row>
    <row r="42">
      <c r="A42" s="12" t="n"/>
      <c r="B42" s="13" t="n"/>
      <c r="C42" s="14" t="n"/>
      <c r="D42" s="14" t="n"/>
      <c r="E42" s="14" t="n"/>
      <c r="F42" s="11" t="str">
        <f>IF(AND($A42&lt;&gt;"",$A42=管理簿!$B$3,$B42&lt;&gt;""),COUNTIFS($A$4:$A$503,管理簿!$B$3,$B$4:$B$503,"&lt;"&amp;$B42)+COUNTIFS($A$4:$A42,管理簿!$B$3,$B$4:$B42,$B42),"")</f>
        <v/>
      </c>
    </row>
    <row r="43">
      <c r="A43" s="12" t="n"/>
      <c r="B43" s="13" t="n"/>
      <c r="C43" s="14" t="n"/>
      <c r="D43" s="14" t="n"/>
      <c r="E43" s="14" t="n"/>
      <c r="F43" s="11" t="str">
        <f>IF(AND($A43&lt;&gt;"",$A43=管理簿!$B$3,$B43&lt;&gt;""),COUNTIFS($A$4:$A$503,管理簿!$B$3,$B$4:$B$503,"&lt;"&amp;$B43)+COUNTIFS($A$4:$A43,管理簿!$B$3,$B$4:$B43,$B43),"")</f>
        <v/>
      </c>
    </row>
    <row r="44">
      <c r="A44" s="12" t="n"/>
      <c r="B44" s="13" t="n"/>
      <c r="C44" s="14" t="n"/>
      <c r="D44" s="14" t="n"/>
      <c r="E44" s="14" t="n"/>
      <c r="F44" s="11" t="str">
        <f>IF(AND($A44&lt;&gt;"",$A44=管理簿!$B$3,$B44&lt;&gt;""),COUNTIFS($A$4:$A$503,管理簿!$B$3,$B$4:$B$503,"&lt;"&amp;$B44)+COUNTIFS($A$4:$A44,管理簿!$B$3,$B$4:$B44,$B44),"")</f>
        <v/>
      </c>
    </row>
    <row r="45">
      <c r="A45" s="12" t="n"/>
      <c r="B45" s="13" t="n"/>
      <c r="C45" s="14" t="n"/>
      <c r="D45" s="14" t="n"/>
      <c r="E45" s="14" t="n"/>
      <c r="F45" s="11" t="str">
        <f>IF(AND($A45&lt;&gt;"",$A45=管理簿!$B$3,$B45&lt;&gt;""),COUNTIFS($A$4:$A$503,管理簿!$B$3,$B$4:$B$503,"&lt;"&amp;$B45)+COUNTIFS($A$4:$A45,管理簿!$B$3,$B$4:$B45,$B45),"")</f>
        <v/>
      </c>
    </row>
    <row r="46">
      <c r="A46" s="12" t="n"/>
      <c r="B46" s="13" t="n"/>
      <c r="C46" s="14" t="n"/>
      <c r="D46" s="14" t="n"/>
      <c r="E46" s="14" t="n"/>
      <c r="F46" s="11" t="str">
        <f>IF(AND($A46&lt;&gt;"",$A46=管理簿!$B$3,$B46&lt;&gt;""),COUNTIFS($A$4:$A$503,管理簿!$B$3,$B$4:$B$503,"&lt;"&amp;$B46)+COUNTIFS($A$4:$A46,管理簿!$B$3,$B$4:$B46,$B46),"")</f>
        <v/>
      </c>
    </row>
    <row r="47">
      <c r="A47" s="12" t="n"/>
      <c r="B47" s="13" t="n"/>
      <c r="C47" s="14" t="n"/>
      <c r="D47" s="14" t="n"/>
      <c r="E47" s="14" t="n"/>
      <c r="F47" s="11" t="str">
        <f>IF(AND($A47&lt;&gt;"",$A47=管理簿!$B$3,$B47&lt;&gt;""),COUNTIFS($A$4:$A$503,管理簿!$B$3,$B$4:$B$503,"&lt;"&amp;$B47)+COUNTIFS($A$4:$A47,管理簿!$B$3,$B$4:$B47,$B47),"")</f>
        <v/>
      </c>
    </row>
    <row r="48">
      <c r="A48" s="12" t="n"/>
      <c r="B48" s="13" t="n"/>
      <c r="C48" s="14" t="n"/>
      <c r="D48" s="14" t="n"/>
      <c r="E48" s="14" t="n"/>
      <c r="F48" s="11" t="str">
        <f>IF(AND($A48&lt;&gt;"",$A48=管理簿!$B$3,$B48&lt;&gt;""),COUNTIFS($A$4:$A$503,管理簿!$B$3,$B$4:$B$503,"&lt;"&amp;$B48)+COUNTIFS($A$4:$A48,管理簿!$B$3,$B$4:$B48,$B48),"")</f>
        <v/>
      </c>
    </row>
    <row r="49">
      <c r="A49" s="12" t="n"/>
      <c r="B49" s="13" t="n"/>
      <c r="C49" s="14" t="n"/>
      <c r="D49" s="14" t="n"/>
      <c r="E49" s="14" t="n"/>
      <c r="F49" s="11" t="str">
        <f>IF(AND($A49&lt;&gt;"",$A49=管理簿!$B$3,$B49&lt;&gt;""),COUNTIFS($A$4:$A$503,管理簿!$B$3,$B$4:$B$503,"&lt;"&amp;$B49)+COUNTIFS($A$4:$A49,管理簿!$B$3,$B$4:$B49,$B49),"")</f>
        <v/>
      </c>
    </row>
    <row r="50">
      <c r="A50" s="12" t="n"/>
      <c r="B50" s="13" t="n"/>
      <c r="C50" s="14" t="n"/>
      <c r="D50" s="14" t="n"/>
      <c r="E50" s="14" t="n"/>
      <c r="F50" s="11" t="str">
        <f>IF(AND($A50&lt;&gt;"",$A50=管理簿!$B$3,$B50&lt;&gt;""),COUNTIFS($A$4:$A$503,管理簿!$B$3,$B$4:$B$503,"&lt;"&amp;$B50)+COUNTIFS($A$4:$A50,管理簿!$B$3,$B$4:$B50,$B50),"")</f>
        <v/>
      </c>
    </row>
    <row r="51">
      <c r="A51" s="12" t="n"/>
      <c r="B51" s="13" t="n"/>
      <c r="C51" s="14" t="n"/>
      <c r="D51" s="14" t="n"/>
      <c r="E51" s="14" t="n"/>
      <c r="F51" s="11" t="str">
        <f>IF(AND($A51&lt;&gt;"",$A51=管理簿!$B$3,$B51&lt;&gt;""),COUNTIFS($A$4:$A$503,管理簿!$B$3,$B$4:$B$503,"&lt;"&amp;$B51)+COUNTIFS($A$4:$A51,管理簿!$B$3,$B$4:$B51,$B51),"")</f>
        <v/>
      </c>
    </row>
    <row r="52">
      <c r="A52" s="12" t="n"/>
      <c r="B52" s="13" t="n"/>
      <c r="C52" s="14" t="n"/>
      <c r="D52" s="14" t="n"/>
      <c r="E52" s="14" t="n"/>
      <c r="F52" s="11" t="str">
        <f>IF(AND($A52&lt;&gt;"",$A52=管理簿!$B$3,$B52&lt;&gt;""),COUNTIFS($A$4:$A$503,管理簿!$B$3,$B$4:$B$503,"&lt;"&amp;$B52)+COUNTIFS($A$4:$A52,管理簿!$B$3,$B$4:$B52,$B52),"")</f>
        <v/>
      </c>
    </row>
    <row r="53">
      <c r="A53" s="12" t="n"/>
      <c r="B53" s="13" t="n"/>
      <c r="C53" s="14" t="n"/>
      <c r="D53" s="14" t="n"/>
      <c r="E53" s="14" t="n"/>
      <c r="F53" s="11" t="str">
        <f>IF(AND($A53&lt;&gt;"",$A53=管理簿!$B$3,$B53&lt;&gt;""),COUNTIFS($A$4:$A$503,管理簿!$B$3,$B$4:$B$503,"&lt;"&amp;$B53)+COUNTIFS($A$4:$A53,管理簿!$B$3,$B$4:$B53,$B53),"")</f>
        <v/>
      </c>
    </row>
    <row r="54">
      <c r="A54" s="12" t="n"/>
      <c r="B54" s="13" t="n"/>
      <c r="C54" s="14" t="n"/>
      <c r="D54" s="14" t="n"/>
      <c r="E54" s="14" t="n"/>
      <c r="F54" s="11" t="str">
        <f>IF(AND($A54&lt;&gt;"",$A54=管理簿!$B$3,$B54&lt;&gt;""),COUNTIFS($A$4:$A$503,管理簿!$B$3,$B$4:$B$503,"&lt;"&amp;$B54)+COUNTIFS($A$4:$A54,管理簿!$B$3,$B$4:$B54,$B54),"")</f>
        <v/>
      </c>
    </row>
    <row r="55">
      <c r="A55" s="12" t="n"/>
      <c r="B55" s="13" t="n"/>
      <c r="C55" s="14" t="n"/>
      <c r="D55" s="14" t="n"/>
      <c r="E55" s="14" t="n"/>
      <c r="F55" s="11" t="str">
        <f>IF(AND($A55&lt;&gt;"",$A55=管理簿!$B$3,$B55&lt;&gt;""),COUNTIFS($A$4:$A$503,管理簿!$B$3,$B$4:$B$503,"&lt;"&amp;$B55)+COUNTIFS($A$4:$A55,管理簿!$B$3,$B$4:$B55,$B55),"")</f>
        <v/>
      </c>
    </row>
    <row r="56">
      <c r="A56" s="12" t="n"/>
      <c r="B56" s="13" t="n"/>
      <c r="C56" s="14" t="n"/>
      <c r="D56" s="14" t="n"/>
      <c r="E56" s="14" t="n"/>
      <c r="F56" s="11" t="str">
        <f>IF(AND($A56&lt;&gt;"",$A56=管理簿!$B$3,$B56&lt;&gt;""),COUNTIFS($A$4:$A$503,管理簿!$B$3,$B$4:$B$503,"&lt;"&amp;$B56)+COUNTIFS($A$4:$A56,管理簿!$B$3,$B$4:$B56,$B56),"")</f>
        <v/>
      </c>
    </row>
    <row r="57">
      <c r="A57" s="12" t="n"/>
      <c r="B57" s="13" t="n"/>
      <c r="C57" s="14" t="n"/>
      <c r="D57" s="14" t="n"/>
      <c r="E57" s="14" t="n"/>
      <c r="F57" s="11" t="str">
        <f>IF(AND($A57&lt;&gt;"",$A57=管理簿!$B$3,$B57&lt;&gt;""),COUNTIFS($A$4:$A$503,管理簿!$B$3,$B$4:$B$503,"&lt;"&amp;$B57)+COUNTIFS($A$4:$A57,管理簿!$B$3,$B$4:$B57,$B57),"")</f>
        <v/>
      </c>
    </row>
    <row r="58">
      <c r="A58" s="12" t="n"/>
      <c r="B58" s="13" t="n"/>
      <c r="C58" s="14" t="n"/>
      <c r="D58" s="14" t="n"/>
      <c r="E58" s="14" t="n"/>
      <c r="F58" s="11" t="str">
        <f>IF(AND($A58&lt;&gt;"",$A58=管理簿!$B$3,$B58&lt;&gt;""),COUNTIFS($A$4:$A$503,管理簿!$B$3,$B$4:$B$503,"&lt;"&amp;$B58)+COUNTIFS($A$4:$A58,管理簿!$B$3,$B$4:$B58,$B58),"")</f>
        <v/>
      </c>
    </row>
    <row r="59">
      <c r="A59" s="12" t="n"/>
      <c r="B59" s="13" t="n"/>
      <c r="C59" s="14" t="n"/>
      <c r="D59" s="14" t="n"/>
      <c r="E59" s="14" t="n"/>
      <c r="F59" s="11" t="str">
        <f>IF(AND($A59&lt;&gt;"",$A59=管理簿!$B$3,$B59&lt;&gt;""),COUNTIFS($A$4:$A$503,管理簿!$B$3,$B$4:$B$503,"&lt;"&amp;$B59)+COUNTIFS($A$4:$A59,管理簿!$B$3,$B$4:$B59,$B59),"")</f>
        <v/>
      </c>
    </row>
    <row r="60">
      <c r="A60" s="12" t="n"/>
      <c r="B60" s="13" t="n"/>
      <c r="C60" s="14" t="n"/>
      <c r="D60" s="14" t="n"/>
      <c r="E60" s="14" t="n"/>
      <c r="F60" s="11" t="str">
        <f>IF(AND($A60&lt;&gt;"",$A60=管理簿!$B$3,$B60&lt;&gt;""),COUNTIFS($A$4:$A$503,管理簿!$B$3,$B$4:$B$503,"&lt;"&amp;$B60)+COUNTIFS($A$4:$A60,管理簿!$B$3,$B$4:$B60,$B60),"")</f>
        <v/>
      </c>
    </row>
    <row r="61">
      <c r="A61" s="12" t="n"/>
      <c r="B61" s="13" t="n"/>
      <c r="C61" s="14" t="n"/>
      <c r="D61" s="14" t="n"/>
      <c r="E61" s="14" t="n"/>
      <c r="F61" s="11" t="str">
        <f>IF(AND($A61&lt;&gt;"",$A61=管理簿!$B$3,$B61&lt;&gt;""),COUNTIFS($A$4:$A$503,管理簿!$B$3,$B$4:$B$503,"&lt;"&amp;$B61)+COUNTIFS($A$4:$A61,管理簿!$B$3,$B$4:$B61,$B61),"")</f>
        <v/>
      </c>
    </row>
    <row r="62">
      <c r="A62" s="12" t="n"/>
      <c r="B62" s="13" t="n"/>
      <c r="C62" s="14" t="n"/>
      <c r="D62" s="14" t="n"/>
      <c r="E62" s="14" t="n"/>
      <c r="F62" s="11" t="str">
        <f>IF(AND($A62&lt;&gt;"",$A62=管理簿!$B$3,$B62&lt;&gt;""),COUNTIFS($A$4:$A$503,管理簿!$B$3,$B$4:$B$503,"&lt;"&amp;$B62)+COUNTIFS($A$4:$A62,管理簿!$B$3,$B$4:$B62,$B62),"")</f>
        <v/>
      </c>
    </row>
    <row r="63">
      <c r="A63" s="12" t="n"/>
      <c r="B63" s="13" t="n"/>
      <c r="C63" s="14" t="n"/>
      <c r="D63" s="14" t="n"/>
      <c r="E63" s="14" t="n"/>
      <c r="F63" s="11" t="str">
        <f>IF(AND($A63&lt;&gt;"",$A63=管理簿!$B$3,$B63&lt;&gt;""),COUNTIFS($A$4:$A$503,管理簿!$B$3,$B$4:$B$503,"&lt;"&amp;$B63)+COUNTIFS($A$4:$A63,管理簿!$B$3,$B$4:$B63,$B63),"")</f>
        <v/>
      </c>
    </row>
    <row r="64">
      <c r="A64" s="12" t="n"/>
      <c r="B64" s="13" t="n"/>
      <c r="C64" s="14" t="n"/>
      <c r="D64" s="14" t="n"/>
      <c r="E64" s="14" t="n"/>
      <c r="F64" s="11" t="str">
        <f>IF(AND($A64&lt;&gt;"",$A64=管理簿!$B$3,$B64&lt;&gt;""),COUNTIFS($A$4:$A$503,管理簿!$B$3,$B$4:$B$503,"&lt;"&amp;$B64)+COUNTIFS($A$4:$A64,管理簿!$B$3,$B$4:$B64,$B64),"")</f>
        <v/>
      </c>
    </row>
    <row r="65">
      <c r="A65" s="12" t="n"/>
      <c r="B65" s="13" t="n"/>
      <c r="C65" s="14" t="n"/>
      <c r="D65" s="14" t="n"/>
      <c r="E65" s="14" t="n"/>
      <c r="F65" s="11" t="str">
        <f>IF(AND($A65&lt;&gt;"",$A65=管理簿!$B$3,$B65&lt;&gt;""),COUNTIFS($A$4:$A$503,管理簿!$B$3,$B$4:$B$503,"&lt;"&amp;$B65)+COUNTIFS($A$4:$A65,管理簿!$B$3,$B$4:$B65,$B65),"")</f>
        <v/>
      </c>
    </row>
    <row r="66">
      <c r="A66" s="12" t="n"/>
      <c r="B66" s="13" t="n"/>
      <c r="C66" s="14" t="n"/>
      <c r="D66" s="14" t="n"/>
      <c r="E66" s="14" t="n"/>
      <c r="F66" s="11" t="str">
        <f>IF(AND($A66&lt;&gt;"",$A66=管理簿!$B$3,$B66&lt;&gt;""),COUNTIFS($A$4:$A$503,管理簿!$B$3,$B$4:$B$503,"&lt;"&amp;$B66)+COUNTIFS($A$4:$A66,管理簿!$B$3,$B$4:$B66,$B66),"")</f>
        <v/>
      </c>
    </row>
    <row r="67">
      <c r="A67" s="12" t="n"/>
      <c r="B67" s="13" t="n"/>
      <c r="C67" s="14" t="n"/>
      <c r="D67" s="14" t="n"/>
      <c r="E67" s="14" t="n"/>
      <c r="F67" s="11" t="str">
        <f>IF(AND($A67&lt;&gt;"",$A67=管理簿!$B$3,$B67&lt;&gt;""),COUNTIFS($A$4:$A$503,管理簿!$B$3,$B$4:$B$503,"&lt;"&amp;$B67)+COUNTIFS($A$4:$A67,管理簿!$B$3,$B$4:$B67,$B67),"")</f>
        <v/>
      </c>
    </row>
    <row r="68">
      <c r="A68" s="12" t="n"/>
      <c r="B68" s="13" t="n"/>
      <c r="C68" s="14" t="n"/>
      <c r="D68" s="14" t="n"/>
      <c r="E68" s="14" t="n"/>
      <c r="F68" s="11" t="str">
        <f>IF(AND($A68&lt;&gt;"",$A68=管理簿!$B$3,$B68&lt;&gt;""),COUNTIFS($A$4:$A$503,管理簿!$B$3,$B$4:$B$503,"&lt;"&amp;$B68)+COUNTIFS($A$4:$A68,管理簿!$B$3,$B$4:$B68,$B68),"")</f>
        <v/>
      </c>
    </row>
    <row r="69">
      <c r="A69" s="12" t="n"/>
      <c r="B69" s="13" t="n"/>
      <c r="C69" s="14" t="n"/>
      <c r="D69" s="14" t="n"/>
      <c r="E69" s="14" t="n"/>
      <c r="F69" s="11" t="str">
        <f>IF(AND($A69&lt;&gt;"",$A69=管理簿!$B$3,$B69&lt;&gt;""),COUNTIFS($A$4:$A$503,管理簿!$B$3,$B$4:$B$503,"&lt;"&amp;$B69)+COUNTIFS($A$4:$A69,管理簿!$B$3,$B$4:$B69,$B69),"")</f>
        <v/>
      </c>
    </row>
    <row r="70">
      <c r="A70" s="12" t="n"/>
      <c r="B70" s="13" t="n"/>
      <c r="C70" s="14" t="n"/>
      <c r="D70" s="14" t="n"/>
      <c r="E70" s="14" t="n"/>
      <c r="F70" s="11" t="str">
        <f>IF(AND($A70&lt;&gt;"",$A70=管理簿!$B$3,$B70&lt;&gt;""),COUNTIFS($A$4:$A$503,管理簿!$B$3,$B$4:$B$503,"&lt;"&amp;$B70)+COUNTIFS($A$4:$A70,管理簿!$B$3,$B$4:$B70,$B70),"")</f>
        <v/>
      </c>
    </row>
    <row r="71">
      <c r="A71" s="12" t="n"/>
      <c r="B71" s="13" t="n"/>
      <c r="C71" s="14" t="n"/>
      <c r="D71" s="14" t="n"/>
      <c r="E71" s="14" t="n"/>
      <c r="F71" s="11" t="str">
        <f>IF(AND($A71&lt;&gt;"",$A71=管理簿!$B$3,$B71&lt;&gt;""),COUNTIFS($A$4:$A$503,管理簿!$B$3,$B$4:$B$503,"&lt;"&amp;$B71)+COUNTIFS($A$4:$A71,管理簿!$B$3,$B$4:$B71,$B71),"")</f>
        <v/>
      </c>
    </row>
    <row r="72">
      <c r="A72" s="12" t="n"/>
      <c r="B72" s="13" t="n"/>
      <c r="C72" s="14" t="n"/>
      <c r="D72" s="14" t="n"/>
      <c r="E72" s="14" t="n"/>
      <c r="F72" s="11" t="str">
        <f>IF(AND($A72&lt;&gt;"",$A72=管理簿!$B$3,$B72&lt;&gt;""),COUNTIFS($A$4:$A$503,管理簿!$B$3,$B$4:$B$503,"&lt;"&amp;$B72)+COUNTIFS($A$4:$A72,管理簿!$B$3,$B$4:$B72,$B72),"")</f>
        <v/>
      </c>
    </row>
    <row r="73">
      <c r="A73" s="12" t="n"/>
      <c r="B73" s="13" t="n"/>
      <c r="C73" s="14" t="n"/>
      <c r="D73" s="14" t="n"/>
      <c r="E73" s="14" t="n"/>
      <c r="F73" s="11" t="str">
        <f>IF(AND($A73&lt;&gt;"",$A73=管理簿!$B$3,$B73&lt;&gt;""),COUNTIFS($A$4:$A$503,管理簿!$B$3,$B$4:$B$503,"&lt;"&amp;$B73)+COUNTIFS($A$4:$A73,管理簿!$B$3,$B$4:$B73,$B73),"")</f>
        <v/>
      </c>
    </row>
    <row r="74">
      <c r="A74" s="12" t="n"/>
      <c r="B74" s="13" t="n"/>
      <c r="C74" s="14" t="n"/>
      <c r="D74" s="14" t="n"/>
      <c r="E74" s="14" t="n"/>
      <c r="F74" s="11" t="str">
        <f>IF(AND($A74&lt;&gt;"",$A74=管理簿!$B$3,$B74&lt;&gt;""),COUNTIFS($A$4:$A$503,管理簿!$B$3,$B$4:$B$503,"&lt;"&amp;$B74)+COUNTIFS($A$4:$A74,管理簿!$B$3,$B$4:$B74,$B74),"")</f>
        <v/>
      </c>
    </row>
    <row r="75">
      <c r="A75" s="12" t="n"/>
      <c r="B75" s="13" t="n"/>
      <c r="C75" s="14" t="n"/>
      <c r="D75" s="14" t="n"/>
      <c r="E75" s="14" t="n"/>
      <c r="F75" s="11" t="str">
        <f>IF(AND($A75&lt;&gt;"",$A75=管理簿!$B$3,$B75&lt;&gt;""),COUNTIFS($A$4:$A$503,管理簿!$B$3,$B$4:$B$503,"&lt;"&amp;$B75)+COUNTIFS($A$4:$A75,管理簿!$B$3,$B$4:$B75,$B75),"")</f>
        <v/>
      </c>
    </row>
    <row r="76">
      <c r="A76" s="12" t="n"/>
      <c r="B76" s="13" t="n"/>
      <c r="C76" s="14" t="n"/>
      <c r="D76" s="14" t="n"/>
      <c r="E76" s="14" t="n"/>
      <c r="F76" s="11" t="str">
        <f>IF(AND($A76&lt;&gt;"",$A76=管理簿!$B$3,$B76&lt;&gt;""),COUNTIFS($A$4:$A$503,管理簿!$B$3,$B$4:$B$503,"&lt;"&amp;$B76)+COUNTIFS($A$4:$A76,管理簿!$B$3,$B$4:$B76,$B76),"")</f>
        <v/>
      </c>
    </row>
    <row r="77">
      <c r="A77" s="12" t="n"/>
      <c r="B77" s="13" t="n"/>
      <c r="C77" s="14" t="n"/>
      <c r="D77" s="14" t="n"/>
      <c r="E77" s="14" t="n"/>
      <c r="F77" s="11" t="str">
        <f>IF(AND($A77&lt;&gt;"",$A77=管理簿!$B$3,$B77&lt;&gt;""),COUNTIFS($A$4:$A$503,管理簿!$B$3,$B$4:$B$503,"&lt;"&amp;$B77)+COUNTIFS($A$4:$A77,管理簿!$B$3,$B$4:$B77,$B77),"")</f>
        <v/>
      </c>
    </row>
    <row r="78">
      <c r="A78" s="12" t="n"/>
      <c r="B78" s="13" t="n"/>
      <c r="C78" s="14" t="n"/>
      <c r="D78" s="14" t="n"/>
      <c r="E78" s="14" t="n"/>
      <c r="F78" s="11" t="str">
        <f>IF(AND($A78&lt;&gt;"",$A78=管理簿!$B$3,$B78&lt;&gt;""),COUNTIFS($A$4:$A$503,管理簿!$B$3,$B$4:$B$503,"&lt;"&amp;$B78)+COUNTIFS($A$4:$A78,管理簿!$B$3,$B$4:$B78,$B78),"")</f>
        <v/>
      </c>
    </row>
    <row r="79">
      <c r="A79" s="12" t="n"/>
      <c r="B79" s="13" t="n"/>
      <c r="C79" s="14" t="n"/>
      <c r="D79" s="14" t="n"/>
      <c r="E79" s="14" t="n"/>
      <c r="F79" s="11" t="str">
        <f>IF(AND($A79&lt;&gt;"",$A79=管理簿!$B$3,$B79&lt;&gt;""),COUNTIFS($A$4:$A$503,管理簿!$B$3,$B$4:$B$503,"&lt;"&amp;$B79)+COUNTIFS($A$4:$A79,管理簿!$B$3,$B$4:$B79,$B79),"")</f>
        <v/>
      </c>
    </row>
    <row r="80">
      <c r="A80" s="12" t="n"/>
      <c r="B80" s="13" t="n"/>
      <c r="C80" s="14" t="n"/>
      <c r="D80" s="14" t="n"/>
      <c r="E80" s="14" t="n"/>
      <c r="F80" s="11" t="str">
        <f>IF(AND($A80&lt;&gt;"",$A80=管理簿!$B$3,$B80&lt;&gt;""),COUNTIFS($A$4:$A$503,管理簿!$B$3,$B$4:$B$503,"&lt;"&amp;$B80)+COUNTIFS($A$4:$A80,管理簿!$B$3,$B$4:$B80,$B80),"")</f>
        <v/>
      </c>
    </row>
    <row r="81">
      <c r="A81" s="12" t="n"/>
      <c r="B81" s="13" t="n"/>
      <c r="C81" s="14" t="n"/>
      <c r="D81" s="14" t="n"/>
      <c r="E81" s="14" t="n"/>
      <c r="F81" s="11" t="str">
        <f>IF(AND($A81&lt;&gt;"",$A81=管理簿!$B$3,$B81&lt;&gt;""),COUNTIFS($A$4:$A$503,管理簿!$B$3,$B$4:$B$503,"&lt;"&amp;$B81)+COUNTIFS($A$4:$A81,管理簿!$B$3,$B$4:$B81,$B81),"")</f>
        <v/>
      </c>
    </row>
    <row r="82">
      <c r="A82" s="12" t="n"/>
      <c r="B82" s="13" t="n"/>
      <c r="C82" s="14" t="n"/>
      <c r="D82" s="14" t="n"/>
      <c r="E82" s="14" t="n"/>
      <c r="F82" s="11" t="str">
        <f>IF(AND($A82&lt;&gt;"",$A82=管理簿!$B$3,$B82&lt;&gt;""),COUNTIFS($A$4:$A$503,管理簿!$B$3,$B$4:$B$503,"&lt;"&amp;$B82)+COUNTIFS($A$4:$A82,管理簿!$B$3,$B$4:$B82,$B82),"")</f>
        <v/>
      </c>
    </row>
    <row r="83">
      <c r="A83" s="12" t="n"/>
      <c r="B83" s="13" t="n"/>
      <c r="C83" s="14" t="n"/>
      <c r="D83" s="14" t="n"/>
      <c r="E83" s="14" t="n"/>
      <c r="F83" s="11" t="str">
        <f>IF(AND($A83&lt;&gt;"",$A83=管理簿!$B$3,$B83&lt;&gt;""),COUNTIFS($A$4:$A$503,管理簿!$B$3,$B$4:$B$503,"&lt;"&amp;$B83)+COUNTIFS($A$4:$A83,管理簿!$B$3,$B$4:$B83,$B83),"")</f>
        <v/>
      </c>
    </row>
    <row r="84">
      <c r="A84" s="12" t="n"/>
      <c r="B84" s="13" t="n"/>
      <c r="C84" s="14" t="n"/>
      <c r="D84" s="14" t="n"/>
      <c r="E84" s="14" t="n"/>
      <c r="F84" s="11" t="str">
        <f>IF(AND($A84&lt;&gt;"",$A84=管理簿!$B$3,$B84&lt;&gt;""),COUNTIFS($A$4:$A$503,管理簿!$B$3,$B$4:$B$503,"&lt;"&amp;$B84)+COUNTIFS($A$4:$A84,管理簿!$B$3,$B$4:$B84,$B84),"")</f>
        <v/>
      </c>
    </row>
    <row r="85">
      <c r="A85" s="12" t="n"/>
      <c r="B85" s="13" t="n"/>
      <c r="C85" s="14" t="n"/>
      <c r="D85" s="14" t="n"/>
      <c r="E85" s="14" t="n"/>
      <c r="F85" s="11" t="str">
        <f>IF(AND($A85&lt;&gt;"",$A85=管理簿!$B$3,$B85&lt;&gt;""),COUNTIFS($A$4:$A$503,管理簿!$B$3,$B$4:$B$503,"&lt;"&amp;$B85)+COUNTIFS($A$4:$A85,管理簿!$B$3,$B$4:$B85,$B85),"")</f>
        <v/>
      </c>
    </row>
    <row r="86">
      <c r="A86" s="12" t="n"/>
      <c r="B86" s="13" t="n"/>
      <c r="C86" s="14" t="n"/>
      <c r="D86" s="14" t="n"/>
      <c r="E86" s="14" t="n"/>
      <c r="F86" s="11" t="str">
        <f>IF(AND($A86&lt;&gt;"",$A86=管理簿!$B$3,$B86&lt;&gt;""),COUNTIFS($A$4:$A$503,管理簿!$B$3,$B$4:$B$503,"&lt;"&amp;$B86)+COUNTIFS($A$4:$A86,管理簿!$B$3,$B$4:$B86,$B86),"")</f>
        <v/>
      </c>
    </row>
    <row r="87">
      <c r="A87" s="12" t="n"/>
      <c r="B87" s="13" t="n"/>
      <c r="C87" s="14" t="n"/>
      <c r="D87" s="14" t="n"/>
      <c r="E87" s="14" t="n"/>
      <c r="F87" s="11" t="str">
        <f>IF(AND($A87&lt;&gt;"",$A87=管理簿!$B$3,$B87&lt;&gt;""),COUNTIFS($A$4:$A$503,管理簿!$B$3,$B$4:$B$503,"&lt;"&amp;$B87)+COUNTIFS($A$4:$A87,管理簿!$B$3,$B$4:$B87,$B87),"")</f>
        <v/>
      </c>
    </row>
    <row r="88">
      <c r="A88" s="12" t="n"/>
      <c r="B88" s="13" t="n"/>
      <c r="C88" s="14" t="n"/>
      <c r="D88" s="14" t="n"/>
      <c r="E88" s="14" t="n"/>
      <c r="F88" s="11" t="str">
        <f>IF(AND($A88&lt;&gt;"",$A88=管理簿!$B$3,$B88&lt;&gt;""),COUNTIFS($A$4:$A$503,管理簿!$B$3,$B$4:$B$503,"&lt;"&amp;$B88)+COUNTIFS($A$4:$A88,管理簿!$B$3,$B$4:$B88,$B88),"")</f>
        <v/>
      </c>
    </row>
    <row r="89">
      <c r="A89" s="12" t="n"/>
      <c r="B89" s="13" t="n"/>
      <c r="C89" s="14" t="n"/>
      <c r="D89" s="14" t="n"/>
      <c r="E89" s="14" t="n"/>
      <c r="F89" s="11" t="str">
        <f>IF(AND($A89&lt;&gt;"",$A89=管理簿!$B$3,$B89&lt;&gt;""),COUNTIFS($A$4:$A$503,管理簿!$B$3,$B$4:$B$503,"&lt;"&amp;$B89)+COUNTIFS($A$4:$A89,管理簿!$B$3,$B$4:$B89,$B89),"")</f>
        <v/>
      </c>
    </row>
    <row r="90">
      <c r="A90" s="12" t="n"/>
      <c r="B90" s="13" t="n"/>
      <c r="C90" s="14" t="n"/>
      <c r="D90" s="14" t="n"/>
      <c r="E90" s="14" t="n"/>
      <c r="F90" s="11" t="str">
        <f>IF(AND($A90&lt;&gt;"",$A90=管理簿!$B$3,$B90&lt;&gt;""),COUNTIFS($A$4:$A$503,管理簿!$B$3,$B$4:$B$503,"&lt;"&amp;$B90)+COUNTIFS($A$4:$A90,管理簿!$B$3,$B$4:$B90,$B90),"")</f>
        <v/>
      </c>
    </row>
    <row r="91">
      <c r="A91" s="12" t="n"/>
      <c r="B91" s="13" t="n"/>
      <c r="C91" s="14" t="n"/>
      <c r="D91" s="14" t="n"/>
      <c r="E91" s="14" t="n"/>
      <c r="F91" s="11" t="str">
        <f>IF(AND($A91&lt;&gt;"",$A91=管理簿!$B$3,$B91&lt;&gt;""),COUNTIFS($A$4:$A$503,管理簿!$B$3,$B$4:$B$503,"&lt;"&amp;$B91)+COUNTIFS($A$4:$A91,管理簿!$B$3,$B$4:$B91,$B91),"")</f>
        <v/>
      </c>
    </row>
    <row r="92">
      <c r="A92" s="12" t="n"/>
      <c r="B92" s="13" t="n"/>
      <c r="C92" s="14" t="n"/>
      <c r="D92" s="14" t="n"/>
      <c r="E92" s="14" t="n"/>
      <c r="F92" s="11" t="str">
        <f>IF(AND($A92&lt;&gt;"",$A92=管理簿!$B$3,$B92&lt;&gt;""),COUNTIFS($A$4:$A$503,管理簿!$B$3,$B$4:$B$503,"&lt;"&amp;$B92)+COUNTIFS($A$4:$A92,管理簿!$B$3,$B$4:$B92,$B92),"")</f>
        <v/>
      </c>
    </row>
    <row r="93">
      <c r="A93" s="12" t="n"/>
      <c r="B93" s="13" t="n"/>
      <c r="C93" s="14" t="n"/>
      <c r="D93" s="14" t="n"/>
      <c r="E93" s="14" t="n"/>
      <c r="F93" s="11" t="str">
        <f>IF(AND($A93&lt;&gt;"",$A93=管理簿!$B$3,$B93&lt;&gt;""),COUNTIFS($A$4:$A$503,管理簿!$B$3,$B$4:$B$503,"&lt;"&amp;$B93)+COUNTIFS($A$4:$A93,管理簿!$B$3,$B$4:$B93,$B93),"")</f>
        <v/>
      </c>
    </row>
    <row r="94">
      <c r="A94" s="12" t="n"/>
      <c r="B94" s="13" t="n"/>
      <c r="C94" s="14" t="n"/>
      <c r="D94" s="14" t="n"/>
      <c r="E94" s="14" t="n"/>
      <c r="F94" s="11" t="str">
        <f>IF(AND($A94&lt;&gt;"",$A94=管理簿!$B$3,$B94&lt;&gt;""),COUNTIFS($A$4:$A$503,管理簿!$B$3,$B$4:$B$503,"&lt;"&amp;$B94)+COUNTIFS($A$4:$A94,管理簿!$B$3,$B$4:$B94,$B94),"")</f>
        <v/>
      </c>
    </row>
    <row r="95">
      <c r="A95" s="12" t="n"/>
      <c r="B95" s="13" t="n"/>
      <c r="C95" s="14" t="n"/>
      <c r="D95" s="14" t="n"/>
      <c r="E95" s="14" t="n"/>
      <c r="F95" s="11" t="str">
        <f>IF(AND($A95&lt;&gt;"",$A95=管理簿!$B$3,$B95&lt;&gt;""),COUNTIFS($A$4:$A$503,管理簿!$B$3,$B$4:$B$503,"&lt;"&amp;$B95)+COUNTIFS($A$4:$A95,管理簿!$B$3,$B$4:$B95,$B95),"")</f>
        <v/>
      </c>
    </row>
    <row r="96">
      <c r="A96" s="12" t="n"/>
      <c r="B96" s="13" t="n"/>
      <c r="C96" s="14" t="n"/>
      <c r="D96" s="14" t="n"/>
      <c r="E96" s="14" t="n"/>
      <c r="F96" s="11" t="str">
        <f>IF(AND($A96&lt;&gt;"",$A96=管理簿!$B$3,$B96&lt;&gt;""),COUNTIFS($A$4:$A$503,管理簿!$B$3,$B$4:$B$503,"&lt;"&amp;$B96)+COUNTIFS($A$4:$A96,管理簿!$B$3,$B$4:$B96,$B96),"")</f>
        <v/>
      </c>
    </row>
    <row r="97">
      <c r="A97" s="12" t="n"/>
      <c r="B97" s="13" t="n"/>
      <c r="C97" s="14" t="n"/>
      <c r="D97" s="14" t="n"/>
      <c r="E97" s="14" t="n"/>
      <c r="F97" s="11" t="str">
        <f>IF(AND($A97&lt;&gt;"",$A97=管理簿!$B$3,$B97&lt;&gt;""),COUNTIFS($A$4:$A$503,管理簿!$B$3,$B$4:$B$503,"&lt;"&amp;$B97)+COUNTIFS($A$4:$A97,管理簿!$B$3,$B$4:$B97,$B97),"")</f>
        <v/>
      </c>
    </row>
    <row r="98">
      <c r="A98" s="12" t="n"/>
      <c r="B98" s="13" t="n"/>
      <c r="C98" s="14" t="n"/>
      <c r="D98" s="14" t="n"/>
      <c r="E98" s="14" t="n"/>
      <c r="F98" s="11" t="str">
        <f>IF(AND($A98&lt;&gt;"",$A98=管理簿!$B$3,$B98&lt;&gt;""),COUNTIFS($A$4:$A$503,管理簿!$B$3,$B$4:$B$503,"&lt;"&amp;$B98)+COUNTIFS($A$4:$A98,管理簿!$B$3,$B$4:$B98,$B98),"")</f>
        <v/>
      </c>
    </row>
    <row r="99">
      <c r="A99" s="12" t="n"/>
      <c r="B99" s="13" t="n"/>
      <c r="C99" s="14" t="n"/>
      <c r="D99" s="14" t="n"/>
      <c r="E99" s="14" t="n"/>
      <c r="F99" s="11" t="str">
        <f>IF(AND($A99&lt;&gt;"",$A99=管理簿!$B$3,$B99&lt;&gt;""),COUNTIFS($A$4:$A$503,管理簿!$B$3,$B$4:$B$503,"&lt;"&amp;$B99)+COUNTIFS($A$4:$A99,管理簿!$B$3,$B$4:$B99,$B99),"")</f>
        <v/>
      </c>
    </row>
    <row r="100">
      <c r="A100" s="12" t="n"/>
      <c r="B100" s="13" t="n"/>
      <c r="C100" s="14" t="n"/>
      <c r="D100" s="14" t="n"/>
      <c r="E100" s="14" t="n"/>
      <c r="F100" s="11" t="str">
        <f>IF(AND($A100&lt;&gt;"",$A100=管理簿!$B$3,$B100&lt;&gt;""),COUNTIFS($A$4:$A$503,管理簿!$B$3,$B$4:$B$503,"&lt;"&amp;$B100)+COUNTIFS($A$4:$A100,管理簿!$B$3,$B$4:$B100,$B100),"")</f>
        <v/>
      </c>
    </row>
    <row r="101">
      <c r="A101" s="12" t="n"/>
      <c r="B101" s="13" t="n"/>
      <c r="C101" s="14" t="n"/>
      <c r="D101" s="14" t="n"/>
      <c r="E101" s="14" t="n"/>
      <c r="F101" s="11" t="str">
        <f>IF(AND($A101&lt;&gt;"",$A101=管理簿!$B$3,$B101&lt;&gt;""),COUNTIFS($A$4:$A$503,管理簿!$B$3,$B$4:$B$503,"&lt;"&amp;$B101)+COUNTIFS($A$4:$A101,管理簿!$B$3,$B$4:$B101,$B101),"")</f>
        <v/>
      </c>
    </row>
    <row r="102">
      <c r="A102" s="12" t="n"/>
      <c r="B102" s="13" t="n"/>
      <c r="C102" s="14" t="n"/>
      <c r="D102" s="14" t="n"/>
      <c r="E102" s="14" t="n"/>
      <c r="F102" s="11" t="str">
        <f>IF(AND($A102&lt;&gt;"",$A102=管理簿!$B$3,$B102&lt;&gt;""),COUNTIFS($A$4:$A$503,管理簿!$B$3,$B$4:$B$503,"&lt;"&amp;$B102)+COUNTIFS($A$4:$A102,管理簿!$B$3,$B$4:$B102,$B102),"")</f>
        <v/>
      </c>
    </row>
    <row r="103">
      <c r="A103" s="12" t="n"/>
      <c r="B103" s="13" t="n"/>
      <c r="C103" s="14" t="n"/>
      <c r="D103" s="14" t="n"/>
      <c r="E103" s="14" t="n"/>
      <c r="F103" s="11" t="str">
        <f>IF(AND($A103&lt;&gt;"",$A103=管理簿!$B$3,$B103&lt;&gt;""),COUNTIFS($A$4:$A$503,管理簿!$B$3,$B$4:$B$503,"&lt;"&amp;$B103)+COUNTIFS($A$4:$A103,管理簿!$B$3,$B$4:$B103,$B103),"")</f>
        <v/>
      </c>
    </row>
    <row r="104">
      <c r="A104" s="12" t="n"/>
      <c r="B104" s="13" t="n"/>
      <c r="C104" s="14" t="n"/>
      <c r="D104" s="14" t="n"/>
      <c r="E104" s="14" t="n"/>
      <c r="F104" s="11" t="str">
        <f>IF(AND($A104&lt;&gt;"",$A104=管理簿!$B$3,$B104&lt;&gt;""),COUNTIFS($A$4:$A$503,管理簿!$B$3,$B$4:$B$503,"&lt;"&amp;$B104)+COUNTIFS($A$4:$A104,管理簿!$B$3,$B$4:$B104,$B104),"")</f>
        <v/>
      </c>
    </row>
    <row r="105">
      <c r="A105" s="12" t="n"/>
      <c r="B105" s="13" t="n"/>
      <c r="C105" s="14" t="n"/>
      <c r="D105" s="14" t="n"/>
      <c r="E105" s="14" t="n"/>
      <c r="F105" s="11" t="str">
        <f>IF(AND($A105&lt;&gt;"",$A105=管理簿!$B$3,$B105&lt;&gt;""),COUNTIFS($A$4:$A$503,管理簿!$B$3,$B$4:$B$503,"&lt;"&amp;$B105)+COUNTIFS($A$4:$A105,管理簿!$B$3,$B$4:$B105,$B105),"")</f>
        <v/>
      </c>
    </row>
    <row r="106">
      <c r="A106" s="12" t="n"/>
      <c r="B106" s="13" t="n"/>
      <c r="C106" s="14" t="n"/>
      <c r="D106" s="14" t="n"/>
      <c r="E106" s="14" t="n"/>
      <c r="F106" s="11" t="str">
        <f>IF(AND($A106&lt;&gt;"",$A106=管理簿!$B$3,$B106&lt;&gt;""),COUNTIFS($A$4:$A$503,管理簿!$B$3,$B$4:$B$503,"&lt;"&amp;$B106)+COUNTIFS($A$4:$A106,管理簿!$B$3,$B$4:$B106,$B106),"")</f>
        <v/>
      </c>
    </row>
    <row r="107">
      <c r="A107" s="12" t="n"/>
      <c r="B107" s="13" t="n"/>
      <c r="C107" s="14" t="n"/>
      <c r="D107" s="14" t="n"/>
      <c r="E107" s="14" t="n"/>
      <c r="F107" s="11" t="str">
        <f>IF(AND($A107&lt;&gt;"",$A107=管理簿!$B$3,$B107&lt;&gt;""),COUNTIFS($A$4:$A$503,管理簿!$B$3,$B$4:$B$503,"&lt;"&amp;$B107)+COUNTIFS($A$4:$A107,管理簿!$B$3,$B$4:$B107,$B107),"")</f>
        <v/>
      </c>
    </row>
    <row r="108">
      <c r="A108" s="12" t="n"/>
      <c r="B108" s="13" t="n"/>
      <c r="C108" s="14" t="n"/>
      <c r="D108" s="14" t="n"/>
      <c r="E108" s="14" t="n"/>
      <c r="F108" s="11" t="str">
        <f>IF(AND($A108&lt;&gt;"",$A108=管理簿!$B$3,$B108&lt;&gt;""),COUNTIFS($A$4:$A$503,管理簿!$B$3,$B$4:$B$503,"&lt;"&amp;$B108)+COUNTIFS($A$4:$A108,管理簿!$B$3,$B$4:$B108,$B108),"")</f>
        <v/>
      </c>
    </row>
    <row r="109">
      <c r="A109" s="12" t="n"/>
      <c r="B109" s="13" t="n"/>
      <c r="C109" s="14" t="n"/>
      <c r="D109" s="14" t="n"/>
      <c r="E109" s="14" t="n"/>
      <c r="F109" s="11" t="str">
        <f>IF(AND($A109&lt;&gt;"",$A109=管理簿!$B$3,$B109&lt;&gt;""),COUNTIFS($A$4:$A$503,管理簿!$B$3,$B$4:$B$503,"&lt;"&amp;$B109)+COUNTIFS($A$4:$A109,管理簿!$B$3,$B$4:$B109,$B109),"")</f>
        <v/>
      </c>
    </row>
    <row r="110">
      <c r="A110" s="12" t="n"/>
      <c r="B110" s="13" t="n"/>
      <c r="C110" s="14" t="n"/>
      <c r="D110" s="14" t="n"/>
      <c r="E110" s="14" t="n"/>
      <c r="F110" s="11" t="str">
        <f>IF(AND($A110&lt;&gt;"",$A110=管理簿!$B$3,$B110&lt;&gt;""),COUNTIFS($A$4:$A$503,管理簿!$B$3,$B$4:$B$503,"&lt;"&amp;$B110)+COUNTIFS($A$4:$A110,管理簿!$B$3,$B$4:$B110,$B110),"")</f>
        <v/>
      </c>
    </row>
    <row r="111">
      <c r="A111" s="12" t="n"/>
      <c r="B111" s="13" t="n"/>
      <c r="C111" s="14" t="n"/>
      <c r="D111" s="14" t="n"/>
      <c r="E111" s="14" t="n"/>
      <c r="F111" s="11" t="str">
        <f>IF(AND($A111&lt;&gt;"",$A111=管理簿!$B$3,$B111&lt;&gt;""),COUNTIFS($A$4:$A$503,管理簿!$B$3,$B$4:$B$503,"&lt;"&amp;$B111)+COUNTIFS($A$4:$A111,管理簿!$B$3,$B$4:$B111,$B111),"")</f>
        <v/>
      </c>
    </row>
    <row r="112">
      <c r="A112" s="12" t="n"/>
      <c r="B112" s="13" t="n"/>
      <c r="C112" s="14" t="n"/>
      <c r="D112" s="14" t="n"/>
      <c r="E112" s="14" t="n"/>
      <c r="F112" s="11" t="str">
        <f>IF(AND($A112&lt;&gt;"",$A112=管理簿!$B$3,$B112&lt;&gt;""),COUNTIFS($A$4:$A$503,管理簿!$B$3,$B$4:$B$503,"&lt;"&amp;$B112)+COUNTIFS($A$4:$A112,管理簿!$B$3,$B$4:$B112,$B112),"")</f>
        <v/>
      </c>
    </row>
    <row r="113">
      <c r="A113" s="12" t="n"/>
      <c r="B113" s="13" t="n"/>
      <c r="C113" s="14" t="n"/>
      <c r="D113" s="14" t="n"/>
      <c r="E113" s="14" t="n"/>
      <c r="F113" s="11" t="str">
        <f>IF(AND($A113&lt;&gt;"",$A113=管理簿!$B$3,$B113&lt;&gt;""),COUNTIFS($A$4:$A$503,管理簿!$B$3,$B$4:$B$503,"&lt;"&amp;$B113)+COUNTIFS($A$4:$A113,管理簿!$B$3,$B$4:$B113,$B113),"")</f>
        <v/>
      </c>
    </row>
    <row r="114">
      <c r="A114" s="12" t="n"/>
      <c r="B114" s="13" t="n"/>
      <c r="C114" s="14" t="n"/>
      <c r="D114" s="14" t="n"/>
      <c r="E114" s="14" t="n"/>
      <c r="F114" s="11" t="str">
        <f>IF(AND($A114&lt;&gt;"",$A114=管理簿!$B$3,$B114&lt;&gt;""),COUNTIFS($A$4:$A$503,管理簿!$B$3,$B$4:$B$503,"&lt;"&amp;$B114)+COUNTIFS($A$4:$A114,管理簿!$B$3,$B$4:$B114,$B114),"")</f>
        <v/>
      </c>
    </row>
    <row r="115">
      <c r="A115" s="12" t="n"/>
      <c r="B115" s="13" t="n"/>
      <c r="C115" s="14" t="n"/>
      <c r="D115" s="14" t="n"/>
      <c r="E115" s="14" t="n"/>
      <c r="F115" s="11" t="str">
        <f>IF(AND($A115&lt;&gt;"",$A115=管理簿!$B$3,$B115&lt;&gt;""),COUNTIFS($A$4:$A$503,管理簿!$B$3,$B$4:$B$503,"&lt;"&amp;$B115)+COUNTIFS($A$4:$A115,管理簿!$B$3,$B$4:$B115,$B115),"")</f>
        <v/>
      </c>
    </row>
    <row r="116">
      <c r="A116" s="12" t="n"/>
      <c r="B116" s="13" t="n"/>
      <c r="C116" s="14" t="n"/>
      <c r="D116" s="14" t="n"/>
      <c r="E116" s="14" t="n"/>
      <c r="F116" s="11" t="str">
        <f>IF(AND($A116&lt;&gt;"",$A116=管理簿!$B$3,$B116&lt;&gt;""),COUNTIFS($A$4:$A$503,管理簿!$B$3,$B$4:$B$503,"&lt;"&amp;$B116)+COUNTIFS($A$4:$A116,管理簿!$B$3,$B$4:$B116,$B116),"")</f>
        <v/>
      </c>
    </row>
    <row r="117">
      <c r="A117" s="12" t="n"/>
      <c r="B117" s="13" t="n"/>
      <c r="C117" s="14" t="n"/>
      <c r="D117" s="14" t="n"/>
      <c r="E117" s="14" t="n"/>
      <c r="F117" s="11" t="str">
        <f>IF(AND($A117&lt;&gt;"",$A117=管理簿!$B$3,$B117&lt;&gt;""),COUNTIFS($A$4:$A$503,管理簿!$B$3,$B$4:$B$503,"&lt;"&amp;$B117)+COUNTIFS($A$4:$A117,管理簿!$B$3,$B$4:$B117,$B117),"")</f>
        <v/>
      </c>
    </row>
    <row r="118">
      <c r="A118" s="12" t="n"/>
      <c r="B118" s="13" t="n"/>
      <c r="C118" s="14" t="n"/>
      <c r="D118" s="14" t="n"/>
      <c r="E118" s="14" t="n"/>
      <c r="F118" s="11" t="str">
        <f>IF(AND($A118&lt;&gt;"",$A118=管理簿!$B$3,$B118&lt;&gt;""),COUNTIFS($A$4:$A$503,管理簿!$B$3,$B$4:$B$503,"&lt;"&amp;$B118)+COUNTIFS($A$4:$A118,管理簿!$B$3,$B$4:$B118,$B118),"")</f>
        <v/>
      </c>
    </row>
    <row r="119">
      <c r="A119" s="12" t="n"/>
      <c r="B119" s="13" t="n"/>
      <c r="C119" s="14" t="n"/>
      <c r="D119" s="14" t="n"/>
      <c r="E119" s="14" t="n"/>
      <c r="F119" s="11" t="str">
        <f>IF(AND($A119&lt;&gt;"",$A119=管理簿!$B$3,$B119&lt;&gt;""),COUNTIFS($A$4:$A$503,管理簿!$B$3,$B$4:$B$503,"&lt;"&amp;$B119)+COUNTIFS($A$4:$A119,管理簿!$B$3,$B$4:$B119,$B119),"")</f>
        <v/>
      </c>
    </row>
    <row r="120">
      <c r="A120" s="12" t="n"/>
      <c r="B120" s="13" t="n"/>
      <c r="C120" s="14" t="n"/>
      <c r="D120" s="14" t="n"/>
      <c r="E120" s="14" t="n"/>
      <c r="F120" s="11" t="str">
        <f>IF(AND($A120&lt;&gt;"",$A120=管理簿!$B$3,$B120&lt;&gt;""),COUNTIFS($A$4:$A$503,管理簿!$B$3,$B$4:$B$503,"&lt;"&amp;$B120)+COUNTIFS($A$4:$A120,管理簿!$B$3,$B$4:$B120,$B120),"")</f>
        <v/>
      </c>
    </row>
    <row r="121">
      <c r="A121" s="12" t="n"/>
      <c r="B121" s="13" t="n"/>
      <c r="C121" s="14" t="n"/>
      <c r="D121" s="14" t="n"/>
      <c r="E121" s="14" t="n"/>
      <c r="F121" s="11" t="str">
        <f>IF(AND($A121&lt;&gt;"",$A121=管理簿!$B$3,$B121&lt;&gt;""),COUNTIFS($A$4:$A$503,管理簿!$B$3,$B$4:$B$503,"&lt;"&amp;$B121)+COUNTIFS($A$4:$A121,管理簿!$B$3,$B$4:$B121,$B121),"")</f>
        <v/>
      </c>
    </row>
    <row r="122">
      <c r="A122" s="12" t="n"/>
      <c r="B122" s="13" t="n"/>
      <c r="C122" s="14" t="n"/>
      <c r="D122" s="14" t="n"/>
      <c r="E122" s="14" t="n"/>
      <c r="F122" s="11" t="str">
        <f>IF(AND($A122&lt;&gt;"",$A122=管理簿!$B$3,$B122&lt;&gt;""),COUNTIFS($A$4:$A$503,管理簿!$B$3,$B$4:$B$503,"&lt;"&amp;$B122)+COUNTIFS($A$4:$A122,管理簿!$B$3,$B$4:$B122,$B122),"")</f>
        <v/>
      </c>
    </row>
    <row r="123">
      <c r="A123" s="12" t="n"/>
      <c r="B123" s="13" t="n"/>
      <c r="C123" s="14" t="n"/>
      <c r="D123" s="14" t="n"/>
      <c r="E123" s="14" t="n"/>
      <c r="F123" s="11" t="str">
        <f>IF(AND($A123&lt;&gt;"",$A123=管理簿!$B$3,$B123&lt;&gt;""),COUNTIFS($A$4:$A$503,管理簿!$B$3,$B$4:$B$503,"&lt;"&amp;$B123)+COUNTIFS($A$4:$A123,管理簿!$B$3,$B$4:$B123,$B123),"")</f>
        <v/>
      </c>
    </row>
    <row r="124">
      <c r="A124" s="12" t="n"/>
      <c r="B124" s="13" t="n"/>
      <c r="C124" s="14" t="n"/>
      <c r="D124" s="14" t="n"/>
      <c r="E124" s="14" t="n"/>
      <c r="F124" s="11" t="str">
        <f>IF(AND($A124&lt;&gt;"",$A124=管理簿!$B$3,$B124&lt;&gt;""),COUNTIFS($A$4:$A$503,管理簿!$B$3,$B$4:$B$503,"&lt;"&amp;$B124)+COUNTIFS($A$4:$A124,管理簿!$B$3,$B$4:$B124,$B124),"")</f>
        <v/>
      </c>
    </row>
    <row r="125">
      <c r="A125" s="12" t="n"/>
      <c r="B125" s="13" t="n"/>
      <c r="C125" s="14" t="n"/>
      <c r="D125" s="14" t="n"/>
      <c r="E125" s="14" t="n"/>
      <c r="F125" s="11" t="str">
        <f>IF(AND($A125&lt;&gt;"",$A125=管理簿!$B$3,$B125&lt;&gt;""),COUNTIFS($A$4:$A$503,管理簿!$B$3,$B$4:$B$503,"&lt;"&amp;$B125)+COUNTIFS($A$4:$A125,管理簿!$B$3,$B$4:$B125,$B125),"")</f>
        <v/>
      </c>
    </row>
    <row r="126">
      <c r="A126" s="12" t="n"/>
      <c r="B126" s="13" t="n"/>
      <c r="C126" s="14" t="n"/>
      <c r="D126" s="14" t="n"/>
      <c r="E126" s="14" t="n"/>
      <c r="F126" s="11" t="str">
        <f>IF(AND($A126&lt;&gt;"",$A126=管理簿!$B$3,$B126&lt;&gt;""),COUNTIFS($A$4:$A$503,管理簿!$B$3,$B$4:$B$503,"&lt;"&amp;$B126)+COUNTIFS($A$4:$A126,管理簿!$B$3,$B$4:$B126,$B126),"")</f>
        <v/>
      </c>
    </row>
    <row r="127">
      <c r="A127" s="12" t="n"/>
      <c r="B127" s="13" t="n"/>
      <c r="C127" s="14" t="n"/>
      <c r="D127" s="14" t="n"/>
      <c r="E127" s="14" t="n"/>
      <c r="F127" s="11" t="str">
        <f>IF(AND($A127&lt;&gt;"",$A127=管理簿!$B$3,$B127&lt;&gt;""),COUNTIFS($A$4:$A$503,管理簿!$B$3,$B$4:$B$503,"&lt;"&amp;$B127)+COUNTIFS($A$4:$A127,管理簿!$B$3,$B$4:$B127,$B127),"")</f>
        <v/>
      </c>
    </row>
    <row r="128">
      <c r="A128" s="12" t="n"/>
      <c r="B128" s="13" t="n"/>
      <c r="C128" s="14" t="n"/>
      <c r="D128" s="14" t="n"/>
      <c r="E128" s="14" t="n"/>
      <c r="F128" s="11" t="str">
        <f>IF(AND($A128&lt;&gt;"",$A128=管理簿!$B$3,$B128&lt;&gt;""),COUNTIFS($A$4:$A$503,管理簿!$B$3,$B$4:$B$503,"&lt;"&amp;$B128)+COUNTIFS($A$4:$A128,管理簿!$B$3,$B$4:$B128,$B128),"")</f>
        <v/>
      </c>
    </row>
    <row r="129">
      <c r="A129" s="12" t="n"/>
      <c r="B129" s="13" t="n"/>
      <c r="C129" s="14" t="n"/>
      <c r="D129" s="14" t="n"/>
      <c r="E129" s="14" t="n"/>
      <c r="F129" s="11" t="str">
        <f>IF(AND($A129&lt;&gt;"",$A129=管理簿!$B$3,$B129&lt;&gt;""),COUNTIFS($A$4:$A$503,管理簿!$B$3,$B$4:$B$503,"&lt;"&amp;$B129)+COUNTIFS($A$4:$A129,管理簿!$B$3,$B$4:$B129,$B129),"")</f>
        <v/>
      </c>
    </row>
    <row r="130">
      <c r="A130" s="12" t="n"/>
      <c r="B130" s="13" t="n"/>
      <c r="C130" s="14" t="n"/>
      <c r="D130" s="14" t="n"/>
      <c r="E130" s="14" t="n"/>
      <c r="F130" s="11" t="str">
        <f>IF(AND($A130&lt;&gt;"",$A130=管理簿!$B$3,$B130&lt;&gt;""),COUNTIFS($A$4:$A$503,管理簿!$B$3,$B$4:$B$503,"&lt;"&amp;$B130)+COUNTIFS($A$4:$A130,管理簿!$B$3,$B$4:$B130,$B130),"")</f>
        <v/>
      </c>
    </row>
    <row r="131">
      <c r="A131" s="12" t="n"/>
      <c r="B131" s="13" t="n"/>
      <c r="C131" s="14" t="n"/>
      <c r="D131" s="14" t="n"/>
      <c r="E131" s="14" t="n"/>
      <c r="F131" s="11" t="str">
        <f>IF(AND($A131&lt;&gt;"",$A131=管理簿!$B$3,$B131&lt;&gt;""),COUNTIFS($A$4:$A$503,管理簿!$B$3,$B$4:$B$503,"&lt;"&amp;$B131)+COUNTIFS($A$4:$A131,管理簿!$B$3,$B$4:$B131,$B131),"")</f>
        <v/>
      </c>
    </row>
    <row r="132">
      <c r="A132" s="12" t="n"/>
      <c r="B132" s="13" t="n"/>
      <c r="C132" s="14" t="n"/>
      <c r="D132" s="14" t="n"/>
      <c r="E132" s="14" t="n"/>
      <c r="F132" s="11" t="str">
        <f>IF(AND($A132&lt;&gt;"",$A132=管理簿!$B$3,$B132&lt;&gt;""),COUNTIFS($A$4:$A$503,管理簿!$B$3,$B$4:$B$503,"&lt;"&amp;$B132)+COUNTIFS($A$4:$A132,管理簿!$B$3,$B$4:$B132,$B132),"")</f>
        <v/>
      </c>
    </row>
    <row r="133">
      <c r="A133" s="12" t="n"/>
      <c r="B133" s="13" t="n"/>
      <c r="C133" s="14" t="n"/>
      <c r="D133" s="14" t="n"/>
      <c r="E133" s="14" t="n"/>
      <c r="F133" s="11" t="str">
        <f>IF(AND($A133&lt;&gt;"",$A133=管理簿!$B$3,$B133&lt;&gt;""),COUNTIFS($A$4:$A$503,管理簿!$B$3,$B$4:$B$503,"&lt;"&amp;$B133)+COUNTIFS($A$4:$A133,管理簿!$B$3,$B$4:$B133,$B133),"")</f>
        <v/>
      </c>
    </row>
    <row r="134">
      <c r="A134" s="12" t="n"/>
      <c r="B134" s="13" t="n"/>
      <c r="C134" s="14" t="n"/>
      <c r="D134" s="14" t="n"/>
      <c r="E134" s="14" t="n"/>
      <c r="F134" s="11" t="str">
        <f>IF(AND($A134&lt;&gt;"",$A134=管理簿!$B$3,$B134&lt;&gt;""),COUNTIFS($A$4:$A$503,管理簿!$B$3,$B$4:$B$503,"&lt;"&amp;$B134)+COUNTIFS($A$4:$A134,管理簿!$B$3,$B$4:$B134,$B134),"")</f>
        <v/>
      </c>
    </row>
    <row r="135">
      <c r="A135" s="12" t="n"/>
      <c r="B135" s="13" t="n"/>
      <c r="C135" s="14" t="n"/>
      <c r="D135" s="14" t="n"/>
      <c r="E135" s="14" t="n"/>
      <c r="F135" s="11" t="str">
        <f>IF(AND($A135&lt;&gt;"",$A135=管理簿!$B$3,$B135&lt;&gt;""),COUNTIFS($A$4:$A$503,管理簿!$B$3,$B$4:$B$503,"&lt;"&amp;$B135)+COUNTIFS($A$4:$A135,管理簿!$B$3,$B$4:$B135,$B135),"")</f>
        <v/>
      </c>
    </row>
    <row r="136">
      <c r="A136" s="12" t="n"/>
      <c r="B136" s="13" t="n"/>
      <c r="C136" s="14" t="n"/>
      <c r="D136" s="14" t="n"/>
      <c r="E136" s="14" t="n"/>
      <c r="F136" s="11" t="str">
        <f>IF(AND($A136&lt;&gt;"",$A136=管理簿!$B$3,$B136&lt;&gt;""),COUNTIFS($A$4:$A$503,管理簿!$B$3,$B$4:$B$503,"&lt;"&amp;$B136)+COUNTIFS($A$4:$A136,管理簿!$B$3,$B$4:$B136,$B136),"")</f>
        <v/>
      </c>
    </row>
    <row r="137">
      <c r="A137" s="12" t="n"/>
      <c r="B137" s="13" t="n"/>
      <c r="C137" s="14" t="n"/>
      <c r="D137" s="14" t="n"/>
      <c r="E137" s="14" t="n"/>
      <c r="F137" s="11" t="str">
        <f>IF(AND($A137&lt;&gt;"",$A137=管理簿!$B$3,$B137&lt;&gt;""),COUNTIFS($A$4:$A$503,管理簿!$B$3,$B$4:$B$503,"&lt;"&amp;$B137)+COUNTIFS($A$4:$A137,管理簿!$B$3,$B$4:$B137,$B137),"")</f>
        <v/>
      </c>
    </row>
    <row r="138">
      <c r="A138" s="12" t="n"/>
      <c r="B138" s="13" t="n"/>
      <c r="C138" s="14" t="n"/>
      <c r="D138" s="14" t="n"/>
      <c r="E138" s="14" t="n"/>
      <c r="F138" s="11" t="str">
        <f>IF(AND($A138&lt;&gt;"",$A138=管理簿!$B$3,$B138&lt;&gt;""),COUNTIFS($A$4:$A$503,管理簿!$B$3,$B$4:$B$503,"&lt;"&amp;$B138)+COUNTIFS($A$4:$A138,管理簿!$B$3,$B$4:$B138,$B138),"")</f>
        <v/>
      </c>
    </row>
    <row r="139">
      <c r="A139" s="12" t="n"/>
      <c r="B139" s="13" t="n"/>
      <c r="C139" s="14" t="n"/>
      <c r="D139" s="14" t="n"/>
      <c r="E139" s="14" t="n"/>
      <c r="F139" s="11" t="str">
        <f>IF(AND($A139&lt;&gt;"",$A139=管理簿!$B$3,$B139&lt;&gt;""),COUNTIFS($A$4:$A$503,管理簿!$B$3,$B$4:$B$503,"&lt;"&amp;$B139)+COUNTIFS($A$4:$A139,管理簿!$B$3,$B$4:$B139,$B139),"")</f>
        <v/>
      </c>
    </row>
    <row r="140">
      <c r="A140" s="12" t="n"/>
      <c r="B140" s="13" t="n"/>
      <c r="C140" s="14" t="n"/>
      <c r="D140" s="14" t="n"/>
      <c r="E140" s="14" t="n"/>
      <c r="F140" s="11" t="str">
        <f>IF(AND($A140&lt;&gt;"",$A140=管理簿!$B$3,$B140&lt;&gt;""),COUNTIFS($A$4:$A$503,管理簿!$B$3,$B$4:$B$503,"&lt;"&amp;$B140)+COUNTIFS($A$4:$A140,管理簿!$B$3,$B$4:$B140,$B140),"")</f>
        <v/>
      </c>
    </row>
    <row r="141">
      <c r="A141" s="12" t="n"/>
      <c r="B141" s="13" t="n"/>
      <c r="C141" s="14" t="n"/>
      <c r="D141" s="14" t="n"/>
      <c r="E141" s="14" t="n"/>
      <c r="F141" s="11" t="str">
        <f>IF(AND($A141&lt;&gt;"",$A141=管理簿!$B$3,$B141&lt;&gt;""),COUNTIFS($A$4:$A$503,管理簿!$B$3,$B$4:$B$503,"&lt;"&amp;$B141)+COUNTIFS($A$4:$A141,管理簿!$B$3,$B$4:$B141,$B141),"")</f>
        <v/>
      </c>
    </row>
    <row r="142">
      <c r="A142" s="12" t="n"/>
      <c r="B142" s="13" t="n"/>
      <c r="C142" s="14" t="n"/>
      <c r="D142" s="14" t="n"/>
      <c r="E142" s="14" t="n"/>
      <c r="F142" s="11" t="str">
        <f>IF(AND($A142&lt;&gt;"",$A142=管理簿!$B$3,$B142&lt;&gt;""),COUNTIFS($A$4:$A$503,管理簿!$B$3,$B$4:$B$503,"&lt;"&amp;$B142)+COUNTIFS($A$4:$A142,管理簿!$B$3,$B$4:$B142,$B142),"")</f>
        <v/>
      </c>
    </row>
    <row r="143">
      <c r="A143" s="12" t="n"/>
      <c r="B143" s="13" t="n"/>
      <c r="C143" s="14" t="n"/>
      <c r="D143" s="14" t="n"/>
      <c r="E143" s="14" t="n"/>
      <c r="F143" s="11" t="str">
        <f>IF(AND($A143&lt;&gt;"",$A143=管理簿!$B$3,$B143&lt;&gt;""),COUNTIFS($A$4:$A$503,管理簿!$B$3,$B$4:$B$503,"&lt;"&amp;$B143)+COUNTIFS($A$4:$A143,管理簿!$B$3,$B$4:$B143,$B143),"")</f>
        <v/>
      </c>
    </row>
    <row r="144">
      <c r="A144" s="12" t="n"/>
      <c r="B144" s="13" t="n"/>
      <c r="C144" s="14" t="n"/>
      <c r="D144" s="14" t="n"/>
      <c r="E144" s="14" t="n"/>
      <c r="F144" s="11" t="str">
        <f>IF(AND($A144&lt;&gt;"",$A144=管理簿!$B$3,$B144&lt;&gt;""),COUNTIFS($A$4:$A$503,管理簿!$B$3,$B$4:$B$503,"&lt;"&amp;$B144)+COUNTIFS($A$4:$A144,管理簿!$B$3,$B$4:$B144,$B144),"")</f>
        <v/>
      </c>
    </row>
    <row r="145">
      <c r="A145" s="12" t="n"/>
      <c r="B145" s="13" t="n"/>
      <c r="C145" s="14" t="n"/>
      <c r="D145" s="14" t="n"/>
      <c r="E145" s="14" t="n"/>
      <c r="F145" s="11" t="str">
        <f>IF(AND($A145&lt;&gt;"",$A145=管理簿!$B$3,$B145&lt;&gt;""),COUNTIFS($A$4:$A$503,管理簿!$B$3,$B$4:$B$503,"&lt;"&amp;$B145)+COUNTIFS($A$4:$A145,管理簿!$B$3,$B$4:$B145,$B145),"")</f>
        <v/>
      </c>
    </row>
    <row r="146">
      <c r="A146" s="12" t="n"/>
      <c r="B146" s="13" t="n"/>
      <c r="C146" s="14" t="n"/>
      <c r="D146" s="14" t="n"/>
      <c r="E146" s="14" t="n"/>
      <c r="F146" s="11" t="str">
        <f>IF(AND($A146&lt;&gt;"",$A146=管理簿!$B$3,$B146&lt;&gt;""),COUNTIFS($A$4:$A$503,管理簿!$B$3,$B$4:$B$503,"&lt;"&amp;$B146)+COUNTIFS($A$4:$A146,管理簿!$B$3,$B$4:$B146,$B146),"")</f>
        <v/>
      </c>
    </row>
    <row r="147">
      <c r="A147" s="12" t="n"/>
      <c r="B147" s="13" t="n"/>
      <c r="C147" s="14" t="n"/>
      <c r="D147" s="14" t="n"/>
      <c r="E147" s="14" t="n"/>
      <c r="F147" s="11" t="str">
        <f>IF(AND($A147&lt;&gt;"",$A147=管理簿!$B$3,$B147&lt;&gt;""),COUNTIFS($A$4:$A$503,管理簿!$B$3,$B$4:$B$503,"&lt;"&amp;$B147)+COUNTIFS($A$4:$A147,管理簿!$B$3,$B$4:$B147,$B147),"")</f>
        <v/>
      </c>
    </row>
    <row r="148">
      <c r="A148" s="12" t="n"/>
      <c r="B148" s="13" t="n"/>
      <c r="C148" s="14" t="n"/>
      <c r="D148" s="14" t="n"/>
      <c r="E148" s="14" t="n"/>
      <c r="F148" s="11" t="str">
        <f>IF(AND($A148&lt;&gt;"",$A148=管理簿!$B$3,$B148&lt;&gt;""),COUNTIFS($A$4:$A$503,管理簿!$B$3,$B$4:$B$503,"&lt;"&amp;$B148)+COUNTIFS($A$4:$A148,管理簿!$B$3,$B$4:$B148,$B148),"")</f>
        <v/>
      </c>
    </row>
    <row r="149">
      <c r="A149" s="12" t="n"/>
      <c r="B149" s="13" t="n"/>
      <c r="C149" s="14" t="n"/>
      <c r="D149" s="14" t="n"/>
      <c r="E149" s="14" t="n"/>
      <c r="F149" s="11" t="str">
        <f>IF(AND($A149&lt;&gt;"",$A149=管理簿!$B$3,$B149&lt;&gt;""),COUNTIFS($A$4:$A$503,管理簿!$B$3,$B$4:$B$503,"&lt;"&amp;$B149)+COUNTIFS($A$4:$A149,管理簿!$B$3,$B$4:$B149,$B149),"")</f>
        <v/>
      </c>
    </row>
    <row r="150">
      <c r="A150" s="12" t="n"/>
      <c r="B150" s="13" t="n"/>
      <c r="C150" s="14" t="n"/>
      <c r="D150" s="14" t="n"/>
      <c r="E150" s="14" t="n"/>
      <c r="F150" s="11" t="str">
        <f>IF(AND($A150&lt;&gt;"",$A150=管理簿!$B$3,$B150&lt;&gt;""),COUNTIFS($A$4:$A$503,管理簿!$B$3,$B$4:$B$503,"&lt;"&amp;$B150)+COUNTIFS($A$4:$A150,管理簿!$B$3,$B$4:$B150,$B150),"")</f>
        <v/>
      </c>
    </row>
    <row r="151">
      <c r="A151" s="12" t="n"/>
      <c r="B151" s="13" t="n"/>
      <c r="C151" s="14" t="n"/>
      <c r="D151" s="14" t="n"/>
      <c r="E151" s="14" t="n"/>
      <c r="F151" s="11" t="str">
        <f>IF(AND($A151&lt;&gt;"",$A151=管理簿!$B$3,$B151&lt;&gt;""),COUNTIFS($A$4:$A$503,管理簿!$B$3,$B$4:$B$503,"&lt;"&amp;$B151)+COUNTIFS($A$4:$A151,管理簿!$B$3,$B$4:$B151,$B151),"")</f>
        <v/>
      </c>
    </row>
    <row r="152">
      <c r="A152" s="12" t="n"/>
      <c r="B152" s="13" t="n"/>
      <c r="C152" s="14" t="n"/>
      <c r="D152" s="14" t="n"/>
      <c r="E152" s="14" t="n"/>
      <c r="F152" s="11" t="str">
        <f>IF(AND($A152&lt;&gt;"",$A152=管理簿!$B$3,$B152&lt;&gt;""),COUNTIFS($A$4:$A$503,管理簿!$B$3,$B$4:$B$503,"&lt;"&amp;$B152)+COUNTIFS($A$4:$A152,管理簿!$B$3,$B$4:$B152,$B152),"")</f>
        <v/>
      </c>
    </row>
    <row r="153">
      <c r="A153" s="12" t="n"/>
      <c r="B153" s="13" t="n"/>
      <c r="C153" s="14" t="n"/>
      <c r="D153" s="14" t="n"/>
      <c r="E153" s="14" t="n"/>
      <c r="F153" s="11" t="str">
        <f>IF(AND($A153&lt;&gt;"",$A153=管理簿!$B$3,$B153&lt;&gt;""),COUNTIFS($A$4:$A$503,管理簿!$B$3,$B$4:$B$503,"&lt;"&amp;$B153)+COUNTIFS($A$4:$A153,管理簿!$B$3,$B$4:$B153,$B153),"")</f>
        <v/>
      </c>
    </row>
    <row r="154">
      <c r="A154" s="12" t="n"/>
      <c r="B154" s="13" t="n"/>
      <c r="C154" s="14" t="n"/>
      <c r="D154" s="14" t="n"/>
      <c r="E154" s="14" t="n"/>
      <c r="F154" s="11" t="str">
        <f>IF(AND($A154&lt;&gt;"",$A154=管理簿!$B$3,$B154&lt;&gt;""),COUNTIFS($A$4:$A$503,管理簿!$B$3,$B$4:$B$503,"&lt;"&amp;$B154)+COUNTIFS($A$4:$A154,管理簿!$B$3,$B$4:$B154,$B154),"")</f>
        <v/>
      </c>
    </row>
    <row r="155">
      <c r="A155" s="12" t="n"/>
      <c r="B155" s="13" t="n"/>
      <c r="C155" s="14" t="n"/>
      <c r="D155" s="14" t="n"/>
      <c r="E155" s="14" t="n"/>
      <c r="F155" s="11" t="str">
        <f>IF(AND($A155&lt;&gt;"",$A155=管理簿!$B$3,$B155&lt;&gt;""),COUNTIFS($A$4:$A$503,管理簿!$B$3,$B$4:$B$503,"&lt;"&amp;$B155)+COUNTIFS($A$4:$A155,管理簿!$B$3,$B$4:$B155,$B155),"")</f>
        <v/>
      </c>
    </row>
    <row r="156">
      <c r="A156" s="12" t="n"/>
      <c r="B156" s="13" t="n"/>
      <c r="C156" s="14" t="n"/>
      <c r="D156" s="14" t="n"/>
      <c r="E156" s="14" t="n"/>
      <c r="F156" s="11" t="str">
        <f>IF(AND($A156&lt;&gt;"",$A156=管理簿!$B$3,$B156&lt;&gt;""),COUNTIFS($A$4:$A$503,管理簿!$B$3,$B$4:$B$503,"&lt;"&amp;$B156)+COUNTIFS($A$4:$A156,管理簿!$B$3,$B$4:$B156,$B156),"")</f>
        <v/>
      </c>
    </row>
    <row r="157">
      <c r="A157" s="12" t="n"/>
      <c r="B157" s="13" t="n"/>
      <c r="C157" s="14" t="n"/>
      <c r="D157" s="14" t="n"/>
      <c r="E157" s="14" t="n"/>
      <c r="F157" s="11" t="str">
        <f>IF(AND($A157&lt;&gt;"",$A157=管理簿!$B$3,$B157&lt;&gt;""),COUNTIFS($A$4:$A$503,管理簿!$B$3,$B$4:$B$503,"&lt;"&amp;$B157)+COUNTIFS($A$4:$A157,管理簿!$B$3,$B$4:$B157,$B157),"")</f>
        <v/>
      </c>
    </row>
    <row r="158">
      <c r="A158" s="12" t="n"/>
      <c r="B158" s="13" t="n"/>
      <c r="C158" s="14" t="n"/>
      <c r="D158" s="14" t="n"/>
      <c r="E158" s="14" t="n"/>
      <c r="F158" s="11" t="str">
        <f>IF(AND($A158&lt;&gt;"",$A158=管理簿!$B$3,$B158&lt;&gt;""),COUNTIFS($A$4:$A$503,管理簿!$B$3,$B$4:$B$503,"&lt;"&amp;$B158)+COUNTIFS($A$4:$A158,管理簿!$B$3,$B$4:$B158,$B158),"")</f>
        <v/>
      </c>
    </row>
    <row r="159">
      <c r="A159" s="12" t="n"/>
      <c r="B159" s="13" t="n"/>
      <c r="C159" s="14" t="n"/>
      <c r="D159" s="14" t="n"/>
      <c r="E159" s="14" t="n"/>
      <c r="F159" s="11" t="str">
        <f>IF(AND($A159&lt;&gt;"",$A159=管理簿!$B$3,$B159&lt;&gt;""),COUNTIFS($A$4:$A$503,管理簿!$B$3,$B$4:$B$503,"&lt;"&amp;$B159)+COUNTIFS($A$4:$A159,管理簿!$B$3,$B$4:$B159,$B159),"")</f>
        <v/>
      </c>
    </row>
    <row r="160">
      <c r="A160" s="12" t="n"/>
      <c r="B160" s="13" t="n"/>
      <c r="C160" s="14" t="n"/>
      <c r="D160" s="14" t="n"/>
      <c r="E160" s="14" t="n"/>
      <c r="F160" s="11" t="str">
        <f>IF(AND($A160&lt;&gt;"",$A160=管理簿!$B$3,$B160&lt;&gt;""),COUNTIFS($A$4:$A$503,管理簿!$B$3,$B$4:$B$503,"&lt;"&amp;$B160)+COUNTIFS($A$4:$A160,管理簿!$B$3,$B$4:$B160,$B160),"")</f>
        <v/>
      </c>
    </row>
    <row r="161">
      <c r="A161" s="12" t="n"/>
      <c r="B161" s="13" t="n"/>
      <c r="C161" s="14" t="n"/>
      <c r="D161" s="14" t="n"/>
      <c r="E161" s="14" t="n"/>
      <c r="F161" s="11" t="str">
        <f>IF(AND($A161&lt;&gt;"",$A161=管理簿!$B$3,$B161&lt;&gt;""),COUNTIFS($A$4:$A$503,管理簿!$B$3,$B$4:$B$503,"&lt;"&amp;$B161)+COUNTIFS($A$4:$A161,管理簿!$B$3,$B$4:$B161,$B161),"")</f>
        <v/>
      </c>
    </row>
    <row r="162">
      <c r="A162" s="12" t="n"/>
      <c r="B162" s="13" t="n"/>
      <c r="C162" s="14" t="n"/>
      <c r="D162" s="14" t="n"/>
      <c r="E162" s="14" t="n"/>
      <c r="F162" s="11" t="str">
        <f>IF(AND($A162&lt;&gt;"",$A162=管理簿!$B$3,$B162&lt;&gt;""),COUNTIFS($A$4:$A$503,管理簿!$B$3,$B$4:$B$503,"&lt;"&amp;$B162)+COUNTIFS($A$4:$A162,管理簿!$B$3,$B$4:$B162,$B162),"")</f>
        <v/>
      </c>
    </row>
    <row r="163">
      <c r="A163" s="12" t="n"/>
      <c r="B163" s="13" t="n"/>
      <c r="C163" s="14" t="n"/>
      <c r="D163" s="14" t="n"/>
      <c r="E163" s="14" t="n"/>
      <c r="F163" s="11" t="str">
        <f>IF(AND($A163&lt;&gt;"",$A163=管理簿!$B$3,$B163&lt;&gt;""),COUNTIFS($A$4:$A$503,管理簿!$B$3,$B$4:$B$503,"&lt;"&amp;$B163)+COUNTIFS($A$4:$A163,管理簿!$B$3,$B$4:$B163,$B163),"")</f>
        <v/>
      </c>
    </row>
    <row r="164">
      <c r="A164" s="12" t="n"/>
      <c r="B164" s="13" t="n"/>
      <c r="C164" s="14" t="n"/>
      <c r="D164" s="14" t="n"/>
      <c r="E164" s="14" t="n"/>
      <c r="F164" s="11" t="str">
        <f>IF(AND($A164&lt;&gt;"",$A164=管理簿!$B$3,$B164&lt;&gt;""),COUNTIFS($A$4:$A$503,管理簿!$B$3,$B$4:$B$503,"&lt;"&amp;$B164)+COUNTIFS($A$4:$A164,管理簿!$B$3,$B$4:$B164,$B164),"")</f>
        <v/>
      </c>
    </row>
    <row r="165">
      <c r="A165" s="12" t="n"/>
      <c r="B165" s="13" t="n"/>
      <c r="C165" s="14" t="n"/>
      <c r="D165" s="14" t="n"/>
      <c r="E165" s="14" t="n"/>
      <c r="F165" s="11" t="str">
        <f>IF(AND($A165&lt;&gt;"",$A165=管理簿!$B$3,$B165&lt;&gt;""),COUNTIFS($A$4:$A$503,管理簿!$B$3,$B$4:$B$503,"&lt;"&amp;$B165)+COUNTIFS($A$4:$A165,管理簿!$B$3,$B$4:$B165,$B165),"")</f>
        <v/>
      </c>
    </row>
    <row r="166">
      <c r="A166" s="12" t="n"/>
      <c r="B166" s="13" t="n"/>
      <c r="C166" s="14" t="n"/>
      <c r="D166" s="14" t="n"/>
      <c r="E166" s="14" t="n"/>
      <c r="F166" s="11" t="str">
        <f>IF(AND($A166&lt;&gt;"",$A166=管理簿!$B$3,$B166&lt;&gt;""),COUNTIFS($A$4:$A$503,管理簿!$B$3,$B$4:$B$503,"&lt;"&amp;$B166)+COUNTIFS($A$4:$A166,管理簿!$B$3,$B$4:$B166,$B166),"")</f>
        <v/>
      </c>
    </row>
    <row r="167">
      <c r="A167" s="12" t="n"/>
      <c r="B167" s="13" t="n"/>
      <c r="C167" s="14" t="n"/>
      <c r="D167" s="14" t="n"/>
      <c r="E167" s="14" t="n"/>
      <c r="F167" s="11" t="str">
        <f>IF(AND($A167&lt;&gt;"",$A167=管理簿!$B$3,$B167&lt;&gt;""),COUNTIFS($A$4:$A$503,管理簿!$B$3,$B$4:$B$503,"&lt;"&amp;$B167)+COUNTIFS($A$4:$A167,管理簿!$B$3,$B$4:$B167,$B167),"")</f>
        <v/>
      </c>
    </row>
    <row r="168">
      <c r="A168" s="12" t="n"/>
      <c r="B168" s="13" t="n"/>
      <c r="C168" s="14" t="n"/>
      <c r="D168" s="14" t="n"/>
      <c r="E168" s="14" t="n"/>
      <c r="F168" s="11" t="str">
        <f>IF(AND($A168&lt;&gt;"",$A168=管理簿!$B$3,$B168&lt;&gt;""),COUNTIFS($A$4:$A$503,管理簿!$B$3,$B$4:$B$503,"&lt;"&amp;$B168)+COUNTIFS($A$4:$A168,管理簿!$B$3,$B$4:$B168,$B168),"")</f>
        <v/>
      </c>
    </row>
    <row r="169">
      <c r="A169" s="12" t="n"/>
      <c r="B169" s="13" t="n"/>
      <c r="C169" s="14" t="n"/>
      <c r="D169" s="14" t="n"/>
      <c r="E169" s="14" t="n"/>
      <c r="F169" s="11" t="str">
        <f>IF(AND($A169&lt;&gt;"",$A169=管理簿!$B$3,$B169&lt;&gt;""),COUNTIFS($A$4:$A$503,管理簿!$B$3,$B$4:$B$503,"&lt;"&amp;$B169)+COUNTIFS($A$4:$A169,管理簿!$B$3,$B$4:$B169,$B169),"")</f>
        <v/>
      </c>
    </row>
    <row r="170">
      <c r="A170" s="12" t="n"/>
      <c r="B170" s="13" t="n"/>
      <c r="C170" s="14" t="n"/>
      <c r="D170" s="14" t="n"/>
      <c r="E170" s="14" t="n"/>
      <c r="F170" s="11" t="str">
        <f>IF(AND($A170&lt;&gt;"",$A170=管理簿!$B$3,$B170&lt;&gt;""),COUNTIFS($A$4:$A$503,管理簿!$B$3,$B$4:$B$503,"&lt;"&amp;$B170)+COUNTIFS($A$4:$A170,管理簿!$B$3,$B$4:$B170,$B170),"")</f>
        <v/>
      </c>
    </row>
    <row r="171">
      <c r="A171" s="12" t="n"/>
      <c r="B171" s="13" t="n"/>
      <c r="C171" s="14" t="n"/>
      <c r="D171" s="14" t="n"/>
      <c r="E171" s="14" t="n"/>
      <c r="F171" s="11" t="str">
        <f>IF(AND($A171&lt;&gt;"",$A171=管理簿!$B$3,$B171&lt;&gt;""),COUNTIFS($A$4:$A$503,管理簿!$B$3,$B$4:$B$503,"&lt;"&amp;$B171)+COUNTIFS($A$4:$A171,管理簿!$B$3,$B$4:$B171,$B171),"")</f>
        <v/>
      </c>
    </row>
    <row r="172">
      <c r="A172" s="12" t="n"/>
      <c r="B172" s="13" t="n"/>
      <c r="C172" s="14" t="n"/>
      <c r="D172" s="14" t="n"/>
      <c r="E172" s="14" t="n"/>
      <c r="F172" s="11" t="str">
        <f>IF(AND($A172&lt;&gt;"",$A172=管理簿!$B$3,$B172&lt;&gt;""),COUNTIFS($A$4:$A$503,管理簿!$B$3,$B$4:$B$503,"&lt;"&amp;$B172)+COUNTIFS($A$4:$A172,管理簿!$B$3,$B$4:$B172,$B172),"")</f>
        <v/>
      </c>
    </row>
    <row r="173">
      <c r="A173" s="12" t="n"/>
      <c r="B173" s="13" t="n"/>
      <c r="C173" s="14" t="n"/>
      <c r="D173" s="14" t="n"/>
      <c r="E173" s="14" t="n"/>
      <c r="F173" s="11" t="str">
        <f>IF(AND($A173&lt;&gt;"",$A173=管理簿!$B$3,$B173&lt;&gt;""),COUNTIFS($A$4:$A$503,管理簿!$B$3,$B$4:$B$503,"&lt;"&amp;$B173)+COUNTIFS($A$4:$A173,管理簿!$B$3,$B$4:$B173,$B173),"")</f>
        <v/>
      </c>
    </row>
    <row r="174">
      <c r="A174" s="12" t="n"/>
      <c r="B174" s="13" t="n"/>
      <c r="C174" s="14" t="n"/>
      <c r="D174" s="14" t="n"/>
      <c r="E174" s="14" t="n"/>
      <c r="F174" s="11" t="str">
        <f>IF(AND($A174&lt;&gt;"",$A174=管理簿!$B$3,$B174&lt;&gt;""),COUNTIFS($A$4:$A$503,管理簿!$B$3,$B$4:$B$503,"&lt;"&amp;$B174)+COUNTIFS($A$4:$A174,管理簿!$B$3,$B$4:$B174,$B174),"")</f>
        <v/>
      </c>
    </row>
    <row r="175">
      <c r="A175" s="12" t="n"/>
      <c r="B175" s="13" t="n"/>
      <c r="C175" s="14" t="n"/>
      <c r="D175" s="14" t="n"/>
      <c r="E175" s="14" t="n"/>
      <c r="F175" s="11" t="str">
        <f>IF(AND($A175&lt;&gt;"",$A175=管理簿!$B$3,$B175&lt;&gt;""),COUNTIFS($A$4:$A$503,管理簿!$B$3,$B$4:$B$503,"&lt;"&amp;$B175)+COUNTIFS($A$4:$A175,管理簿!$B$3,$B$4:$B175,$B175),"")</f>
        <v/>
      </c>
    </row>
    <row r="176">
      <c r="A176" s="12" t="n"/>
      <c r="B176" s="13" t="n"/>
      <c r="C176" s="14" t="n"/>
      <c r="D176" s="14" t="n"/>
      <c r="E176" s="14" t="n"/>
      <c r="F176" s="11" t="str">
        <f>IF(AND($A176&lt;&gt;"",$A176=管理簿!$B$3,$B176&lt;&gt;""),COUNTIFS($A$4:$A$503,管理簿!$B$3,$B$4:$B$503,"&lt;"&amp;$B176)+COUNTIFS($A$4:$A176,管理簿!$B$3,$B$4:$B176,$B176),"")</f>
        <v/>
      </c>
    </row>
    <row r="177">
      <c r="A177" s="12" t="n"/>
      <c r="B177" s="13" t="n"/>
      <c r="C177" s="14" t="n"/>
      <c r="D177" s="14" t="n"/>
      <c r="E177" s="14" t="n"/>
      <c r="F177" s="11" t="str">
        <f>IF(AND($A177&lt;&gt;"",$A177=管理簿!$B$3,$B177&lt;&gt;""),COUNTIFS($A$4:$A$503,管理簿!$B$3,$B$4:$B$503,"&lt;"&amp;$B177)+COUNTIFS($A$4:$A177,管理簿!$B$3,$B$4:$B177,$B177),"")</f>
        <v/>
      </c>
    </row>
    <row r="178">
      <c r="A178" s="12" t="n"/>
      <c r="B178" s="13" t="n"/>
      <c r="C178" s="14" t="n"/>
      <c r="D178" s="14" t="n"/>
      <c r="E178" s="14" t="n"/>
      <c r="F178" s="11" t="str">
        <f>IF(AND($A178&lt;&gt;"",$A178=管理簿!$B$3,$B178&lt;&gt;""),COUNTIFS($A$4:$A$503,管理簿!$B$3,$B$4:$B$503,"&lt;"&amp;$B178)+COUNTIFS($A$4:$A178,管理簿!$B$3,$B$4:$B178,$B178),"")</f>
        <v/>
      </c>
    </row>
    <row r="179">
      <c r="A179" s="12" t="n"/>
      <c r="B179" s="13" t="n"/>
      <c r="C179" s="14" t="n"/>
      <c r="D179" s="14" t="n"/>
      <c r="E179" s="14" t="n"/>
      <c r="F179" s="11" t="str">
        <f>IF(AND($A179&lt;&gt;"",$A179=管理簿!$B$3,$B179&lt;&gt;""),COUNTIFS($A$4:$A$503,管理簿!$B$3,$B$4:$B$503,"&lt;"&amp;$B179)+COUNTIFS($A$4:$A179,管理簿!$B$3,$B$4:$B179,$B179),"")</f>
        <v/>
      </c>
    </row>
    <row r="180">
      <c r="A180" s="12" t="n"/>
      <c r="B180" s="13" t="n"/>
      <c r="C180" s="14" t="n"/>
      <c r="D180" s="14" t="n"/>
      <c r="E180" s="14" t="n"/>
      <c r="F180" s="11" t="str">
        <f>IF(AND($A180&lt;&gt;"",$A180=管理簿!$B$3,$B180&lt;&gt;""),COUNTIFS($A$4:$A$503,管理簿!$B$3,$B$4:$B$503,"&lt;"&amp;$B180)+COUNTIFS($A$4:$A180,管理簿!$B$3,$B$4:$B180,$B180),"")</f>
        <v/>
      </c>
    </row>
    <row r="181">
      <c r="A181" s="12" t="n"/>
      <c r="B181" s="13" t="n"/>
      <c r="C181" s="14" t="n"/>
      <c r="D181" s="14" t="n"/>
      <c r="E181" s="14" t="n"/>
      <c r="F181" s="11" t="str">
        <f>IF(AND($A181&lt;&gt;"",$A181=管理簿!$B$3,$B181&lt;&gt;""),COUNTIFS($A$4:$A$503,管理簿!$B$3,$B$4:$B$503,"&lt;"&amp;$B181)+COUNTIFS($A$4:$A181,管理簿!$B$3,$B$4:$B181,$B181),"")</f>
        <v/>
      </c>
    </row>
    <row r="182">
      <c r="A182" s="12" t="n"/>
      <c r="B182" s="13" t="n"/>
      <c r="C182" s="14" t="n"/>
      <c r="D182" s="14" t="n"/>
      <c r="E182" s="14" t="n"/>
      <c r="F182" s="11" t="str">
        <f>IF(AND($A182&lt;&gt;"",$A182=管理簿!$B$3,$B182&lt;&gt;""),COUNTIFS($A$4:$A$503,管理簿!$B$3,$B$4:$B$503,"&lt;"&amp;$B182)+COUNTIFS($A$4:$A182,管理簿!$B$3,$B$4:$B182,$B182),"")</f>
        <v/>
      </c>
    </row>
    <row r="183">
      <c r="A183" s="12" t="n"/>
      <c r="B183" s="13" t="n"/>
      <c r="C183" s="14" t="n"/>
      <c r="D183" s="14" t="n"/>
      <c r="E183" s="14" t="n"/>
      <c r="F183" s="11" t="str">
        <f>IF(AND($A183&lt;&gt;"",$A183=管理簿!$B$3,$B183&lt;&gt;""),COUNTIFS($A$4:$A$503,管理簿!$B$3,$B$4:$B$503,"&lt;"&amp;$B183)+COUNTIFS($A$4:$A183,管理簿!$B$3,$B$4:$B183,$B183),"")</f>
        <v/>
      </c>
    </row>
    <row r="184">
      <c r="A184" s="12" t="n"/>
      <c r="B184" s="13" t="n"/>
      <c r="C184" s="14" t="n"/>
      <c r="D184" s="14" t="n"/>
      <c r="E184" s="14" t="n"/>
      <c r="F184" s="11" t="str">
        <f>IF(AND($A184&lt;&gt;"",$A184=管理簿!$B$3,$B184&lt;&gt;""),COUNTIFS($A$4:$A$503,管理簿!$B$3,$B$4:$B$503,"&lt;"&amp;$B184)+COUNTIFS($A$4:$A184,管理簿!$B$3,$B$4:$B184,$B184),"")</f>
        <v/>
      </c>
    </row>
    <row r="185">
      <c r="A185" s="12" t="n"/>
      <c r="B185" s="13" t="n"/>
      <c r="C185" s="14" t="n"/>
      <c r="D185" s="14" t="n"/>
      <c r="E185" s="14" t="n"/>
      <c r="F185" s="11" t="str">
        <f>IF(AND($A185&lt;&gt;"",$A185=管理簿!$B$3,$B185&lt;&gt;""),COUNTIFS($A$4:$A$503,管理簿!$B$3,$B$4:$B$503,"&lt;"&amp;$B185)+COUNTIFS($A$4:$A185,管理簿!$B$3,$B$4:$B185,$B185),"")</f>
        <v/>
      </c>
    </row>
    <row r="186">
      <c r="A186" s="12" t="n"/>
      <c r="B186" s="13" t="n"/>
      <c r="C186" s="14" t="n"/>
      <c r="D186" s="14" t="n"/>
      <c r="E186" s="14" t="n"/>
      <c r="F186" s="11" t="str">
        <f>IF(AND($A186&lt;&gt;"",$A186=管理簿!$B$3,$B186&lt;&gt;""),COUNTIFS($A$4:$A$503,管理簿!$B$3,$B$4:$B$503,"&lt;"&amp;$B186)+COUNTIFS($A$4:$A186,管理簿!$B$3,$B$4:$B186,$B186),"")</f>
        <v/>
      </c>
    </row>
    <row r="187">
      <c r="A187" s="12" t="n"/>
      <c r="B187" s="13" t="n"/>
      <c r="C187" s="14" t="n"/>
      <c r="D187" s="14" t="n"/>
      <c r="E187" s="14" t="n"/>
      <c r="F187" s="11" t="str">
        <f>IF(AND($A187&lt;&gt;"",$A187=管理簿!$B$3,$B187&lt;&gt;""),COUNTIFS($A$4:$A$503,管理簿!$B$3,$B$4:$B$503,"&lt;"&amp;$B187)+COUNTIFS($A$4:$A187,管理簿!$B$3,$B$4:$B187,$B187),"")</f>
        <v/>
      </c>
    </row>
    <row r="188">
      <c r="A188" s="12" t="n"/>
      <c r="B188" s="13" t="n"/>
      <c r="C188" s="14" t="n"/>
      <c r="D188" s="14" t="n"/>
      <c r="E188" s="14" t="n"/>
      <c r="F188" s="11" t="str">
        <f>IF(AND($A188&lt;&gt;"",$A188=管理簿!$B$3,$B188&lt;&gt;""),COUNTIFS($A$4:$A$503,管理簿!$B$3,$B$4:$B$503,"&lt;"&amp;$B188)+COUNTIFS($A$4:$A188,管理簿!$B$3,$B$4:$B188,$B188),"")</f>
        <v/>
      </c>
    </row>
    <row r="189">
      <c r="A189" s="12" t="n"/>
      <c r="B189" s="13" t="n"/>
      <c r="C189" s="14" t="n"/>
      <c r="D189" s="14" t="n"/>
      <c r="E189" s="14" t="n"/>
      <c r="F189" s="11" t="str">
        <f>IF(AND($A189&lt;&gt;"",$A189=管理簿!$B$3,$B189&lt;&gt;""),COUNTIFS($A$4:$A$503,管理簿!$B$3,$B$4:$B$503,"&lt;"&amp;$B189)+COUNTIFS($A$4:$A189,管理簿!$B$3,$B$4:$B189,$B189),"")</f>
        <v/>
      </c>
    </row>
    <row r="190">
      <c r="A190" s="12" t="n"/>
      <c r="B190" s="13" t="n"/>
      <c r="C190" s="14" t="n"/>
      <c r="D190" s="14" t="n"/>
      <c r="E190" s="14" t="n"/>
      <c r="F190" s="11" t="str">
        <f>IF(AND($A190&lt;&gt;"",$A190=管理簿!$B$3,$B190&lt;&gt;""),COUNTIFS($A$4:$A$503,管理簿!$B$3,$B$4:$B$503,"&lt;"&amp;$B190)+COUNTIFS($A$4:$A190,管理簿!$B$3,$B$4:$B190,$B190),"")</f>
        <v/>
      </c>
    </row>
    <row r="191">
      <c r="A191" s="12" t="n"/>
      <c r="B191" s="13" t="n"/>
      <c r="C191" s="14" t="n"/>
      <c r="D191" s="14" t="n"/>
      <c r="E191" s="14" t="n"/>
      <c r="F191" s="11" t="str">
        <f>IF(AND($A191&lt;&gt;"",$A191=管理簿!$B$3,$B191&lt;&gt;""),COUNTIFS($A$4:$A$503,管理簿!$B$3,$B$4:$B$503,"&lt;"&amp;$B191)+COUNTIFS($A$4:$A191,管理簿!$B$3,$B$4:$B191,$B191),"")</f>
        <v/>
      </c>
    </row>
    <row r="192">
      <c r="A192" s="12" t="n"/>
      <c r="B192" s="13" t="n"/>
      <c r="C192" s="14" t="n"/>
      <c r="D192" s="14" t="n"/>
      <c r="E192" s="14" t="n"/>
      <c r="F192" s="11" t="str">
        <f>IF(AND($A192&lt;&gt;"",$A192=管理簿!$B$3,$B192&lt;&gt;""),COUNTIFS($A$4:$A$503,管理簿!$B$3,$B$4:$B$503,"&lt;"&amp;$B192)+COUNTIFS($A$4:$A192,管理簿!$B$3,$B$4:$B192,$B192),"")</f>
        <v/>
      </c>
    </row>
    <row r="193">
      <c r="A193" s="12" t="n"/>
      <c r="B193" s="13" t="n"/>
      <c r="C193" s="14" t="n"/>
      <c r="D193" s="14" t="n"/>
      <c r="E193" s="14" t="n"/>
      <c r="F193" s="11" t="str">
        <f>IF(AND($A193&lt;&gt;"",$A193=管理簿!$B$3,$B193&lt;&gt;""),COUNTIFS($A$4:$A$503,管理簿!$B$3,$B$4:$B$503,"&lt;"&amp;$B193)+COUNTIFS($A$4:$A193,管理簿!$B$3,$B$4:$B193,$B193),"")</f>
        <v/>
      </c>
    </row>
    <row r="194">
      <c r="A194" s="12" t="n"/>
      <c r="B194" s="13" t="n"/>
      <c r="C194" s="14" t="n"/>
      <c r="D194" s="14" t="n"/>
      <c r="E194" s="14" t="n"/>
      <c r="F194" s="11" t="str">
        <f>IF(AND($A194&lt;&gt;"",$A194=管理簿!$B$3,$B194&lt;&gt;""),COUNTIFS($A$4:$A$503,管理簿!$B$3,$B$4:$B$503,"&lt;"&amp;$B194)+COUNTIFS($A$4:$A194,管理簿!$B$3,$B$4:$B194,$B194),"")</f>
        <v/>
      </c>
    </row>
    <row r="195">
      <c r="A195" s="12" t="n"/>
      <c r="B195" s="13" t="n"/>
      <c r="C195" s="14" t="n"/>
      <c r="D195" s="14" t="n"/>
      <c r="E195" s="14" t="n"/>
      <c r="F195" s="11" t="str">
        <f>IF(AND($A195&lt;&gt;"",$A195=管理簿!$B$3,$B195&lt;&gt;""),COUNTIFS($A$4:$A$503,管理簿!$B$3,$B$4:$B$503,"&lt;"&amp;$B195)+COUNTIFS($A$4:$A195,管理簿!$B$3,$B$4:$B195,$B195),"")</f>
        <v/>
      </c>
    </row>
    <row r="196">
      <c r="A196" s="12" t="n"/>
      <c r="B196" s="13" t="n"/>
      <c r="C196" s="14" t="n"/>
      <c r="D196" s="14" t="n"/>
      <c r="E196" s="14" t="n"/>
      <c r="F196" s="11" t="str">
        <f>IF(AND($A196&lt;&gt;"",$A196=管理簿!$B$3,$B196&lt;&gt;""),COUNTIFS($A$4:$A$503,管理簿!$B$3,$B$4:$B$503,"&lt;"&amp;$B196)+COUNTIFS($A$4:$A196,管理簿!$B$3,$B$4:$B196,$B196),"")</f>
        <v/>
      </c>
    </row>
    <row r="197">
      <c r="A197" s="12" t="n"/>
      <c r="B197" s="13" t="n"/>
      <c r="C197" s="14" t="n"/>
      <c r="D197" s="14" t="n"/>
      <c r="E197" s="14" t="n"/>
      <c r="F197" s="11" t="str">
        <f>IF(AND($A197&lt;&gt;"",$A197=管理簿!$B$3,$B197&lt;&gt;""),COUNTIFS($A$4:$A$503,管理簿!$B$3,$B$4:$B$503,"&lt;"&amp;$B197)+COUNTIFS($A$4:$A197,管理簿!$B$3,$B$4:$B197,$B197),"")</f>
        <v/>
      </c>
    </row>
    <row r="198">
      <c r="A198" s="12" t="n"/>
      <c r="B198" s="13" t="n"/>
      <c r="C198" s="14" t="n"/>
      <c r="D198" s="14" t="n"/>
      <c r="E198" s="14" t="n"/>
      <c r="F198" s="11" t="str">
        <f>IF(AND($A198&lt;&gt;"",$A198=管理簿!$B$3,$B198&lt;&gt;""),COUNTIFS($A$4:$A$503,管理簿!$B$3,$B$4:$B$503,"&lt;"&amp;$B198)+COUNTIFS($A$4:$A198,管理簿!$B$3,$B$4:$B198,$B198),"")</f>
        <v/>
      </c>
    </row>
    <row r="199">
      <c r="A199" s="12" t="n"/>
      <c r="B199" s="13" t="n"/>
      <c r="C199" s="14" t="n"/>
      <c r="D199" s="14" t="n"/>
      <c r="E199" s="14" t="n"/>
      <c r="F199" s="11" t="str">
        <f>IF(AND($A199&lt;&gt;"",$A199=管理簿!$B$3,$B199&lt;&gt;""),COUNTIFS($A$4:$A$503,管理簿!$B$3,$B$4:$B$503,"&lt;"&amp;$B199)+COUNTIFS($A$4:$A199,管理簿!$B$3,$B$4:$B199,$B199),"")</f>
        <v/>
      </c>
    </row>
    <row r="200">
      <c r="A200" s="12" t="n"/>
      <c r="B200" s="13" t="n"/>
      <c r="C200" s="14" t="n"/>
      <c r="D200" s="14" t="n"/>
      <c r="E200" s="14" t="n"/>
      <c r="F200" s="11" t="str">
        <f>IF(AND($A200&lt;&gt;"",$A200=管理簿!$B$3,$B200&lt;&gt;""),COUNTIFS($A$4:$A$503,管理簿!$B$3,$B$4:$B$503,"&lt;"&amp;$B200)+COUNTIFS($A$4:$A200,管理簿!$B$3,$B$4:$B200,$B200),"")</f>
        <v/>
      </c>
    </row>
    <row r="201">
      <c r="A201" s="12" t="n"/>
      <c r="B201" s="13" t="n"/>
      <c r="C201" s="14" t="n"/>
      <c r="D201" s="14" t="n"/>
      <c r="E201" s="14" t="n"/>
      <c r="F201" s="11" t="str">
        <f>IF(AND($A201&lt;&gt;"",$A201=管理簿!$B$3,$B201&lt;&gt;""),COUNTIFS($A$4:$A$503,管理簿!$B$3,$B$4:$B$503,"&lt;"&amp;$B201)+COUNTIFS($A$4:$A201,管理簿!$B$3,$B$4:$B201,$B201),"")</f>
        <v/>
      </c>
    </row>
    <row r="202">
      <c r="A202" s="12" t="n"/>
      <c r="B202" s="13" t="n"/>
      <c r="C202" s="14" t="n"/>
      <c r="D202" s="14" t="n"/>
      <c r="E202" s="14" t="n"/>
      <c r="F202" s="11" t="str">
        <f>IF(AND($A202&lt;&gt;"",$A202=管理簿!$B$3,$B202&lt;&gt;""),COUNTIFS($A$4:$A$503,管理簿!$B$3,$B$4:$B$503,"&lt;"&amp;$B202)+COUNTIFS($A$4:$A202,管理簿!$B$3,$B$4:$B202,$B202),"")</f>
        <v/>
      </c>
    </row>
    <row r="203">
      <c r="A203" s="12" t="n"/>
      <c r="B203" s="13" t="n"/>
      <c r="C203" s="14" t="n"/>
      <c r="D203" s="14" t="n"/>
      <c r="E203" s="14" t="n"/>
      <c r="F203" s="11" t="str">
        <f>IF(AND($A203&lt;&gt;"",$A203=管理簿!$B$3,$B203&lt;&gt;""),COUNTIFS($A$4:$A$503,管理簿!$B$3,$B$4:$B$503,"&lt;"&amp;$B203)+COUNTIFS($A$4:$A203,管理簿!$B$3,$B$4:$B203,$B203),"")</f>
        <v/>
      </c>
    </row>
    <row r="204">
      <c r="A204" s="12" t="n"/>
      <c r="B204" s="13" t="n"/>
      <c r="C204" s="14" t="n"/>
      <c r="D204" s="14" t="n"/>
      <c r="E204" s="14" t="n"/>
      <c r="F204" s="11" t="str">
        <f>IF(AND($A204&lt;&gt;"",$A204=管理簿!$B$3,$B204&lt;&gt;""),COUNTIFS($A$4:$A$503,管理簿!$B$3,$B$4:$B$503,"&lt;"&amp;$B204)+COUNTIFS($A$4:$A204,管理簿!$B$3,$B$4:$B204,$B204),"")</f>
        <v/>
      </c>
    </row>
    <row r="205">
      <c r="A205" s="12" t="n"/>
      <c r="B205" s="13" t="n"/>
      <c r="C205" s="14" t="n"/>
      <c r="D205" s="14" t="n"/>
      <c r="E205" s="14" t="n"/>
      <c r="F205" s="11" t="str">
        <f>IF(AND($A205&lt;&gt;"",$A205=管理簿!$B$3,$B205&lt;&gt;""),COUNTIFS($A$4:$A$503,管理簿!$B$3,$B$4:$B$503,"&lt;"&amp;$B205)+COUNTIFS($A$4:$A205,管理簿!$B$3,$B$4:$B205,$B205),"")</f>
        <v/>
      </c>
    </row>
    <row r="206">
      <c r="A206" s="12" t="n"/>
      <c r="B206" s="13" t="n"/>
      <c r="C206" s="14" t="n"/>
      <c r="D206" s="14" t="n"/>
      <c r="E206" s="14" t="n"/>
      <c r="F206" s="11" t="str">
        <f>IF(AND($A206&lt;&gt;"",$A206=管理簿!$B$3,$B206&lt;&gt;""),COUNTIFS($A$4:$A$503,管理簿!$B$3,$B$4:$B$503,"&lt;"&amp;$B206)+COUNTIFS($A$4:$A206,管理簿!$B$3,$B$4:$B206,$B206),"")</f>
        <v/>
      </c>
    </row>
    <row r="207">
      <c r="A207" s="12" t="n"/>
      <c r="B207" s="13" t="n"/>
      <c r="C207" s="14" t="n"/>
      <c r="D207" s="14" t="n"/>
      <c r="E207" s="14" t="n"/>
      <c r="F207" s="11" t="str">
        <f>IF(AND($A207&lt;&gt;"",$A207=管理簿!$B$3,$B207&lt;&gt;""),COUNTIFS($A$4:$A$503,管理簿!$B$3,$B$4:$B$503,"&lt;"&amp;$B207)+COUNTIFS($A$4:$A207,管理簿!$B$3,$B$4:$B207,$B207),"")</f>
        <v/>
      </c>
    </row>
    <row r="208">
      <c r="A208" s="12" t="n"/>
      <c r="B208" s="13" t="n"/>
      <c r="C208" s="14" t="n"/>
      <c r="D208" s="14" t="n"/>
      <c r="E208" s="14" t="n"/>
      <c r="F208" s="11" t="str">
        <f>IF(AND($A208&lt;&gt;"",$A208=管理簿!$B$3,$B208&lt;&gt;""),COUNTIFS($A$4:$A$503,管理簿!$B$3,$B$4:$B$503,"&lt;"&amp;$B208)+COUNTIFS($A$4:$A208,管理簿!$B$3,$B$4:$B208,$B208),"")</f>
        <v/>
      </c>
    </row>
    <row r="209">
      <c r="A209" s="12" t="n"/>
      <c r="B209" s="13" t="n"/>
      <c r="C209" s="14" t="n"/>
      <c r="D209" s="14" t="n"/>
      <c r="E209" s="14" t="n"/>
      <c r="F209" s="11" t="str">
        <f>IF(AND($A209&lt;&gt;"",$A209=管理簿!$B$3,$B209&lt;&gt;""),COUNTIFS($A$4:$A$503,管理簿!$B$3,$B$4:$B$503,"&lt;"&amp;$B209)+COUNTIFS($A$4:$A209,管理簿!$B$3,$B$4:$B209,$B209),"")</f>
        <v/>
      </c>
    </row>
    <row r="210">
      <c r="A210" s="12" t="n"/>
      <c r="B210" s="13" t="n"/>
      <c r="C210" s="14" t="n"/>
      <c r="D210" s="14" t="n"/>
      <c r="E210" s="14" t="n"/>
      <c r="F210" s="11" t="str">
        <f>IF(AND($A210&lt;&gt;"",$A210=管理簿!$B$3,$B210&lt;&gt;""),COUNTIFS($A$4:$A$503,管理簿!$B$3,$B$4:$B$503,"&lt;"&amp;$B210)+COUNTIFS($A$4:$A210,管理簿!$B$3,$B$4:$B210,$B210),"")</f>
        <v/>
      </c>
    </row>
    <row r="211">
      <c r="A211" s="12" t="n"/>
      <c r="B211" s="13" t="n"/>
      <c r="C211" s="14" t="n"/>
      <c r="D211" s="14" t="n"/>
      <c r="E211" s="14" t="n"/>
      <c r="F211" s="11" t="str">
        <f>IF(AND($A211&lt;&gt;"",$A211=管理簿!$B$3,$B211&lt;&gt;""),COUNTIFS($A$4:$A$503,管理簿!$B$3,$B$4:$B$503,"&lt;"&amp;$B211)+COUNTIFS($A$4:$A211,管理簿!$B$3,$B$4:$B211,$B211),"")</f>
        <v/>
      </c>
    </row>
    <row r="212">
      <c r="A212" s="12" t="n"/>
      <c r="B212" s="13" t="n"/>
      <c r="C212" s="14" t="n"/>
      <c r="D212" s="14" t="n"/>
      <c r="E212" s="14" t="n"/>
      <c r="F212" s="11" t="str">
        <f>IF(AND($A212&lt;&gt;"",$A212=管理簿!$B$3,$B212&lt;&gt;""),COUNTIFS($A$4:$A$503,管理簿!$B$3,$B$4:$B$503,"&lt;"&amp;$B212)+COUNTIFS($A$4:$A212,管理簿!$B$3,$B$4:$B212,$B212),"")</f>
        <v/>
      </c>
    </row>
    <row r="213">
      <c r="A213" s="12" t="n"/>
      <c r="B213" s="13" t="n"/>
      <c r="C213" s="14" t="n"/>
      <c r="D213" s="14" t="n"/>
      <c r="E213" s="14" t="n"/>
      <c r="F213" s="11" t="str">
        <f>IF(AND($A213&lt;&gt;"",$A213=管理簿!$B$3,$B213&lt;&gt;""),COUNTIFS($A$4:$A$503,管理簿!$B$3,$B$4:$B$503,"&lt;"&amp;$B213)+COUNTIFS($A$4:$A213,管理簿!$B$3,$B$4:$B213,$B213),"")</f>
        <v/>
      </c>
    </row>
    <row r="214">
      <c r="A214" s="12" t="n"/>
      <c r="B214" s="13" t="n"/>
      <c r="C214" s="14" t="n"/>
      <c r="D214" s="14" t="n"/>
      <c r="E214" s="14" t="n"/>
      <c r="F214" s="11" t="str">
        <f>IF(AND($A214&lt;&gt;"",$A214=管理簿!$B$3,$B214&lt;&gt;""),COUNTIFS($A$4:$A$503,管理簿!$B$3,$B$4:$B$503,"&lt;"&amp;$B214)+COUNTIFS($A$4:$A214,管理簿!$B$3,$B$4:$B214,$B214),"")</f>
        <v/>
      </c>
    </row>
    <row r="215">
      <c r="A215" s="12" t="n"/>
      <c r="B215" s="13" t="n"/>
      <c r="C215" s="14" t="n"/>
      <c r="D215" s="14" t="n"/>
      <c r="E215" s="14" t="n"/>
      <c r="F215" s="11" t="str">
        <f>IF(AND($A215&lt;&gt;"",$A215=管理簿!$B$3,$B215&lt;&gt;""),COUNTIFS($A$4:$A$503,管理簿!$B$3,$B$4:$B$503,"&lt;"&amp;$B215)+COUNTIFS($A$4:$A215,管理簿!$B$3,$B$4:$B215,$B215),"")</f>
        <v/>
      </c>
    </row>
    <row r="216">
      <c r="A216" s="12" t="n"/>
      <c r="B216" s="13" t="n"/>
      <c r="C216" s="14" t="n"/>
      <c r="D216" s="14" t="n"/>
      <c r="E216" s="14" t="n"/>
      <c r="F216" s="11" t="str">
        <f>IF(AND($A216&lt;&gt;"",$A216=管理簿!$B$3,$B216&lt;&gt;""),COUNTIFS($A$4:$A$503,管理簿!$B$3,$B$4:$B$503,"&lt;"&amp;$B216)+COUNTIFS($A$4:$A216,管理簿!$B$3,$B$4:$B216,$B216),"")</f>
        <v/>
      </c>
    </row>
    <row r="217">
      <c r="A217" s="12" t="n"/>
      <c r="B217" s="13" t="n"/>
      <c r="C217" s="14" t="n"/>
      <c r="D217" s="14" t="n"/>
      <c r="E217" s="14" t="n"/>
      <c r="F217" s="11" t="str">
        <f>IF(AND($A217&lt;&gt;"",$A217=管理簿!$B$3,$B217&lt;&gt;""),COUNTIFS($A$4:$A$503,管理簿!$B$3,$B$4:$B$503,"&lt;"&amp;$B217)+COUNTIFS($A$4:$A217,管理簿!$B$3,$B$4:$B217,$B217),"")</f>
        <v/>
      </c>
    </row>
    <row r="218">
      <c r="A218" s="12" t="n"/>
      <c r="B218" s="13" t="n"/>
      <c r="C218" s="14" t="n"/>
      <c r="D218" s="14" t="n"/>
      <c r="E218" s="14" t="n"/>
      <c r="F218" s="11" t="str">
        <f>IF(AND($A218&lt;&gt;"",$A218=管理簿!$B$3,$B218&lt;&gt;""),COUNTIFS($A$4:$A$503,管理簿!$B$3,$B$4:$B$503,"&lt;"&amp;$B218)+COUNTIFS($A$4:$A218,管理簿!$B$3,$B$4:$B218,$B218),"")</f>
        <v/>
      </c>
    </row>
    <row r="219">
      <c r="A219" s="12" t="n"/>
      <c r="B219" s="13" t="n"/>
      <c r="C219" s="14" t="n"/>
      <c r="D219" s="14" t="n"/>
      <c r="E219" s="14" t="n"/>
      <c r="F219" s="11" t="str">
        <f>IF(AND($A219&lt;&gt;"",$A219=管理簿!$B$3,$B219&lt;&gt;""),COUNTIFS($A$4:$A$503,管理簿!$B$3,$B$4:$B$503,"&lt;"&amp;$B219)+COUNTIFS($A$4:$A219,管理簿!$B$3,$B$4:$B219,$B219),"")</f>
        <v/>
      </c>
    </row>
    <row r="220">
      <c r="A220" s="12" t="n"/>
      <c r="B220" s="13" t="n"/>
      <c r="C220" s="14" t="n"/>
      <c r="D220" s="14" t="n"/>
      <c r="E220" s="14" t="n"/>
      <c r="F220" s="11" t="str">
        <f>IF(AND($A220&lt;&gt;"",$A220=管理簿!$B$3,$B220&lt;&gt;""),COUNTIFS($A$4:$A$503,管理簿!$B$3,$B$4:$B$503,"&lt;"&amp;$B220)+COUNTIFS($A$4:$A220,管理簿!$B$3,$B$4:$B220,$B220),"")</f>
        <v/>
      </c>
    </row>
    <row r="221">
      <c r="A221" s="12" t="n"/>
      <c r="B221" s="13" t="n"/>
      <c r="C221" s="14" t="n"/>
      <c r="D221" s="14" t="n"/>
      <c r="E221" s="14" t="n"/>
      <c r="F221" s="11" t="str">
        <f>IF(AND($A221&lt;&gt;"",$A221=管理簿!$B$3,$B221&lt;&gt;""),COUNTIFS($A$4:$A$503,管理簿!$B$3,$B$4:$B$503,"&lt;"&amp;$B221)+COUNTIFS($A$4:$A221,管理簿!$B$3,$B$4:$B221,$B221),"")</f>
        <v/>
      </c>
    </row>
    <row r="222">
      <c r="A222" s="12" t="n"/>
      <c r="B222" s="13" t="n"/>
      <c r="C222" s="14" t="n"/>
      <c r="D222" s="14" t="n"/>
      <c r="E222" s="14" t="n"/>
      <c r="F222" s="11" t="str">
        <f>IF(AND($A222&lt;&gt;"",$A222=管理簿!$B$3,$B222&lt;&gt;""),COUNTIFS($A$4:$A$503,管理簿!$B$3,$B$4:$B$503,"&lt;"&amp;$B222)+COUNTIFS($A$4:$A222,管理簿!$B$3,$B$4:$B222,$B222),"")</f>
        <v/>
      </c>
    </row>
    <row r="223">
      <c r="A223" s="12" t="n"/>
      <c r="B223" s="13" t="n"/>
      <c r="C223" s="14" t="n"/>
      <c r="D223" s="14" t="n"/>
      <c r="E223" s="14" t="n"/>
      <c r="F223" s="11" t="str">
        <f>IF(AND($A223&lt;&gt;"",$A223=管理簿!$B$3,$B223&lt;&gt;""),COUNTIFS($A$4:$A$503,管理簿!$B$3,$B$4:$B$503,"&lt;"&amp;$B223)+COUNTIFS($A$4:$A223,管理簿!$B$3,$B$4:$B223,$B223),"")</f>
        <v/>
      </c>
    </row>
    <row r="224">
      <c r="A224" s="12" t="n"/>
      <c r="B224" s="13" t="n"/>
      <c r="C224" s="14" t="n"/>
      <c r="D224" s="14" t="n"/>
      <c r="E224" s="14" t="n"/>
      <c r="F224" s="11" t="str">
        <f>IF(AND($A224&lt;&gt;"",$A224=管理簿!$B$3,$B224&lt;&gt;""),COUNTIFS($A$4:$A$503,管理簿!$B$3,$B$4:$B$503,"&lt;"&amp;$B224)+COUNTIFS($A$4:$A224,管理簿!$B$3,$B$4:$B224,$B224),"")</f>
        <v/>
      </c>
    </row>
    <row r="225">
      <c r="A225" s="12" t="n"/>
      <c r="B225" s="13" t="n"/>
      <c r="C225" s="14" t="n"/>
      <c r="D225" s="14" t="n"/>
      <c r="E225" s="14" t="n"/>
      <c r="F225" s="11" t="str">
        <f>IF(AND($A225&lt;&gt;"",$A225=管理簿!$B$3,$B225&lt;&gt;""),COUNTIFS($A$4:$A$503,管理簿!$B$3,$B$4:$B$503,"&lt;"&amp;$B225)+COUNTIFS($A$4:$A225,管理簿!$B$3,$B$4:$B225,$B225),"")</f>
        <v/>
      </c>
    </row>
    <row r="226">
      <c r="A226" s="12" t="n"/>
      <c r="B226" s="13" t="n"/>
      <c r="C226" s="14" t="n"/>
      <c r="D226" s="14" t="n"/>
      <c r="E226" s="14" t="n"/>
      <c r="F226" s="11" t="str">
        <f>IF(AND($A226&lt;&gt;"",$A226=管理簿!$B$3,$B226&lt;&gt;""),COUNTIFS($A$4:$A$503,管理簿!$B$3,$B$4:$B$503,"&lt;"&amp;$B226)+COUNTIFS($A$4:$A226,管理簿!$B$3,$B$4:$B226,$B226),"")</f>
        <v/>
      </c>
    </row>
    <row r="227">
      <c r="A227" s="12" t="n"/>
      <c r="B227" s="13" t="n"/>
      <c r="C227" s="14" t="n"/>
      <c r="D227" s="14" t="n"/>
      <c r="E227" s="14" t="n"/>
      <c r="F227" s="11" t="str">
        <f>IF(AND($A227&lt;&gt;"",$A227=管理簿!$B$3,$B227&lt;&gt;""),COUNTIFS($A$4:$A$503,管理簿!$B$3,$B$4:$B$503,"&lt;"&amp;$B227)+COUNTIFS($A$4:$A227,管理簿!$B$3,$B$4:$B227,$B227),"")</f>
        <v/>
      </c>
    </row>
    <row r="228">
      <c r="A228" s="12" t="n"/>
      <c r="B228" s="13" t="n"/>
      <c r="C228" s="14" t="n"/>
      <c r="D228" s="14" t="n"/>
      <c r="E228" s="14" t="n"/>
      <c r="F228" s="11" t="str">
        <f>IF(AND($A228&lt;&gt;"",$A228=管理簿!$B$3,$B228&lt;&gt;""),COUNTIFS($A$4:$A$503,管理簿!$B$3,$B$4:$B$503,"&lt;"&amp;$B228)+COUNTIFS($A$4:$A228,管理簿!$B$3,$B$4:$B228,$B228),"")</f>
        <v/>
      </c>
    </row>
    <row r="229">
      <c r="A229" s="12" t="n"/>
      <c r="B229" s="13" t="n"/>
      <c r="C229" s="14" t="n"/>
      <c r="D229" s="14" t="n"/>
      <c r="E229" s="14" t="n"/>
      <c r="F229" s="11" t="str">
        <f>IF(AND($A229&lt;&gt;"",$A229=管理簿!$B$3,$B229&lt;&gt;""),COUNTIFS($A$4:$A$503,管理簿!$B$3,$B$4:$B$503,"&lt;"&amp;$B229)+COUNTIFS($A$4:$A229,管理簿!$B$3,$B$4:$B229,$B229),"")</f>
        <v/>
      </c>
    </row>
    <row r="230">
      <c r="A230" s="12" t="n"/>
      <c r="B230" s="13" t="n"/>
      <c r="C230" s="14" t="n"/>
      <c r="D230" s="14" t="n"/>
      <c r="E230" s="14" t="n"/>
      <c r="F230" s="11" t="str">
        <f>IF(AND($A230&lt;&gt;"",$A230=管理簿!$B$3,$B230&lt;&gt;""),COUNTIFS($A$4:$A$503,管理簿!$B$3,$B$4:$B$503,"&lt;"&amp;$B230)+COUNTIFS($A$4:$A230,管理簿!$B$3,$B$4:$B230,$B230),"")</f>
        <v/>
      </c>
    </row>
    <row r="231">
      <c r="A231" s="12" t="n"/>
      <c r="B231" s="13" t="n"/>
      <c r="C231" s="14" t="n"/>
      <c r="D231" s="14" t="n"/>
      <c r="E231" s="14" t="n"/>
      <c r="F231" s="11" t="str">
        <f>IF(AND($A231&lt;&gt;"",$A231=管理簿!$B$3,$B231&lt;&gt;""),COUNTIFS($A$4:$A$503,管理簿!$B$3,$B$4:$B$503,"&lt;"&amp;$B231)+COUNTIFS($A$4:$A231,管理簿!$B$3,$B$4:$B231,$B231),"")</f>
        <v/>
      </c>
    </row>
    <row r="232">
      <c r="A232" s="12" t="n"/>
      <c r="B232" s="13" t="n"/>
      <c r="C232" s="14" t="n"/>
      <c r="D232" s="14" t="n"/>
      <c r="E232" s="14" t="n"/>
      <c r="F232" s="11" t="str">
        <f>IF(AND($A232&lt;&gt;"",$A232=管理簿!$B$3,$B232&lt;&gt;""),COUNTIFS($A$4:$A$503,管理簿!$B$3,$B$4:$B$503,"&lt;"&amp;$B232)+COUNTIFS($A$4:$A232,管理簿!$B$3,$B$4:$B232,$B232),"")</f>
        <v/>
      </c>
    </row>
    <row r="233">
      <c r="A233" s="12" t="n"/>
      <c r="B233" s="13" t="n"/>
      <c r="C233" s="14" t="n"/>
      <c r="D233" s="14" t="n"/>
      <c r="E233" s="14" t="n"/>
      <c r="F233" s="11" t="str">
        <f>IF(AND($A233&lt;&gt;"",$A233=管理簿!$B$3,$B233&lt;&gt;""),COUNTIFS($A$4:$A$503,管理簿!$B$3,$B$4:$B$503,"&lt;"&amp;$B233)+COUNTIFS($A$4:$A233,管理簿!$B$3,$B$4:$B233,$B233),"")</f>
        <v/>
      </c>
    </row>
    <row r="234">
      <c r="A234" s="12" t="n"/>
      <c r="B234" s="13" t="n"/>
      <c r="C234" s="14" t="n"/>
      <c r="D234" s="14" t="n"/>
      <c r="E234" s="14" t="n"/>
      <c r="F234" s="11" t="str">
        <f>IF(AND($A234&lt;&gt;"",$A234=管理簿!$B$3,$B234&lt;&gt;""),COUNTIFS($A$4:$A$503,管理簿!$B$3,$B$4:$B$503,"&lt;"&amp;$B234)+COUNTIFS($A$4:$A234,管理簿!$B$3,$B$4:$B234,$B234),"")</f>
        <v/>
      </c>
    </row>
    <row r="235">
      <c r="A235" s="12" t="n"/>
      <c r="B235" s="13" t="n"/>
      <c r="C235" s="14" t="n"/>
      <c r="D235" s="14" t="n"/>
      <c r="E235" s="14" t="n"/>
      <c r="F235" s="11" t="str">
        <f>IF(AND($A235&lt;&gt;"",$A235=管理簿!$B$3,$B235&lt;&gt;""),COUNTIFS($A$4:$A$503,管理簿!$B$3,$B$4:$B$503,"&lt;"&amp;$B235)+COUNTIFS($A$4:$A235,管理簿!$B$3,$B$4:$B235,$B235),"")</f>
        <v/>
      </c>
    </row>
    <row r="236">
      <c r="A236" s="12" t="n"/>
      <c r="B236" s="13" t="n"/>
      <c r="C236" s="14" t="n"/>
      <c r="D236" s="14" t="n"/>
      <c r="E236" s="14" t="n"/>
      <c r="F236" s="11" t="str">
        <f>IF(AND($A236&lt;&gt;"",$A236=管理簿!$B$3,$B236&lt;&gt;""),COUNTIFS($A$4:$A$503,管理簿!$B$3,$B$4:$B$503,"&lt;"&amp;$B236)+COUNTIFS($A$4:$A236,管理簿!$B$3,$B$4:$B236,$B236),"")</f>
        <v/>
      </c>
    </row>
    <row r="237">
      <c r="A237" s="12" t="n"/>
      <c r="B237" s="13" t="n"/>
      <c r="C237" s="14" t="n"/>
      <c r="D237" s="14" t="n"/>
      <c r="E237" s="14" t="n"/>
      <c r="F237" s="11" t="str">
        <f>IF(AND($A237&lt;&gt;"",$A237=管理簿!$B$3,$B237&lt;&gt;""),COUNTIFS($A$4:$A$503,管理簿!$B$3,$B$4:$B$503,"&lt;"&amp;$B237)+COUNTIFS($A$4:$A237,管理簿!$B$3,$B$4:$B237,$B237),"")</f>
        <v/>
      </c>
    </row>
    <row r="238">
      <c r="A238" s="12" t="n"/>
      <c r="B238" s="13" t="n"/>
      <c r="C238" s="14" t="n"/>
      <c r="D238" s="14" t="n"/>
      <c r="E238" s="14" t="n"/>
      <c r="F238" s="11" t="str">
        <f>IF(AND($A238&lt;&gt;"",$A238=管理簿!$B$3,$B238&lt;&gt;""),COUNTIFS($A$4:$A$503,管理簿!$B$3,$B$4:$B$503,"&lt;"&amp;$B238)+COUNTIFS($A$4:$A238,管理簿!$B$3,$B$4:$B238,$B238),"")</f>
        <v/>
      </c>
    </row>
    <row r="239">
      <c r="A239" s="12" t="n"/>
      <c r="B239" s="13" t="n"/>
      <c r="C239" s="14" t="n"/>
      <c r="D239" s="14" t="n"/>
      <c r="E239" s="14" t="n"/>
      <c r="F239" s="11" t="str">
        <f>IF(AND($A239&lt;&gt;"",$A239=管理簿!$B$3,$B239&lt;&gt;""),COUNTIFS($A$4:$A$503,管理簿!$B$3,$B$4:$B$503,"&lt;"&amp;$B239)+COUNTIFS($A$4:$A239,管理簿!$B$3,$B$4:$B239,$B239),"")</f>
        <v/>
      </c>
    </row>
    <row r="240">
      <c r="A240" s="12" t="n"/>
      <c r="B240" s="13" t="n"/>
      <c r="C240" s="14" t="n"/>
      <c r="D240" s="14" t="n"/>
      <c r="E240" s="14" t="n"/>
      <c r="F240" s="11" t="str">
        <f>IF(AND($A240&lt;&gt;"",$A240=管理簿!$B$3,$B240&lt;&gt;""),COUNTIFS($A$4:$A$503,管理簿!$B$3,$B$4:$B$503,"&lt;"&amp;$B240)+COUNTIFS($A$4:$A240,管理簿!$B$3,$B$4:$B240,$B240),"")</f>
        <v/>
      </c>
    </row>
    <row r="241">
      <c r="A241" s="12" t="n"/>
      <c r="B241" s="13" t="n"/>
      <c r="C241" s="14" t="n"/>
      <c r="D241" s="14" t="n"/>
      <c r="E241" s="14" t="n"/>
      <c r="F241" s="11" t="str">
        <f>IF(AND($A241&lt;&gt;"",$A241=管理簿!$B$3,$B241&lt;&gt;""),COUNTIFS($A$4:$A$503,管理簿!$B$3,$B$4:$B$503,"&lt;"&amp;$B241)+COUNTIFS($A$4:$A241,管理簿!$B$3,$B$4:$B241,$B241),"")</f>
        <v/>
      </c>
    </row>
    <row r="242">
      <c r="A242" s="12" t="n"/>
      <c r="B242" s="13" t="n"/>
      <c r="C242" s="14" t="n"/>
      <c r="D242" s="14" t="n"/>
      <c r="E242" s="14" t="n"/>
      <c r="F242" s="11" t="str">
        <f>IF(AND($A242&lt;&gt;"",$A242=管理簿!$B$3,$B242&lt;&gt;""),COUNTIFS($A$4:$A$503,管理簿!$B$3,$B$4:$B$503,"&lt;"&amp;$B242)+COUNTIFS($A$4:$A242,管理簿!$B$3,$B$4:$B242,$B242),"")</f>
        <v/>
      </c>
    </row>
    <row r="243">
      <c r="A243" s="12" t="n"/>
      <c r="B243" s="13" t="n"/>
      <c r="C243" s="14" t="n"/>
      <c r="D243" s="14" t="n"/>
      <c r="E243" s="14" t="n"/>
      <c r="F243" s="11" t="str">
        <f>IF(AND($A243&lt;&gt;"",$A243=管理簿!$B$3,$B243&lt;&gt;""),COUNTIFS($A$4:$A$503,管理簿!$B$3,$B$4:$B$503,"&lt;"&amp;$B243)+COUNTIFS($A$4:$A243,管理簿!$B$3,$B$4:$B243,$B243),"")</f>
        <v/>
      </c>
    </row>
    <row r="244">
      <c r="A244" s="12" t="n"/>
      <c r="B244" s="13" t="n"/>
      <c r="C244" s="14" t="n"/>
      <c r="D244" s="14" t="n"/>
      <c r="E244" s="14" t="n"/>
      <c r="F244" s="11" t="str">
        <f>IF(AND($A244&lt;&gt;"",$A244=管理簿!$B$3,$B244&lt;&gt;""),COUNTIFS($A$4:$A$503,管理簿!$B$3,$B$4:$B$503,"&lt;"&amp;$B244)+COUNTIFS($A$4:$A244,管理簿!$B$3,$B$4:$B244,$B244),"")</f>
        <v/>
      </c>
    </row>
    <row r="245">
      <c r="A245" s="12" t="n"/>
      <c r="B245" s="13" t="n"/>
      <c r="C245" s="14" t="n"/>
      <c r="D245" s="14" t="n"/>
      <c r="E245" s="14" t="n"/>
      <c r="F245" s="11" t="str">
        <f>IF(AND($A245&lt;&gt;"",$A245=管理簿!$B$3,$B245&lt;&gt;""),COUNTIFS($A$4:$A$503,管理簿!$B$3,$B$4:$B$503,"&lt;"&amp;$B245)+COUNTIFS($A$4:$A245,管理簿!$B$3,$B$4:$B245,$B245),"")</f>
        <v/>
      </c>
    </row>
    <row r="246">
      <c r="A246" s="12" t="n"/>
      <c r="B246" s="13" t="n"/>
      <c r="C246" s="14" t="n"/>
      <c r="D246" s="14" t="n"/>
      <c r="E246" s="14" t="n"/>
      <c r="F246" s="11" t="str">
        <f>IF(AND($A246&lt;&gt;"",$A246=管理簿!$B$3,$B246&lt;&gt;""),COUNTIFS($A$4:$A$503,管理簿!$B$3,$B$4:$B$503,"&lt;"&amp;$B246)+COUNTIFS($A$4:$A246,管理簿!$B$3,$B$4:$B246,$B246),"")</f>
        <v/>
      </c>
    </row>
    <row r="247">
      <c r="A247" s="12" t="n"/>
      <c r="B247" s="13" t="n"/>
      <c r="C247" s="14" t="n"/>
      <c r="D247" s="14" t="n"/>
      <c r="E247" s="14" t="n"/>
      <c r="F247" s="11" t="str">
        <f>IF(AND($A247&lt;&gt;"",$A247=管理簿!$B$3,$B247&lt;&gt;""),COUNTIFS($A$4:$A$503,管理簿!$B$3,$B$4:$B$503,"&lt;"&amp;$B247)+COUNTIFS($A$4:$A247,管理簿!$B$3,$B$4:$B247,$B247),"")</f>
        <v/>
      </c>
    </row>
    <row r="248">
      <c r="A248" s="12" t="n"/>
      <c r="B248" s="13" t="n"/>
      <c r="C248" s="14" t="n"/>
      <c r="D248" s="14" t="n"/>
      <c r="E248" s="14" t="n"/>
      <c r="F248" s="11" t="str">
        <f>IF(AND($A248&lt;&gt;"",$A248=管理簿!$B$3,$B248&lt;&gt;""),COUNTIFS($A$4:$A$503,管理簿!$B$3,$B$4:$B$503,"&lt;"&amp;$B248)+COUNTIFS($A$4:$A248,管理簿!$B$3,$B$4:$B248,$B248),"")</f>
        <v/>
      </c>
    </row>
    <row r="249">
      <c r="A249" s="12" t="n"/>
      <c r="B249" s="13" t="n"/>
      <c r="C249" s="14" t="n"/>
      <c r="D249" s="14" t="n"/>
      <c r="E249" s="14" t="n"/>
      <c r="F249" s="11" t="str">
        <f>IF(AND($A249&lt;&gt;"",$A249=管理簿!$B$3,$B249&lt;&gt;""),COUNTIFS($A$4:$A$503,管理簿!$B$3,$B$4:$B$503,"&lt;"&amp;$B249)+COUNTIFS($A$4:$A249,管理簿!$B$3,$B$4:$B249,$B249),"")</f>
        <v/>
      </c>
    </row>
    <row r="250">
      <c r="A250" s="12" t="n"/>
      <c r="B250" s="13" t="n"/>
      <c r="C250" s="14" t="n"/>
      <c r="D250" s="14" t="n"/>
      <c r="E250" s="14" t="n"/>
      <c r="F250" s="11" t="str">
        <f>IF(AND($A250&lt;&gt;"",$A250=管理簿!$B$3,$B250&lt;&gt;""),COUNTIFS($A$4:$A$503,管理簿!$B$3,$B$4:$B$503,"&lt;"&amp;$B250)+COUNTIFS($A$4:$A250,管理簿!$B$3,$B$4:$B250,$B250),"")</f>
        <v/>
      </c>
    </row>
    <row r="251">
      <c r="A251" s="12" t="n"/>
      <c r="B251" s="13" t="n"/>
      <c r="C251" s="14" t="n"/>
      <c r="D251" s="14" t="n"/>
      <c r="E251" s="14" t="n"/>
      <c r="F251" s="11" t="str">
        <f>IF(AND($A251&lt;&gt;"",$A251=管理簿!$B$3,$B251&lt;&gt;""),COUNTIFS($A$4:$A$503,管理簿!$B$3,$B$4:$B$503,"&lt;"&amp;$B251)+COUNTIFS($A$4:$A251,管理簿!$B$3,$B$4:$B251,$B251),"")</f>
        <v/>
      </c>
    </row>
    <row r="252">
      <c r="A252" s="12" t="n"/>
      <c r="B252" s="13" t="n"/>
      <c r="C252" s="14" t="n"/>
      <c r="D252" s="14" t="n"/>
      <c r="E252" s="14" t="n"/>
      <c r="F252" s="11" t="str">
        <f>IF(AND($A252&lt;&gt;"",$A252=管理簿!$B$3,$B252&lt;&gt;""),COUNTIFS($A$4:$A$503,管理簿!$B$3,$B$4:$B$503,"&lt;"&amp;$B252)+COUNTIFS($A$4:$A252,管理簿!$B$3,$B$4:$B252,$B252),"")</f>
        <v/>
      </c>
    </row>
    <row r="253">
      <c r="A253" s="12" t="n"/>
      <c r="B253" s="13" t="n"/>
      <c r="C253" s="14" t="n"/>
      <c r="D253" s="14" t="n"/>
      <c r="E253" s="14" t="n"/>
      <c r="F253" s="11" t="str">
        <f>IF(AND($A253&lt;&gt;"",$A253=管理簿!$B$3,$B253&lt;&gt;""),COUNTIFS($A$4:$A$503,管理簿!$B$3,$B$4:$B$503,"&lt;"&amp;$B253)+COUNTIFS($A$4:$A253,管理簿!$B$3,$B$4:$B253,$B253),"")</f>
        <v/>
      </c>
    </row>
    <row r="254">
      <c r="A254" s="12" t="n"/>
      <c r="B254" s="13" t="n"/>
      <c r="C254" s="14" t="n"/>
      <c r="D254" s="14" t="n"/>
      <c r="E254" s="14" t="n"/>
      <c r="F254" s="11" t="str">
        <f>IF(AND($A254&lt;&gt;"",$A254=管理簿!$B$3,$B254&lt;&gt;""),COUNTIFS($A$4:$A$503,管理簿!$B$3,$B$4:$B$503,"&lt;"&amp;$B254)+COUNTIFS($A$4:$A254,管理簿!$B$3,$B$4:$B254,$B254),"")</f>
        <v/>
      </c>
    </row>
    <row r="255">
      <c r="A255" s="12" t="n"/>
      <c r="B255" s="13" t="n"/>
      <c r="C255" s="14" t="n"/>
      <c r="D255" s="14" t="n"/>
      <c r="E255" s="14" t="n"/>
      <c r="F255" s="11" t="str">
        <f>IF(AND($A255&lt;&gt;"",$A255=管理簿!$B$3,$B255&lt;&gt;""),COUNTIFS($A$4:$A$503,管理簿!$B$3,$B$4:$B$503,"&lt;"&amp;$B255)+COUNTIFS($A$4:$A255,管理簿!$B$3,$B$4:$B255,$B255),"")</f>
        <v/>
      </c>
    </row>
    <row r="256">
      <c r="A256" s="12" t="n"/>
      <c r="B256" s="13" t="n"/>
      <c r="C256" s="14" t="n"/>
      <c r="D256" s="14" t="n"/>
      <c r="E256" s="14" t="n"/>
      <c r="F256" s="11" t="str">
        <f>IF(AND($A256&lt;&gt;"",$A256=管理簿!$B$3,$B256&lt;&gt;""),COUNTIFS($A$4:$A$503,管理簿!$B$3,$B$4:$B$503,"&lt;"&amp;$B256)+COUNTIFS($A$4:$A256,管理簿!$B$3,$B$4:$B256,$B256),"")</f>
        <v/>
      </c>
    </row>
    <row r="257">
      <c r="A257" s="12" t="n"/>
      <c r="B257" s="13" t="n"/>
      <c r="C257" s="14" t="n"/>
      <c r="D257" s="14" t="n"/>
      <c r="E257" s="14" t="n"/>
      <c r="F257" s="11" t="str">
        <f>IF(AND($A257&lt;&gt;"",$A257=管理簿!$B$3,$B257&lt;&gt;""),COUNTIFS($A$4:$A$503,管理簿!$B$3,$B$4:$B$503,"&lt;"&amp;$B257)+COUNTIFS($A$4:$A257,管理簿!$B$3,$B$4:$B257,$B257),"")</f>
        <v/>
      </c>
    </row>
    <row r="258">
      <c r="A258" s="12" t="n"/>
      <c r="B258" s="13" t="n"/>
      <c r="C258" s="14" t="n"/>
      <c r="D258" s="14" t="n"/>
      <c r="E258" s="14" t="n"/>
      <c r="F258" s="11" t="str">
        <f>IF(AND($A258&lt;&gt;"",$A258=管理簿!$B$3,$B258&lt;&gt;""),COUNTIFS($A$4:$A$503,管理簿!$B$3,$B$4:$B$503,"&lt;"&amp;$B258)+COUNTIFS($A$4:$A258,管理簿!$B$3,$B$4:$B258,$B258),"")</f>
        <v/>
      </c>
    </row>
    <row r="259">
      <c r="A259" s="12" t="n"/>
      <c r="B259" s="13" t="n"/>
      <c r="C259" s="14" t="n"/>
      <c r="D259" s="14" t="n"/>
      <c r="E259" s="14" t="n"/>
      <c r="F259" s="11" t="str">
        <f>IF(AND($A259&lt;&gt;"",$A259=管理簿!$B$3,$B259&lt;&gt;""),COUNTIFS($A$4:$A$503,管理簿!$B$3,$B$4:$B$503,"&lt;"&amp;$B259)+COUNTIFS($A$4:$A259,管理簿!$B$3,$B$4:$B259,$B259),"")</f>
        <v/>
      </c>
    </row>
    <row r="260">
      <c r="A260" s="12" t="n"/>
      <c r="B260" s="13" t="n"/>
      <c r="C260" s="14" t="n"/>
      <c r="D260" s="14" t="n"/>
      <c r="E260" s="14" t="n"/>
      <c r="F260" s="11" t="str">
        <f>IF(AND($A260&lt;&gt;"",$A260=管理簿!$B$3,$B260&lt;&gt;""),COUNTIFS($A$4:$A$503,管理簿!$B$3,$B$4:$B$503,"&lt;"&amp;$B260)+COUNTIFS($A$4:$A260,管理簿!$B$3,$B$4:$B260,$B260),"")</f>
        <v/>
      </c>
    </row>
    <row r="261">
      <c r="A261" s="12" t="n"/>
      <c r="B261" s="13" t="n"/>
      <c r="C261" s="14" t="n"/>
      <c r="D261" s="14" t="n"/>
      <c r="E261" s="14" t="n"/>
      <c r="F261" s="11" t="str">
        <f>IF(AND($A261&lt;&gt;"",$A261=管理簿!$B$3,$B261&lt;&gt;""),COUNTIFS($A$4:$A$503,管理簿!$B$3,$B$4:$B$503,"&lt;"&amp;$B261)+COUNTIFS($A$4:$A261,管理簿!$B$3,$B$4:$B261,$B261),"")</f>
        <v/>
      </c>
    </row>
    <row r="262">
      <c r="A262" s="12" t="n"/>
      <c r="B262" s="13" t="n"/>
      <c r="C262" s="14" t="n"/>
      <c r="D262" s="14" t="n"/>
      <c r="E262" s="14" t="n"/>
      <c r="F262" s="11" t="str">
        <f>IF(AND($A262&lt;&gt;"",$A262=管理簿!$B$3,$B262&lt;&gt;""),COUNTIFS($A$4:$A$503,管理簿!$B$3,$B$4:$B$503,"&lt;"&amp;$B262)+COUNTIFS($A$4:$A262,管理簿!$B$3,$B$4:$B262,$B262),"")</f>
        <v/>
      </c>
    </row>
    <row r="263">
      <c r="A263" s="12" t="n"/>
      <c r="B263" s="13" t="n"/>
      <c r="C263" s="14" t="n"/>
      <c r="D263" s="14" t="n"/>
      <c r="E263" s="14" t="n"/>
      <c r="F263" s="11" t="str">
        <f>IF(AND($A263&lt;&gt;"",$A263=管理簿!$B$3,$B263&lt;&gt;""),COUNTIFS($A$4:$A$503,管理簿!$B$3,$B$4:$B$503,"&lt;"&amp;$B263)+COUNTIFS($A$4:$A263,管理簿!$B$3,$B$4:$B263,$B263),"")</f>
        <v/>
      </c>
    </row>
    <row r="264">
      <c r="A264" s="12" t="n"/>
      <c r="B264" s="13" t="n"/>
      <c r="C264" s="14" t="n"/>
      <c r="D264" s="14" t="n"/>
      <c r="E264" s="14" t="n"/>
      <c r="F264" s="11" t="str">
        <f>IF(AND($A264&lt;&gt;"",$A264=管理簿!$B$3,$B264&lt;&gt;""),COUNTIFS($A$4:$A$503,管理簿!$B$3,$B$4:$B$503,"&lt;"&amp;$B264)+COUNTIFS($A$4:$A264,管理簿!$B$3,$B$4:$B264,$B264),"")</f>
        <v/>
      </c>
    </row>
    <row r="265">
      <c r="A265" s="12" t="n"/>
      <c r="B265" s="13" t="n"/>
      <c r="C265" s="14" t="n"/>
      <c r="D265" s="14" t="n"/>
      <c r="E265" s="14" t="n"/>
      <c r="F265" s="11" t="str">
        <f>IF(AND($A265&lt;&gt;"",$A265=管理簿!$B$3,$B265&lt;&gt;""),COUNTIFS($A$4:$A$503,管理簿!$B$3,$B$4:$B$503,"&lt;"&amp;$B265)+COUNTIFS($A$4:$A265,管理簿!$B$3,$B$4:$B265,$B265),"")</f>
        <v/>
      </c>
    </row>
    <row r="266">
      <c r="A266" s="12" t="n"/>
      <c r="B266" s="13" t="n"/>
      <c r="C266" s="14" t="n"/>
      <c r="D266" s="14" t="n"/>
      <c r="E266" s="14" t="n"/>
      <c r="F266" s="11" t="str">
        <f>IF(AND($A266&lt;&gt;"",$A266=管理簿!$B$3,$B266&lt;&gt;""),COUNTIFS($A$4:$A$503,管理簿!$B$3,$B$4:$B$503,"&lt;"&amp;$B266)+COUNTIFS($A$4:$A266,管理簿!$B$3,$B$4:$B266,$B266),"")</f>
        <v/>
      </c>
    </row>
    <row r="267">
      <c r="A267" s="12" t="n"/>
      <c r="B267" s="13" t="n"/>
      <c r="C267" s="14" t="n"/>
      <c r="D267" s="14" t="n"/>
      <c r="E267" s="14" t="n"/>
      <c r="F267" s="11" t="str">
        <f>IF(AND($A267&lt;&gt;"",$A267=管理簿!$B$3,$B267&lt;&gt;""),COUNTIFS($A$4:$A$503,管理簿!$B$3,$B$4:$B$503,"&lt;"&amp;$B267)+COUNTIFS($A$4:$A267,管理簿!$B$3,$B$4:$B267,$B267),"")</f>
        <v/>
      </c>
    </row>
    <row r="268">
      <c r="A268" s="12" t="n"/>
      <c r="B268" s="13" t="n"/>
      <c r="C268" s="14" t="n"/>
      <c r="D268" s="14" t="n"/>
      <c r="E268" s="14" t="n"/>
      <c r="F268" s="11" t="str">
        <f>IF(AND($A268&lt;&gt;"",$A268=管理簿!$B$3,$B268&lt;&gt;""),COUNTIFS($A$4:$A$503,管理簿!$B$3,$B$4:$B$503,"&lt;"&amp;$B268)+COUNTIFS($A$4:$A268,管理簿!$B$3,$B$4:$B268,$B268),"")</f>
        <v/>
      </c>
    </row>
    <row r="269">
      <c r="A269" s="12" t="n"/>
      <c r="B269" s="13" t="n"/>
      <c r="C269" s="14" t="n"/>
      <c r="D269" s="14" t="n"/>
      <c r="E269" s="14" t="n"/>
      <c r="F269" s="11" t="str">
        <f>IF(AND($A269&lt;&gt;"",$A269=管理簿!$B$3,$B269&lt;&gt;""),COUNTIFS($A$4:$A$503,管理簿!$B$3,$B$4:$B$503,"&lt;"&amp;$B269)+COUNTIFS($A$4:$A269,管理簿!$B$3,$B$4:$B269,$B269),"")</f>
        <v/>
      </c>
    </row>
    <row r="270">
      <c r="A270" s="12" t="n"/>
      <c r="B270" s="13" t="n"/>
      <c r="C270" s="14" t="n"/>
      <c r="D270" s="14" t="n"/>
      <c r="E270" s="14" t="n"/>
      <c r="F270" s="11" t="str">
        <f>IF(AND($A270&lt;&gt;"",$A270=管理簿!$B$3,$B270&lt;&gt;""),COUNTIFS($A$4:$A$503,管理簿!$B$3,$B$4:$B$503,"&lt;"&amp;$B270)+COUNTIFS($A$4:$A270,管理簿!$B$3,$B$4:$B270,$B270),"")</f>
        <v/>
      </c>
    </row>
    <row r="271">
      <c r="A271" s="12" t="n"/>
      <c r="B271" s="13" t="n"/>
      <c r="C271" s="14" t="n"/>
      <c r="D271" s="14" t="n"/>
      <c r="E271" s="14" t="n"/>
      <c r="F271" s="11" t="str">
        <f>IF(AND($A271&lt;&gt;"",$A271=管理簿!$B$3,$B271&lt;&gt;""),COUNTIFS($A$4:$A$503,管理簿!$B$3,$B$4:$B$503,"&lt;"&amp;$B271)+COUNTIFS($A$4:$A271,管理簿!$B$3,$B$4:$B271,$B271),"")</f>
        <v/>
      </c>
    </row>
    <row r="272">
      <c r="A272" s="12" t="n"/>
      <c r="B272" s="13" t="n"/>
      <c r="C272" s="14" t="n"/>
      <c r="D272" s="14" t="n"/>
      <c r="E272" s="14" t="n"/>
      <c r="F272" s="11" t="str">
        <f>IF(AND($A272&lt;&gt;"",$A272=管理簿!$B$3,$B272&lt;&gt;""),COUNTIFS($A$4:$A$503,管理簿!$B$3,$B$4:$B$503,"&lt;"&amp;$B272)+COUNTIFS($A$4:$A272,管理簿!$B$3,$B$4:$B272,$B272),"")</f>
        <v/>
      </c>
    </row>
    <row r="273">
      <c r="A273" s="12" t="n"/>
      <c r="B273" s="13" t="n"/>
      <c r="C273" s="14" t="n"/>
      <c r="D273" s="14" t="n"/>
      <c r="E273" s="14" t="n"/>
      <c r="F273" s="11" t="str">
        <f>IF(AND($A273&lt;&gt;"",$A273=管理簿!$B$3,$B273&lt;&gt;""),COUNTIFS($A$4:$A$503,管理簿!$B$3,$B$4:$B$503,"&lt;"&amp;$B273)+COUNTIFS($A$4:$A273,管理簿!$B$3,$B$4:$B273,$B273),"")</f>
        <v/>
      </c>
    </row>
    <row r="274">
      <c r="A274" s="12" t="n"/>
      <c r="B274" s="13" t="n"/>
      <c r="C274" s="14" t="n"/>
      <c r="D274" s="14" t="n"/>
      <c r="E274" s="14" t="n"/>
      <c r="F274" s="11" t="str">
        <f>IF(AND($A274&lt;&gt;"",$A274=管理簿!$B$3,$B274&lt;&gt;""),COUNTIFS($A$4:$A$503,管理簿!$B$3,$B$4:$B$503,"&lt;"&amp;$B274)+COUNTIFS($A$4:$A274,管理簿!$B$3,$B$4:$B274,$B274),"")</f>
        <v/>
      </c>
    </row>
    <row r="275">
      <c r="A275" s="12" t="n"/>
      <c r="B275" s="13" t="n"/>
      <c r="C275" s="14" t="n"/>
      <c r="D275" s="14" t="n"/>
      <c r="E275" s="14" t="n"/>
      <c r="F275" s="11" t="str">
        <f>IF(AND($A275&lt;&gt;"",$A275=管理簿!$B$3,$B275&lt;&gt;""),COUNTIFS($A$4:$A$503,管理簿!$B$3,$B$4:$B$503,"&lt;"&amp;$B275)+COUNTIFS($A$4:$A275,管理簿!$B$3,$B$4:$B275,$B275),"")</f>
        <v/>
      </c>
    </row>
    <row r="276">
      <c r="A276" s="12" t="n"/>
      <c r="B276" s="13" t="n"/>
      <c r="C276" s="14" t="n"/>
      <c r="D276" s="14" t="n"/>
      <c r="E276" s="14" t="n"/>
      <c r="F276" s="11" t="str">
        <f>IF(AND($A276&lt;&gt;"",$A276=管理簿!$B$3,$B276&lt;&gt;""),COUNTIFS($A$4:$A$503,管理簿!$B$3,$B$4:$B$503,"&lt;"&amp;$B276)+COUNTIFS($A$4:$A276,管理簿!$B$3,$B$4:$B276,$B276),"")</f>
        <v/>
      </c>
    </row>
    <row r="277">
      <c r="A277" s="12" t="n"/>
      <c r="B277" s="13" t="n"/>
      <c r="C277" s="14" t="n"/>
      <c r="D277" s="14" t="n"/>
      <c r="E277" s="14" t="n"/>
      <c r="F277" s="11" t="str">
        <f>IF(AND($A277&lt;&gt;"",$A277=管理簿!$B$3,$B277&lt;&gt;""),COUNTIFS($A$4:$A$503,管理簿!$B$3,$B$4:$B$503,"&lt;"&amp;$B277)+COUNTIFS($A$4:$A277,管理簿!$B$3,$B$4:$B277,$B277),"")</f>
        <v/>
      </c>
    </row>
    <row r="278">
      <c r="A278" s="12" t="n"/>
      <c r="B278" s="13" t="n"/>
      <c r="C278" s="14" t="n"/>
      <c r="D278" s="14" t="n"/>
      <c r="E278" s="14" t="n"/>
      <c r="F278" s="11" t="str">
        <f>IF(AND($A278&lt;&gt;"",$A278=管理簿!$B$3,$B278&lt;&gt;""),COUNTIFS($A$4:$A$503,管理簿!$B$3,$B$4:$B$503,"&lt;"&amp;$B278)+COUNTIFS($A$4:$A278,管理簿!$B$3,$B$4:$B278,$B278),"")</f>
        <v/>
      </c>
    </row>
    <row r="279">
      <c r="A279" s="12" t="n"/>
      <c r="B279" s="13" t="n"/>
      <c r="C279" s="14" t="n"/>
      <c r="D279" s="14" t="n"/>
      <c r="E279" s="14" t="n"/>
      <c r="F279" s="11" t="str">
        <f>IF(AND($A279&lt;&gt;"",$A279=管理簿!$B$3,$B279&lt;&gt;""),COUNTIFS($A$4:$A$503,管理簿!$B$3,$B$4:$B$503,"&lt;"&amp;$B279)+COUNTIFS($A$4:$A279,管理簿!$B$3,$B$4:$B279,$B279),"")</f>
        <v/>
      </c>
    </row>
    <row r="280">
      <c r="A280" s="12" t="n"/>
      <c r="B280" s="13" t="n"/>
      <c r="C280" s="14" t="n"/>
      <c r="D280" s="14" t="n"/>
      <c r="E280" s="14" t="n"/>
      <c r="F280" s="11" t="str">
        <f>IF(AND($A280&lt;&gt;"",$A280=管理簿!$B$3,$B280&lt;&gt;""),COUNTIFS($A$4:$A$503,管理簿!$B$3,$B$4:$B$503,"&lt;"&amp;$B280)+COUNTIFS($A$4:$A280,管理簿!$B$3,$B$4:$B280,$B280),"")</f>
        <v/>
      </c>
    </row>
    <row r="281">
      <c r="A281" s="12" t="n"/>
      <c r="B281" s="13" t="n"/>
      <c r="C281" s="14" t="n"/>
      <c r="D281" s="14" t="n"/>
      <c r="E281" s="14" t="n"/>
      <c r="F281" s="11" t="str">
        <f>IF(AND($A281&lt;&gt;"",$A281=管理簿!$B$3,$B281&lt;&gt;""),COUNTIFS($A$4:$A$503,管理簿!$B$3,$B$4:$B$503,"&lt;"&amp;$B281)+COUNTIFS($A$4:$A281,管理簿!$B$3,$B$4:$B281,$B281),"")</f>
        <v/>
      </c>
    </row>
    <row r="282">
      <c r="A282" s="12" t="n"/>
      <c r="B282" s="13" t="n"/>
      <c r="C282" s="14" t="n"/>
      <c r="D282" s="14" t="n"/>
      <c r="E282" s="14" t="n"/>
      <c r="F282" s="11" t="str">
        <f>IF(AND($A282&lt;&gt;"",$A282=管理簿!$B$3,$B282&lt;&gt;""),COUNTIFS($A$4:$A$503,管理簿!$B$3,$B$4:$B$503,"&lt;"&amp;$B282)+COUNTIFS($A$4:$A282,管理簿!$B$3,$B$4:$B282,$B282),"")</f>
        <v/>
      </c>
    </row>
    <row r="283">
      <c r="A283" s="12" t="n"/>
      <c r="B283" s="13" t="n"/>
      <c r="C283" s="14" t="n"/>
      <c r="D283" s="14" t="n"/>
      <c r="E283" s="14" t="n"/>
      <c r="F283" s="11" t="str">
        <f>IF(AND($A283&lt;&gt;"",$A283=管理簿!$B$3,$B283&lt;&gt;""),COUNTIFS($A$4:$A$503,管理簿!$B$3,$B$4:$B$503,"&lt;"&amp;$B283)+COUNTIFS($A$4:$A283,管理簿!$B$3,$B$4:$B283,$B283),"")</f>
        <v/>
      </c>
    </row>
    <row r="284">
      <c r="A284" s="12" t="n"/>
      <c r="B284" s="13" t="n"/>
      <c r="C284" s="14" t="n"/>
      <c r="D284" s="14" t="n"/>
      <c r="E284" s="14" t="n"/>
      <c r="F284" s="11" t="str">
        <f>IF(AND($A284&lt;&gt;"",$A284=管理簿!$B$3,$B284&lt;&gt;""),COUNTIFS($A$4:$A$503,管理簿!$B$3,$B$4:$B$503,"&lt;"&amp;$B284)+COUNTIFS($A$4:$A284,管理簿!$B$3,$B$4:$B284,$B284),"")</f>
        <v/>
      </c>
    </row>
    <row r="285">
      <c r="A285" s="12" t="n"/>
      <c r="B285" s="13" t="n"/>
      <c r="C285" s="14" t="n"/>
      <c r="D285" s="14" t="n"/>
      <c r="E285" s="14" t="n"/>
      <c r="F285" s="11" t="str">
        <f>IF(AND($A285&lt;&gt;"",$A285=管理簿!$B$3,$B285&lt;&gt;""),COUNTIFS($A$4:$A$503,管理簿!$B$3,$B$4:$B$503,"&lt;"&amp;$B285)+COUNTIFS($A$4:$A285,管理簿!$B$3,$B$4:$B285,$B285),"")</f>
        <v/>
      </c>
    </row>
    <row r="286">
      <c r="A286" s="12" t="n"/>
      <c r="B286" s="13" t="n"/>
      <c r="C286" s="14" t="n"/>
      <c r="D286" s="14" t="n"/>
      <c r="E286" s="14" t="n"/>
      <c r="F286" s="11" t="str">
        <f>IF(AND($A286&lt;&gt;"",$A286=管理簿!$B$3,$B286&lt;&gt;""),COUNTIFS($A$4:$A$503,管理簿!$B$3,$B$4:$B$503,"&lt;"&amp;$B286)+COUNTIFS($A$4:$A286,管理簿!$B$3,$B$4:$B286,$B286),"")</f>
        <v/>
      </c>
    </row>
    <row r="287">
      <c r="A287" s="12" t="n"/>
      <c r="B287" s="13" t="n"/>
      <c r="C287" s="14" t="n"/>
      <c r="D287" s="14" t="n"/>
      <c r="E287" s="14" t="n"/>
      <c r="F287" s="11" t="str">
        <f>IF(AND($A287&lt;&gt;"",$A287=管理簿!$B$3,$B287&lt;&gt;""),COUNTIFS($A$4:$A$503,管理簿!$B$3,$B$4:$B$503,"&lt;"&amp;$B287)+COUNTIFS($A$4:$A287,管理簿!$B$3,$B$4:$B287,$B287),"")</f>
        <v/>
      </c>
    </row>
    <row r="288">
      <c r="A288" s="12" t="n"/>
      <c r="B288" s="13" t="n"/>
      <c r="C288" s="14" t="n"/>
      <c r="D288" s="14" t="n"/>
      <c r="E288" s="14" t="n"/>
      <c r="F288" s="11" t="str">
        <f>IF(AND($A288&lt;&gt;"",$A288=管理簿!$B$3,$B288&lt;&gt;""),COUNTIFS($A$4:$A$503,管理簿!$B$3,$B$4:$B$503,"&lt;"&amp;$B288)+COUNTIFS($A$4:$A288,管理簿!$B$3,$B$4:$B288,$B288),"")</f>
        <v/>
      </c>
    </row>
    <row r="289">
      <c r="A289" s="12" t="n"/>
      <c r="B289" s="13" t="n"/>
      <c r="C289" s="14" t="n"/>
      <c r="D289" s="14" t="n"/>
      <c r="E289" s="14" t="n"/>
      <c r="F289" s="11" t="str">
        <f>IF(AND($A289&lt;&gt;"",$A289=管理簿!$B$3,$B289&lt;&gt;""),COUNTIFS($A$4:$A$503,管理簿!$B$3,$B$4:$B$503,"&lt;"&amp;$B289)+COUNTIFS($A$4:$A289,管理簿!$B$3,$B$4:$B289,$B289),"")</f>
        <v/>
      </c>
    </row>
    <row r="290">
      <c r="A290" s="12" t="n"/>
      <c r="B290" s="13" t="n"/>
      <c r="C290" s="14" t="n"/>
      <c r="D290" s="14" t="n"/>
      <c r="E290" s="14" t="n"/>
      <c r="F290" s="11" t="str">
        <f>IF(AND($A290&lt;&gt;"",$A290=管理簿!$B$3,$B290&lt;&gt;""),COUNTIFS($A$4:$A$503,管理簿!$B$3,$B$4:$B$503,"&lt;"&amp;$B290)+COUNTIFS($A$4:$A290,管理簿!$B$3,$B$4:$B290,$B290),"")</f>
        <v/>
      </c>
    </row>
    <row r="291">
      <c r="A291" s="12" t="n"/>
      <c r="B291" s="13" t="n"/>
      <c r="C291" s="14" t="n"/>
      <c r="D291" s="14" t="n"/>
      <c r="E291" s="14" t="n"/>
      <c r="F291" s="11" t="str">
        <f>IF(AND($A291&lt;&gt;"",$A291=管理簿!$B$3,$B291&lt;&gt;""),COUNTIFS($A$4:$A$503,管理簿!$B$3,$B$4:$B$503,"&lt;"&amp;$B291)+COUNTIFS($A$4:$A291,管理簿!$B$3,$B$4:$B291,$B291),"")</f>
        <v/>
      </c>
    </row>
    <row r="292">
      <c r="A292" s="12" t="n"/>
      <c r="B292" s="13" t="n"/>
      <c r="C292" s="14" t="n"/>
      <c r="D292" s="14" t="n"/>
      <c r="E292" s="14" t="n"/>
      <c r="F292" s="11" t="str">
        <f>IF(AND($A292&lt;&gt;"",$A292=管理簿!$B$3,$B292&lt;&gt;""),COUNTIFS($A$4:$A$503,管理簿!$B$3,$B$4:$B$503,"&lt;"&amp;$B292)+COUNTIFS($A$4:$A292,管理簿!$B$3,$B$4:$B292,$B292),"")</f>
        <v/>
      </c>
    </row>
    <row r="293">
      <c r="A293" s="12" t="n"/>
      <c r="B293" s="13" t="n"/>
      <c r="C293" s="14" t="n"/>
      <c r="D293" s="14" t="n"/>
      <c r="E293" s="14" t="n"/>
      <c r="F293" s="11" t="str">
        <f>IF(AND($A293&lt;&gt;"",$A293=管理簿!$B$3,$B293&lt;&gt;""),COUNTIFS($A$4:$A$503,管理簿!$B$3,$B$4:$B$503,"&lt;"&amp;$B293)+COUNTIFS($A$4:$A293,管理簿!$B$3,$B$4:$B293,$B293),"")</f>
        <v/>
      </c>
    </row>
    <row r="294">
      <c r="A294" s="12" t="n"/>
      <c r="B294" s="13" t="n"/>
      <c r="C294" s="14" t="n"/>
      <c r="D294" s="14" t="n"/>
      <c r="E294" s="14" t="n"/>
      <c r="F294" s="11" t="str">
        <f>IF(AND($A294&lt;&gt;"",$A294=管理簿!$B$3,$B294&lt;&gt;""),COUNTIFS($A$4:$A$503,管理簿!$B$3,$B$4:$B$503,"&lt;"&amp;$B294)+COUNTIFS($A$4:$A294,管理簿!$B$3,$B$4:$B294,$B294),"")</f>
        <v/>
      </c>
    </row>
    <row r="295">
      <c r="A295" s="12" t="n"/>
      <c r="B295" s="13" t="n"/>
      <c r="C295" s="14" t="n"/>
      <c r="D295" s="14" t="n"/>
      <c r="E295" s="14" t="n"/>
      <c r="F295" s="11" t="str">
        <f>IF(AND($A295&lt;&gt;"",$A295=管理簿!$B$3,$B295&lt;&gt;""),COUNTIFS($A$4:$A$503,管理簿!$B$3,$B$4:$B$503,"&lt;"&amp;$B295)+COUNTIFS($A$4:$A295,管理簿!$B$3,$B$4:$B295,$B295),"")</f>
        <v/>
      </c>
    </row>
    <row r="296">
      <c r="A296" s="12" t="n"/>
      <c r="B296" s="13" t="n"/>
      <c r="C296" s="14" t="n"/>
      <c r="D296" s="14" t="n"/>
      <c r="E296" s="14" t="n"/>
      <c r="F296" s="11" t="str">
        <f>IF(AND($A296&lt;&gt;"",$A296=管理簿!$B$3,$B296&lt;&gt;""),COUNTIFS($A$4:$A$503,管理簿!$B$3,$B$4:$B$503,"&lt;"&amp;$B296)+COUNTIFS($A$4:$A296,管理簿!$B$3,$B$4:$B296,$B296),"")</f>
        <v/>
      </c>
    </row>
    <row r="297">
      <c r="A297" s="12" t="n"/>
      <c r="B297" s="13" t="n"/>
      <c r="C297" s="14" t="n"/>
      <c r="D297" s="14" t="n"/>
      <c r="E297" s="14" t="n"/>
      <c r="F297" s="11" t="str">
        <f>IF(AND($A297&lt;&gt;"",$A297=管理簿!$B$3,$B297&lt;&gt;""),COUNTIFS($A$4:$A$503,管理簿!$B$3,$B$4:$B$503,"&lt;"&amp;$B297)+COUNTIFS($A$4:$A297,管理簿!$B$3,$B$4:$B297,$B297),"")</f>
        <v/>
      </c>
    </row>
    <row r="298">
      <c r="A298" s="12" t="n"/>
      <c r="B298" s="13" t="n"/>
      <c r="C298" s="14" t="n"/>
      <c r="D298" s="14" t="n"/>
      <c r="E298" s="14" t="n"/>
      <c r="F298" s="11" t="str">
        <f>IF(AND($A298&lt;&gt;"",$A298=管理簿!$B$3,$B298&lt;&gt;""),COUNTIFS($A$4:$A$503,管理簿!$B$3,$B$4:$B$503,"&lt;"&amp;$B298)+COUNTIFS($A$4:$A298,管理簿!$B$3,$B$4:$B298,$B298),"")</f>
        <v/>
      </c>
    </row>
    <row r="299">
      <c r="A299" s="12" t="n"/>
      <c r="B299" s="13" t="n"/>
      <c r="C299" s="14" t="n"/>
      <c r="D299" s="14" t="n"/>
      <c r="E299" s="14" t="n"/>
      <c r="F299" s="11" t="str">
        <f>IF(AND($A299&lt;&gt;"",$A299=管理簿!$B$3,$B299&lt;&gt;""),COUNTIFS($A$4:$A$503,管理簿!$B$3,$B$4:$B$503,"&lt;"&amp;$B299)+COUNTIFS($A$4:$A299,管理簿!$B$3,$B$4:$B299,$B299),"")</f>
        <v/>
      </c>
    </row>
    <row r="300">
      <c r="A300" s="12" t="n"/>
      <c r="B300" s="13" t="n"/>
      <c r="C300" s="14" t="n"/>
      <c r="D300" s="14" t="n"/>
      <c r="E300" s="14" t="n"/>
      <c r="F300" s="11" t="str">
        <f>IF(AND($A300&lt;&gt;"",$A300=管理簿!$B$3,$B300&lt;&gt;""),COUNTIFS($A$4:$A$503,管理簿!$B$3,$B$4:$B$503,"&lt;"&amp;$B300)+COUNTIFS($A$4:$A300,管理簿!$B$3,$B$4:$B300,$B300),"")</f>
        <v/>
      </c>
    </row>
    <row r="301">
      <c r="A301" s="12" t="n"/>
      <c r="B301" s="13" t="n"/>
      <c r="C301" s="14" t="n"/>
      <c r="D301" s="14" t="n"/>
      <c r="E301" s="14" t="n"/>
      <c r="F301" s="11" t="str">
        <f>IF(AND($A301&lt;&gt;"",$A301=管理簿!$B$3,$B301&lt;&gt;""),COUNTIFS($A$4:$A$503,管理簿!$B$3,$B$4:$B$503,"&lt;"&amp;$B301)+COUNTIFS($A$4:$A301,管理簿!$B$3,$B$4:$B301,$B301),"")</f>
        <v/>
      </c>
    </row>
    <row r="302">
      <c r="A302" s="12" t="n"/>
      <c r="B302" s="13" t="n"/>
      <c r="C302" s="14" t="n"/>
      <c r="D302" s="14" t="n"/>
      <c r="E302" s="14" t="n"/>
      <c r="F302" s="11" t="str">
        <f>IF(AND($A302&lt;&gt;"",$A302=管理簿!$B$3,$B302&lt;&gt;""),COUNTIFS($A$4:$A$503,管理簿!$B$3,$B$4:$B$503,"&lt;"&amp;$B302)+COUNTIFS($A$4:$A302,管理簿!$B$3,$B$4:$B302,$B302),"")</f>
        <v/>
      </c>
    </row>
    <row r="303">
      <c r="A303" s="12" t="n"/>
      <c r="B303" s="13" t="n"/>
      <c r="C303" s="14" t="n"/>
      <c r="D303" s="14" t="n"/>
      <c r="E303" s="14" t="n"/>
      <c r="F303" s="11" t="str">
        <f>IF(AND($A303&lt;&gt;"",$A303=管理簿!$B$3,$B303&lt;&gt;""),COUNTIFS($A$4:$A$503,管理簿!$B$3,$B$4:$B$503,"&lt;"&amp;$B303)+COUNTIFS($A$4:$A303,管理簿!$B$3,$B$4:$B303,$B303),"")</f>
        <v/>
      </c>
    </row>
    <row r="304">
      <c r="A304" s="12" t="n"/>
      <c r="B304" s="13" t="n"/>
      <c r="C304" s="14" t="n"/>
      <c r="D304" s="14" t="n"/>
      <c r="E304" s="14" t="n"/>
      <c r="F304" s="11" t="str">
        <f>IF(AND($A304&lt;&gt;"",$A304=管理簿!$B$3,$B304&lt;&gt;""),COUNTIFS($A$4:$A$503,管理簿!$B$3,$B$4:$B$503,"&lt;"&amp;$B304)+COUNTIFS($A$4:$A304,管理簿!$B$3,$B$4:$B304,$B304),"")</f>
        <v/>
      </c>
    </row>
    <row r="305">
      <c r="A305" s="12" t="n"/>
      <c r="B305" s="13" t="n"/>
      <c r="C305" s="14" t="n"/>
      <c r="D305" s="14" t="n"/>
      <c r="E305" s="14" t="n"/>
      <c r="F305" s="11" t="str">
        <f>IF(AND($A305&lt;&gt;"",$A305=管理簿!$B$3,$B305&lt;&gt;""),COUNTIFS($A$4:$A$503,管理簿!$B$3,$B$4:$B$503,"&lt;"&amp;$B305)+COUNTIFS($A$4:$A305,管理簿!$B$3,$B$4:$B305,$B305),"")</f>
        <v/>
      </c>
    </row>
    <row r="306">
      <c r="A306" s="12" t="n"/>
      <c r="B306" s="13" t="n"/>
      <c r="C306" s="14" t="n"/>
      <c r="D306" s="14" t="n"/>
      <c r="E306" s="14" t="n"/>
      <c r="F306" s="11" t="str">
        <f>IF(AND($A306&lt;&gt;"",$A306=管理簿!$B$3,$B306&lt;&gt;""),COUNTIFS($A$4:$A$503,管理簿!$B$3,$B$4:$B$503,"&lt;"&amp;$B306)+COUNTIFS($A$4:$A306,管理簿!$B$3,$B$4:$B306,$B306),"")</f>
        <v/>
      </c>
    </row>
    <row r="307">
      <c r="A307" s="12" t="n"/>
      <c r="B307" s="13" t="n"/>
      <c r="C307" s="14" t="n"/>
      <c r="D307" s="14" t="n"/>
      <c r="E307" s="14" t="n"/>
      <c r="F307" s="11" t="str">
        <f>IF(AND($A307&lt;&gt;"",$A307=管理簿!$B$3,$B307&lt;&gt;""),COUNTIFS($A$4:$A$503,管理簿!$B$3,$B$4:$B$503,"&lt;"&amp;$B307)+COUNTIFS($A$4:$A307,管理簿!$B$3,$B$4:$B307,$B307),"")</f>
        <v/>
      </c>
    </row>
    <row r="308">
      <c r="A308" s="12" t="n"/>
      <c r="B308" s="13" t="n"/>
      <c r="C308" s="14" t="n"/>
      <c r="D308" s="14" t="n"/>
      <c r="E308" s="14" t="n"/>
      <c r="F308" s="11" t="str">
        <f>IF(AND($A308&lt;&gt;"",$A308=管理簿!$B$3,$B308&lt;&gt;""),COUNTIFS($A$4:$A$503,管理簿!$B$3,$B$4:$B$503,"&lt;"&amp;$B308)+COUNTIFS($A$4:$A308,管理簿!$B$3,$B$4:$B308,$B308),"")</f>
        <v/>
      </c>
    </row>
    <row r="309">
      <c r="A309" s="12" t="n"/>
      <c r="B309" s="13" t="n"/>
      <c r="C309" s="14" t="n"/>
      <c r="D309" s="14" t="n"/>
      <c r="E309" s="14" t="n"/>
      <c r="F309" s="11" t="str">
        <f>IF(AND($A309&lt;&gt;"",$A309=管理簿!$B$3,$B309&lt;&gt;""),COUNTIFS($A$4:$A$503,管理簿!$B$3,$B$4:$B$503,"&lt;"&amp;$B309)+COUNTIFS($A$4:$A309,管理簿!$B$3,$B$4:$B309,$B309),"")</f>
        <v/>
      </c>
    </row>
    <row r="310">
      <c r="A310" s="12" t="n"/>
      <c r="B310" s="13" t="n"/>
      <c r="C310" s="14" t="n"/>
      <c r="D310" s="14" t="n"/>
      <c r="E310" s="14" t="n"/>
      <c r="F310" s="11" t="str">
        <f>IF(AND($A310&lt;&gt;"",$A310=管理簿!$B$3,$B310&lt;&gt;""),COUNTIFS($A$4:$A$503,管理簿!$B$3,$B$4:$B$503,"&lt;"&amp;$B310)+COUNTIFS($A$4:$A310,管理簿!$B$3,$B$4:$B310,$B310),"")</f>
        <v/>
      </c>
    </row>
    <row r="311">
      <c r="A311" s="12" t="n"/>
      <c r="B311" s="13" t="n"/>
      <c r="C311" s="14" t="n"/>
      <c r="D311" s="14" t="n"/>
      <c r="E311" s="14" t="n"/>
      <c r="F311" s="11" t="str">
        <f>IF(AND($A311&lt;&gt;"",$A311=管理簿!$B$3,$B311&lt;&gt;""),COUNTIFS($A$4:$A$503,管理簿!$B$3,$B$4:$B$503,"&lt;"&amp;$B311)+COUNTIFS($A$4:$A311,管理簿!$B$3,$B$4:$B311,$B311),"")</f>
        <v/>
      </c>
    </row>
    <row r="312">
      <c r="A312" s="12" t="n"/>
      <c r="B312" s="13" t="n"/>
      <c r="C312" s="14" t="n"/>
      <c r="D312" s="14" t="n"/>
      <c r="E312" s="14" t="n"/>
      <c r="F312" s="11" t="str">
        <f>IF(AND($A312&lt;&gt;"",$A312=管理簿!$B$3,$B312&lt;&gt;""),COUNTIFS($A$4:$A$503,管理簿!$B$3,$B$4:$B$503,"&lt;"&amp;$B312)+COUNTIFS($A$4:$A312,管理簿!$B$3,$B$4:$B312,$B312),"")</f>
        <v/>
      </c>
    </row>
    <row r="313">
      <c r="A313" s="12" t="n"/>
      <c r="B313" s="13" t="n"/>
      <c r="C313" s="14" t="n"/>
      <c r="D313" s="14" t="n"/>
      <c r="E313" s="14" t="n"/>
      <c r="F313" s="11" t="str">
        <f>IF(AND($A313&lt;&gt;"",$A313=管理簿!$B$3,$B313&lt;&gt;""),COUNTIFS($A$4:$A$503,管理簿!$B$3,$B$4:$B$503,"&lt;"&amp;$B313)+COUNTIFS($A$4:$A313,管理簿!$B$3,$B$4:$B313,$B313),"")</f>
        <v/>
      </c>
    </row>
    <row r="314">
      <c r="A314" s="12" t="n"/>
      <c r="B314" s="13" t="n"/>
      <c r="C314" s="14" t="n"/>
      <c r="D314" s="14" t="n"/>
      <c r="E314" s="14" t="n"/>
      <c r="F314" s="11" t="str">
        <f>IF(AND($A314&lt;&gt;"",$A314=管理簿!$B$3,$B314&lt;&gt;""),COUNTIFS($A$4:$A$503,管理簿!$B$3,$B$4:$B$503,"&lt;"&amp;$B314)+COUNTIFS($A$4:$A314,管理簿!$B$3,$B$4:$B314,$B314),"")</f>
        <v/>
      </c>
    </row>
    <row r="315">
      <c r="A315" s="12" t="n"/>
      <c r="B315" s="13" t="n"/>
      <c r="C315" s="14" t="n"/>
      <c r="D315" s="14" t="n"/>
      <c r="E315" s="14" t="n"/>
      <c r="F315" s="11" t="str">
        <f>IF(AND($A315&lt;&gt;"",$A315=管理簿!$B$3,$B315&lt;&gt;""),COUNTIFS($A$4:$A$503,管理簿!$B$3,$B$4:$B$503,"&lt;"&amp;$B315)+COUNTIFS($A$4:$A315,管理簿!$B$3,$B$4:$B315,$B315),"")</f>
        <v/>
      </c>
    </row>
    <row r="316">
      <c r="A316" s="12" t="n"/>
      <c r="B316" s="13" t="n"/>
      <c r="C316" s="14" t="n"/>
      <c r="D316" s="14" t="n"/>
      <c r="E316" s="14" t="n"/>
      <c r="F316" s="11" t="str">
        <f>IF(AND($A316&lt;&gt;"",$A316=管理簿!$B$3,$B316&lt;&gt;""),COUNTIFS($A$4:$A$503,管理簿!$B$3,$B$4:$B$503,"&lt;"&amp;$B316)+COUNTIFS($A$4:$A316,管理簿!$B$3,$B$4:$B316,$B316),"")</f>
        <v/>
      </c>
    </row>
    <row r="317">
      <c r="A317" s="12" t="n"/>
      <c r="B317" s="13" t="n"/>
      <c r="C317" s="14" t="n"/>
      <c r="D317" s="14" t="n"/>
      <c r="E317" s="14" t="n"/>
      <c r="F317" s="11" t="str">
        <f>IF(AND($A317&lt;&gt;"",$A317=管理簿!$B$3,$B317&lt;&gt;""),COUNTIFS($A$4:$A$503,管理簿!$B$3,$B$4:$B$503,"&lt;"&amp;$B317)+COUNTIFS($A$4:$A317,管理簿!$B$3,$B$4:$B317,$B317),"")</f>
        <v/>
      </c>
    </row>
    <row r="318">
      <c r="A318" s="12" t="n"/>
      <c r="B318" s="13" t="n"/>
      <c r="C318" s="14" t="n"/>
      <c r="D318" s="14" t="n"/>
      <c r="E318" s="14" t="n"/>
      <c r="F318" s="11" t="str">
        <f>IF(AND($A318&lt;&gt;"",$A318=管理簿!$B$3,$B318&lt;&gt;""),COUNTIFS($A$4:$A$503,管理簿!$B$3,$B$4:$B$503,"&lt;"&amp;$B318)+COUNTIFS($A$4:$A318,管理簿!$B$3,$B$4:$B318,$B318),"")</f>
        <v/>
      </c>
    </row>
    <row r="319">
      <c r="A319" s="12" t="n"/>
      <c r="B319" s="13" t="n"/>
      <c r="C319" s="14" t="n"/>
      <c r="D319" s="14" t="n"/>
      <c r="E319" s="14" t="n"/>
      <c r="F319" s="11" t="str">
        <f>IF(AND($A319&lt;&gt;"",$A319=管理簿!$B$3,$B319&lt;&gt;""),COUNTIFS($A$4:$A$503,管理簿!$B$3,$B$4:$B$503,"&lt;"&amp;$B319)+COUNTIFS($A$4:$A319,管理簿!$B$3,$B$4:$B319,$B319),"")</f>
        <v/>
      </c>
    </row>
    <row r="320">
      <c r="A320" s="12" t="n"/>
      <c r="B320" s="13" t="n"/>
      <c r="C320" s="14" t="n"/>
      <c r="D320" s="14" t="n"/>
      <c r="E320" s="14" t="n"/>
      <c r="F320" s="11" t="str">
        <f>IF(AND($A320&lt;&gt;"",$A320=管理簿!$B$3,$B320&lt;&gt;""),COUNTIFS($A$4:$A$503,管理簿!$B$3,$B$4:$B$503,"&lt;"&amp;$B320)+COUNTIFS($A$4:$A320,管理簿!$B$3,$B$4:$B320,$B320),"")</f>
        <v/>
      </c>
    </row>
    <row r="321">
      <c r="A321" s="12" t="n"/>
      <c r="B321" s="13" t="n"/>
      <c r="C321" s="14" t="n"/>
      <c r="D321" s="14" t="n"/>
      <c r="E321" s="14" t="n"/>
      <c r="F321" s="11" t="str">
        <f>IF(AND($A321&lt;&gt;"",$A321=管理簿!$B$3,$B321&lt;&gt;""),COUNTIFS($A$4:$A$503,管理簿!$B$3,$B$4:$B$503,"&lt;"&amp;$B321)+COUNTIFS($A$4:$A321,管理簿!$B$3,$B$4:$B321,$B321),"")</f>
        <v/>
      </c>
    </row>
    <row r="322">
      <c r="A322" s="12" t="n"/>
      <c r="B322" s="13" t="n"/>
      <c r="C322" s="14" t="n"/>
      <c r="D322" s="14" t="n"/>
      <c r="E322" s="14" t="n"/>
      <c r="F322" s="11" t="str">
        <f>IF(AND($A322&lt;&gt;"",$A322=管理簿!$B$3,$B322&lt;&gt;""),COUNTIFS($A$4:$A$503,管理簿!$B$3,$B$4:$B$503,"&lt;"&amp;$B322)+COUNTIFS($A$4:$A322,管理簿!$B$3,$B$4:$B322,$B322),"")</f>
        <v/>
      </c>
    </row>
    <row r="323">
      <c r="A323" s="12" t="n"/>
      <c r="B323" s="13" t="n"/>
      <c r="C323" s="14" t="n"/>
      <c r="D323" s="14" t="n"/>
      <c r="E323" s="14" t="n"/>
      <c r="F323" s="11" t="str">
        <f>IF(AND($A323&lt;&gt;"",$A323=管理簿!$B$3,$B323&lt;&gt;""),COUNTIFS($A$4:$A$503,管理簿!$B$3,$B$4:$B$503,"&lt;"&amp;$B323)+COUNTIFS($A$4:$A323,管理簿!$B$3,$B$4:$B323,$B323),"")</f>
        <v/>
      </c>
    </row>
    <row r="324">
      <c r="A324" s="12" t="n"/>
      <c r="B324" s="13" t="n"/>
      <c r="C324" s="14" t="n"/>
      <c r="D324" s="14" t="n"/>
      <c r="E324" s="14" t="n"/>
      <c r="F324" s="11" t="str">
        <f>IF(AND($A324&lt;&gt;"",$A324=管理簿!$B$3,$B324&lt;&gt;""),COUNTIFS($A$4:$A$503,管理簿!$B$3,$B$4:$B$503,"&lt;"&amp;$B324)+COUNTIFS($A$4:$A324,管理簿!$B$3,$B$4:$B324,$B324),"")</f>
        <v/>
      </c>
    </row>
    <row r="325">
      <c r="A325" s="12" t="n"/>
      <c r="B325" s="13" t="n"/>
      <c r="C325" s="14" t="n"/>
      <c r="D325" s="14" t="n"/>
      <c r="E325" s="14" t="n"/>
      <c r="F325" s="11" t="str">
        <f>IF(AND($A325&lt;&gt;"",$A325=管理簿!$B$3,$B325&lt;&gt;""),COUNTIFS($A$4:$A$503,管理簿!$B$3,$B$4:$B$503,"&lt;"&amp;$B325)+COUNTIFS($A$4:$A325,管理簿!$B$3,$B$4:$B325,$B325),"")</f>
        <v/>
      </c>
    </row>
    <row r="326">
      <c r="A326" s="12" t="n"/>
      <c r="B326" s="13" t="n"/>
      <c r="C326" s="14" t="n"/>
      <c r="D326" s="14" t="n"/>
      <c r="E326" s="14" t="n"/>
      <c r="F326" s="11" t="str">
        <f>IF(AND($A326&lt;&gt;"",$A326=管理簿!$B$3,$B326&lt;&gt;""),COUNTIFS($A$4:$A$503,管理簿!$B$3,$B$4:$B$503,"&lt;"&amp;$B326)+COUNTIFS($A$4:$A326,管理簿!$B$3,$B$4:$B326,$B326),"")</f>
        <v/>
      </c>
    </row>
    <row r="327">
      <c r="A327" s="12" t="n"/>
      <c r="B327" s="13" t="n"/>
      <c r="C327" s="14" t="n"/>
      <c r="D327" s="14" t="n"/>
      <c r="E327" s="14" t="n"/>
      <c r="F327" s="11" t="str">
        <f>IF(AND($A327&lt;&gt;"",$A327=管理簿!$B$3,$B327&lt;&gt;""),COUNTIFS($A$4:$A$503,管理簿!$B$3,$B$4:$B$503,"&lt;"&amp;$B327)+COUNTIFS($A$4:$A327,管理簿!$B$3,$B$4:$B327,$B327),"")</f>
        <v/>
      </c>
    </row>
    <row r="328">
      <c r="A328" s="12" t="n"/>
      <c r="B328" s="13" t="n"/>
      <c r="C328" s="14" t="n"/>
      <c r="D328" s="14" t="n"/>
      <c r="E328" s="14" t="n"/>
      <c r="F328" s="11" t="str">
        <f>IF(AND($A328&lt;&gt;"",$A328=管理簿!$B$3,$B328&lt;&gt;""),COUNTIFS($A$4:$A$503,管理簿!$B$3,$B$4:$B$503,"&lt;"&amp;$B328)+COUNTIFS($A$4:$A328,管理簿!$B$3,$B$4:$B328,$B328),"")</f>
        <v/>
      </c>
    </row>
    <row r="329">
      <c r="A329" s="12" t="n"/>
      <c r="B329" s="13" t="n"/>
      <c r="C329" s="14" t="n"/>
      <c r="D329" s="14" t="n"/>
      <c r="E329" s="14" t="n"/>
      <c r="F329" s="11" t="str">
        <f>IF(AND($A329&lt;&gt;"",$A329=管理簿!$B$3,$B329&lt;&gt;""),COUNTIFS($A$4:$A$503,管理簿!$B$3,$B$4:$B$503,"&lt;"&amp;$B329)+COUNTIFS($A$4:$A329,管理簿!$B$3,$B$4:$B329,$B329),"")</f>
        <v/>
      </c>
    </row>
    <row r="330">
      <c r="A330" s="12" t="n"/>
      <c r="B330" s="13" t="n"/>
      <c r="C330" s="14" t="n"/>
      <c r="D330" s="14" t="n"/>
      <c r="E330" s="14" t="n"/>
      <c r="F330" s="11" t="str">
        <f>IF(AND($A330&lt;&gt;"",$A330=管理簿!$B$3,$B330&lt;&gt;""),COUNTIFS($A$4:$A$503,管理簿!$B$3,$B$4:$B$503,"&lt;"&amp;$B330)+COUNTIFS($A$4:$A330,管理簿!$B$3,$B$4:$B330,$B330),"")</f>
        <v/>
      </c>
    </row>
    <row r="331">
      <c r="A331" s="12" t="n"/>
      <c r="B331" s="13" t="n"/>
      <c r="C331" s="14" t="n"/>
      <c r="D331" s="14" t="n"/>
      <c r="E331" s="14" t="n"/>
      <c r="F331" s="11" t="str">
        <f>IF(AND($A331&lt;&gt;"",$A331=管理簿!$B$3,$B331&lt;&gt;""),COUNTIFS($A$4:$A$503,管理簿!$B$3,$B$4:$B$503,"&lt;"&amp;$B331)+COUNTIFS($A$4:$A331,管理簿!$B$3,$B$4:$B331,$B331),"")</f>
        <v/>
      </c>
    </row>
    <row r="332">
      <c r="A332" s="12" t="n"/>
      <c r="B332" s="13" t="n"/>
      <c r="C332" s="14" t="n"/>
      <c r="D332" s="14" t="n"/>
      <c r="E332" s="14" t="n"/>
      <c r="F332" s="11" t="str">
        <f>IF(AND($A332&lt;&gt;"",$A332=管理簿!$B$3,$B332&lt;&gt;""),COUNTIFS($A$4:$A$503,管理簿!$B$3,$B$4:$B$503,"&lt;"&amp;$B332)+COUNTIFS($A$4:$A332,管理簿!$B$3,$B$4:$B332,$B332),"")</f>
        <v/>
      </c>
    </row>
    <row r="333">
      <c r="A333" s="12" t="n"/>
      <c r="B333" s="13" t="n"/>
      <c r="C333" s="14" t="n"/>
      <c r="D333" s="14" t="n"/>
      <c r="E333" s="14" t="n"/>
      <c r="F333" s="11" t="str">
        <f>IF(AND($A333&lt;&gt;"",$A333=管理簿!$B$3,$B333&lt;&gt;""),COUNTIFS($A$4:$A$503,管理簿!$B$3,$B$4:$B$503,"&lt;"&amp;$B333)+COUNTIFS($A$4:$A333,管理簿!$B$3,$B$4:$B333,$B333),"")</f>
        <v/>
      </c>
    </row>
    <row r="334">
      <c r="A334" s="12" t="n"/>
      <c r="B334" s="13" t="n"/>
      <c r="C334" s="14" t="n"/>
      <c r="D334" s="14" t="n"/>
      <c r="E334" s="14" t="n"/>
      <c r="F334" s="11" t="str">
        <f>IF(AND($A334&lt;&gt;"",$A334=管理簿!$B$3,$B334&lt;&gt;""),COUNTIFS($A$4:$A$503,管理簿!$B$3,$B$4:$B$503,"&lt;"&amp;$B334)+COUNTIFS($A$4:$A334,管理簿!$B$3,$B$4:$B334,$B334),"")</f>
        <v/>
      </c>
    </row>
    <row r="335">
      <c r="A335" s="12" t="n"/>
      <c r="B335" s="13" t="n"/>
      <c r="C335" s="14" t="n"/>
      <c r="D335" s="14" t="n"/>
      <c r="E335" s="14" t="n"/>
      <c r="F335" s="11" t="str">
        <f>IF(AND($A335&lt;&gt;"",$A335=管理簿!$B$3,$B335&lt;&gt;""),COUNTIFS($A$4:$A$503,管理簿!$B$3,$B$4:$B$503,"&lt;"&amp;$B335)+COUNTIFS($A$4:$A335,管理簿!$B$3,$B$4:$B335,$B335),"")</f>
        <v/>
      </c>
    </row>
    <row r="336">
      <c r="A336" s="12" t="n"/>
      <c r="B336" s="13" t="n"/>
      <c r="C336" s="14" t="n"/>
      <c r="D336" s="14" t="n"/>
      <c r="E336" s="14" t="n"/>
      <c r="F336" s="11" t="str">
        <f>IF(AND($A336&lt;&gt;"",$A336=管理簿!$B$3,$B336&lt;&gt;""),COUNTIFS($A$4:$A$503,管理簿!$B$3,$B$4:$B$503,"&lt;"&amp;$B336)+COUNTIFS($A$4:$A336,管理簿!$B$3,$B$4:$B336,$B336),"")</f>
        <v/>
      </c>
    </row>
    <row r="337">
      <c r="A337" s="12" t="n"/>
      <c r="B337" s="13" t="n"/>
      <c r="C337" s="14" t="n"/>
      <c r="D337" s="14" t="n"/>
      <c r="E337" s="14" t="n"/>
      <c r="F337" s="11" t="str">
        <f>IF(AND($A337&lt;&gt;"",$A337=管理簿!$B$3,$B337&lt;&gt;""),COUNTIFS($A$4:$A$503,管理簿!$B$3,$B$4:$B$503,"&lt;"&amp;$B337)+COUNTIFS($A$4:$A337,管理簿!$B$3,$B$4:$B337,$B337),"")</f>
        <v/>
      </c>
    </row>
    <row r="338">
      <c r="A338" s="12" t="n"/>
      <c r="B338" s="13" t="n"/>
      <c r="C338" s="14" t="n"/>
      <c r="D338" s="14" t="n"/>
      <c r="E338" s="14" t="n"/>
      <c r="F338" s="11" t="str">
        <f>IF(AND($A338&lt;&gt;"",$A338=管理簿!$B$3,$B338&lt;&gt;""),COUNTIFS($A$4:$A$503,管理簿!$B$3,$B$4:$B$503,"&lt;"&amp;$B338)+COUNTIFS($A$4:$A338,管理簿!$B$3,$B$4:$B338,$B338),"")</f>
        <v/>
      </c>
    </row>
    <row r="339">
      <c r="A339" s="12" t="n"/>
      <c r="B339" s="13" t="n"/>
      <c r="C339" s="14" t="n"/>
      <c r="D339" s="14" t="n"/>
      <c r="E339" s="14" t="n"/>
      <c r="F339" s="11" t="str">
        <f>IF(AND($A339&lt;&gt;"",$A339=管理簿!$B$3,$B339&lt;&gt;""),COUNTIFS($A$4:$A$503,管理簿!$B$3,$B$4:$B$503,"&lt;"&amp;$B339)+COUNTIFS($A$4:$A339,管理簿!$B$3,$B$4:$B339,$B339),"")</f>
        <v/>
      </c>
    </row>
    <row r="340">
      <c r="A340" s="12" t="n"/>
      <c r="B340" s="13" t="n"/>
      <c r="C340" s="14" t="n"/>
      <c r="D340" s="14" t="n"/>
      <c r="E340" s="14" t="n"/>
      <c r="F340" s="11" t="str">
        <f>IF(AND($A340&lt;&gt;"",$A340=管理簿!$B$3,$B340&lt;&gt;""),COUNTIFS($A$4:$A$503,管理簿!$B$3,$B$4:$B$503,"&lt;"&amp;$B340)+COUNTIFS($A$4:$A340,管理簿!$B$3,$B$4:$B340,$B340),"")</f>
        <v/>
      </c>
    </row>
    <row r="341">
      <c r="A341" s="12" t="n"/>
      <c r="B341" s="13" t="n"/>
      <c r="C341" s="14" t="n"/>
      <c r="D341" s="14" t="n"/>
      <c r="E341" s="14" t="n"/>
      <c r="F341" s="11" t="str">
        <f>IF(AND($A341&lt;&gt;"",$A341=管理簿!$B$3,$B341&lt;&gt;""),COUNTIFS($A$4:$A$503,管理簿!$B$3,$B$4:$B$503,"&lt;"&amp;$B341)+COUNTIFS($A$4:$A341,管理簿!$B$3,$B$4:$B341,$B341),"")</f>
        <v/>
      </c>
    </row>
    <row r="342">
      <c r="A342" s="12" t="n"/>
      <c r="B342" s="13" t="n"/>
      <c r="C342" s="14" t="n"/>
      <c r="D342" s="14" t="n"/>
      <c r="E342" s="14" t="n"/>
      <c r="F342" s="11" t="str">
        <f>IF(AND($A342&lt;&gt;"",$A342=管理簿!$B$3,$B342&lt;&gt;""),COUNTIFS($A$4:$A$503,管理簿!$B$3,$B$4:$B$503,"&lt;"&amp;$B342)+COUNTIFS($A$4:$A342,管理簿!$B$3,$B$4:$B342,$B342),"")</f>
        <v/>
      </c>
    </row>
    <row r="343">
      <c r="A343" s="12" t="n"/>
      <c r="B343" s="13" t="n"/>
      <c r="C343" s="14" t="n"/>
      <c r="D343" s="14" t="n"/>
      <c r="E343" s="14" t="n"/>
      <c r="F343" s="11" t="str">
        <f>IF(AND($A343&lt;&gt;"",$A343=管理簿!$B$3,$B343&lt;&gt;""),COUNTIFS($A$4:$A$503,管理簿!$B$3,$B$4:$B$503,"&lt;"&amp;$B343)+COUNTIFS($A$4:$A343,管理簿!$B$3,$B$4:$B343,$B343),"")</f>
        <v/>
      </c>
    </row>
    <row r="344">
      <c r="A344" s="12" t="n"/>
      <c r="B344" s="13" t="n"/>
      <c r="C344" s="14" t="n"/>
      <c r="D344" s="14" t="n"/>
      <c r="E344" s="14" t="n"/>
      <c r="F344" s="11" t="str">
        <f>IF(AND($A344&lt;&gt;"",$A344=管理簿!$B$3,$B344&lt;&gt;""),COUNTIFS($A$4:$A$503,管理簿!$B$3,$B$4:$B$503,"&lt;"&amp;$B344)+COUNTIFS($A$4:$A344,管理簿!$B$3,$B$4:$B344,$B344),"")</f>
        <v/>
      </c>
    </row>
    <row r="345">
      <c r="A345" s="12" t="n"/>
      <c r="B345" s="13" t="n"/>
      <c r="C345" s="14" t="n"/>
      <c r="D345" s="14" t="n"/>
      <c r="E345" s="14" t="n"/>
      <c r="F345" s="11" t="str">
        <f>IF(AND($A345&lt;&gt;"",$A345=管理簿!$B$3,$B345&lt;&gt;""),COUNTIFS($A$4:$A$503,管理簿!$B$3,$B$4:$B$503,"&lt;"&amp;$B345)+COUNTIFS($A$4:$A345,管理簿!$B$3,$B$4:$B345,$B345),"")</f>
        <v/>
      </c>
    </row>
    <row r="346">
      <c r="A346" s="12" t="n"/>
      <c r="B346" s="13" t="n"/>
      <c r="C346" s="14" t="n"/>
      <c r="D346" s="14" t="n"/>
      <c r="E346" s="14" t="n"/>
      <c r="F346" s="11" t="str">
        <f>IF(AND($A346&lt;&gt;"",$A346=管理簿!$B$3,$B346&lt;&gt;""),COUNTIFS($A$4:$A$503,管理簿!$B$3,$B$4:$B$503,"&lt;"&amp;$B346)+COUNTIFS($A$4:$A346,管理簿!$B$3,$B$4:$B346,$B346),"")</f>
        <v/>
      </c>
    </row>
    <row r="347">
      <c r="A347" s="12" t="n"/>
      <c r="B347" s="13" t="n"/>
      <c r="C347" s="14" t="n"/>
      <c r="D347" s="14" t="n"/>
      <c r="E347" s="14" t="n"/>
      <c r="F347" s="11" t="str">
        <f>IF(AND($A347&lt;&gt;"",$A347=管理簿!$B$3,$B347&lt;&gt;""),COUNTIFS($A$4:$A$503,管理簿!$B$3,$B$4:$B$503,"&lt;"&amp;$B347)+COUNTIFS($A$4:$A347,管理簿!$B$3,$B$4:$B347,$B347),"")</f>
        <v/>
      </c>
    </row>
    <row r="348">
      <c r="A348" s="12" t="n"/>
      <c r="B348" s="13" t="n"/>
      <c r="C348" s="14" t="n"/>
      <c r="D348" s="14" t="n"/>
      <c r="E348" s="14" t="n"/>
      <c r="F348" s="11" t="str">
        <f>IF(AND($A348&lt;&gt;"",$A348=管理簿!$B$3,$B348&lt;&gt;""),COUNTIFS($A$4:$A$503,管理簿!$B$3,$B$4:$B$503,"&lt;"&amp;$B348)+COUNTIFS($A$4:$A348,管理簿!$B$3,$B$4:$B348,$B348),"")</f>
        <v/>
      </c>
    </row>
    <row r="349">
      <c r="A349" s="12" t="n"/>
      <c r="B349" s="13" t="n"/>
      <c r="C349" s="14" t="n"/>
      <c r="D349" s="14" t="n"/>
      <c r="E349" s="14" t="n"/>
      <c r="F349" s="11" t="str">
        <f>IF(AND($A349&lt;&gt;"",$A349=管理簿!$B$3,$B349&lt;&gt;""),COUNTIFS($A$4:$A$503,管理簿!$B$3,$B$4:$B$503,"&lt;"&amp;$B349)+COUNTIFS($A$4:$A349,管理簿!$B$3,$B$4:$B349,$B349),"")</f>
        <v/>
      </c>
    </row>
    <row r="350">
      <c r="A350" s="12" t="n"/>
      <c r="B350" s="13" t="n"/>
      <c r="C350" s="14" t="n"/>
      <c r="D350" s="14" t="n"/>
      <c r="E350" s="14" t="n"/>
      <c r="F350" s="11" t="str">
        <f>IF(AND($A350&lt;&gt;"",$A350=管理簿!$B$3,$B350&lt;&gt;""),COUNTIFS($A$4:$A$503,管理簿!$B$3,$B$4:$B$503,"&lt;"&amp;$B350)+COUNTIFS($A$4:$A350,管理簿!$B$3,$B$4:$B350,$B350),"")</f>
        <v/>
      </c>
    </row>
    <row r="351">
      <c r="A351" s="12" t="n"/>
      <c r="B351" s="13" t="n"/>
      <c r="C351" s="14" t="n"/>
      <c r="D351" s="14" t="n"/>
      <c r="E351" s="14" t="n"/>
      <c r="F351" s="11" t="str">
        <f>IF(AND($A351&lt;&gt;"",$A351=管理簿!$B$3,$B351&lt;&gt;""),COUNTIFS($A$4:$A$503,管理簿!$B$3,$B$4:$B$503,"&lt;"&amp;$B351)+COUNTIFS($A$4:$A351,管理簿!$B$3,$B$4:$B351,$B351),"")</f>
        <v/>
      </c>
    </row>
    <row r="352">
      <c r="A352" s="12" t="n"/>
      <c r="B352" s="13" t="n"/>
      <c r="C352" s="14" t="n"/>
      <c r="D352" s="14" t="n"/>
      <c r="E352" s="14" t="n"/>
      <c r="F352" s="11" t="str">
        <f>IF(AND($A352&lt;&gt;"",$A352=管理簿!$B$3,$B352&lt;&gt;""),COUNTIFS($A$4:$A$503,管理簿!$B$3,$B$4:$B$503,"&lt;"&amp;$B352)+COUNTIFS($A$4:$A352,管理簿!$B$3,$B$4:$B352,$B352),"")</f>
        <v/>
      </c>
    </row>
    <row r="353">
      <c r="A353" s="12" t="n"/>
      <c r="B353" s="13" t="n"/>
      <c r="C353" s="14" t="n"/>
      <c r="D353" s="14" t="n"/>
      <c r="E353" s="14" t="n"/>
      <c r="F353" s="11" t="str">
        <f>IF(AND($A353&lt;&gt;"",$A353=管理簿!$B$3,$B353&lt;&gt;""),COUNTIFS($A$4:$A$503,管理簿!$B$3,$B$4:$B$503,"&lt;"&amp;$B353)+COUNTIFS($A$4:$A353,管理簿!$B$3,$B$4:$B353,$B353),"")</f>
        <v/>
      </c>
    </row>
    <row r="354">
      <c r="A354" s="12" t="n"/>
      <c r="B354" s="13" t="n"/>
      <c r="C354" s="14" t="n"/>
      <c r="D354" s="14" t="n"/>
      <c r="E354" s="14" t="n"/>
      <c r="F354" s="11" t="str">
        <f>IF(AND($A354&lt;&gt;"",$A354=管理簿!$B$3,$B354&lt;&gt;""),COUNTIFS($A$4:$A$503,管理簿!$B$3,$B$4:$B$503,"&lt;"&amp;$B354)+COUNTIFS($A$4:$A354,管理簿!$B$3,$B$4:$B354,$B354),"")</f>
        <v/>
      </c>
    </row>
    <row r="355">
      <c r="A355" s="12" t="n"/>
      <c r="B355" s="13" t="n"/>
      <c r="C355" s="14" t="n"/>
      <c r="D355" s="14" t="n"/>
      <c r="E355" s="14" t="n"/>
      <c r="F355" s="11" t="str">
        <f>IF(AND($A355&lt;&gt;"",$A355=管理簿!$B$3,$B355&lt;&gt;""),COUNTIFS($A$4:$A$503,管理簿!$B$3,$B$4:$B$503,"&lt;"&amp;$B355)+COUNTIFS($A$4:$A355,管理簿!$B$3,$B$4:$B355,$B355),"")</f>
        <v/>
      </c>
    </row>
    <row r="356">
      <c r="A356" s="12" t="n"/>
      <c r="B356" s="13" t="n"/>
      <c r="C356" s="14" t="n"/>
      <c r="D356" s="14" t="n"/>
      <c r="E356" s="14" t="n"/>
      <c r="F356" s="11" t="str">
        <f>IF(AND($A356&lt;&gt;"",$A356=管理簿!$B$3,$B356&lt;&gt;""),COUNTIFS($A$4:$A$503,管理簿!$B$3,$B$4:$B$503,"&lt;"&amp;$B356)+COUNTIFS($A$4:$A356,管理簿!$B$3,$B$4:$B356,$B356),"")</f>
        <v/>
      </c>
    </row>
    <row r="357">
      <c r="A357" s="12" t="n"/>
      <c r="B357" s="13" t="n"/>
      <c r="C357" s="14" t="n"/>
      <c r="D357" s="14" t="n"/>
      <c r="E357" s="14" t="n"/>
      <c r="F357" s="11" t="str">
        <f>IF(AND($A357&lt;&gt;"",$A357=管理簿!$B$3,$B357&lt;&gt;""),COUNTIFS($A$4:$A$503,管理簿!$B$3,$B$4:$B$503,"&lt;"&amp;$B357)+COUNTIFS($A$4:$A357,管理簿!$B$3,$B$4:$B357,$B357),"")</f>
        <v/>
      </c>
    </row>
    <row r="358">
      <c r="A358" s="12" t="n"/>
      <c r="B358" s="13" t="n"/>
      <c r="C358" s="14" t="n"/>
      <c r="D358" s="14" t="n"/>
      <c r="E358" s="14" t="n"/>
      <c r="F358" s="11" t="str">
        <f>IF(AND($A358&lt;&gt;"",$A358=管理簿!$B$3,$B358&lt;&gt;""),COUNTIFS($A$4:$A$503,管理簿!$B$3,$B$4:$B$503,"&lt;"&amp;$B358)+COUNTIFS($A$4:$A358,管理簿!$B$3,$B$4:$B358,$B358),"")</f>
        <v/>
      </c>
    </row>
    <row r="359">
      <c r="A359" s="12" t="n"/>
      <c r="B359" s="13" t="n"/>
      <c r="C359" s="14" t="n"/>
      <c r="D359" s="14" t="n"/>
      <c r="E359" s="14" t="n"/>
      <c r="F359" s="11" t="str">
        <f>IF(AND($A359&lt;&gt;"",$A359=管理簿!$B$3,$B359&lt;&gt;""),COUNTIFS($A$4:$A$503,管理簿!$B$3,$B$4:$B$503,"&lt;"&amp;$B359)+COUNTIFS($A$4:$A359,管理簿!$B$3,$B$4:$B359,$B359),"")</f>
        <v/>
      </c>
    </row>
    <row r="360">
      <c r="A360" s="12" t="n"/>
      <c r="B360" s="13" t="n"/>
      <c r="C360" s="14" t="n"/>
      <c r="D360" s="14" t="n"/>
      <c r="E360" s="14" t="n"/>
      <c r="F360" s="11" t="str">
        <f>IF(AND($A360&lt;&gt;"",$A360=管理簿!$B$3,$B360&lt;&gt;""),COUNTIFS($A$4:$A$503,管理簿!$B$3,$B$4:$B$503,"&lt;"&amp;$B360)+COUNTIFS($A$4:$A360,管理簿!$B$3,$B$4:$B360,$B360),"")</f>
        <v/>
      </c>
    </row>
    <row r="361">
      <c r="A361" s="12" t="n"/>
      <c r="B361" s="13" t="n"/>
      <c r="C361" s="14" t="n"/>
      <c r="D361" s="14" t="n"/>
      <c r="E361" s="14" t="n"/>
      <c r="F361" s="11" t="str">
        <f>IF(AND($A361&lt;&gt;"",$A361=管理簿!$B$3,$B361&lt;&gt;""),COUNTIFS($A$4:$A$503,管理簿!$B$3,$B$4:$B$503,"&lt;"&amp;$B361)+COUNTIFS($A$4:$A361,管理簿!$B$3,$B$4:$B361,$B361),"")</f>
        <v/>
      </c>
    </row>
    <row r="362">
      <c r="A362" s="12" t="n"/>
      <c r="B362" s="13" t="n"/>
      <c r="C362" s="14" t="n"/>
      <c r="D362" s="14" t="n"/>
      <c r="E362" s="14" t="n"/>
      <c r="F362" s="11" t="str">
        <f>IF(AND($A362&lt;&gt;"",$A362=管理簿!$B$3,$B362&lt;&gt;""),COUNTIFS($A$4:$A$503,管理簿!$B$3,$B$4:$B$503,"&lt;"&amp;$B362)+COUNTIFS($A$4:$A362,管理簿!$B$3,$B$4:$B362,$B362),"")</f>
        <v/>
      </c>
    </row>
    <row r="363">
      <c r="A363" s="12" t="n"/>
      <c r="B363" s="13" t="n"/>
      <c r="C363" s="14" t="n"/>
      <c r="D363" s="14" t="n"/>
      <c r="E363" s="14" t="n"/>
      <c r="F363" s="11" t="str">
        <f>IF(AND($A363&lt;&gt;"",$A363=管理簿!$B$3,$B363&lt;&gt;""),COUNTIFS($A$4:$A$503,管理簿!$B$3,$B$4:$B$503,"&lt;"&amp;$B363)+COUNTIFS($A$4:$A363,管理簿!$B$3,$B$4:$B363,$B363),"")</f>
        <v/>
      </c>
    </row>
    <row r="364">
      <c r="A364" s="12" t="n"/>
      <c r="B364" s="13" t="n"/>
      <c r="C364" s="14" t="n"/>
      <c r="D364" s="14" t="n"/>
      <c r="E364" s="14" t="n"/>
      <c r="F364" s="11" t="str">
        <f>IF(AND($A364&lt;&gt;"",$A364=管理簿!$B$3,$B364&lt;&gt;""),COUNTIFS($A$4:$A$503,管理簿!$B$3,$B$4:$B$503,"&lt;"&amp;$B364)+COUNTIFS($A$4:$A364,管理簿!$B$3,$B$4:$B364,$B364),"")</f>
        <v/>
      </c>
    </row>
    <row r="365">
      <c r="A365" s="12" t="n"/>
      <c r="B365" s="13" t="n"/>
      <c r="C365" s="14" t="n"/>
      <c r="D365" s="14" t="n"/>
      <c r="E365" s="14" t="n"/>
      <c r="F365" s="11" t="str">
        <f>IF(AND($A365&lt;&gt;"",$A365=管理簿!$B$3,$B365&lt;&gt;""),COUNTIFS($A$4:$A$503,管理簿!$B$3,$B$4:$B$503,"&lt;"&amp;$B365)+COUNTIFS($A$4:$A365,管理簿!$B$3,$B$4:$B365,$B365),"")</f>
        <v/>
      </c>
    </row>
    <row r="366">
      <c r="A366" s="12" t="n"/>
      <c r="B366" s="13" t="n"/>
      <c r="C366" s="14" t="n"/>
      <c r="D366" s="14" t="n"/>
      <c r="E366" s="14" t="n"/>
      <c r="F366" s="11" t="str">
        <f>IF(AND($A366&lt;&gt;"",$A366=管理簿!$B$3,$B366&lt;&gt;""),COUNTIFS($A$4:$A$503,管理簿!$B$3,$B$4:$B$503,"&lt;"&amp;$B366)+COUNTIFS($A$4:$A366,管理簿!$B$3,$B$4:$B366,$B366),"")</f>
        <v/>
      </c>
    </row>
    <row r="367">
      <c r="A367" s="12" t="n"/>
      <c r="B367" s="13" t="n"/>
      <c r="C367" s="14" t="n"/>
      <c r="D367" s="14" t="n"/>
      <c r="E367" s="14" t="n"/>
      <c r="F367" s="11" t="str">
        <f>IF(AND($A367&lt;&gt;"",$A367=管理簿!$B$3,$B367&lt;&gt;""),COUNTIFS($A$4:$A$503,管理簿!$B$3,$B$4:$B$503,"&lt;"&amp;$B367)+COUNTIFS($A$4:$A367,管理簿!$B$3,$B$4:$B367,$B367),"")</f>
        <v/>
      </c>
    </row>
    <row r="368">
      <c r="A368" s="12" t="n"/>
      <c r="B368" s="13" t="n"/>
      <c r="C368" s="14" t="n"/>
      <c r="D368" s="14" t="n"/>
      <c r="E368" s="14" t="n"/>
      <c r="F368" s="11" t="str">
        <f>IF(AND($A368&lt;&gt;"",$A368=管理簿!$B$3,$B368&lt;&gt;""),COUNTIFS($A$4:$A$503,管理簿!$B$3,$B$4:$B$503,"&lt;"&amp;$B368)+COUNTIFS($A$4:$A368,管理簿!$B$3,$B$4:$B368,$B368),"")</f>
        <v/>
      </c>
    </row>
    <row r="369">
      <c r="A369" s="12" t="n"/>
      <c r="B369" s="13" t="n"/>
      <c r="C369" s="14" t="n"/>
      <c r="D369" s="14" t="n"/>
      <c r="E369" s="14" t="n"/>
      <c r="F369" s="11" t="str">
        <f>IF(AND($A369&lt;&gt;"",$A369=管理簿!$B$3,$B369&lt;&gt;""),COUNTIFS($A$4:$A$503,管理簿!$B$3,$B$4:$B$503,"&lt;"&amp;$B369)+COUNTIFS($A$4:$A369,管理簿!$B$3,$B$4:$B369,$B369),"")</f>
        <v/>
      </c>
    </row>
    <row r="370">
      <c r="A370" s="12" t="n"/>
      <c r="B370" s="13" t="n"/>
      <c r="C370" s="14" t="n"/>
      <c r="D370" s="14" t="n"/>
      <c r="E370" s="14" t="n"/>
      <c r="F370" s="11" t="str">
        <f>IF(AND($A370&lt;&gt;"",$A370=管理簿!$B$3,$B370&lt;&gt;""),COUNTIFS($A$4:$A$503,管理簿!$B$3,$B$4:$B$503,"&lt;"&amp;$B370)+COUNTIFS($A$4:$A370,管理簿!$B$3,$B$4:$B370,$B370),"")</f>
        <v/>
      </c>
    </row>
    <row r="371">
      <c r="A371" s="12" t="n"/>
      <c r="B371" s="13" t="n"/>
      <c r="C371" s="14" t="n"/>
      <c r="D371" s="14" t="n"/>
      <c r="E371" s="14" t="n"/>
      <c r="F371" s="11" t="str">
        <f>IF(AND($A371&lt;&gt;"",$A371=管理簿!$B$3,$B371&lt;&gt;""),COUNTIFS($A$4:$A$503,管理簿!$B$3,$B$4:$B$503,"&lt;"&amp;$B371)+COUNTIFS($A$4:$A371,管理簿!$B$3,$B$4:$B371,$B371),"")</f>
        <v/>
      </c>
    </row>
    <row r="372">
      <c r="A372" s="12" t="n"/>
      <c r="B372" s="13" t="n"/>
      <c r="C372" s="14" t="n"/>
      <c r="D372" s="14" t="n"/>
      <c r="E372" s="14" t="n"/>
      <c r="F372" s="11" t="str">
        <f>IF(AND($A372&lt;&gt;"",$A372=管理簿!$B$3,$B372&lt;&gt;""),COUNTIFS($A$4:$A$503,管理簿!$B$3,$B$4:$B$503,"&lt;"&amp;$B372)+COUNTIFS($A$4:$A372,管理簿!$B$3,$B$4:$B372,$B372),"")</f>
        <v/>
      </c>
    </row>
    <row r="373">
      <c r="A373" s="12" t="n"/>
      <c r="B373" s="13" t="n"/>
      <c r="C373" s="14" t="n"/>
      <c r="D373" s="14" t="n"/>
      <c r="E373" s="14" t="n"/>
      <c r="F373" s="11" t="str">
        <f>IF(AND($A373&lt;&gt;"",$A373=管理簿!$B$3,$B373&lt;&gt;""),COUNTIFS($A$4:$A$503,管理簿!$B$3,$B$4:$B$503,"&lt;"&amp;$B373)+COUNTIFS($A$4:$A373,管理簿!$B$3,$B$4:$B373,$B373),"")</f>
        <v/>
      </c>
    </row>
    <row r="374">
      <c r="A374" s="12" t="n"/>
      <c r="B374" s="13" t="n"/>
      <c r="C374" s="14" t="n"/>
      <c r="D374" s="14" t="n"/>
      <c r="E374" s="14" t="n"/>
      <c r="F374" s="11" t="str">
        <f>IF(AND($A374&lt;&gt;"",$A374=管理簿!$B$3,$B374&lt;&gt;""),COUNTIFS($A$4:$A$503,管理簿!$B$3,$B$4:$B$503,"&lt;"&amp;$B374)+COUNTIFS($A$4:$A374,管理簿!$B$3,$B$4:$B374,$B374),"")</f>
        <v/>
      </c>
    </row>
    <row r="375">
      <c r="A375" s="12" t="n"/>
      <c r="B375" s="13" t="n"/>
      <c r="C375" s="14" t="n"/>
      <c r="D375" s="14" t="n"/>
      <c r="E375" s="14" t="n"/>
      <c r="F375" s="11" t="str">
        <f>IF(AND($A375&lt;&gt;"",$A375=管理簿!$B$3,$B375&lt;&gt;""),COUNTIFS($A$4:$A$503,管理簿!$B$3,$B$4:$B$503,"&lt;"&amp;$B375)+COUNTIFS($A$4:$A375,管理簿!$B$3,$B$4:$B375,$B375),"")</f>
        <v/>
      </c>
    </row>
    <row r="376">
      <c r="A376" s="12" t="n"/>
      <c r="B376" s="13" t="n"/>
      <c r="C376" s="14" t="n"/>
      <c r="D376" s="14" t="n"/>
      <c r="E376" s="14" t="n"/>
      <c r="F376" s="11" t="str">
        <f>IF(AND($A376&lt;&gt;"",$A376=管理簿!$B$3,$B376&lt;&gt;""),COUNTIFS($A$4:$A$503,管理簿!$B$3,$B$4:$B$503,"&lt;"&amp;$B376)+COUNTIFS($A$4:$A376,管理簿!$B$3,$B$4:$B376,$B376),"")</f>
        <v/>
      </c>
    </row>
    <row r="377">
      <c r="A377" s="12" t="n"/>
      <c r="B377" s="13" t="n"/>
      <c r="C377" s="14" t="n"/>
      <c r="D377" s="14" t="n"/>
      <c r="E377" s="14" t="n"/>
      <c r="F377" s="11" t="str">
        <f>IF(AND($A377&lt;&gt;"",$A377=管理簿!$B$3,$B377&lt;&gt;""),COUNTIFS($A$4:$A$503,管理簿!$B$3,$B$4:$B$503,"&lt;"&amp;$B377)+COUNTIFS($A$4:$A377,管理簿!$B$3,$B$4:$B377,$B377),"")</f>
        <v/>
      </c>
    </row>
    <row r="378">
      <c r="A378" s="12" t="n"/>
      <c r="B378" s="13" t="n"/>
      <c r="C378" s="14" t="n"/>
      <c r="D378" s="14" t="n"/>
      <c r="E378" s="14" t="n"/>
      <c r="F378" s="11" t="str">
        <f>IF(AND($A378&lt;&gt;"",$A378=管理簿!$B$3,$B378&lt;&gt;""),COUNTIFS($A$4:$A$503,管理簿!$B$3,$B$4:$B$503,"&lt;"&amp;$B378)+COUNTIFS($A$4:$A378,管理簿!$B$3,$B$4:$B378,$B378),"")</f>
        <v/>
      </c>
    </row>
    <row r="379">
      <c r="A379" s="12" t="n"/>
      <c r="B379" s="13" t="n"/>
      <c r="C379" s="14" t="n"/>
      <c r="D379" s="14" t="n"/>
      <c r="E379" s="14" t="n"/>
      <c r="F379" s="11" t="str">
        <f>IF(AND($A379&lt;&gt;"",$A379=管理簿!$B$3,$B379&lt;&gt;""),COUNTIFS($A$4:$A$503,管理簿!$B$3,$B$4:$B$503,"&lt;"&amp;$B379)+COUNTIFS($A$4:$A379,管理簿!$B$3,$B$4:$B379,$B379),"")</f>
        <v/>
      </c>
    </row>
    <row r="380">
      <c r="A380" s="12" t="n"/>
      <c r="B380" s="13" t="n"/>
      <c r="C380" s="14" t="n"/>
      <c r="D380" s="14" t="n"/>
      <c r="E380" s="14" t="n"/>
      <c r="F380" s="11" t="str">
        <f>IF(AND($A380&lt;&gt;"",$A380=管理簿!$B$3,$B380&lt;&gt;""),COUNTIFS($A$4:$A$503,管理簿!$B$3,$B$4:$B$503,"&lt;"&amp;$B380)+COUNTIFS($A$4:$A380,管理簿!$B$3,$B$4:$B380,$B380),"")</f>
        <v/>
      </c>
    </row>
    <row r="381">
      <c r="A381" s="12" t="n"/>
      <c r="B381" s="13" t="n"/>
      <c r="C381" s="14" t="n"/>
      <c r="D381" s="14" t="n"/>
      <c r="E381" s="14" t="n"/>
      <c r="F381" s="11" t="str">
        <f>IF(AND($A381&lt;&gt;"",$A381=管理簿!$B$3,$B381&lt;&gt;""),COUNTIFS($A$4:$A$503,管理簿!$B$3,$B$4:$B$503,"&lt;"&amp;$B381)+COUNTIFS($A$4:$A381,管理簿!$B$3,$B$4:$B381,$B381),"")</f>
        <v/>
      </c>
    </row>
    <row r="382">
      <c r="A382" s="12" t="n"/>
      <c r="B382" s="13" t="n"/>
      <c r="C382" s="14" t="n"/>
      <c r="D382" s="14" t="n"/>
      <c r="E382" s="14" t="n"/>
      <c r="F382" s="11" t="str">
        <f>IF(AND($A382&lt;&gt;"",$A382=管理簿!$B$3,$B382&lt;&gt;""),COUNTIFS($A$4:$A$503,管理簿!$B$3,$B$4:$B$503,"&lt;"&amp;$B382)+COUNTIFS($A$4:$A382,管理簿!$B$3,$B$4:$B382,$B382),"")</f>
        <v/>
      </c>
    </row>
    <row r="383">
      <c r="A383" s="12" t="n"/>
      <c r="B383" s="13" t="n"/>
      <c r="C383" s="14" t="n"/>
      <c r="D383" s="14" t="n"/>
      <c r="E383" s="14" t="n"/>
      <c r="F383" s="11" t="str">
        <f>IF(AND($A383&lt;&gt;"",$A383=管理簿!$B$3,$B383&lt;&gt;""),COUNTIFS($A$4:$A$503,管理簿!$B$3,$B$4:$B$503,"&lt;"&amp;$B383)+COUNTIFS($A$4:$A383,管理簿!$B$3,$B$4:$B383,$B383),"")</f>
        <v/>
      </c>
    </row>
    <row r="384">
      <c r="A384" s="12" t="n"/>
      <c r="B384" s="13" t="n"/>
      <c r="C384" s="14" t="n"/>
      <c r="D384" s="14" t="n"/>
      <c r="E384" s="14" t="n"/>
      <c r="F384" s="11" t="str">
        <f>IF(AND($A384&lt;&gt;"",$A384=管理簿!$B$3,$B384&lt;&gt;""),COUNTIFS($A$4:$A$503,管理簿!$B$3,$B$4:$B$503,"&lt;"&amp;$B384)+COUNTIFS($A$4:$A384,管理簿!$B$3,$B$4:$B384,$B384),"")</f>
        <v/>
      </c>
    </row>
    <row r="385">
      <c r="A385" s="12" t="n"/>
      <c r="B385" s="13" t="n"/>
      <c r="C385" s="14" t="n"/>
      <c r="D385" s="14" t="n"/>
      <c r="E385" s="14" t="n"/>
      <c r="F385" s="11" t="str">
        <f>IF(AND($A385&lt;&gt;"",$A385=管理簿!$B$3,$B385&lt;&gt;""),COUNTIFS($A$4:$A$503,管理簿!$B$3,$B$4:$B$503,"&lt;"&amp;$B385)+COUNTIFS($A$4:$A385,管理簿!$B$3,$B$4:$B385,$B385),"")</f>
        <v/>
      </c>
    </row>
    <row r="386">
      <c r="A386" s="12" t="n"/>
      <c r="B386" s="13" t="n"/>
      <c r="C386" s="14" t="n"/>
      <c r="D386" s="14" t="n"/>
      <c r="E386" s="14" t="n"/>
      <c r="F386" s="11" t="str">
        <f>IF(AND($A386&lt;&gt;"",$A386=管理簿!$B$3,$B386&lt;&gt;""),COUNTIFS($A$4:$A$503,管理簿!$B$3,$B$4:$B$503,"&lt;"&amp;$B386)+COUNTIFS($A$4:$A386,管理簿!$B$3,$B$4:$B386,$B386),"")</f>
        <v/>
      </c>
    </row>
    <row r="387">
      <c r="A387" s="12" t="n"/>
      <c r="B387" s="13" t="n"/>
      <c r="C387" s="14" t="n"/>
      <c r="D387" s="14" t="n"/>
      <c r="E387" s="14" t="n"/>
      <c r="F387" s="11" t="str">
        <f>IF(AND($A387&lt;&gt;"",$A387=管理簿!$B$3,$B387&lt;&gt;""),COUNTIFS($A$4:$A$503,管理簿!$B$3,$B$4:$B$503,"&lt;"&amp;$B387)+COUNTIFS($A$4:$A387,管理簿!$B$3,$B$4:$B387,$B387),"")</f>
        <v/>
      </c>
    </row>
    <row r="388">
      <c r="A388" s="12" t="n"/>
      <c r="B388" s="13" t="n"/>
      <c r="C388" s="14" t="n"/>
      <c r="D388" s="14" t="n"/>
      <c r="E388" s="14" t="n"/>
      <c r="F388" s="11" t="str">
        <f>IF(AND($A388&lt;&gt;"",$A388=管理簿!$B$3,$B388&lt;&gt;""),COUNTIFS($A$4:$A$503,管理簿!$B$3,$B$4:$B$503,"&lt;"&amp;$B388)+COUNTIFS($A$4:$A388,管理簿!$B$3,$B$4:$B388,$B388),"")</f>
        <v/>
      </c>
    </row>
    <row r="389">
      <c r="A389" s="12" t="n"/>
      <c r="B389" s="13" t="n"/>
      <c r="C389" s="14" t="n"/>
      <c r="D389" s="14" t="n"/>
      <c r="E389" s="14" t="n"/>
      <c r="F389" s="11" t="str">
        <f>IF(AND($A389&lt;&gt;"",$A389=管理簿!$B$3,$B389&lt;&gt;""),COUNTIFS($A$4:$A$503,管理簿!$B$3,$B$4:$B$503,"&lt;"&amp;$B389)+COUNTIFS($A$4:$A389,管理簿!$B$3,$B$4:$B389,$B389),"")</f>
        <v/>
      </c>
    </row>
    <row r="390">
      <c r="A390" s="12" t="n"/>
      <c r="B390" s="13" t="n"/>
      <c r="C390" s="14" t="n"/>
      <c r="D390" s="14" t="n"/>
      <c r="E390" s="14" t="n"/>
      <c r="F390" s="11" t="str">
        <f>IF(AND($A390&lt;&gt;"",$A390=管理簿!$B$3,$B390&lt;&gt;""),COUNTIFS($A$4:$A$503,管理簿!$B$3,$B$4:$B$503,"&lt;"&amp;$B390)+COUNTIFS($A$4:$A390,管理簿!$B$3,$B$4:$B390,$B390),"")</f>
        <v/>
      </c>
    </row>
    <row r="391">
      <c r="A391" s="12" t="n"/>
      <c r="B391" s="13" t="n"/>
      <c r="C391" s="14" t="n"/>
      <c r="D391" s="14" t="n"/>
      <c r="E391" s="14" t="n"/>
      <c r="F391" s="11" t="str">
        <f>IF(AND($A391&lt;&gt;"",$A391=管理簿!$B$3,$B391&lt;&gt;""),COUNTIFS($A$4:$A$503,管理簿!$B$3,$B$4:$B$503,"&lt;"&amp;$B391)+COUNTIFS($A$4:$A391,管理簿!$B$3,$B$4:$B391,$B391),"")</f>
        <v/>
      </c>
    </row>
    <row r="392">
      <c r="A392" s="12" t="n"/>
      <c r="B392" s="13" t="n"/>
      <c r="C392" s="14" t="n"/>
      <c r="D392" s="14" t="n"/>
      <c r="E392" s="14" t="n"/>
      <c r="F392" s="11" t="str">
        <f>IF(AND($A392&lt;&gt;"",$A392=管理簿!$B$3,$B392&lt;&gt;""),COUNTIFS($A$4:$A$503,管理簿!$B$3,$B$4:$B$503,"&lt;"&amp;$B392)+COUNTIFS($A$4:$A392,管理簿!$B$3,$B$4:$B392,$B392),"")</f>
        <v/>
      </c>
    </row>
    <row r="393">
      <c r="A393" s="12" t="n"/>
      <c r="B393" s="13" t="n"/>
      <c r="C393" s="14" t="n"/>
      <c r="D393" s="14" t="n"/>
      <c r="E393" s="14" t="n"/>
      <c r="F393" s="11" t="str">
        <f>IF(AND($A393&lt;&gt;"",$A393=管理簿!$B$3,$B393&lt;&gt;""),COUNTIFS($A$4:$A$503,管理簿!$B$3,$B$4:$B$503,"&lt;"&amp;$B393)+COUNTIFS($A$4:$A393,管理簿!$B$3,$B$4:$B393,$B393),"")</f>
        <v/>
      </c>
    </row>
    <row r="394">
      <c r="A394" s="12" t="n"/>
      <c r="B394" s="13" t="n"/>
      <c r="C394" s="14" t="n"/>
      <c r="D394" s="14" t="n"/>
      <c r="E394" s="14" t="n"/>
      <c r="F394" s="11" t="str">
        <f>IF(AND($A394&lt;&gt;"",$A394=管理簿!$B$3,$B394&lt;&gt;""),COUNTIFS($A$4:$A$503,管理簿!$B$3,$B$4:$B$503,"&lt;"&amp;$B394)+COUNTIFS($A$4:$A394,管理簿!$B$3,$B$4:$B394,$B394),"")</f>
        <v/>
      </c>
    </row>
    <row r="395">
      <c r="A395" s="12" t="n"/>
      <c r="B395" s="13" t="n"/>
      <c r="C395" s="14" t="n"/>
      <c r="D395" s="14" t="n"/>
      <c r="E395" s="14" t="n"/>
      <c r="F395" s="11" t="str">
        <f>IF(AND($A395&lt;&gt;"",$A395=管理簿!$B$3,$B395&lt;&gt;""),COUNTIFS($A$4:$A$503,管理簿!$B$3,$B$4:$B$503,"&lt;"&amp;$B395)+COUNTIFS($A$4:$A395,管理簿!$B$3,$B$4:$B395,$B395),"")</f>
        <v/>
      </c>
    </row>
    <row r="396">
      <c r="A396" s="12" t="n"/>
      <c r="B396" s="13" t="n"/>
      <c r="C396" s="14" t="n"/>
      <c r="D396" s="14" t="n"/>
      <c r="E396" s="14" t="n"/>
      <c r="F396" s="11" t="str">
        <f>IF(AND($A396&lt;&gt;"",$A396=管理簿!$B$3,$B396&lt;&gt;""),COUNTIFS($A$4:$A$503,管理簿!$B$3,$B$4:$B$503,"&lt;"&amp;$B396)+COUNTIFS($A$4:$A396,管理簿!$B$3,$B$4:$B396,$B396),"")</f>
        <v/>
      </c>
    </row>
    <row r="397">
      <c r="A397" s="12" t="n"/>
      <c r="B397" s="13" t="n"/>
      <c r="C397" s="14" t="n"/>
      <c r="D397" s="14" t="n"/>
      <c r="E397" s="14" t="n"/>
      <c r="F397" s="11" t="str">
        <f>IF(AND($A397&lt;&gt;"",$A397=管理簿!$B$3,$B397&lt;&gt;""),COUNTIFS($A$4:$A$503,管理簿!$B$3,$B$4:$B$503,"&lt;"&amp;$B397)+COUNTIFS($A$4:$A397,管理簿!$B$3,$B$4:$B397,$B397),"")</f>
        <v/>
      </c>
    </row>
    <row r="398">
      <c r="A398" s="12" t="n"/>
      <c r="B398" s="13" t="n"/>
      <c r="C398" s="14" t="n"/>
      <c r="D398" s="14" t="n"/>
      <c r="E398" s="14" t="n"/>
      <c r="F398" s="11" t="str">
        <f>IF(AND($A398&lt;&gt;"",$A398=管理簿!$B$3,$B398&lt;&gt;""),COUNTIFS($A$4:$A$503,管理簿!$B$3,$B$4:$B$503,"&lt;"&amp;$B398)+COUNTIFS($A$4:$A398,管理簿!$B$3,$B$4:$B398,$B398),"")</f>
        <v/>
      </c>
    </row>
    <row r="399">
      <c r="A399" s="12" t="n"/>
      <c r="B399" s="13" t="n"/>
      <c r="C399" s="14" t="n"/>
      <c r="D399" s="14" t="n"/>
      <c r="E399" s="14" t="n"/>
      <c r="F399" s="11" t="str">
        <f>IF(AND($A399&lt;&gt;"",$A399=管理簿!$B$3,$B399&lt;&gt;""),COUNTIFS($A$4:$A$503,管理簿!$B$3,$B$4:$B$503,"&lt;"&amp;$B399)+COUNTIFS($A$4:$A399,管理簿!$B$3,$B$4:$B399,$B399),"")</f>
        <v/>
      </c>
    </row>
    <row r="400">
      <c r="A400" s="12" t="n"/>
      <c r="B400" s="13" t="n"/>
      <c r="C400" s="14" t="n"/>
      <c r="D400" s="14" t="n"/>
      <c r="E400" s="14" t="n"/>
      <c r="F400" s="11" t="str">
        <f>IF(AND($A400&lt;&gt;"",$A400=管理簿!$B$3,$B400&lt;&gt;""),COUNTIFS($A$4:$A$503,管理簿!$B$3,$B$4:$B$503,"&lt;"&amp;$B400)+COUNTIFS($A$4:$A400,管理簿!$B$3,$B$4:$B400,$B400),"")</f>
        <v/>
      </c>
    </row>
    <row r="401">
      <c r="A401" s="12" t="n"/>
      <c r="B401" s="13" t="n"/>
      <c r="C401" s="14" t="n"/>
      <c r="D401" s="14" t="n"/>
      <c r="E401" s="14" t="n"/>
      <c r="F401" s="11" t="str">
        <f>IF(AND($A401&lt;&gt;"",$A401=管理簿!$B$3,$B401&lt;&gt;""),COUNTIFS($A$4:$A$503,管理簿!$B$3,$B$4:$B$503,"&lt;"&amp;$B401)+COUNTIFS($A$4:$A401,管理簿!$B$3,$B$4:$B401,$B401),"")</f>
        <v/>
      </c>
    </row>
    <row r="402">
      <c r="A402" s="12" t="n"/>
      <c r="B402" s="13" t="n"/>
      <c r="C402" s="14" t="n"/>
      <c r="D402" s="14" t="n"/>
      <c r="E402" s="14" t="n"/>
      <c r="F402" s="11" t="str">
        <f>IF(AND($A402&lt;&gt;"",$A402=管理簿!$B$3,$B402&lt;&gt;""),COUNTIFS($A$4:$A$503,管理簿!$B$3,$B$4:$B$503,"&lt;"&amp;$B402)+COUNTIFS($A$4:$A402,管理簿!$B$3,$B$4:$B402,$B402),"")</f>
        <v/>
      </c>
    </row>
    <row r="403">
      <c r="A403" s="12" t="n"/>
      <c r="B403" s="13" t="n"/>
      <c r="C403" s="14" t="n"/>
      <c r="D403" s="14" t="n"/>
      <c r="E403" s="14" t="n"/>
      <c r="F403" s="11" t="str">
        <f>IF(AND($A403&lt;&gt;"",$A403=管理簿!$B$3,$B403&lt;&gt;""),COUNTIFS($A$4:$A$503,管理簿!$B$3,$B$4:$B$503,"&lt;"&amp;$B403)+COUNTIFS($A$4:$A403,管理簿!$B$3,$B$4:$B403,$B403),"")</f>
        <v/>
      </c>
    </row>
    <row r="404">
      <c r="A404" s="12" t="n"/>
      <c r="B404" s="13" t="n"/>
      <c r="C404" s="14" t="n"/>
      <c r="D404" s="14" t="n"/>
      <c r="E404" s="14" t="n"/>
      <c r="F404" s="11" t="str">
        <f>IF(AND($A404&lt;&gt;"",$A404=管理簿!$B$3,$B404&lt;&gt;""),COUNTIFS($A$4:$A$503,管理簿!$B$3,$B$4:$B$503,"&lt;"&amp;$B404)+COUNTIFS($A$4:$A404,管理簿!$B$3,$B$4:$B404,$B404),"")</f>
        <v/>
      </c>
    </row>
    <row r="405">
      <c r="A405" s="12" t="n"/>
      <c r="B405" s="13" t="n"/>
      <c r="C405" s="14" t="n"/>
      <c r="D405" s="14" t="n"/>
      <c r="E405" s="14" t="n"/>
      <c r="F405" s="11" t="str">
        <f>IF(AND($A405&lt;&gt;"",$A405=管理簿!$B$3,$B405&lt;&gt;""),COUNTIFS($A$4:$A$503,管理簿!$B$3,$B$4:$B$503,"&lt;"&amp;$B405)+COUNTIFS($A$4:$A405,管理簿!$B$3,$B$4:$B405,$B405),"")</f>
        <v/>
      </c>
    </row>
    <row r="406">
      <c r="A406" s="12" t="n"/>
      <c r="B406" s="13" t="n"/>
      <c r="C406" s="14" t="n"/>
      <c r="D406" s="14" t="n"/>
      <c r="E406" s="14" t="n"/>
      <c r="F406" s="11" t="str">
        <f>IF(AND($A406&lt;&gt;"",$A406=管理簿!$B$3,$B406&lt;&gt;""),COUNTIFS($A$4:$A$503,管理簿!$B$3,$B$4:$B$503,"&lt;"&amp;$B406)+COUNTIFS($A$4:$A406,管理簿!$B$3,$B$4:$B406,$B406),"")</f>
        <v/>
      </c>
    </row>
    <row r="407">
      <c r="A407" s="12" t="n"/>
      <c r="B407" s="13" t="n"/>
      <c r="C407" s="14" t="n"/>
      <c r="D407" s="14" t="n"/>
      <c r="E407" s="14" t="n"/>
      <c r="F407" s="11" t="str">
        <f>IF(AND($A407&lt;&gt;"",$A407=管理簿!$B$3,$B407&lt;&gt;""),COUNTIFS($A$4:$A$503,管理簿!$B$3,$B$4:$B$503,"&lt;"&amp;$B407)+COUNTIFS($A$4:$A407,管理簿!$B$3,$B$4:$B407,$B407),"")</f>
        <v/>
      </c>
    </row>
    <row r="408">
      <c r="A408" s="12" t="n"/>
      <c r="B408" s="13" t="n"/>
      <c r="C408" s="14" t="n"/>
      <c r="D408" s="14" t="n"/>
      <c r="E408" s="14" t="n"/>
      <c r="F408" s="11" t="str">
        <f>IF(AND($A408&lt;&gt;"",$A408=管理簿!$B$3,$B408&lt;&gt;""),COUNTIFS($A$4:$A$503,管理簿!$B$3,$B$4:$B$503,"&lt;"&amp;$B408)+COUNTIFS($A$4:$A408,管理簿!$B$3,$B$4:$B408,$B408),"")</f>
        <v/>
      </c>
    </row>
    <row r="409">
      <c r="A409" s="12" t="n"/>
      <c r="B409" s="13" t="n"/>
      <c r="C409" s="14" t="n"/>
      <c r="D409" s="14" t="n"/>
      <c r="E409" s="14" t="n"/>
      <c r="F409" s="11" t="str">
        <f>IF(AND($A409&lt;&gt;"",$A409=管理簿!$B$3,$B409&lt;&gt;""),COUNTIFS($A$4:$A$503,管理簿!$B$3,$B$4:$B$503,"&lt;"&amp;$B409)+COUNTIFS($A$4:$A409,管理簿!$B$3,$B$4:$B409,$B409),"")</f>
        <v/>
      </c>
    </row>
    <row r="410">
      <c r="A410" s="12" t="n"/>
      <c r="B410" s="13" t="n"/>
      <c r="C410" s="14" t="n"/>
      <c r="D410" s="14" t="n"/>
      <c r="E410" s="14" t="n"/>
      <c r="F410" s="11" t="str">
        <f>IF(AND($A410&lt;&gt;"",$A410=管理簿!$B$3,$B410&lt;&gt;""),COUNTIFS($A$4:$A$503,管理簿!$B$3,$B$4:$B$503,"&lt;"&amp;$B410)+COUNTIFS($A$4:$A410,管理簿!$B$3,$B$4:$B410,$B410),"")</f>
        <v/>
      </c>
    </row>
    <row r="411">
      <c r="A411" s="12" t="n"/>
      <c r="B411" s="13" t="n"/>
      <c r="C411" s="14" t="n"/>
      <c r="D411" s="14" t="n"/>
      <c r="E411" s="14" t="n"/>
      <c r="F411" s="11" t="str">
        <f>IF(AND($A411&lt;&gt;"",$A411=管理簿!$B$3,$B411&lt;&gt;""),COUNTIFS($A$4:$A$503,管理簿!$B$3,$B$4:$B$503,"&lt;"&amp;$B411)+COUNTIFS($A$4:$A411,管理簿!$B$3,$B$4:$B411,$B411),"")</f>
        <v/>
      </c>
    </row>
    <row r="412">
      <c r="A412" s="12" t="n"/>
      <c r="B412" s="13" t="n"/>
      <c r="C412" s="14" t="n"/>
      <c r="D412" s="14" t="n"/>
      <c r="E412" s="14" t="n"/>
      <c r="F412" s="11" t="str">
        <f>IF(AND($A412&lt;&gt;"",$A412=管理簿!$B$3,$B412&lt;&gt;""),COUNTIFS($A$4:$A$503,管理簿!$B$3,$B$4:$B$503,"&lt;"&amp;$B412)+COUNTIFS($A$4:$A412,管理簿!$B$3,$B$4:$B412,$B412),"")</f>
        <v/>
      </c>
    </row>
    <row r="413">
      <c r="A413" s="12" t="n"/>
      <c r="B413" s="13" t="n"/>
      <c r="C413" s="14" t="n"/>
      <c r="D413" s="14" t="n"/>
      <c r="E413" s="14" t="n"/>
      <c r="F413" s="11" t="str">
        <f>IF(AND($A413&lt;&gt;"",$A413=管理簿!$B$3,$B413&lt;&gt;""),COUNTIFS($A$4:$A$503,管理簿!$B$3,$B$4:$B$503,"&lt;"&amp;$B413)+COUNTIFS($A$4:$A413,管理簿!$B$3,$B$4:$B413,$B413),"")</f>
        <v/>
      </c>
    </row>
    <row r="414">
      <c r="A414" s="12" t="n"/>
      <c r="B414" s="13" t="n"/>
      <c r="C414" s="14" t="n"/>
      <c r="D414" s="14" t="n"/>
      <c r="E414" s="14" t="n"/>
      <c r="F414" s="11" t="str">
        <f>IF(AND($A414&lt;&gt;"",$A414=管理簿!$B$3,$B414&lt;&gt;""),COUNTIFS($A$4:$A$503,管理簿!$B$3,$B$4:$B$503,"&lt;"&amp;$B414)+COUNTIFS($A$4:$A414,管理簿!$B$3,$B$4:$B414,$B414),"")</f>
        <v/>
      </c>
    </row>
    <row r="415">
      <c r="A415" s="12" t="n"/>
      <c r="B415" s="13" t="n"/>
      <c r="C415" s="14" t="n"/>
      <c r="D415" s="14" t="n"/>
      <c r="E415" s="14" t="n"/>
      <c r="F415" s="11" t="str">
        <f>IF(AND($A415&lt;&gt;"",$A415=管理簿!$B$3,$B415&lt;&gt;""),COUNTIFS($A$4:$A$503,管理簿!$B$3,$B$4:$B$503,"&lt;"&amp;$B415)+COUNTIFS($A$4:$A415,管理簿!$B$3,$B$4:$B415,$B415),"")</f>
        <v/>
      </c>
    </row>
    <row r="416">
      <c r="A416" s="12" t="n"/>
      <c r="B416" s="13" t="n"/>
      <c r="C416" s="14" t="n"/>
      <c r="D416" s="14" t="n"/>
      <c r="E416" s="14" t="n"/>
      <c r="F416" s="11" t="str">
        <f>IF(AND($A416&lt;&gt;"",$A416=管理簿!$B$3,$B416&lt;&gt;""),COUNTIFS($A$4:$A$503,管理簿!$B$3,$B$4:$B$503,"&lt;"&amp;$B416)+COUNTIFS($A$4:$A416,管理簿!$B$3,$B$4:$B416,$B416),"")</f>
        <v/>
      </c>
    </row>
    <row r="417">
      <c r="A417" s="12" t="n"/>
      <c r="B417" s="13" t="n"/>
      <c r="C417" s="14" t="n"/>
      <c r="D417" s="14" t="n"/>
      <c r="E417" s="14" t="n"/>
      <c r="F417" s="11" t="str">
        <f>IF(AND($A417&lt;&gt;"",$A417=管理簿!$B$3,$B417&lt;&gt;""),COUNTIFS($A$4:$A$503,管理簿!$B$3,$B$4:$B$503,"&lt;"&amp;$B417)+COUNTIFS($A$4:$A417,管理簿!$B$3,$B$4:$B417,$B417),"")</f>
        <v/>
      </c>
    </row>
    <row r="418">
      <c r="A418" s="12" t="n"/>
      <c r="B418" s="13" t="n"/>
      <c r="C418" s="14" t="n"/>
      <c r="D418" s="14" t="n"/>
      <c r="E418" s="14" t="n"/>
      <c r="F418" s="11" t="str">
        <f>IF(AND($A418&lt;&gt;"",$A418=管理簿!$B$3,$B418&lt;&gt;""),COUNTIFS($A$4:$A$503,管理簿!$B$3,$B$4:$B$503,"&lt;"&amp;$B418)+COUNTIFS($A$4:$A418,管理簿!$B$3,$B$4:$B418,$B418),"")</f>
        <v/>
      </c>
    </row>
    <row r="419">
      <c r="A419" s="12" t="n"/>
      <c r="B419" s="13" t="n"/>
      <c r="C419" s="14" t="n"/>
      <c r="D419" s="14" t="n"/>
      <c r="E419" s="14" t="n"/>
      <c r="F419" s="11" t="str">
        <f>IF(AND($A419&lt;&gt;"",$A419=管理簿!$B$3,$B419&lt;&gt;""),COUNTIFS($A$4:$A$503,管理簿!$B$3,$B$4:$B$503,"&lt;"&amp;$B419)+COUNTIFS($A$4:$A419,管理簿!$B$3,$B$4:$B419,$B419),"")</f>
        <v/>
      </c>
    </row>
    <row r="420">
      <c r="A420" s="12" t="n"/>
      <c r="B420" s="13" t="n"/>
      <c r="C420" s="14" t="n"/>
      <c r="D420" s="14" t="n"/>
      <c r="E420" s="14" t="n"/>
      <c r="F420" s="11" t="str">
        <f>IF(AND($A420&lt;&gt;"",$A420=管理簿!$B$3,$B420&lt;&gt;""),COUNTIFS($A$4:$A$503,管理簿!$B$3,$B$4:$B$503,"&lt;"&amp;$B420)+COUNTIFS($A$4:$A420,管理簿!$B$3,$B$4:$B420,$B420),"")</f>
        <v/>
      </c>
    </row>
    <row r="421">
      <c r="A421" s="12" t="n"/>
      <c r="B421" s="13" t="n"/>
      <c r="C421" s="14" t="n"/>
      <c r="D421" s="14" t="n"/>
      <c r="E421" s="14" t="n"/>
      <c r="F421" s="11" t="str">
        <f>IF(AND($A421&lt;&gt;"",$A421=管理簿!$B$3,$B421&lt;&gt;""),COUNTIFS($A$4:$A$503,管理簿!$B$3,$B$4:$B$503,"&lt;"&amp;$B421)+COUNTIFS($A$4:$A421,管理簿!$B$3,$B$4:$B421,$B421),"")</f>
        <v/>
      </c>
    </row>
    <row r="422">
      <c r="A422" s="12" t="n"/>
      <c r="B422" s="13" t="n"/>
      <c r="C422" s="14" t="n"/>
      <c r="D422" s="14" t="n"/>
      <c r="E422" s="14" t="n"/>
      <c r="F422" s="11" t="str">
        <f>IF(AND($A422&lt;&gt;"",$A422=管理簿!$B$3,$B422&lt;&gt;""),COUNTIFS($A$4:$A$503,管理簿!$B$3,$B$4:$B$503,"&lt;"&amp;$B422)+COUNTIFS($A$4:$A422,管理簿!$B$3,$B$4:$B422,$B422),"")</f>
        <v/>
      </c>
    </row>
    <row r="423">
      <c r="A423" s="12" t="n"/>
      <c r="B423" s="13" t="n"/>
      <c r="C423" s="14" t="n"/>
      <c r="D423" s="14" t="n"/>
      <c r="E423" s="14" t="n"/>
      <c r="F423" s="11" t="str">
        <f>IF(AND($A423&lt;&gt;"",$A423=管理簿!$B$3,$B423&lt;&gt;""),COUNTIFS($A$4:$A$503,管理簿!$B$3,$B$4:$B$503,"&lt;"&amp;$B423)+COUNTIFS($A$4:$A423,管理簿!$B$3,$B$4:$B423,$B423),"")</f>
        <v/>
      </c>
    </row>
    <row r="424">
      <c r="A424" s="12" t="n"/>
      <c r="B424" s="13" t="n"/>
      <c r="C424" s="14" t="n"/>
      <c r="D424" s="14" t="n"/>
      <c r="E424" s="14" t="n"/>
      <c r="F424" s="11" t="str">
        <f>IF(AND($A424&lt;&gt;"",$A424=管理簿!$B$3,$B424&lt;&gt;""),COUNTIFS($A$4:$A$503,管理簿!$B$3,$B$4:$B$503,"&lt;"&amp;$B424)+COUNTIFS($A$4:$A424,管理簿!$B$3,$B$4:$B424,$B424),"")</f>
        <v/>
      </c>
    </row>
    <row r="425">
      <c r="A425" s="12" t="n"/>
      <c r="B425" s="13" t="n"/>
      <c r="C425" s="14" t="n"/>
      <c r="D425" s="14" t="n"/>
      <c r="E425" s="14" t="n"/>
      <c r="F425" s="11" t="str">
        <f>IF(AND($A425&lt;&gt;"",$A425=管理簿!$B$3,$B425&lt;&gt;""),COUNTIFS($A$4:$A$503,管理簿!$B$3,$B$4:$B$503,"&lt;"&amp;$B425)+COUNTIFS($A$4:$A425,管理簿!$B$3,$B$4:$B425,$B425),"")</f>
        <v/>
      </c>
    </row>
    <row r="426">
      <c r="A426" s="12" t="n"/>
      <c r="B426" s="13" t="n"/>
      <c r="C426" s="14" t="n"/>
      <c r="D426" s="14" t="n"/>
      <c r="E426" s="14" t="n"/>
      <c r="F426" s="11" t="str">
        <f>IF(AND($A426&lt;&gt;"",$A426=管理簿!$B$3,$B426&lt;&gt;""),COUNTIFS($A$4:$A$503,管理簿!$B$3,$B$4:$B$503,"&lt;"&amp;$B426)+COUNTIFS($A$4:$A426,管理簿!$B$3,$B$4:$B426,$B426),"")</f>
        <v/>
      </c>
    </row>
    <row r="427">
      <c r="A427" s="12" t="n"/>
      <c r="B427" s="13" t="n"/>
      <c r="C427" s="14" t="n"/>
      <c r="D427" s="14" t="n"/>
      <c r="E427" s="14" t="n"/>
      <c r="F427" s="11" t="str">
        <f>IF(AND($A427&lt;&gt;"",$A427=管理簿!$B$3,$B427&lt;&gt;""),COUNTIFS($A$4:$A$503,管理簿!$B$3,$B$4:$B$503,"&lt;"&amp;$B427)+COUNTIFS($A$4:$A427,管理簿!$B$3,$B$4:$B427,$B427),"")</f>
        <v/>
      </c>
    </row>
    <row r="428">
      <c r="A428" s="12" t="n"/>
      <c r="B428" s="13" t="n"/>
      <c r="C428" s="14" t="n"/>
      <c r="D428" s="14" t="n"/>
      <c r="E428" s="14" t="n"/>
      <c r="F428" s="11" t="str">
        <f>IF(AND($A428&lt;&gt;"",$A428=管理簿!$B$3,$B428&lt;&gt;""),COUNTIFS($A$4:$A$503,管理簿!$B$3,$B$4:$B$503,"&lt;"&amp;$B428)+COUNTIFS($A$4:$A428,管理簿!$B$3,$B$4:$B428,$B428),"")</f>
        <v/>
      </c>
    </row>
    <row r="429">
      <c r="A429" s="12" t="n"/>
      <c r="B429" s="13" t="n"/>
      <c r="C429" s="14" t="n"/>
      <c r="D429" s="14" t="n"/>
      <c r="E429" s="14" t="n"/>
      <c r="F429" s="11" t="str">
        <f>IF(AND($A429&lt;&gt;"",$A429=管理簿!$B$3,$B429&lt;&gt;""),COUNTIFS($A$4:$A$503,管理簿!$B$3,$B$4:$B$503,"&lt;"&amp;$B429)+COUNTIFS($A$4:$A429,管理簿!$B$3,$B$4:$B429,$B429),"")</f>
        <v/>
      </c>
    </row>
    <row r="430">
      <c r="A430" s="12" t="n"/>
      <c r="B430" s="13" t="n"/>
      <c r="C430" s="14" t="n"/>
      <c r="D430" s="14" t="n"/>
      <c r="E430" s="14" t="n"/>
      <c r="F430" s="11" t="str">
        <f>IF(AND($A430&lt;&gt;"",$A430=管理簿!$B$3,$B430&lt;&gt;""),COUNTIFS($A$4:$A$503,管理簿!$B$3,$B$4:$B$503,"&lt;"&amp;$B430)+COUNTIFS($A$4:$A430,管理簿!$B$3,$B$4:$B430,$B430),"")</f>
        <v/>
      </c>
    </row>
    <row r="431">
      <c r="A431" s="12" t="n"/>
      <c r="B431" s="13" t="n"/>
      <c r="C431" s="14" t="n"/>
      <c r="D431" s="14" t="n"/>
      <c r="E431" s="14" t="n"/>
      <c r="F431" s="11" t="str">
        <f>IF(AND($A431&lt;&gt;"",$A431=管理簿!$B$3,$B431&lt;&gt;""),COUNTIFS($A$4:$A$503,管理簿!$B$3,$B$4:$B$503,"&lt;"&amp;$B431)+COUNTIFS($A$4:$A431,管理簿!$B$3,$B$4:$B431,$B431),"")</f>
        <v/>
      </c>
    </row>
    <row r="432">
      <c r="A432" s="12" t="n"/>
      <c r="B432" s="13" t="n"/>
      <c r="C432" s="14" t="n"/>
      <c r="D432" s="14" t="n"/>
      <c r="E432" s="14" t="n"/>
      <c r="F432" s="11" t="str">
        <f>IF(AND($A432&lt;&gt;"",$A432=管理簿!$B$3,$B432&lt;&gt;""),COUNTIFS($A$4:$A$503,管理簿!$B$3,$B$4:$B$503,"&lt;"&amp;$B432)+COUNTIFS($A$4:$A432,管理簿!$B$3,$B$4:$B432,$B432),"")</f>
        <v/>
      </c>
    </row>
    <row r="433">
      <c r="A433" s="12" t="n"/>
      <c r="B433" s="13" t="n"/>
      <c r="C433" s="14" t="n"/>
      <c r="D433" s="14" t="n"/>
      <c r="E433" s="14" t="n"/>
      <c r="F433" s="11" t="str">
        <f>IF(AND($A433&lt;&gt;"",$A433=管理簿!$B$3,$B433&lt;&gt;""),COUNTIFS($A$4:$A$503,管理簿!$B$3,$B$4:$B$503,"&lt;"&amp;$B433)+COUNTIFS($A$4:$A433,管理簿!$B$3,$B$4:$B433,$B433),"")</f>
        <v/>
      </c>
    </row>
    <row r="434">
      <c r="A434" s="12" t="n"/>
      <c r="B434" s="13" t="n"/>
      <c r="C434" s="14" t="n"/>
      <c r="D434" s="14" t="n"/>
      <c r="E434" s="14" t="n"/>
      <c r="F434" s="11" t="str">
        <f>IF(AND($A434&lt;&gt;"",$A434=管理簿!$B$3,$B434&lt;&gt;""),COUNTIFS($A$4:$A$503,管理簿!$B$3,$B$4:$B$503,"&lt;"&amp;$B434)+COUNTIFS($A$4:$A434,管理簿!$B$3,$B$4:$B434,$B434),"")</f>
        <v/>
      </c>
    </row>
    <row r="435">
      <c r="A435" s="12" t="n"/>
      <c r="B435" s="13" t="n"/>
      <c r="C435" s="14" t="n"/>
      <c r="D435" s="14" t="n"/>
      <c r="E435" s="14" t="n"/>
      <c r="F435" s="11" t="str">
        <f>IF(AND($A435&lt;&gt;"",$A435=管理簿!$B$3,$B435&lt;&gt;""),COUNTIFS($A$4:$A$503,管理簿!$B$3,$B$4:$B$503,"&lt;"&amp;$B435)+COUNTIFS($A$4:$A435,管理簿!$B$3,$B$4:$B435,$B435),"")</f>
        <v/>
      </c>
    </row>
    <row r="436">
      <c r="A436" s="12" t="n"/>
      <c r="B436" s="13" t="n"/>
      <c r="C436" s="14" t="n"/>
      <c r="D436" s="14" t="n"/>
      <c r="E436" s="14" t="n"/>
      <c r="F436" s="11" t="str">
        <f>IF(AND($A436&lt;&gt;"",$A436=管理簿!$B$3,$B436&lt;&gt;""),COUNTIFS($A$4:$A$503,管理簿!$B$3,$B$4:$B$503,"&lt;"&amp;$B436)+COUNTIFS($A$4:$A436,管理簿!$B$3,$B$4:$B436,$B436),"")</f>
        <v/>
      </c>
    </row>
    <row r="437">
      <c r="A437" s="12" t="n"/>
      <c r="B437" s="13" t="n"/>
      <c r="C437" s="14" t="n"/>
      <c r="D437" s="14" t="n"/>
      <c r="E437" s="14" t="n"/>
      <c r="F437" s="11" t="str">
        <f>IF(AND($A437&lt;&gt;"",$A437=管理簿!$B$3,$B437&lt;&gt;""),COUNTIFS($A$4:$A$503,管理簿!$B$3,$B$4:$B$503,"&lt;"&amp;$B437)+COUNTIFS($A$4:$A437,管理簿!$B$3,$B$4:$B437,$B437),"")</f>
        <v/>
      </c>
    </row>
    <row r="438">
      <c r="A438" s="12" t="n"/>
      <c r="B438" s="13" t="n"/>
      <c r="C438" s="14" t="n"/>
      <c r="D438" s="14" t="n"/>
      <c r="E438" s="14" t="n"/>
      <c r="F438" s="11" t="str">
        <f>IF(AND($A438&lt;&gt;"",$A438=管理簿!$B$3,$B438&lt;&gt;""),COUNTIFS($A$4:$A$503,管理簿!$B$3,$B$4:$B$503,"&lt;"&amp;$B438)+COUNTIFS($A$4:$A438,管理簿!$B$3,$B$4:$B438,$B438),"")</f>
        <v/>
      </c>
    </row>
    <row r="439">
      <c r="A439" s="12" t="n"/>
      <c r="B439" s="13" t="n"/>
      <c r="C439" s="14" t="n"/>
      <c r="D439" s="14" t="n"/>
      <c r="E439" s="14" t="n"/>
      <c r="F439" s="11" t="str">
        <f>IF(AND($A439&lt;&gt;"",$A439=管理簿!$B$3,$B439&lt;&gt;""),COUNTIFS($A$4:$A$503,管理簿!$B$3,$B$4:$B$503,"&lt;"&amp;$B439)+COUNTIFS($A$4:$A439,管理簿!$B$3,$B$4:$B439,$B439),"")</f>
        <v/>
      </c>
    </row>
    <row r="440">
      <c r="A440" s="12" t="n"/>
      <c r="B440" s="13" t="n"/>
      <c r="C440" s="14" t="n"/>
      <c r="D440" s="14" t="n"/>
      <c r="E440" s="14" t="n"/>
      <c r="F440" s="11" t="str">
        <f>IF(AND($A440&lt;&gt;"",$A440=管理簿!$B$3,$B440&lt;&gt;""),COUNTIFS($A$4:$A$503,管理簿!$B$3,$B$4:$B$503,"&lt;"&amp;$B440)+COUNTIFS($A$4:$A440,管理簿!$B$3,$B$4:$B440,$B440),"")</f>
        <v/>
      </c>
    </row>
    <row r="441">
      <c r="A441" s="12" t="n"/>
      <c r="B441" s="13" t="n"/>
      <c r="C441" s="14" t="n"/>
      <c r="D441" s="14" t="n"/>
      <c r="E441" s="14" t="n"/>
      <c r="F441" s="11" t="str">
        <f>IF(AND($A441&lt;&gt;"",$A441=管理簿!$B$3,$B441&lt;&gt;""),COUNTIFS($A$4:$A$503,管理簿!$B$3,$B$4:$B$503,"&lt;"&amp;$B441)+COUNTIFS($A$4:$A441,管理簿!$B$3,$B$4:$B441,$B441),"")</f>
        <v/>
      </c>
    </row>
    <row r="442">
      <c r="A442" s="12" t="n"/>
      <c r="B442" s="13" t="n"/>
      <c r="C442" s="14" t="n"/>
      <c r="D442" s="14" t="n"/>
      <c r="E442" s="14" t="n"/>
      <c r="F442" s="11" t="str">
        <f>IF(AND($A442&lt;&gt;"",$A442=管理簿!$B$3,$B442&lt;&gt;""),COUNTIFS($A$4:$A$503,管理簿!$B$3,$B$4:$B$503,"&lt;"&amp;$B442)+COUNTIFS($A$4:$A442,管理簿!$B$3,$B$4:$B442,$B442),"")</f>
        <v/>
      </c>
    </row>
    <row r="443">
      <c r="A443" s="12" t="n"/>
      <c r="B443" s="13" t="n"/>
      <c r="C443" s="14" t="n"/>
      <c r="D443" s="14" t="n"/>
      <c r="E443" s="14" t="n"/>
      <c r="F443" s="11" t="str">
        <f>IF(AND($A443&lt;&gt;"",$A443=管理簿!$B$3,$B443&lt;&gt;""),COUNTIFS($A$4:$A$503,管理簿!$B$3,$B$4:$B$503,"&lt;"&amp;$B443)+COUNTIFS($A$4:$A443,管理簿!$B$3,$B$4:$B443,$B443),"")</f>
        <v/>
      </c>
    </row>
    <row r="444">
      <c r="A444" s="12" t="n"/>
      <c r="B444" s="13" t="n"/>
      <c r="C444" s="14" t="n"/>
      <c r="D444" s="14" t="n"/>
      <c r="E444" s="14" t="n"/>
      <c r="F444" s="11" t="str">
        <f>IF(AND($A444&lt;&gt;"",$A444=管理簿!$B$3,$B444&lt;&gt;""),COUNTIFS($A$4:$A$503,管理簿!$B$3,$B$4:$B$503,"&lt;"&amp;$B444)+COUNTIFS($A$4:$A444,管理簿!$B$3,$B$4:$B444,$B444),"")</f>
        <v/>
      </c>
    </row>
    <row r="445">
      <c r="A445" s="12" t="n"/>
      <c r="B445" s="13" t="n"/>
      <c r="C445" s="14" t="n"/>
      <c r="D445" s="14" t="n"/>
      <c r="E445" s="14" t="n"/>
      <c r="F445" s="11" t="str">
        <f>IF(AND($A445&lt;&gt;"",$A445=管理簿!$B$3,$B445&lt;&gt;""),COUNTIFS($A$4:$A$503,管理簿!$B$3,$B$4:$B$503,"&lt;"&amp;$B445)+COUNTIFS($A$4:$A445,管理簿!$B$3,$B$4:$B445,$B445),"")</f>
        <v/>
      </c>
    </row>
    <row r="446">
      <c r="A446" s="12" t="n"/>
      <c r="B446" s="13" t="n"/>
      <c r="C446" s="14" t="n"/>
      <c r="D446" s="14" t="n"/>
      <c r="E446" s="14" t="n"/>
      <c r="F446" s="11" t="str">
        <f>IF(AND($A446&lt;&gt;"",$A446=管理簿!$B$3,$B446&lt;&gt;""),COUNTIFS($A$4:$A$503,管理簿!$B$3,$B$4:$B$503,"&lt;"&amp;$B446)+COUNTIFS($A$4:$A446,管理簿!$B$3,$B$4:$B446,$B446),"")</f>
        <v/>
      </c>
    </row>
    <row r="447">
      <c r="A447" s="12" t="n"/>
      <c r="B447" s="13" t="n"/>
      <c r="C447" s="14" t="n"/>
      <c r="D447" s="14" t="n"/>
      <c r="E447" s="14" t="n"/>
      <c r="F447" s="11" t="str">
        <f>IF(AND($A447&lt;&gt;"",$A447=管理簿!$B$3,$B447&lt;&gt;""),COUNTIFS($A$4:$A$503,管理簿!$B$3,$B$4:$B$503,"&lt;"&amp;$B447)+COUNTIFS($A$4:$A447,管理簿!$B$3,$B$4:$B447,$B447),"")</f>
        <v/>
      </c>
    </row>
    <row r="448">
      <c r="A448" s="12" t="n"/>
      <c r="B448" s="13" t="n"/>
      <c r="C448" s="14" t="n"/>
      <c r="D448" s="14" t="n"/>
      <c r="E448" s="14" t="n"/>
      <c r="F448" s="11" t="str">
        <f>IF(AND($A448&lt;&gt;"",$A448=管理簿!$B$3,$B448&lt;&gt;""),COUNTIFS($A$4:$A$503,管理簿!$B$3,$B$4:$B$503,"&lt;"&amp;$B448)+COUNTIFS($A$4:$A448,管理簿!$B$3,$B$4:$B448,$B448),"")</f>
        <v/>
      </c>
    </row>
    <row r="449">
      <c r="A449" s="12" t="n"/>
      <c r="B449" s="13" t="n"/>
      <c r="C449" s="14" t="n"/>
      <c r="D449" s="14" t="n"/>
      <c r="E449" s="14" t="n"/>
      <c r="F449" s="11" t="str">
        <f>IF(AND($A449&lt;&gt;"",$A449=管理簿!$B$3,$B449&lt;&gt;""),COUNTIFS($A$4:$A$503,管理簿!$B$3,$B$4:$B$503,"&lt;"&amp;$B449)+COUNTIFS($A$4:$A449,管理簿!$B$3,$B$4:$B449,$B449),"")</f>
        <v/>
      </c>
    </row>
    <row r="450">
      <c r="A450" s="12" t="n"/>
      <c r="B450" s="13" t="n"/>
      <c r="C450" s="14" t="n"/>
      <c r="D450" s="14" t="n"/>
      <c r="E450" s="14" t="n"/>
      <c r="F450" s="11" t="str">
        <f>IF(AND($A450&lt;&gt;"",$A450=管理簿!$B$3,$B450&lt;&gt;""),COUNTIFS($A$4:$A$503,管理簿!$B$3,$B$4:$B$503,"&lt;"&amp;$B450)+COUNTIFS($A$4:$A450,管理簿!$B$3,$B$4:$B450,$B450),"")</f>
        <v/>
      </c>
    </row>
    <row r="451">
      <c r="A451" s="12" t="n"/>
      <c r="B451" s="13" t="n"/>
      <c r="C451" s="14" t="n"/>
      <c r="D451" s="14" t="n"/>
      <c r="E451" s="14" t="n"/>
      <c r="F451" s="11" t="str">
        <f>IF(AND($A451&lt;&gt;"",$A451=管理簿!$B$3,$B451&lt;&gt;""),COUNTIFS($A$4:$A$503,管理簿!$B$3,$B$4:$B$503,"&lt;"&amp;$B451)+COUNTIFS($A$4:$A451,管理簿!$B$3,$B$4:$B451,$B451),"")</f>
        <v/>
      </c>
    </row>
    <row r="452">
      <c r="A452" s="12" t="n"/>
      <c r="B452" s="13" t="n"/>
      <c r="C452" s="14" t="n"/>
      <c r="D452" s="14" t="n"/>
      <c r="E452" s="14" t="n"/>
      <c r="F452" s="11" t="str">
        <f>IF(AND($A452&lt;&gt;"",$A452=管理簿!$B$3,$B452&lt;&gt;""),COUNTIFS($A$4:$A$503,管理簿!$B$3,$B$4:$B$503,"&lt;"&amp;$B452)+COUNTIFS($A$4:$A452,管理簿!$B$3,$B$4:$B452,$B452),"")</f>
        <v/>
      </c>
    </row>
    <row r="453">
      <c r="A453" s="12" t="n"/>
      <c r="B453" s="13" t="n"/>
      <c r="C453" s="14" t="n"/>
      <c r="D453" s="14" t="n"/>
      <c r="E453" s="14" t="n"/>
      <c r="F453" s="11" t="str">
        <f>IF(AND($A453&lt;&gt;"",$A453=管理簿!$B$3,$B453&lt;&gt;""),COUNTIFS($A$4:$A$503,管理簿!$B$3,$B$4:$B$503,"&lt;"&amp;$B453)+COUNTIFS($A$4:$A453,管理簿!$B$3,$B$4:$B453,$B453),"")</f>
        <v/>
      </c>
    </row>
    <row r="454">
      <c r="A454" s="12" t="n"/>
      <c r="B454" s="13" t="n"/>
      <c r="C454" s="14" t="n"/>
      <c r="D454" s="14" t="n"/>
      <c r="E454" s="14" t="n"/>
      <c r="F454" s="11" t="str">
        <f>IF(AND($A454&lt;&gt;"",$A454=管理簿!$B$3,$B454&lt;&gt;""),COUNTIFS($A$4:$A$503,管理簿!$B$3,$B$4:$B$503,"&lt;"&amp;$B454)+COUNTIFS($A$4:$A454,管理簿!$B$3,$B$4:$B454,$B454),"")</f>
        <v/>
      </c>
    </row>
    <row r="455">
      <c r="A455" s="12" t="n"/>
      <c r="B455" s="13" t="n"/>
      <c r="C455" s="14" t="n"/>
      <c r="D455" s="14" t="n"/>
      <c r="E455" s="14" t="n"/>
      <c r="F455" s="11" t="str">
        <f>IF(AND($A455&lt;&gt;"",$A455=管理簿!$B$3,$B455&lt;&gt;""),COUNTIFS($A$4:$A$503,管理簿!$B$3,$B$4:$B$503,"&lt;"&amp;$B455)+COUNTIFS($A$4:$A455,管理簿!$B$3,$B$4:$B455,$B455),"")</f>
        <v/>
      </c>
    </row>
    <row r="456">
      <c r="A456" s="12" t="n"/>
      <c r="B456" s="13" t="n"/>
      <c r="C456" s="14" t="n"/>
      <c r="D456" s="14" t="n"/>
      <c r="E456" s="14" t="n"/>
      <c r="F456" s="11" t="str">
        <f>IF(AND($A456&lt;&gt;"",$A456=管理簿!$B$3,$B456&lt;&gt;""),COUNTIFS($A$4:$A$503,管理簿!$B$3,$B$4:$B$503,"&lt;"&amp;$B456)+COUNTIFS($A$4:$A456,管理簿!$B$3,$B$4:$B456,$B456),"")</f>
        <v/>
      </c>
    </row>
    <row r="457">
      <c r="A457" s="12" t="n"/>
      <c r="B457" s="13" t="n"/>
      <c r="C457" s="14" t="n"/>
      <c r="D457" s="14" t="n"/>
      <c r="E457" s="14" t="n"/>
      <c r="F457" s="11" t="str">
        <f>IF(AND($A457&lt;&gt;"",$A457=管理簿!$B$3,$B457&lt;&gt;""),COUNTIFS($A$4:$A$503,管理簿!$B$3,$B$4:$B$503,"&lt;"&amp;$B457)+COUNTIFS($A$4:$A457,管理簿!$B$3,$B$4:$B457,$B457),"")</f>
        <v/>
      </c>
    </row>
    <row r="458">
      <c r="A458" s="12" t="n"/>
      <c r="B458" s="13" t="n"/>
      <c r="C458" s="14" t="n"/>
      <c r="D458" s="14" t="n"/>
      <c r="E458" s="14" t="n"/>
      <c r="F458" s="11" t="str">
        <f>IF(AND($A458&lt;&gt;"",$A458=管理簿!$B$3,$B458&lt;&gt;""),COUNTIFS($A$4:$A$503,管理簿!$B$3,$B$4:$B$503,"&lt;"&amp;$B458)+COUNTIFS($A$4:$A458,管理簿!$B$3,$B$4:$B458,$B458),"")</f>
        <v/>
      </c>
    </row>
    <row r="459">
      <c r="A459" s="12" t="n"/>
      <c r="B459" s="13" t="n"/>
      <c r="C459" s="14" t="n"/>
      <c r="D459" s="14" t="n"/>
      <c r="E459" s="14" t="n"/>
      <c r="F459" s="11" t="str">
        <f>IF(AND($A459&lt;&gt;"",$A459=管理簿!$B$3,$B459&lt;&gt;""),COUNTIFS($A$4:$A$503,管理簿!$B$3,$B$4:$B$503,"&lt;"&amp;$B459)+COUNTIFS($A$4:$A459,管理簿!$B$3,$B$4:$B459,$B459),"")</f>
        <v/>
      </c>
    </row>
    <row r="460">
      <c r="A460" s="12" t="n"/>
      <c r="B460" s="13" t="n"/>
      <c r="C460" s="14" t="n"/>
      <c r="D460" s="14" t="n"/>
      <c r="E460" s="14" t="n"/>
      <c r="F460" s="11" t="str">
        <f>IF(AND($A460&lt;&gt;"",$A460=管理簿!$B$3,$B460&lt;&gt;""),COUNTIFS($A$4:$A$503,管理簿!$B$3,$B$4:$B$503,"&lt;"&amp;$B460)+COUNTIFS($A$4:$A460,管理簿!$B$3,$B$4:$B460,$B460),"")</f>
        <v/>
      </c>
    </row>
    <row r="461">
      <c r="A461" s="12" t="n"/>
      <c r="B461" s="13" t="n"/>
      <c r="C461" s="14" t="n"/>
      <c r="D461" s="14" t="n"/>
      <c r="E461" s="14" t="n"/>
      <c r="F461" s="11" t="str">
        <f>IF(AND($A461&lt;&gt;"",$A461=管理簿!$B$3,$B461&lt;&gt;""),COUNTIFS($A$4:$A$503,管理簿!$B$3,$B$4:$B$503,"&lt;"&amp;$B461)+COUNTIFS($A$4:$A461,管理簿!$B$3,$B$4:$B461,$B461),"")</f>
        <v/>
      </c>
    </row>
    <row r="462">
      <c r="A462" s="12" t="n"/>
      <c r="B462" s="13" t="n"/>
      <c r="C462" s="14" t="n"/>
      <c r="D462" s="14" t="n"/>
      <c r="E462" s="14" t="n"/>
      <c r="F462" s="11" t="str">
        <f>IF(AND($A462&lt;&gt;"",$A462=管理簿!$B$3,$B462&lt;&gt;""),COUNTIFS($A$4:$A$503,管理簿!$B$3,$B$4:$B$503,"&lt;"&amp;$B462)+COUNTIFS($A$4:$A462,管理簿!$B$3,$B$4:$B462,$B462),"")</f>
        <v/>
      </c>
    </row>
    <row r="463">
      <c r="A463" s="12" t="n"/>
      <c r="B463" s="13" t="n"/>
      <c r="C463" s="14" t="n"/>
      <c r="D463" s="14" t="n"/>
      <c r="E463" s="14" t="n"/>
      <c r="F463" s="11" t="str">
        <f>IF(AND($A463&lt;&gt;"",$A463=管理簿!$B$3,$B463&lt;&gt;""),COUNTIFS($A$4:$A$503,管理簿!$B$3,$B$4:$B$503,"&lt;"&amp;$B463)+COUNTIFS($A$4:$A463,管理簿!$B$3,$B$4:$B463,$B463),"")</f>
        <v/>
      </c>
    </row>
    <row r="464">
      <c r="A464" s="12" t="n"/>
      <c r="B464" s="13" t="n"/>
      <c r="C464" s="14" t="n"/>
      <c r="D464" s="14" t="n"/>
      <c r="E464" s="14" t="n"/>
      <c r="F464" s="11" t="str">
        <f>IF(AND($A464&lt;&gt;"",$A464=管理簿!$B$3,$B464&lt;&gt;""),COUNTIFS($A$4:$A$503,管理簿!$B$3,$B$4:$B$503,"&lt;"&amp;$B464)+COUNTIFS($A$4:$A464,管理簿!$B$3,$B$4:$B464,$B464),"")</f>
        <v/>
      </c>
    </row>
    <row r="465">
      <c r="A465" s="12" t="n"/>
      <c r="B465" s="13" t="n"/>
      <c r="C465" s="14" t="n"/>
      <c r="D465" s="14" t="n"/>
      <c r="E465" s="14" t="n"/>
      <c r="F465" s="11" t="str">
        <f>IF(AND($A465&lt;&gt;"",$A465=管理簿!$B$3,$B465&lt;&gt;""),COUNTIFS($A$4:$A$503,管理簿!$B$3,$B$4:$B$503,"&lt;"&amp;$B465)+COUNTIFS($A$4:$A465,管理簿!$B$3,$B$4:$B465,$B465),"")</f>
        <v/>
      </c>
    </row>
    <row r="466">
      <c r="A466" s="12" t="n"/>
      <c r="B466" s="13" t="n"/>
      <c r="C466" s="14" t="n"/>
      <c r="D466" s="14" t="n"/>
      <c r="E466" s="14" t="n"/>
      <c r="F466" s="11" t="str">
        <f>IF(AND($A466&lt;&gt;"",$A466=管理簿!$B$3,$B466&lt;&gt;""),COUNTIFS($A$4:$A$503,管理簿!$B$3,$B$4:$B$503,"&lt;"&amp;$B466)+COUNTIFS($A$4:$A466,管理簿!$B$3,$B$4:$B466,$B466),"")</f>
        <v/>
      </c>
    </row>
    <row r="467">
      <c r="A467" s="12" t="n"/>
      <c r="B467" s="13" t="n"/>
      <c r="C467" s="14" t="n"/>
      <c r="D467" s="14" t="n"/>
      <c r="E467" s="14" t="n"/>
      <c r="F467" s="11" t="str">
        <f>IF(AND($A467&lt;&gt;"",$A467=管理簿!$B$3,$B467&lt;&gt;""),COUNTIFS($A$4:$A$503,管理簿!$B$3,$B$4:$B$503,"&lt;"&amp;$B467)+COUNTIFS($A$4:$A467,管理簿!$B$3,$B$4:$B467,$B467),"")</f>
        <v/>
      </c>
    </row>
    <row r="468">
      <c r="A468" s="12" t="n"/>
      <c r="B468" s="13" t="n"/>
      <c r="C468" s="14" t="n"/>
      <c r="D468" s="14" t="n"/>
      <c r="E468" s="14" t="n"/>
      <c r="F468" s="11" t="str">
        <f>IF(AND($A468&lt;&gt;"",$A468=管理簿!$B$3,$B468&lt;&gt;""),COUNTIFS($A$4:$A$503,管理簿!$B$3,$B$4:$B$503,"&lt;"&amp;$B468)+COUNTIFS($A$4:$A468,管理簿!$B$3,$B$4:$B468,$B468),"")</f>
        <v/>
      </c>
    </row>
    <row r="469">
      <c r="A469" s="12" t="n"/>
      <c r="B469" s="13" t="n"/>
      <c r="C469" s="14" t="n"/>
      <c r="D469" s="14" t="n"/>
      <c r="E469" s="14" t="n"/>
      <c r="F469" s="11" t="str">
        <f>IF(AND($A469&lt;&gt;"",$A469=管理簿!$B$3,$B469&lt;&gt;""),COUNTIFS($A$4:$A$503,管理簿!$B$3,$B$4:$B$503,"&lt;"&amp;$B469)+COUNTIFS($A$4:$A469,管理簿!$B$3,$B$4:$B469,$B469),"")</f>
        <v/>
      </c>
    </row>
    <row r="470">
      <c r="A470" s="12" t="n"/>
      <c r="B470" s="13" t="n"/>
      <c r="C470" s="14" t="n"/>
      <c r="D470" s="14" t="n"/>
      <c r="E470" s="14" t="n"/>
      <c r="F470" s="11" t="str">
        <f>IF(AND($A470&lt;&gt;"",$A470=管理簿!$B$3,$B470&lt;&gt;""),COUNTIFS($A$4:$A$503,管理簿!$B$3,$B$4:$B$503,"&lt;"&amp;$B470)+COUNTIFS($A$4:$A470,管理簿!$B$3,$B$4:$B470,$B470),"")</f>
        <v/>
      </c>
    </row>
    <row r="471">
      <c r="A471" s="12" t="n"/>
      <c r="B471" s="13" t="n"/>
      <c r="C471" s="14" t="n"/>
      <c r="D471" s="14" t="n"/>
      <c r="E471" s="14" t="n"/>
      <c r="F471" s="11" t="str">
        <f>IF(AND($A471&lt;&gt;"",$A471=管理簿!$B$3,$B471&lt;&gt;""),COUNTIFS($A$4:$A$503,管理簿!$B$3,$B$4:$B$503,"&lt;"&amp;$B471)+COUNTIFS($A$4:$A471,管理簿!$B$3,$B$4:$B471,$B471),"")</f>
        <v/>
      </c>
    </row>
    <row r="472">
      <c r="A472" s="12" t="n"/>
      <c r="B472" s="13" t="n"/>
      <c r="C472" s="14" t="n"/>
      <c r="D472" s="14" t="n"/>
      <c r="E472" s="14" t="n"/>
      <c r="F472" s="11" t="str">
        <f>IF(AND($A472&lt;&gt;"",$A472=管理簿!$B$3,$B472&lt;&gt;""),COUNTIFS($A$4:$A$503,管理簿!$B$3,$B$4:$B$503,"&lt;"&amp;$B472)+COUNTIFS($A$4:$A472,管理簿!$B$3,$B$4:$B472,$B472),"")</f>
        <v/>
      </c>
    </row>
    <row r="473">
      <c r="A473" s="12" t="n"/>
      <c r="B473" s="13" t="n"/>
      <c r="C473" s="14" t="n"/>
      <c r="D473" s="14" t="n"/>
      <c r="E473" s="14" t="n"/>
      <c r="F473" s="11" t="str">
        <f>IF(AND($A473&lt;&gt;"",$A473=管理簿!$B$3,$B473&lt;&gt;""),COUNTIFS($A$4:$A$503,管理簿!$B$3,$B$4:$B$503,"&lt;"&amp;$B473)+COUNTIFS($A$4:$A473,管理簿!$B$3,$B$4:$B473,$B473),"")</f>
        <v/>
      </c>
    </row>
    <row r="474">
      <c r="A474" s="12" t="n"/>
      <c r="B474" s="13" t="n"/>
      <c r="C474" s="14" t="n"/>
      <c r="D474" s="14" t="n"/>
      <c r="E474" s="14" t="n"/>
      <c r="F474" s="11" t="str">
        <f>IF(AND($A474&lt;&gt;"",$A474=管理簿!$B$3,$B474&lt;&gt;""),COUNTIFS($A$4:$A$503,管理簿!$B$3,$B$4:$B$503,"&lt;"&amp;$B474)+COUNTIFS($A$4:$A474,管理簿!$B$3,$B$4:$B474,$B474),"")</f>
        <v/>
      </c>
    </row>
    <row r="475">
      <c r="A475" s="12" t="n"/>
      <c r="B475" s="13" t="n"/>
      <c r="C475" s="14" t="n"/>
      <c r="D475" s="14" t="n"/>
      <c r="E475" s="14" t="n"/>
      <c r="F475" s="11" t="str">
        <f>IF(AND($A475&lt;&gt;"",$A475=管理簿!$B$3,$B475&lt;&gt;""),COUNTIFS($A$4:$A$503,管理簿!$B$3,$B$4:$B$503,"&lt;"&amp;$B475)+COUNTIFS($A$4:$A475,管理簿!$B$3,$B$4:$B475,$B475),"")</f>
        <v/>
      </c>
    </row>
    <row r="476">
      <c r="A476" s="12" t="n"/>
      <c r="B476" s="13" t="n"/>
      <c r="C476" s="14" t="n"/>
      <c r="D476" s="14" t="n"/>
      <c r="E476" s="14" t="n"/>
      <c r="F476" s="11" t="str">
        <f>IF(AND($A476&lt;&gt;"",$A476=管理簿!$B$3,$B476&lt;&gt;""),COUNTIFS($A$4:$A$503,管理簿!$B$3,$B$4:$B$503,"&lt;"&amp;$B476)+COUNTIFS($A$4:$A476,管理簿!$B$3,$B$4:$B476,$B476),"")</f>
        <v/>
      </c>
    </row>
    <row r="477">
      <c r="A477" s="12" t="n"/>
      <c r="B477" s="13" t="n"/>
      <c r="C477" s="14" t="n"/>
      <c r="D477" s="14" t="n"/>
      <c r="E477" s="14" t="n"/>
      <c r="F477" s="11" t="str">
        <f>IF(AND($A477&lt;&gt;"",$A477=管理簿!$B$3,$B477&lt;&gt;""),COUNTIFS($A$4:$A$503,管理簿!$B$3,$B$4:$B$503,"&lt;"&amp;$B477)+COUNTIFS($A$4:$A477,管理簿!$B$3,$B$4:$B477,$B477),"")</f>
        <v/>
      </c>
    </row>
    <row r="478">
      <c r="A478" s="12" t="n"/>
      <c r="B478" s="13" t="n"/>
      <c r="C478" s="14" t="n"/>
      <c r="D478" s="14" t="n"/>
      <c r="E478" s="14" t="n"/>
      <c r="F478" s="11" t="str">
        <f>IF(AND($A478&lt;&gt;"",$A478=管理簿!$B$3,$B478&lt;&gt;""),COUNTIFS($A$4:$A$503,管理簿!$B$3,$B$4:$B$503,"&lt;"&amp;$B478)+COUNTIFS($A$4:$A478,管理簿!$B$3,$B$4:$B478,$B478),"")</f>
        <v/>
      </c>
    </row>
    <row r="479">
      <c r="A479" s="12" t="n"/>
      <c r="B479" s="13" t="n"/>
      <c r="C479" s="14" t="n"/>
      <c r="D479" s="14" t="n"/>
      <c r="E479" s="14" t="n"/>
      <c r="F479" s="11" t="str">
        <f>IF(AND($A479&lt;&gt;"",$A479=管理簿!$B$3,$B479&lt;&gt;""),COUNTIFS($A$4:$A$503,管理簿!$B$3,$B$4:$B$503,"&lt;"&amp;$B479)+COUNTIFS($A$4:$A479,管理簿!$B$3,$B$4:$B479,$B479),"")</f>
        <v/>
      </c>
    </row>
    <row r="480">
      <c r="A480" s="12" t="n"/>
      <c r="B480" s="13" t="n"/>
      <c r="C480" s="14" t="n"/>
      <c r="D480" s="14" t="n"/>
      <c r="E480" s="14" t="n"/>
      <c r="F480" s="11" t="str">
        <f>IF(AND($A480&lt;&gt;"",$A480=管理簿!$B$3,$B480&lt;&gt;""),COUNTIFS($A$4:$A$503,管理簿!$B$3,$B$4:$B$503,"&lt;"&amp;$B480)+COUNTIFS($A$4:$A480,管理簿!$B$3,$B$4:$B480,$B480),"")</f>
        <v/>
      </c>
    </row>
    <row r="481">
      <c r="A481" s="12" t="n"/>
      <c r="B481" s="13" t="n"/>
      <c r="C481" s="14" t="n"/>
      <c r="D481" s="14" t="n"/>
      <c r="E481" s="14" t="n"/>
      <c r="F481" s="11" t="str">
        <f>IF(AND($A481&lt;&gt;"",$A481=管理簿!$B$3,$B481&lt;&gt;""),COUNTIFS($A$4:$A$503,管理簿!$B$3,$B$4:$B$503,"&lt;"&amp;$B481)+COUNTIFS($A$4:$A481,管理簿!$B$3,$B$4:$B481,$B481),"")</f>
        <v/>
      </c>
    </row>
    <row r="482">
      <c r="A482" s="12" t="n"/>
      <c r="B482" s="13" t="n"/>
      <c r="C482" s="14" t="n"/>
      <c r="D482" s="14" t="n"/>
      <c r="E482" s="14" t="n"/>
      <c r="F482" s="11" t="str">
        <f>IF(AND($A482&lt;&gt;"",$A482=管理簿!$B$3,$B482&lt;&gt;""),COUNTIFS($A$4:$A$503,管理簿!$B$3,$B$4:$B$503,"&lt;"&amp;$B482)+COUNTIFS($A$4:$A482,管理簿!$B$3,$B$4:$B482,$B482),"")</f>
        <v/>
      </c>
    </row>
    <row r="483">
      <c r="A483" s="12" t="n"/>
      <c r="B483" s="13" t="n"/>
      <c r="C483" s="14" t="n"/>
      <c r="D483" s="14" t="n"/>
      <c r="E483" s="14" t="n"/>
      <c r="F483" s="11" t="str">
        <f>IF(AND($A483&lt;&gt;"",$A483=管理簿!$B$3,$B483&lt;&gt;""),COUNTIFS($A$4:$A$503,管理簿!$B$3,$B$4:$B$503,"&lt;"&amp;$B483)+COUNTIFS($A$4:$A483,管理簿!$B$3,$B$4:$B483,$B483),"")</f>
        <v/>
      </c>
    </row>
    <row r="484">
      <c r="A484" s="12" t="n"/>
      <c r="B484" s="13" t="n"/>
      <c r="C484" s="14" t="n"/>
      <c r="D484" s="14" t="n"/>
      <c r="E484" s="14" t="n"/>
      <c r="F484" s="11" t="str">
        <f>IF(AND($A484&lt;&gt;"",$A484=管理簿!$B$3,$B484&lt;&gt;""),COUNTIFS($A$4:$A$503,管理簿!$B$3,$B$4:$B$503,"&lt;"&amp;$B484)+COUNTIFS($A$4:$A484,管理簿!$B$3,$B$4:$B484,$B484),"")</f>
        <v/>
      </c>
    </row>
    <row r="485">
      <c r="A485" s="12" t="n"/>
      <c r="B485" s="13" t="n"/>
      <c r="C485" s="14" t="n"/>
      <c r="D485" s="14" t="n"/>
      <c r="E485" s="14" t="n"/>
      <c r="F485" s="11" t="str">
        <f>IF(AND($A485&lt;&gt;"",$A485=管理簿!$B$3,$B485&lt;&gt;""),COUNTIFS($A$4:$A$503,管理簿!$B$3,$B$4:$B$503,"&lt;"&amp;$B485)+COUNTIFS($A$4:$A485,管理簿!$B$3,$B$4:$B485,$B485),"")</f>
        <v/>
      </c>
    </row>
    <row r="486">
      <c r="A486" s="12" t="n"/>
      <c r="B486" s="13" t="n"/>
      <c r="C486" s="14" t="n"/>
      <c r="D486" s="14" t="n"/>
      <c r="E486" s="14" t="n"/>
      <c r="F486" s="11" t="str">
        <f>IF(AND($A486&lt;&gt;"",$A486=管理簿!$B$3,$B486&lt;&gt;""),COUNTIFS($A$4:$A$503,管理簿!$B$3,$B$4:$B$503,"&lt;"&amp;$B486)+COUNTIFS($A$4:$A486,管理簿!$B$3,$B$4:$B486,$B486),"")</f>
        <v/>
      </c>
    </row>
    <row r="487">
      <c r="A487" s="12" t="n"/>
      <c r="B487" s="13" t="n"/>
      <c r="C487" s="14" t="n"/>
      <c r="D487" s="14" t="n"/>
      <c r="E487" s="14" t="n"/>
      <c r="F487" s="11" t="str">
        <f>IF(AND($A487&lt;&gt;"",$A487=管理簿!$B$3,$B487&lt;&gt;""),COUNTIFS($A$4:$A$503,管理簿!$B$3,$B$4:$B$503,"&lt;"&amp;$B487)+COUNTIFS($A$4:$A487,管理簿!$B$3,$B$4:$B487,$B487),"")</f>
        <v/>
      </c>
    </row>
    <row r="488">
      <c r="A488" s="12" t="n"/>
      <c r="B488" s="13" t="n"/>
      <c r="C488" s="14" t="n"/>
      <c r="D488" s="14" t="n"/>
      <c r="E488" s="14" t="n"/>
      <c r="F488" s="11" t="str">
        <f>IF(AND($A488&lt;&gt;"",$A488=管理簿!$B$3,$B488&lt;&gt;""),COUNTIFS($A$4:$A$503,管理簿!$B$3,$B$4:$B$503,"&lt;"&amp;$B488)+COUNTIFS($A$4:$A488,管理簿!$B$3,$B$4:$B488,$B488),"")</f>
        <v/>
      </c>
    </row>
    <row r="489">
      <c r="A489" s="12" t="n"/>
      <c r="B489" s="13" t="n"/>
      <c r="C489" s="14" t="n"/>
      <c r="D489" s="14" t="n"/>
      <c r="E489" s="14" t="n"/>
      <c r="F489" s="11" t="str">
        <f>IF(AND($A489&lt;&gt;"",$A489=管理簿!$B$3,$B489&lt;&gt;""),COUNTIFS($A$4:$A$503,管理簿!$B$3,$B$4:$B$503,"&lt;"&amp;$B489)+COUNTIFS($A$4:$A489,管理簿!$B$3,$B$4:$B489,$B489),"")</f>
        <v/>
      </c>
    </row>
    <row r="490">
      <c r="A490" s="12" t="n"/>
      <c r="B490" s="13" t="n"/>
      <c r="C490" s="14" t="n"/>
      <c r="D490" s="14" t="n"/>
      <c r="E490" s="14" t="n"/>
      <c r="F490" s="11" t="str">
        <f>IF(AND($A490&lt;&gt;"",$A490=管理簿!$B$3,$B490&lt;&gt;""),COUNTIFS($A$4:$A$503,管理簿!$B$3,$B$4:$B$503,"&lt;"&amp;$B490)+COUNTIFS($A$4:$A490,管理簿!$B$3,$B$4:$B490,$B490),"")</f>
        <v/>
      </c>
    </row>
    <row r="491">
      <c r="A491" s="12" t="n"/>
      <c r="B491" s="13" t="n"/>
      <c r="C491" s="14" t="n"/>
      <c r="D491" s="14" t="n"/>
      <c r="E491" s="14" t="n"/>
      <c r="F491" s="11" t="str">
        <f>IF(AND($A491&lt;&gt;"",$A491=管理簿!$B$3,$B491&lt;&gt;""),COUNTIFS($A$4:$A$503,管理簿!$B$3,$B$4:$B$503,"&lt;"&amp;$B491)+COUNTIFS($A$4:$A491,管理簿!$B$3,$B$4:$B491,$B491),"")</f>
        <v/>
      </c>
    </row>
    <row r="492">
      <c r="A492" s="12" t="n"/>
      <c r="B492" s="13" t="n"/>
      <c r="C492" s="14" t="n"/>
      <c r="D492" s="14" t="n"/>
      <c r="E492" s="14" t="n"/>
      <c r="F492" s="11" t="str">
        <f>IF(AND($A492&lt;&gt;"",$A492=管理簿!$B$3,$B492&lt;&gt;""),COUNTIFS($A$4:$A$503,管理簿!$B$3,$B$4:$B$503,"&lt;"&amp;$B492)+COUNTIFS($A$4:$A492,管理簿!$B$3,$B$4:$B492,$B492),"")</f>
        <v/>
      </c>
    </row>
    <row r="493">
      <c r="A493" s="12" t="n"/>
      <c r="B493" s="13" t="n"/>
      <c r="C493" s="14" t="n"/>
      <c r="D493" s="14" t="n"/>
      <c r="E493" s="14" t="n"/>
      <c r="F493" s="11" t="str">
        <f>IF(AND($A493&lt;&gt;"",$A493=管理簿!$B$3,$B493&lt;&gt;""),COUNTIFS($A$4:$A$503,管理簿!$B$3,$B$4:$B$503,"&lt;"&amp;$B493)+COUNTIFS($A$4:$A493,管理簿!$B$3,$B$4:$B493,$B493),"")</f>
        <v/>
      </c>
    </row>
    <row r="494">
      <c r="A494" s="12" t="n"/>
      <c r="B494" s="13" t="n"/>
      <c r="C494" s="14" t="n"/>
      <c r="D494" s="14" t="n"/>
      <c r="E494" s="14" t="n"/>
      <c r="F494" s="11" t="str">
        <f>IF(AND($A494&lt;&gt;"",$A494=管理簿!$B$3,$B494&lt;&gt;""),COUNTIFS($A$4:$A$503,管理簿!$B$3,$B$4:$B$503,"&lt;"&amp;$B494)+COUNTIFS($A$4:$A494,管理簿!$B$3,$B$4:$B494,$B494),"")</f>
        <v/>
      </c>
    </row>
    <row r="495">
      <c r="A495" s="12" t="n"/>
      <c r="B495" s="13" t="n"/>
      <c r="C495" s="14" t="n"/>
      <c r="D495" s="14" t="n"/>
      <c r="E495" s="14" t="n"/>
      <c r="F495" s="11" t="str">
        <f>IF(AND($A495&lt;&gt;"",$A495=管理簿!$B$3,$B495&lt;&gt;""),COUNTIFS($A$4:$A$503,管理簿!$B$3,$B$4:$B$503,"&lt;"&amp;$B495)+COUNTIFS($A$4:$A495,管理簿!$B$3,$B$4:$B495,$B495),"")</f>
        <v/>
      </c>
    </row>
    <row r="496">
      <c r="A496" s="12" t="n"/>
      <c r="B496" s="13" t="n"/>
      <c r="C496" s="14" t="n"/>
      <c r="D496" s="14" t="n"/>
      <c r="E496" s="14" t="n"/>
      <c r="F496" s="11" t="str">
        <f>IF(AND($A496&lt;&gt;"",$A496=管理簿!$B$3,$B496&lt;&gt;""),COUNTIFS($A$4:$A$503,管理簿!$B$3,$B$4:$B$503,"&lt;"&amp;$B496)+COUNTIFS($A$4:$A496,管理簿!$B$3,$B$4:$B496,$B496),"")</f>
        <v/>
      </c>
    </row>
    <row r="497">
      <c r="A497" s="12" t="n"/>
      <c r="B497" s="13" t="n"/>
      <c r="C497" s="14" t="n"/>
      <c r="D497" s="14" t="n"/>
      <c r="E497" s="14" t="n"/>
      <c r="F497" s="11" t="str">
        <f>IF(AND($A497&lt;&gt;"",$A497=管理簿!$B$3,$B497&lt;&gt;""),COUNTIFS($A$4:$A$503,管理簿!$B$3,$B$4:$B$503,"&lt;"&amp;$B497)+COUNTIFS($A$4:$A497,管理簿!$B$3,$B$4:$B497,$B497),"")</f>
        <v/>
      </c>
    </row>
    <row r="498">
      <c r="A498" s="12" t="n"/>
      <c r="B498" s="13" t="n"/>
      <c r="C498" s="14" t="n"/>
      <c r="D498" s="14" t="n"/>
      <c r="E498" s="14" t="n"/>
      <c r="F498" s="11" t="str">
        <f>IF(AND($A498&lt;&gt;"",$A498=管理簿!$B$3,$B498&lt;&gt;""),COUNTIFS($A$4:$A$503,管理簿!$B$3,$B$4:$B$503,"&lt;"&amp;$B498)+COUNTIFS($A$4:$A498,管理簿!$B$3,$B$4:$B498,$B498),"")</f>
        <v/>
      </c>
    </row>
    <row r="499">
      <c r="A499" s="12" t="n"/>
      <c r="B499" s="13" t="n"/>
      <c r="C499" s="14" t="n"/>
      <c r="D499" s="14" t="n"/>
      <c r="E499" s="14" t="n"/>
      <c r="F499" s="11" t="str">
        <f>IF(AND($A499&lt;&gt;"",$A499=管理簿!$B$3,$B499&lt;&gt;""),COUNTIFS($A$4:$A$503,管理簿!$B$3,$B$4:$B$503,"&lt;"&amp;$B499)+COUNTIFS($A$4:$A499,管理簿!$B$3,$B$4:$B499,$B499),"")</f>
        <v/>
      </c>
    </row>
    <row r="500">
      <c r="A500" s="12" t="n"/>
      <c r="B500" s="13" t="n"/>
      <c r="C500" s="14" t="n"/>
      <c r="D500" s="14" t="n"/>
      <c r="E500" s="14" t="n"/>
      <c r="F500" s="11" t="str">
        <f>IF(AND($A500&lt;&gt;"",$A500=管理簿!$B$3,$B500&lt;&gt;""),COUNTIFS($A$4:$A$503,管理簿!$B$3,$B$4:$B$503,"&lt;"&amp;$B500)+COUNTIFS($A$4:$A500,管理簿!$B$3,$B$4:$B500,$B500),"")</f>
        <v/>
      </c>
    </row>
    <row r="501">
      <c r="A501" s="12" t="n"/>
      <c r="B501" s="13" t="n"/>
      <c r="C501" s="14" t="n"/>
      <c r="D501" s="14" t="n"/>
      <c r="E501" s="14" t="n"/>
      <c r="F501" s="11" t="str">
        <f>IF(AND($A501&lt;&gt;"",$A501=管理簿!$B$3,$B501&lt;&gt;""),COUNTIFS($A$4:$A$503,管理簿!$B$3,$B$4:$B$503,"&lt;"&amp;$B501)+COUNTIFS($A$4:$A501,管理簿!$B$3,$B$4:$B501,$B501),"")</f>
        <v/>
      </c>
    </row>
    <row r="502">
      <c r="A502" s="12" t="n"/>
      <c r="B502" s="13" t="n"/>
      <c r="C502" s="14" t="n"/>
      <c r="D502" s="14" t="n"/>
      <c r="E502" s="14" t="n"/>
      <c r="F502" s="11" t="str">
        <f>IF(AND($A502&lt;&gt;"",$A502=管理簿!$B$3,$B502&lt;&gt;""),COUNTIFS($A$4:$A$503,管理簿!$B$3,$B$4:$B$503,"&lt;"&amp;$B502)+COUNTIFS($A$4:$A502,管理簿!$B$3,$B$4:$B502,$B502),"")</f>
        <v/>
      </c>
    </row>
    <row r="503">
      <c r="A503" s="12" t="n"/>
      <c r="B503" s="13" t="n"/>
      <c r="C503" s="14" t="n"/>
      <c r="D503" s="14" t="n"/>
      <c r="E503" s="14" t="n"/>
      <c r="F503" s="11" t="str">
        <f>IF(AND($A503&lt;&gt;"",$A503=管理簿!$B$3,$B503&lt;&gt;""),COUNTIFS($A$4:$A$503,管理簿!$B$3,$B$4:$B$503,"&lt;"&amp;$B503)+COUNTIFS($A$4:$A503,管理簿!$B$3,$B$4:$B503,$B503),"")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dataValidations count="5">
    <dataValidation sqref="A4:A503" showDropDown="0" showInputMessage="0" showErrorMessage="0" allowBlank="1" type="list">
      <formula1>=従業員!$A$4:$A$53</formula1>
    </dataValidation>
    <dataValidation sqref="D4:D503" showDropDown="0" showInputMessage="0" showErrorMessage="0" allowBlank="1" type="list">
      <formula1>"全日,半日,時間単位,計画的付与"</formula1>
    </dataValidation>
    <dataValidation sqref="C4:C503" showDropDown="0" showInputMessage="0" showErrorMessage="0" allowBlank="1" error="日数は 0.5 または 1 を入れてください" type="decimal" operator="between">
      <formula1>0</formula1>
      <formula2>1</formula2>
    </dataValidation>
    <dataValidation sqref="B4:B503" showDropDown="0" showInputMessage="0" showErrorMessage="0" allowBlank="1" error="日付を 2025/4/1 の形で入力してください" type="date" operator="greaterThan">
      <formula1>1</formula1>
    </dataValidation>
    <dataValidation sqref="E4:E503" showDropDown="0" showInputMessage="0" showErrorMessage="0" allowBlank="1" type="decimal" operator="greaterThanOrEqual">
      <formula1>0</formula1>
    </dataValidation>
  </dataValidations>
  <pageMargins left="0.5" right="0.5" top="0.6" bottom="0.6" header="0.3" footer="0.3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1" customWidth="1" min="3" max="3"/>
    <col width="11" customWidth="1" min="4" max="4"/>
    <col width="12" customWidth="1" min="5" max="5"/>
    <col width="14" customWidth="1" min="6" max="6"/>
    <col width="24" customWidth="1" min="7" max="7"/>
  </cols>
  <sheetData>
    <row r="1">
      <c r="A1" s="36" t="inlineStr">
        <is>
          <t>付与スケジュール（入社から先の基準日と年5日の期限）</t>
        </is>
      </c>
      <c r="H1" s="37" t="n"/>
    </row>
    <row r="2">
      <c r="A2" s="2" t="inlineStr">
        <is>
          <t>氏名</t>
        </is>
      </c>
      <c r="B2" s="6" t="inlineStr">
        <is>
          <t>山田 太郎（例）</t>
        </is>
      </c>
      <c r="C2" s="48" t="n"/>
      <c r="D2" s="43" t="inlineStr">
        <is>
          <t>← プルダウンで氏名を選びます</t>
        </is>
      </c>
      <c r="H2" s="44">
        <f>IFERROR(MATCH($B$2,従業員!$A$4:$A$53,0),"")</f>
        <v>1</v>
      </c>
    </row>
    <row r="3">
      <c r="A3" s="2" t="inlineStr">
        <is>
          <t>雇入日</t>
        </is>
      </c>
      <c r="B3" s="15">
        <f>IF($H$2="","",INDEX(従業員!$B$4:$B$53,$H$2))</f>
        <v>45383</v>
      </c>
      <c r="C3" s="2" t="inlineStr">
        <is>
          <t>区分</t>
        </is>
      </c>
      <c r="D3" s="9" t="str">
        <f>IF($H$2="","",INDEX(従業員!$I$4:$I$53,$H$2))</f>
        <v>通常</v>
      </c>
      <c r="E3" s="2" t="inlineStr">
        <is>
          <t>判定日</t>
        </is>
      </c>
      <c r="F3" s="15">
        <f>判定日</f>
        <v>46303</v>
      </c>
      <c r="G3" s="37" t="n"/>
      <c r="H3" s="37" t="n"/>
    </row>
    <row r="4">
      <c r="A4" s="37" t="n"/>
      <c r="B4" s="37" t="n"/>
      <c r="C4" s="37" t="n"/>
      <c r="D4" s="37" t="n"/>
      <c r="E4" s="37" t="n"/>
      <c r="F4" s="37" t="n"/>
      <c r="G4" s="37" t="n"/>
      <c r="H4" s="37" t="n"/>
    </row>
    <row r="5">
      <c r="A5" s="8" t="inlineStr">
        <is>
          <t>回</t>
        </is>
      </c>
      <c r="B5" s="8" t="inlineStr">
        <is>
          <t>基準日</t>
        </is>
      </c>
      <c r="C5" s="8" t="inlineStr">
        <is>
          <t>勤続（月）</t>
        </is>
      </c>
      <c r="D5" s="8" t="inlineStr">
        <is>
          <t>付与日数</t>
        </is>
      </c>
      <c r="E5" s="8" t="inlineStr">
        <is>
          <t>年5日の対象</t>
        </is>
      </c>
      <c r="F5" s="8" t="inlineStr">
        <is>
          <t>年5日の期限</t>
        </is>
      </c>
      <c r="G5" s="8" t="inlineStr">
        <is>
          <t>メモ</t>
        </is>
      </c>
      <c r="H5" s="37" t="n"/>
    </row>
    <row r="6">
      <c r="A6" s="9" t="n">
        <v>1</v>
      </c>
      <c r="B6" s="15">
        <f>IF($H$2="","",IF(INDEX(従業員!$J$4:$J$53,$H$2)="","",IF(DAY(EDATE(INDEX(従業員!$J$4:$J$53,$H$2),12*(0)))&lt;DAY(INDEX(従業員!$J$4:$J$53,$H$2)),EDATE(INDEX(従業員!$J$4:$J$53,$H$2),12*(0))+1,EDATE(INDEX(従業員!$J$4:$J$53,$H$2),12*(0)))))</f>
        <v>45566</v>
      </c>
      <c r="C6" s="9">
        <f>IF($B6="","",6)</f>
        <v>6</v>
      </c>
      <c r="D6" s="9">
        <f>IF($B6="","",IF(OR($D$3="入力待ち",LEFT($D$3,3)="区分外"),"",INDEX(tbl_fuyo,MATCH($D$3,区分名,0),1)))</f>
        <v>10</v>
      </c>
      <c r="E6" s="9" t="str">
        <f>IF($D6="","",IF($D6&gt;=10,"対象","対象外"))</f>
        <v>対象</v>
      </c>
      <c r="F6" s="15">
        <f>IF($E6="対象",IF(DAY(EDATE($B6,12))&lt;DAY($B6),EDATE($B6,12),EDATE($B6,12)-1),"")</f>
        <v>45930</v>
      </c>
      <c r="G6" s="41" t="str">
        <f>IF($B6="","",IF(AND(判定日&gt;=$B6,OR($B7="",判定日&lt;$B7)),"← 判定日はこの期間",""))</f>
        <v/>
      </c>
      <c r="H6" s="37" t="n"/>
    </row>
    <row r="7">
      <c r="A7" s="9" t="n">
        <v>2</v>
      </c>
      <c r="B7" s="15">
        <f>IF($H$2="","",IF(INDEX(従業員!$J$4:$J$53,$H$2)="","",IF(DAY(EDATE(INDEX(従業員!$J$4:$J$53,$H$2),12*(1)))&lt;DAY(INDEX(従業員!$J$4:$J$53,$H$2)),EDATE(INDEX(従業員!$J$4:$J$53,$H$2),12*(1))+1,EDATE(INDEX(従業員!$J$4:$J$53,$H$2),12*(1)))))</f>
        <v>45931</v>
      </c>
      <c r="C7" s="9">
        <f>IF($B7="","",18)</f>
        <v>18</v>
      </c>
      <c r="D7" s="9">
        <f>IF($B7="","",IF(OR($D$3="入力待ち",LEFT($D$3,3)="区分外"),"",INDEX(tbl_fuyo,MATCH($D$3,区分名,0),2)))</f>
        <v>11</v>
      </c>
      <c r="E7" s="9" t="str">
        <f>IF($D7="","",IF($D7&gt;=10,"対象","対象外"))</f>
        <v>対象</v>
      </c>
      <c r="F7" s="15">
        <f>IF($E7="対象",IF(DAY(EDATE($B7,12))&lt;DAY($B7),EDATE($B7,12),EDATE($B7,12)-1),"")</f>
        <v>46295</v>
      </c>
      <c r="G7" s="41" t="str">
        <f>IF($B7="","",IF(AND(判定日&gt;=$B7,OR($B8="",判定日&lt;$B8)),"← 判定日はこの期間",""))</f>
        <v/>
      </c>
      <c r="H7" s="37" t="n"/>
    </row>
    <row r="8">
      <c r="A8" s="9" t="n">
        <v>3</v>
      </c>
      <c r="B8" s="15">
        <f>IF($H$2="","",IF(INDEX(従業員!$J$4:$J$53,$H$2)="","",IF(DAY(EDATE(INDEX(従業員!$J$4:$J$53,$H$2),12*(2)))&lt;DAY(INDEX(従業員!$J$4:$J$53,$H$2)),EDATE(INDEX(従業員!$J$4:$J$53,$H$2),12*(2))+1,EDATE(INDEX(従業員!$J$4:$J$53,$H$2),12*(2)))))</f>
        <v>46296</v>
      </c>
      <c r="C8" s="9">
        <f>IF($B8="","",30)</f>
        <v>30</v>
      </c>
      <c r="D8" s="9">
        <f>IF($B8="","",IF(OR($D$3="入力待ち",LEFT($D$3,3)="区分外"),"",INDEX(tbl_fuyo,MATCH($D$3,区分名,0),3)))</f>
        <v>12</v>
      </c>
      <c r="E8" s="9" t="str">
        <f>IF($D8="","",IF($D8&gt;=10,"対象","対象外"))</f>
        <v>対象</v>
      </c>
      <c r="F8" s="15">
        <f>IF($E8="対象",IF(DAY(EDATE($B8,12))&lt;DAY($B8),EDATE($B8,12),EDATE($B8,12)-1),"")</f>
        <v>46660</v>
      </c>
      <c r="G8" s="41" t="str">
        <f>IF($B8="","",IF(AND(判定日&gt;=$B8,OR($B9="",判定日&lt;$B9)),"← 判定日はこの期間",""))</f>
        <v>← 判定日はこの期間</v>
      </c>
      <c r="H8" s="37" t="n"/>
    </row>
    <row r="9">
      <c r="A9" s="9" t="n">
        <v>4</v>
      </c>
      <c r="B9" s="15">
        <f>IF($H$2="","",IF(INDEX(従業員!$J$4:$J$53,$H$2)="","",IF(DAY(EDATE(INDEX(従業員!$J$4:$J$53,$H$2),12*(3)))&lt;DAY(INDEX(従業員!$J$4:$J$53,$H$2)),EDATE(INDEX(従業員!$J$4:$J$53,$H$2),12*(3))+1,EDATE(INDEX(従業員!$J$4:$J$53,$H$2),12*(3)))))</f>
        <v>46661</v>
      </c>
      <c r="C9" s="9">
        <f>IF($B9="","",42)</f>
        <v>42</v>
      </c>
      <c r="D9" s="9">
        <f>IF($B9="","",IF(OR($D$3="入力待ち",LEFT($D$3,3)="区分外"),"",INDEX(tbl_fuyo,MATCH($D$3,区分名,0),4)))</f>
        <v>14</v>
      </c>
      <c r="E9" s="9" t="str">
        <f>IF($D9="","",IF($D9&gt;=10,"対象","対象外"))</f>
        <v>対象</v>
      </c>
      <c r="F9" s="15">
        <f>IF($E9="対象",IF(DAY(EDATE($B9,12))&lt;DAY($B9),EDATE($B9,12),EDATE($B9,12)-1),"")</f>
        <v>47026</v>
      </c>
      <c r="G9" s="41" t="str">
        <f>IF($B9="","",IF(AND(判定日&gt;=$B9,OR($B10="",判定日&lt;$B10)),"← 判定日はこの期間",""))</f>
        <v/>
      </c>
      <c r="H9" s="37" t="n"/>
    </row>
    <row r="10">
      <c r="A10" s="9" t="n">
        <v>5</v>
      </c>
      <c r="B10" s="15">
        <f>IF($H$2="","",IF(INDEX(従業員!$J$4:$J$53,$H$2)="","",IF(DAY(EDATE(INDEX(従業員!$J$4:$J$53,$H$2),12*(4)))&lt;DAY(INDEX(従業員!$J$4:$J$53,$H$2)),EDATE(INDEX(従業員!$J$4:$J$53,$H$2),12*(4))+1,EDATE(INDEX(従業員!$J$4:$J$53,$H$2),12*(4)))))</f>
        <v>47027</v>
      </c>
      <c r="C10" s="9">
        <f>IF($B10="","",54)</f>
        <v>54</v>
      </c>
      <c r="D10" s="9">
        <f>IF($B10="","",IF(OR($D$3="入力待ち",LEFT($D$3,3)="区分外"),"",INDEX(tbl_fuyo,MATCH($D$3,区分名,0),5)))</f>
        <v>16</v>
      </c>
      <c r="E10" s="9" t="str">
        <f>IF($D10="","",IF($D10&gt;=10,"対象","対象外"))</f>
        <v>対象</v>
      </c>
      <c r="F10" s="15">
        <f>IF($E10="対象",IF(DAY(EDATE($B10,12))&lt;DAY($B10),EDATE($B10,12),EDATE($B10,12)-1),"")</f>
        <v>47391</v>
      </c>
      <c r="G10" s="41" t="str">
        <f>IF($B10="","",IF(AND(判定日&gt;=$B10,OR($B11="",判定日&lt;$B11)),"← 判定日はこの期間",""))</f>
        <v/>
      </c>
      <c r="H10" s="37" t="n"/>
    </row>
    <row r="11">
      <c r="A11" s="9" t="n">
        <v>6</v>
      </c>
      <c r="B11" s="15">
        <f>IF($H$2="","",IF(INDEX(従業員!$J$4:$J$53,$H$2)="","",IF(DAY(EDATE(INDEX(従業員!$J$4:$J$53,$H$2),12*(5)))&lt;DAY(INDEX(従業員!$J$4:$J$53,$H$2)),EDATE(INDEX(従業員!$J$4:$J$53,$H$2),12*(5))+1,EDATE(INDEX(従業員!$J$4:$J$53,$H$2),12*(5)))))</f>
        <v>47392</v>
      </c>
      <c r="C11" s="9">
        <f>IF($B11="","",66)</f>
        <v>66</v>
      </c>
      <c r="D11" s="9">
        <f>IF($B11="","",IF(OR($D$3="入力待ち",LEFT($D$3,3)="区分外"),"",INDEX(tbl_fuyo,MATCH($D$3,区分名,0),6)))</f>
        <v>18</v>
      </c>
      <c r="E11" s="9" t="str">
        <f>IF($D11="","",IF($D11&gt;=10,"対象","対象外"))</f>
        <v>対象</v>
      </c>
      <c r="F11" s="15">
        <f>IF($E11="対象",IF(DAY(EDATE($B11,12))&lt;DAY($B11),EDATE($B11,12),EDATE($B11,12)-1),"")</f>
        <v>47756</v>
      </c>
      <c r="G11" s="41" t="str">
        <f>IF($B11="","",IF(AND(判定日&gt;=$B11,OR($B12="",判定日&lt;$B12)),"← 判定日はこの期間",""))</f>
        <v/>
      </c>
      <c r="H11" s="37" t="n"/>
    </row>
    <row r="12">
      <c r="A12" s="9" t="n">
        <v>7</v>
      </c>
      <c r="B12" s="15">
        <f>IF($H$2="","",IF(INDEX(従業員!$J$4:$J$53,$H$2)="","",IF(DAY(EDATE(INDEX(従業員!$J$4:$J$53,$H$2),12*(6)))&lt;DAY(INDEX(従業員!$J$4:$J$53,$H$2)),EDATE(INDEX(従業員!$J$4:$J$53,$H$2),12*(6))+1,EDATE(INDEX(従業員!$J$4:$J$53,$H$2),12*(6)))))</f>
        <v>47757</v>
      </c>
      <c r="C12" s="9">
        <f>IF($B12="","",78)</f>
        <v>78</v>
      </c>
      <c r="D12" s="9">
        <f>IF($B12="","",IF(OR($D$3="入力待ち",LEFT($D$3,3)="区分外"),"",INDEX(tbl_fuyo,MATCH($D$3,区分名,0),7)))</f>
        <v>20</v>
      </c>
      <c r="E12" s="9" t="str">
        <f>IF($D12="","",IF($D12&gt;=10,"対象","対象外"))</f>
        <v>対象</v>
      </c>
      <c r="F12" s="15">
        <f>IF($E12="対象",IF(DAY(EDATE($B12,12))&lt;DAY($B12),EDATE($B12,12),EDATE($B12,12)-1),"")</f>
        <v>48121</v>
      </c>
      <c r="G12" s="41" t="str">
        <f>IF($B12="","",IF(AND(判定日&gt;=$B12,OR($B13="",判定日&lt;$B13)),"← 判定日はこの期間",""))</f>
        <v/>
      </c>
      <c r="H12" s="37" t="n"/>
    </row>
    <row r="13">
      <c r="A13" s="9" t="n">
        <v>8</v>
      </c>
      <c r="B13" s="15">
        <f>IF($H$2="","",IF(INDEX(従業員!$J$4:$J$53,$H$2)="","",IF(DAY(EDATE(INDEX(従業員!$J$4:$J$53,$H$2),12*(7)))&lt;DAY(INDEX(従業員!$J$4:$J$53,$H$2)),EDATE(INDEX(従業員!$J$4:$J$53,$H$2),12*(7))+1,EDATE(INDEX(従業員!$J$4:$J$53,$H$2),12*(7)))))</f>
        <v>48122</v>
      </c>
      <c r="C13" s="9">
        <f>IF($B13="","",90)</f>
        <v>90</v>
      </c>
      <c r="D13" s="9">
        <f>IF($B13="","",IF(OR($D$3="入力待ち",LEFT($D$3,3)="区分外"),"",INDEX(tbl_fuyo,MATCH($D$3,区分名,0),7)))</f>
        <v>20</v>
      </c>
      <c r="E13" s="9" t="str">
        <f>IF($D13="","",IF($D13&gt;=10,"対象","対象外"))</f>
        <v>対象</v>
      </c>
      <c r="F13" s="15">
        <f>IF($E13="対象",IF(DAY(EDATE($B13,12))&lt;DAY($B13),EDATE($B13,12),EDATE($B13,12)-1),"")</f>
        <v>48487</v>
      </c>
      <c r="G13" s="41" t="str">
        <f>IF($B13="","",IF(AND(判定日&gt;=$B13,OR(""="",判定日&lt;"")),"← 判定日はこの期間",""))</f>
        <v/>
      </c>
      <c r="H13" s="37" t="n"/>
    </row>
    <row r="14">
      <c r="A14" s="37" t="n"/>
      <c r="B14" s="37" t="n"/>
      <c r="C14" s="37" t="n"/>
      <c r="D14" s="37" t="n"/>
      <c r="E14" s="37" t="n"/>
      <c r="F14" s="37" t="n"/>
      <c r="G14" s="37" t="n"/>
      <c r="H14" s="37" t="n"/>
    </row>
    <row r="15" ht="44" customHeight="1">
      <c r="A15" s="38" t="inlineStr">
        <is>
          <t>基準日は民法143条2項の期間計算に従います（月末入社などで応当日が無い月は月末に満了し、基準日はその翌日）。付与日数は『出勤率が全労働日の8割以上』を前提とした日数です（8割未満の場合、その後1年間は付与不要・39条2項ただし書）。H列に会社が実際に付与した日を入れた人は、その日を起点にしたこの表で確認してください。</t>
        </is>
      </c>
      <c r="H15" s="37" t="n"/>
    </row>
  </sheetData>
  <mergeCells count="4">
    <mergeCell ref="D2:G2"/>
    <mergeCell ref="B2:C2"/>
    <mergeCell ref="A1:G1"/>
    <mergeCell ref="A15:G15"/>
  </mergeCells>
  <conditionalFormatting sqref="A6:G13">
    <cfRule type="expression" priority="1" dxfId="3">
      <formula>LEFT($G6,1)="←"</formula>
    </cfRule>
  </conditionalFormatting>
  <dataValidations count="1">
    <dataValidation sqref="B2" showDropDown="0" showInputMessage="0" showErrorMessage="0" allowBlank="0" type="list">
      <formula1>=従業員!$A$4:$A$53</formula1>
    </dataValidation>
  </dataValidations>
  <pageMargins left="0.5" right="0.5" top="0.6" bottom="0.6" header="0.3" footer="0.3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7" customWidth="1" min="7" max="7"/>
    <col width="9" customWidth="1" min="8" max="8"/>
  </cols>
  <sheetData>
    <row r="1">
      <c r="A1" s="36" t="inlineStr">
        <is>
          <t>年次有給休暇管理簿（労働基準法施行規則24条の7）</t>
        </is>
      </c>
      <c r="G1" s="37" t="n"/>
      <c r="H1" s="37" t="n"/>
    </row>
    <row r="2">
      <c r="A2" s="37" t="n"/>
      <c r="B2" s="37" t="n"/>
      <c r="C2" s="37" t="n"/>
      <c r="D2" s="37" t="n"/>
      <c r="E2" s="37" t="n"/>
      <c r="F2" s="37" t="n"/>
      <c r="G2" s="37" t="n"/>
      <c r="H2" s="37" t="n"/>
    </row>
    <row r="3">
      <c r="A3" s="2" t="inlineStr">
        <is>
          <t>氏名</t>
        </is>
      </c>
      <c r="B3" s="6" t="inlineStr">
        <is>
          <t>山田 太郎（例）</t>
        </is>
      </c>
      <c r="C3" s="48" t="n"/>
      <c r="D3" s="2" t="inlineStr">
        <is>
          <t>雇入日</t>
        </is>
      </c>
      <c r="E3" s="15">
        <f>IF($H$3="","",INDEX(従業員!$B$4:$B$53,$H$3))</f>
        <v>45383</v>
      </c>
      <c r="F3" s="37" t="n"/>
      <c r="G3" s="37" t="n"/>
      <c r="H3" s="44">
        <f>IFERROR(MATCH($B$3,従業員!$A$4:$A$53,0),"")</f>
        <v>1</v>
      </c>
    </row>
    <row r="4">
      <c r="A4" s="2" t="inlineStr">
        <is>
          <t>区分</t>
        </is>
      </c>
      <c r="B4" s="9" t="str">
        <f>IF($H$3="","",INDEX(従業員!$I$4:$I$53,$H$3))</f>
        <v>通常</v>
      </c>
      <c r="C4" s="47" t="n"/>
      <c r="D4" s="2" t="inlineStr">
        <is>
          <t>作成基準日</t>
        </is>
      </c>
      <c r="E4" s="15">
        <f>判定日</f>
        <v>46303</v>
      </c>
      <c r="F4" s="37" t="n"/>
      <c r="G4" s="37" t="n"/>
      <c r="H4" s="44">
        <f>IF($H$3="","",N(INDEX(従業員!$K$4:$K$53,$H$3)))</f>
        <v>3</v>
      </c>
    </row>
    <row r="5">
      <c r="A5" s="37" t="n"/>
      <c r="B5" s="37" t="n"/>
      <c r="C5" s="37" t="n"/>
      <c r="D5" s="37" t="n"/>
      <c r="E5" s="37" t="n"/>
      <c r="F5" s="37" t="n"/>
      <c r="G5" s="37" t="n"/>
      <c r="H5" s="45">
        <f>IF($H$3="","",INDEX(従業員!$J$4:$J$53,$H$3))</f>
        <v>45566</v>
      </c>
    </row>
    <row r="6">
      <c r="A6" s="7" t="inlineStr">
        <is>
          <t>【基準日・日数】直近8回分まで</t>
        </is>
      </c>
      <c r="B6" s="46" t="n"/>
      <c r="C6" s="46" t="n"/>
      <c r="D6" s="46" t="n"/>
      <c r="E6" s="46" t="n"/>
      <c r="F6" s="47" t="n"/>
      <c r="G6" s="37" t="n"/>
      <c r="H6" s="37" t="n"/>
    </row>
    <row r="7" ht="32" customHeight="1">
      <c r="A7" s="8" t="inlineStr">
        <is>
          <t>基準日</t>
        </is>
      </c>
      <c r="B7" s="8" t="inlineStr">
        <is>
          <t>付与日数</t>
        </is>
      </c>
      <c r="C7" s="8" t="inlineStr">
        <is>
          <t>取得日数
（日・半日）</t>
        </is>
      </c>
      <c r="D7" s="8" t="inlineStr">
        <is>
          <t>うち時間単位
（時間）</t>
        </is>
      </c>
      <c r="E7" s="8" t="inlineStr">
        <is>
          <t>残日数
（繰越を除く）</t>
        </is>
      </c>
      <c r="F7" s="8" t="inlineStr">
        <is>
          <t>年5日</t>
        </is>
      </c>
      <c r="G7" s="37" t="n"/>
      <c r="H7" s="37" t="n"/>
    </row>
    <row r="8">
      <c r="A8" s="15">
        <f>IF($G8="","",IF(DAY(EDATE($H$5,12*($G8-1)))&lt;DAY($H$5),EDATE($H$5,12*($G8-1))+1,EDATE($H$5,12*($G8-1))))</f>
        <v>45566</v>
      </c>
      <c r="B8" s="9">
        <f>IF($G8="","",IF(AND($G8=$H$4,INDEX(従業員!$G$4:$G$53,$H$3)="×"),0,IF(OR($B$4="入力待ち",LEFT($B$4,3)="区分外"),"",INDEX(tbl_fuyo,MATCH($B$4,区分名,0),MIN($G8,7)))))</f>
        <v>10</v>
      </c>
      <c r="C8" s="18">
        <f>IF($G8="","",SUMIFS(取得日!$C$4:$C$503,取得日!$A$4:$A$503,$B$3,取得日!$B$4:$B$503,"&gt;="&amp;$A8,取得日!$B$4:$B$503,"&lt;"&amp;IF(DAY(EDATE($H$5,12*($G8)))&lt;DAY($H$5),EDATE($H$5,12*($G8))+1,EDATE($H$5,12*($G8))),取得日!$D$4:$D$503,"&lt;&gt;時間単位"))</f>
        <v>5</v>
      </c>
      <c r="D8" s="21">
        <f>IF($G8="","",SUMIFS(取得日!$E$4:$E$503,取得日!$A$4:$A$503,$B$3,取得日!$B$4:$B$503,"&gt;="&amp;$A8,取得日!$B$4:$B$503,"&lt;"&amp;IF(DAY(EDATE($H$5,12*($G8)))&lt;DAY($H$5),EDATE($H$5,12*($G8))+1,EDATE($H$5,12*($G8))),取得日!$D$4:$D$503,"時間単位"))</f>
        <v>0</v>
      </c>
      <c r="E8" s="18">
        <f>IF(OR($G8="",$B8=""),"",$B8-$C8)</f>
        <v>5</v>
      </c>
      <c r="F8" s="9" t="str">
        <f>IF(OR($G8="",$B8=""),"",IF($B8&lt;10,"対象外",IF($C8&gt;=5,"達成",IF(IF(DAY(EDATE($H$5,12*($G8)))&lt;DAY($H$5),EDATE($H$5,12*($G8))+1,EDATE($H$5,12*($G8)))&lt;=判定日,"未達","取得中"))))</f>
        <v>達成</v>
      </c>
      <c r="G8" s="44">
        <f>IF(OR($H$3="",N($H$4)&lt;1),"",IF(MAX(1,$H$4-7)+0&lt;=$H$4,MAX(1,$H$4-7)+0,""))</f>
        <v>1</v>
      </c>
      <c r="H8" s="37" t="n"/>
    </row>
    <row r="9">
      <c r="A9" s="15">
        <f>IF($G9="","",IF(DAY(EDATE($H$5,12*($G9-1)))&lt;DAY($H$5),EDATE($H$5,12*($G9-1))+1,EDATE($H$5,12*($G9-1))))</f>
        <v>45931</v>
      </c>
      <c r="B9" s="9">
        <f>IF($G9="","",IF(AND($G9=$H$4,INDEX(従業員!$G$4:$G$53,$H$3)="×"),0,IF(OR($B$4="入力待ち",LEFT($B$4,3)="区分外"),"",INDEX(tbl_fuyo,MATCH($B$4,区分名,0),MIN($G9,7)))))</f>
        <v>11</v>
      </c>
      <c r="C9" s="18">
        <f>IF($G9="","",SUMIFS(取得日!$C$4:$C$503,取得日!$A$4:$A$503,$B$3,取得日!$B$4:$B$503,"&gt;="&amp;$A9,取得日!$B$4:$B$503,"&lt;"&amp;IF(DAY(EDATE($H$5,12*($G9)))&lt;DAY($H$5),EDATE($H$5,12*($G9))+1,EDATE($H$5,12*($G9))),取得日!$D$4:$D$503,"&lt;&gt;時間単位"))</f>
        <v>2.5</v>
      </c>
      <c r="D9" s="21">
        <f>IF($G9="","",SUMIFS(取得日!$E$4:$E$503,取得日!$A$4:$A$503,$B$3,取得日!$B$4:$B$503,"&gt;="&amp;$A9,取得日!$B$4:$B$503,"&lt;"&amp;IF(DAY(EDATE($H$5,12*($G9)))&lt;DAY($H$5),EDATE($H$5,12*($G9))+1,EDATE($H$5,12*($G9))),取得日!$D$4:$D$503,"時間単位"))</f>
        <v>2</v>
      </c>
      <c r="E9" s="18">
        <f>IF(OR($G9="",$B9=""),"",$B9-$C9)</f>
        <v>8.5</v>
      </c>
      <c r="F9" s="9" t="str">
        <f>IF(OR($G9="",$B9=""),"",IF($B9&lt;10,"対象外",IF($C9&gt;=5,"達成",IF(IF(DAY(EDATE($H$5,12*($G9)))&lt;DAY($H$5),EDATE($H$5,12*($G9))+1,EDATE($H$5,12*($G9)))&lt;=判定日,"未達","取得中"))))</f>
        <v>未達</v>
      </c>
      <c r="G9" s="44">
        <f>IF(OR($H$3="",N($H$4)&lt;1),"",IF(MAX(1,$H$4-7)+1&lt;=$H$4,MAX(1,$H$4-7)+1,""))</f>
        <v>2</v>
      </c>
      <c r="H9" s="37" t="n"/>
    </row>
    <row r="10">
      <c r="A10" s="15">
        <f>IF($G10="","",IF(DAY(EDATE($H$5,12*($G10-1)))&lt;DAY($H$5),EDATE($H$5,12*($G10-1))+1,EDATE($H$5,12*($G10-1))))</f>
        <v>46296</v>
      </c>
      <c r="B10" s="9">
        <f>IF($G10="","",IF(AND($G10=$H$4,INDEX(従業員!$G$4:$G$53,$H$3)="×"),0,IF(OR($B$4="入力待ち",LEFT($B$4,3)="区分外"),"",INDEX(tbl_fuyo,MATCH($B$4,区分名,0),MIN($G10,7)))))</f>
        <v>12</v>
      </c>
      <c r="C10" s="18">
        <f>IF($G10="","",SUMIFS(取得日!$C$4:$C$503,取得日!$A$4:$A$503,$B$3,取得日!$B$4:$B$503,"&gt;="&amp;$A10,取得日!$B$4:$B$503,"&lt;"&amp;IF(DAY(EDATE($H$5,12*($G10)))&lt;DAY($H$5),EDATE($H$5,12*($G10))+1,EDATE($H$5,12*($G10))),取得日!$D$4:$D$503,"&lt;&gt;時間単位"))</f>
        <v>0</v>
      </c>
      <c r="D10" s="21">
        <f>IF($G10="","",SUMIFS(取得日!$E$4:$E$503,取得日!$A$4:$A$503,$B$3,取得日!$B$4:$B$503,"&gt;="&amp;$A10,取得日!$B$4:$B$503,"&lt;"&amp;IF(DAY(EDATE($H$5,12*($G10)))&lt;DAY($H$5),EDATE($H$5,12*($G10))+1,EDATE($H$5,12*($G10))),取得日!$D$4:$D$503,"時間単位"))</f>
        <v>0</v>
      </c>
      <c r="E10" s="18">
        <f>IF(OR($G10="",$B10=""),"",$B10-$C10)</f>
        <v>12</v>
      </c>
      <c r="F10" s="9" t="str">
        <f>IF(OR($G10="",$B10=""),"",IF($B10&lt;10,"対象外",IF($C10&gt;=5,"達成",IF(IF(DAY(EDATE($H$5,12*($G10)))&lt;DAY($H$5),EDATE($H$5,12*($G10))+1,EDATE($H$5,12*($G10)))&lt;=判定日,"未達","取得中"))))</f>
        <v>取得中</v>
      </c>
      <c r="G10" s="44">
        <f>IF(OR($H$3="",N($H$4)&lt;1),"",IF(MAX(1,$H$4-7)+2&lt;=$H$4,MAX(1,$H$4-7)+2,""))</f>
        <v>3</v>
      </c>
      <c r="H10" s="37" t="n"/>
    </row>
    <row r="11">
      <c r="A11" s="15" t="str">
        <f>IF($G11="","",IF(DAY(EDATE($H$5,12*($G11-1)))&lt;DAY($H$5),EDATE($H$5,12*($G11-1))+1,EDATE($H$5,12*($G11-1))))</f>
        <v/>
      </c>
      <c r="B11" s="9" t="str">
        <f>IF($G11="","",IF(AND($G11=$H$4,INDEX(従業員!$G$4:$G$53,$H$3)="×"),0,IF(OR($B$4="入力待ち",LEFT($B$4,3)="区分外"),"",INDEX(tbl_fuyo,MATCH($B$4,区分名,0),MIN($G11,7)))))</f>
        <v/>
      </c>
      <c r="C11" s="18" t="str">
        <f>IF($G11="","",SUMIFS(取得日!$C$4:$C$503,取得日!$A$4:$A$503,$B$3,取得日!$B$4:$B$503,"&gt;="&amp;$A11,取得日!$B$4:$B$503,"&lt;"&amp;IF(DAY(EDATE($H$5,12*($G11)))&lt;DAY($H$5),EDATE($H$5,12*($G11))+1,EDATE($H$5,12*($G11))),取得日!$D$4:$D$503,"&lt;&gt;時間単位"))</f>
        <v/>
      </c>
      <c r="D11" s="21" t="str">
        <f>IF($G11="","",SUMIFS(取得日!$E$4:$E$503,取得日!$A$4:$A$503,$B$3,取得日!$B$4:$B$503,"&gt;="&amp;$A11,取得日!$B$4:$B$503,"&lt;"&amp;IF(DAY(EDATE($H$5,12*($G11)))&lt;DAY($H$5),EDATE($H$5,12*($G11))+1,EDATE($H$5,12*($G11))),取得日!$D$4:$D$503,"時間単位"))</f>
        <v/>
      </c>
      <c r="E11" s="18" t="str">
        <f>IF(OR($G11="",$B11=""),"",$B11-$C11)</f>
        <v/>
      </c>
      <c r="F11" s="9" t="str">
        <f>IF(OR($G11="",$B11=""),"",IF($B11&lt;10,"対象外",IF($C11&gt;=5,"達成",IF(IF(DAY(EDATE($H$5,12*($G11)))&lt;DAY($H$5),EDATE($H$5,12*($G11))+1,EDATE($H$5,12*($G11)))&lt;=判定日,"未達","取得中"))))</f>
        <v/>
      </c>
      <c r="G11" s="44" t="str">
        <f>IF(OR($H$3="",N($H$4)&lt;1),"",IF(MAX(1,$H$4-7)+3&lt;=$H$4,MAX(1,$H$4-7)+3,""))</f>
        <v/>
      </c>
      <c r="H11" s="37" t="n"/>
    </row>
    <row r="12">
      <c r="A12" s="15" t="str">
        <f>IF($G12="","",IF(DAY(EDATE($H$5,12*($G12-1)))&lt;DAY($H$5),EDATE($H$5,12*($G12-1))+1,EDATE($H$5,12*($G12-1))))</f>
        <v/>
      </c>
      <c r="B12" s="9" t="str">
        <f>IF($G12="","",IF(AND($G12=$H$4,INDEX(従業員!$G$4:$G$53,$H$3)="×"),0,IF(OR($B$4="入力待ち",LEFT($B$4,3)="区分外"),"",INDEX(tbl_fuyo,MATCH($B$4,区分名,0),MIN($G12,7)))))</f>
        <v/>
      </c>
      <c r="C12" s="18" t="str">
        <f>IF($G12="","",SUMIFS(取得日!$C$4:$C$503,取得日!$A$4:$A$503,$B$3,取得日!$B$4:$B$503,"&gt;="&amp;$A12,取得日!$B$4:$B$503,"&lt;"&amp;IF(DAY(EDATE($H$5,12*($G12)))&lt;DAY($H$5),EDATE($H$5,12*($G12))+1,EDATE($H$5,12*($G12))),取得日!$D$4:$D$503,"&lt;&gt;時間単位"))</f>
        <v/>
      </c>
      <c r="D12" s="21" t="str">
        <f>IF($G12="","",SUMIFS(取得日!$E$4:$E$503,取得日!$A$4:$A$503,$B$3,取得日!$B$4:$B$503,"&gt;="&amp;$A12,取得日!$B$4:$B$503,"&lt;"&amp;IF(DAY(EDATE($H$5,12*($G12)))&lt;DAY($H$5),EDATE($H$5,12*($G12))+1,EDATE($H$5,12*($G12))),取得日!$D$4:$D$503,"時間単位"))</f>
        <v/>
      </c>
      <c r="E12" s="18" t="str">
        <f>IF(OR($G12="",$B12=""),"",$B12-$C12)</f>
        <v/>
      </c>
      <c r="F12" s="9" t="str">
        <f>IF(OR($G12="",$B12=""),"",IF($B12&lt;10,"対象外",IF($C12&gt;=5,"達成",IF(IF(DAY(EDATE($H$5,12*($G12)))&lt;DAY($H$5),EDATE($H$5,12*($G12))+1,EDATE($H$5,12*($G12)))&lt;=判定日,"未達","取得中"))))</f>
        <v/>
      </c>
      <c r="G12" s="44" t="str">
        <f>IF(OR($H$3="",N($H$4)&lt;1),"",IF(MAX(1,$H$4-7)+4&lt;=$H$4,MAX(1,$H$4-7)+4,""))</f>
        <v/>
      </c>
      <c r="H12" s="37" t="n"/>
    </row>
    <row r="13">
      <c r="A13" s="15" t="str">
        <f>IF($G13="","",IF(DAY(EDATE($H$5,12*($G13-1)))&lt;DAY($H$5),EDATE($H$5,12*($G13-1))+1,EDATE($H$5,12*($G13-1))))</f>
        <v/>
      </c>
      <c r="B13" s="9" t="str">
        <f>IF($G13="","",IF(AND($G13=$H$4,INDEX(従業員!$G$4:$G$53,$H$3)="×"),0,IF(OR($B$4="入力待ち",LEFT($B$4,3)="区分外"),"",INDEX(tbl_fuyo,MATCH($B$4,区分名,0),MIN($G13,7)))))</f>
        <v/>
      </c>
      <c r="C13" s="18" t="str">
        <f>IF($G13="","",SUMIFS(取得日!$C$4:$C$503,取得日!$A$4:$A$503,$B$3,取得日!$B$4:$B$503,"&gt;="&amp;$A13,取得日!$B$4:$B$503,"&lt;"&amp;IF(DAY(EDATE($H$5,12*($G13)))&lt;DAY($H$5),EDATE($H$5,12*($G13))+1,EDATE($H$5,12*($G13))),取得日!$D$4:$D$503,"&lt;&gt;時間単位"))</f>
        <v/>
      </c>
      <c r="D13" s="21" t="str">
        <f>IF($G13="","",SUMIFS(取得日!$E$4:$E$503,取得日!$A$4:$A$503,$B$3,取得日!$B$4:$B$503,"&gt;="&amp;$A13,取得日!$B$4:$B$503,"&lt;"&amp;IF(DAY(EDATE($H$5,12*($G13)))&lt;DAY($H$5),EDATE($H$5,12*($G13))+1,EDATE($H$5,12*($G13))),取得日!$D$4:$D$503,"時間単位"))</f>
        <v/>
      </c>
      <c r="E13" s="18" t="str">
        <f>IF(OR($G13="",$B13=""),"",$B13-$C13)</f>
        <v/>
      </c>
      <c r="F13" s="9" t="str">
        <f>IF(OR($G13="",$B13=""),"",IF($B13&lt;10,"対象外",IF($C13&gt;=5,"達成",IF(IF(DAY(EDATE($H$5,12*($G13)))&lt;DAY($H$5),EDATE($H$5,12*($G13))+1,EDATE($H$5,12*($G13)))&lt;=判定日,"未達","取得中"))))</f>
        <v/>
      </c>
      <c r="G13" s="44" t="str">
        <f>IF(OR($H$3="",N($H$4)&lt;1),"",IF(MAX(1,$H$4-7)+5&lt;=$H$4,MAX(1,$H$4-7)+5,""))</f>
        <v/>
      </c>
      <c r="H13" s="37" t="n"/>
    </row>
    <row r="14">
      <c r="A14" s="15" t="str">
        <f>IF($G14="","",IF(DAY(EDATE($H$5,12*($G14-1)))&lt;DAY($H$5),EDATE($H$5,12*($G14-1))+1,EDATE($H$5,12*($G14-1))))</f>
        <v/>
      </c>
      <c r="B14" s="9" t="str">
        <f>IF($G14="","",IF(AND($G14=$H$4,INDEX(従業員!$G$4:$G$53,$H$3)="×"),0,IF(OR($B$4="入力待ち",LEFT($B$4,3)="区分外"),"",INDEX(tbl_fuyo,MATCH($B$4,区分名,0),MIN($G14,7)))))</f>
        <v/>
      </c>
      <c r="C14" s="18" t="str">
        <f>IF($G14="","",SUMIFS(取得日!$C$4:$C$503,取得日!$A$4:$A$503,$B$3,取得日!$B$4:$B$503,"&gt;="&amp;$A14,取得日!$B$4:$B$503,"&lt;"&amp;IF(DAY(EDATE($H$5,12*($G14)))&lt;DAY($H$5),EDATE($H$5,12*($G14))+1,EDATE($H$5,12*($G14))),取得日!$D$4:$D$503,"&lt;&gt;時間単位"))</f>
        <v/>
      </c>
      <c r="D14" s="21" t="str">
        <f>IF($G14="","",SUMIFS(取得日!$E$4:$E$503,取得日!$A$4:$A$503,$B$3,取得日!$B$4:$B$503,"&gt;="&amp;$A14,取得日!$B$4:$B$503,"&lt;"&amp;IF(DAY(EDATE($H$5,12*($G14)))&lt;DAY($H$5),EDATE($H$5,12*($G14))+1,EDATE($H$5,12*($G14))),取得日!$D$4:$D$503,"時間単位"))</f>
        <v/>
      </c>
      <c r="E14" s="18" t="str">
        <f>IF(OR($G14="",$B14=""),"",$B14-$C14)</f>
        <v/>
      </c>
      <c r="F14" s="9" t="str">
        <f>IF(OR($G14="",$B14=""),"",IF($B14&lt;10,"対象外",IF($C14&gt;=5,"達成",IF(IF(DAY(EDATE($H$5,12*($G14)))&lt;DAY($H$5),EDATE($H$5,12*($G14))+1,EDATE($H$5,12*($G14)))&lt;=判定日,"未達","取得中"))))</f>
        <v/>
      </c>
      <c r="G14" s="44" t="str">
        <f>IF(OR($H$3="",N($H$4)&lt;1),"",IF(MAX(1,$H$4-7)+6&lt;=$H$4,MAX(1,$H$4-7)+6,""))</f>
        <v/>
      </c>
      <c r="H14" s="37" t="n"/>
    </row>
    <row r="15">
      <c r="A15" s="15" t="str">
        <f>IF($G15="","",IF(DAY(EDATE($H$5,12*($G15-1)))&lt;DAY($H$5),EDATE($H$5,12*($G15-1))+1,EDATE($H$5,12*($G15-1))))</f>
        <v/>
      </c>
      <c r="B15" s="9" t="str">
        <f>IF($G15="","",IF(AND($G15=$H$4,INDEX(従業員!$G$4:$G$53,$H$3)="×"),0,IF(OR($B$4="入力待ち",LEFT($B$4,3)="区分外"),"",INDEX(tbl_fuyo,MATCH($B$4,区分名,0),MIN($G15,7)))))</f>
        <v/>
      </c>
      <c r="C15" s="18" t="str">
        <f>IF($G15="","",SUMIFS(取得日!$C$4:$C$503,取得日!$A$4:$A$503,$B$3,取得日!$B$4:$B$503,"&gt;="&amp;$A15,取得日!$B$4:$B$503,"&lt;"&amp;IF(DAY(EDATE($H$5,12*($G15)))&lt;DAY($H$5),EDATE($H$5,12*($G15))+1,EDATE($H$5,12*($G15))),取得日!$D$4:$D$503,"&lt;&gt;時間単位"))</f>
        <v/>
      </c>
      <c r="D15" s="21" t="str">
        <f>IF($G15="","",SUMIFS(取得日!$E$4:$E$503,取得日!$A$4:$A$503,$B$3,取得日!$B$4:$B$503,"&gt;="&amp;$A15,取得日!$B$4:$B$503,"&lt;"&amp;IF(DAY(EDATE($H$5,12*($G15)))&lt;DAY($H$5),EDATE($H$5,12*($G15))+1,EDATE($H$5,12*($G15))),取得日!$D$4:$D$503,"時間単位"))</f>
        <v/>
      </c>
      <c r="E15" s="18" t="str">
        <f>IF(OR($G15="",$B15=""),"",$B15-$C15)</f>
        <v/>
      </c>
      <c r="F15" s="9" t="str">
        <f>IF(OR($G15="",$B15=""),"",IF($B15&lt;10,"対象外",IF($C15&gt;=5,"達成",IF(IF(DAY(EDATE($H$5,12*($G15)))&lt;DAY($H$5),EDATE($H$5,12*($G15))+1,EDATE($H$5,12*($G15)))&lt;=判定日,"未達","取得中"))))</f>
        <v/>
      </c>
      <c r="G15" s="44" t="str">
        <f>IF(OR($H$3="",N($H$4)&lt;1),"",IF(MAX(1,$H$4-7)+7&lt;=$H$4,MAX(1,$H$4-7)+7,""))</f>
        <v/>
      </c>
      <c r="H15" s="37" t="n"/>
    </row>
    <row r="16">
      <c r="A16" s="37" t="n"/>
      <c r="B16" s="37" t="n"/>
      <c r="C16" s="37" t="n"/>
      <c r="D16" s="37" t="n"/>
      <c r="E16" s="37" t="n"/>
      <c r="F16" s="37" t="n"/>
      <c r="G16" s="37" t="n"/>
      <c r="H16" s="37" t="n"/>
    </row>
    <row r="17">
      <c r="A17" s="7" t="inlineStr">
        <is>
          <t>【時季】取得した日（日付順）</t>
        </is>
      </c>
      <c r="B17" s="46" t="n"/>
      <c r="C17" s="46" t="n"/>
      <c r="D17" s="46" t="n"/>
      <c r="E17" s="46" t="n"/>
      <c r="F17" s="47" t="n"/>
      <c r="G17" s="37" t="n"/>
      <c r="H17" s="37" t="n"/>
    </row>
    <row r="18" ht="30" customHeight="1">
      <c r="A18" s="8" t="inlineStr">
        <is>
          <t>No.</t>
        </is>
      </c>
      <c r="B18" s="8" t="inlineStr">
        <is>
          <t>取得日</t>
        </is>
      </c>
      <c r="C18" s="8" t="inlineStr">
        <is>
          <t>日数</t>
        </is>
      </c>
      <c r="D18" s="8" t="inlineStr">
        <is>
          <t>種別</t>
        </is>
      </c>
      <c r="E18" s="8" t="inlineStr">
        <is>
          <t>時間数
（時間単位）</t>
        </is>
      </c>
      <c r="F18" s="37" t="n"/>
      <c r="G18" s="37" t="n"/>
      <c r="H18" s="37" t="n"/>
    </row>
    <row r="19">
      <c r="A19" s="9">
        <f>IF(ISNUMBER(MATCH(1,取得日!$F$4:$F$503,0)),1,"")</f>
        <v>1</v>
      </c>
      <c r="B19" s="15">
        <f>IF($A19="","",IF(INDEX(取得日!$B$4:$B$503,MATCH($A19,取得日!$F$4:$F$503,0))="","",INDEX(取得日!$B$4:$B$503,MATCH($A19,取得日!$F$4:$F$503,0))))</f>
        <v>45646</v>
      </c>
      <c r="C19" s="18">
        <f>IF($A19="","",IF(INDEX(取得日!$C$4:$C$503,MATCH($A19,取得日!$F$4:$F$503,0))="","",INDEX(取得日!$C$4:$C$503,MATCH($A19,取得日!$F$4:$F$503,0))))</f>
        <v>1</v>
      </c>
      <c r="D19" s="9" t="str">
        <f>IF($A19="","",IF(INDEX(取得日!$D$4:$D$503,MATCH($A19,取得日!$F$4:$F$503,0))="","",INDEX(取得日!$D$4:$D$503,MATCH($A19,取得日!$F$4:$F$503,0))))</f>
        <v>全日</v>
      </c>
      <c r="E19" s="21" t="str">
        <f>IF($A19="","",IF(INDEX(取得日!$E$4:$E$503,MATCH($A19,取得日!$F$4:$F$503,0))="","",INDEX(取得日!$E$4:$E$503,MATCH($A19,取得日!$F$4:$F$503,0))))</f>
        <v/>
      </c>
      <c r="F19" s="37" t="n"/>
      <c r="G19" s="37" t="n"/>
      <c r="H19" s="37" t="n"/>
    </row>
    <row r="20">
      <c r="A20" s="9">
        <f>IF(ISNUMBER(MATCH(2,取得日!$F$4:$F$503,0)),2,"")</f>
        <v>2</v>
      </c>
      <c r="B20" s="15">
        <f>IF($A20="","",IF(INDEX(取得日!$B$4:$B$503,MATCH($A20,取得日!$F$4:$F$503,0))="","",INDEX(取得日!$B$4:$B$503,MATCH($A20,取得日!$F$4:$F$503,0))))</f>
        <v>45730</v>
      </c>
      <c r="C20" s="18">
        <f>IF($A20="","",IF(INDEX(取得日!$C$4:$C$503,MATCH($A20,取得日!$F$4:$F$503,0))="","",INDEX(取得日!$C$4:$C$503,MATCH($A20,取得日!$F$4:$F$503,0))))</f>
        <v>1</v>
      </c>
      <c r="D20" s="9" t="str">
        <f>IF($A20="","",IF(INDEX(取得日!$D$4:$D$503,MATCH($A20,取得日!$F$4:$F$503,0))="","",INDEX(取得日!$D$4:$D$503,MATCH($A20,取得日!$F$4:$F$503,0))))</f>
        <v>全日</v>
      </c>
      <c r="E20" s="21" t="str">
        <f>IF($A20="","",IF(INDEX(取得日!$E$4:$E$503,MATCH($A20,取得日!$F$4:$F$503,0))="","",INDEX(取得日!$E$4:$E$503,MATCH($A20,取得日!$F$4:$F$503,0))))</f>
        <v/>
      </c>
      <c r="F20" s="37" t="n"/>
      <c r="G20" s="37" t="n"/>
      <c r="H20" s="37" t="n"/>
    </row>
    <row r="21">
      <c r="A21" s="9">
        <f>IF(ISNUMBER(MATCH(3,取得日!$F$4:$F$503,0)),3,"")</f>
        <v>3</v>
      </c>
      <c r="B21" s="15">
        <f>IF($A21="","",IF(INDEX(取得日!$B$4:$B$503,MATCH($A21,取得日!$F$4:$F$503,0))="","",INDEX(取得日!$B$4:$B$503,MATCH($A21,取得日!$F$4:$F$503,0))))</f>
        <v>45779</v>
      </c>
      <c r="C21" s="18">
        <f>IF($A21="","",IF(INDEX(取得日!$C$4:$C$503,MATCH($A21,取得日!$F$4:$F$503,0))="","",INDEX(取得日!$C$4:$C$503,MATCH($A21,取得日!$F$4:$F$503,0))))</f>
        <v>1</v>
      </c>
      <c r="D21" s="9" t="str">
        <f>IF($A21="","",IF(INDEX(取得日!$D$4:$D$503,MATCH($A21,取得日!$F$4:$F$503,0))="","",INDEX(取得日!$D$4:$D$503,MATCH($A21,取得日!$F$4:$F$503,0))))</f>
        <v>全日</v>
      </c>
      <c r="E21" s="21" t="str">
        <f>IF($A21="","",IF(INDEX(取得日!$E$4:$E$503,MATCH($A21,取得日!$F$4:$F$503,0))="","",INDEX(取得日!$E$4:$E$503,MATCH($A21,取得日!$F$4:$F$503,0))))</f>
        <v/>
      </c>
      <c r="F21" s="37" t="n"/>
      <c r="G21" s="37" t="n"/>
      <c r="H21" s="37" t="n"/>
    </row>
    <row r="22">
      <c r="A22" s="9">
        <f>IF(ISNUMBER(MATCH(4,取得日!$F$4:$F$503,0)),4,"")</f>
        <v>4</v>
      </c>
      <c r="B22" s="15">
        <f>IF($A22="","",IF(INDEX(取得日!$B$4:$B$503,MATCH($A22,取得日!$F$4:$F$503,0))="","",INDEX(取得日!$B$4:$B$503,MATCH($A22,取得日!$F$4:$F$503,0))))</f>
        <v>45856</v>
      </c>
      <c r="C22" s="18">
        <f>IF($A22="","",IF(INDEX(取得日!$C$4:$C$503,MATCH($A22,取得日!$F$4:$F$503,0))="","",INDEX(取得日!$C$4:$C$503,MATCH($A22,取得日!$F$4:$F$503,0))))</f>
        <v>1</v>
      </c>
      <c r="D22" s="9" t="str">
        <f>IF($A22="","",IF(INDEX(取得日!$D$4:$D$503,MATCH($A22,取得日!$F$4:$F$503,0))="","",INDEX(取得日!$D$4:$D$503,MATCH($A22,取得日!$F$4:$F$503,0))))</f>
        <v>全日</v>
      </c>
      <c r="E22" s="21" t="str">
        <f>IF($A22="","",IF(INDEX(取得日!$E$4:$E$503,MATCH($A22,取得日!$F$4:$F$503,0))="","",INDEX(取得日!$E$4:$E$503,MATCH($A22,取得日!$F$4:$F$503,0))))</f>
        <v/>
      </c>
      <c r="F22" s="37" t="n"/>
      <c r="G22" s="37" t="n"/>
      <c r="H22" s="37" t="n"/>
    </row>
    <row r="23">
      <c r="A23" s="9">
        <f>IF(ISNUMBER(MATCH(5,取得日!$F$4:$F$503,0)),5,"")</f>
        <v>5</v>
      </c>
      <c r="B23" s="15">
        <f>IF($A23="","",IF(INDEX(取得日!$B$4:$B$503,MATCH($A23,取得日!$F$4:$F$503,0))="","",INDEX(取得日!$B$4:$B$503,MATCH($A23,取得日!$F$4:$F$503,0))))</f>
        <v>45894</v>
      </c>
      <c r="C23" s="18">
        <f>IF($A23="","",IF(INDEX(取得日!$C$4:$C$503,MATCH($A23,取得日!$F$4:$F$503,0))="","",INDEX(取得日!$C$4:$C$503,MATCH($A23,取得日!$F$4:$F$503,0))))</f>
        <v>1</v>
      </c>
      <c r="D23" s="9" t="str">
        <f>IF($A23="","",IF(INDEX(取得日!$D$4:$D$503,MATCH($A23,取得日!$F$4:$F$503,0))="","",INDEX(取得日!$D$4:$D$503,MATCH($A23,取得日!$F$4:$F$503,0))))</f>
        <v>全日</v>
      </c>
      <c r="E23" s="21" t="str">
        <f>IF($A23="","",IF(INDEX(取得日!$E$4:$E$503,MATCH($A23,取得日!$F$4:$F$503,0))="","",INDEX(取得日!$E$4:$E$503,MATCH($A23,取得日!$F$4:$F$503,0))))</f>
        <v/>
      </c>
      <c r="F23" s="37" t="n"/>
      <c r="G23" s="37" t="n"/>
      <c r="H23" s="37" t="n"/>
    </row>
    <row r="24">
      <c r="A24" s="9">
        <f>IF(ISNUMBER(MATCH(6,取得日!$F$4:$F$503,0)),6,"")</f>
        <v>6</v>
      </c>
      <c r="B24" s="15">
        <f>IF($A24="","",IF(INDEX(取得日!$B$4:$B$503,MATCH($A24,取得日!$F$4:$F$503,0))="","",INDEX(取得日!$B$4:$B$503,MATCH($A24,取得日!$F$4:$F$503,0))))</f>
        <v>45971</v>
      </c>
      <c r="C24" s="18">
        <f>IF($A24="","",IF(INDEX(取得日!$C$4:$C$503,MATCH($A24,取得日!$F$4:$F$503,0))="","",INDEX(取得日!$C$4:$C$503,MATCH($A24,取得日!$F$4:$F$503,0))))</f>
        <v>1</v>
      </c>
      <c r="D24" s="9" t="str">
        <f>IF($A24="","",IF(INDEX(取得日!$D$4:$D$503,MATCH($A24,取得日!$F$4:$F$503,0))="","",INDEX(取得日!$D$4:$D$503,MATCH($A24,取得日!$F$4:$F$503,0))))</f>
        <v>全日</v>
      </c>
      <c r="E24" s="21" t="str">
        <f>IF($A24="","",IF(INDEX(取得日!$E$4:$E$503,MATCH($A24,取得日!$F$4:$F$503,0))="","",INDEX(取得日!$E$4:$E$503,MATCH($A24,取得日!$F$4:$F$503,0))))</f>
        <v/>
      </c>
      <c r="F24" s="37" t="n"/>
      <c r="G24" s="37" t="n"/>
      <c r="H24" s="37" t="n"/>
    </row>
    <row r="25">
      <c r="A25" s="9">
        <f>IF(ISNUMBER(MATCH(7,取得日!$F$4:$F$503,0)),7,"")</f>
        <v>7</v>
      </c>
      <c r="B25" s="15">
        <f>IF($A25="","",IF(INDEX(取得日!$B$4:$B$503,MATCH($A25,取得日!$F$4:$F$503,0))="","",INDEX(取得日!$B$4:$B$503,MATCH($A25,取得日!$F$4:$F$503,0))))</f>
        <v>46027</v>
      </c>
      <c r="C25" s="18">
        <f>IF($A25="","",IF(INDEX(取得日!$C$4:$C$503,MATCH($A25,取得日!$F$4:$F$503,0))="","",INDEX(取得日!$C$4:$C$503,MATCH($A25,取得日!$F$4:$F$503,0))))</f>
        <v>0.5</v>
      </c>
      <c r="D25" s="9" t="str">
        <f>IF($A25="","",IF(INDEX(取得日!$D$4:$D$503,MATCH($A25,取得日!$F$4:$F$503,0))="","",INDEX(取得日!$D$4:$D$503,MATCH($A25,取得日!$F$4:$F$503,0))))</f>
        <v>半日</v>
      </c>
      <c r="E25" s="21" t="str">
        <f>IF($A25="","",IF(INDEX(取得日!$E$4:$E$503,MATCH($A25,取得日!$F$4:$F$503,0))="","",INDEX(取得日!$E$4:$E$503,MATCH($A25,取得日!$F$4:$F$503,0))))</f>
        <v/>
      </c>
      <c r="F25" s="37" t="n"/>
      <c r="G25" s="37" t="n"/>
      <c r="H25" s="37" t="n"/>
    </row>
    <row r="26">
      <c r="A26" s="9">
        <f>IF(ISNUMBER(MATCH(8,取得日!$F$4:$F$503,0)),8,"")</f>
        <v>8</v>
      </c>
      <c r="B26" s="15">
        <f>IF($A26="","",IF(INDEX(取得日!$B$4:$B$503,MATCH($A26,取得日!$F$4:$F$503,0))="","",INDEX(取得日!$B$4:$B$503,MATCH($A26,取得日!$F$4:$F$503,0))))</f>
        <v>46069</v>
      </c>
      <c r="C26" s="18">
        <f>IF($A26="","",IF(INDEX(取得日!$C$4:$C$503,MATCH($A26,取得日!$F$4:$F$503,0))="","",INDEX(取得日!$C$4:$C$503,MATCH($A26,取得日!$F$4:$F$503,0))))</f>
        <v>1</v>
      </c>
      <c r="D26" s="9" t="str">
        <f>IF($A26="","",IF(INDEX(取得日!$D$4:$D$503,MATCH($A26,取得日!$F$4:$F$503,0))="","",INDEX(取得日!$D$4:$D$503,MATCH($A26,取得日!$F$4:$F$503,0))))</f>
        <v>計画的付与</v>
      </c>
      <c r="E26" s="21" t="str">
        <f>IF($A26="","",IF(INDEX(取得日!$E$4:$E$503,MATCH($A26,取得日!$F$4:$F$503,0))="","",INDEX(取得日!$E$4:$E$503,MATCH($A26,取得日!$F$4:$F$503,0))))</f>
        <v/>
      </c>
      <c r="F26" s="37" t="n"/>
      <c r="G26" s="37" t="n"/>
      <c r="H26" s="37" t="n"/>
    </row>
    <row r="27">
      <c r="A27" s="9">
        <f>IF(ISNUMBER(MATCH(9,取得日!$F$4:$F$503,0)),9,"")</f>
        <v>9</v>
      </c>
      <c r="B27" s="15">
        <f>IF($A27="","",IF(INDEX(取得日!$B$4:$B$503,MATCH($A27,取得日!$F$4:$F$503,0))="","",INDEX(取得日!$B$4:$B$503,MATCH($A27,取得日!$F$4:$F$503,0))))</f>
        <v>46085</v>
      </c>
      <c r="C27" s="18" t="str">
        <f>IF($A27="","",IF(INDEX(取得日!$C$4:$C$503,MATCH($A27,取得日!$F$4:$F$503,0))="","",INDEX(取得日!$C$4:$C$503,MATCH($A27,取得日!$F$4:$F$503,0))))</f>
        <v/>
      </c>
      <c r="D27" s="9" t="str">
        <f>IF($A27="","",IF(INDEX(取得日!$D$4:$D$503,MATCH($A27,取得日!$F$4:$F$503,0))="","",INDEX(取得日!$D$4:$D$503,MATCH($A27,取得日!$F$4:$F$503,0))))</f>
        <v>時間単位</v>
      </c>
      <c r="E27" s="21">
        <f>IF($A27="","",IF(INDEX(取得日!$E$4:$E$503,MATCH($A27,取得日!$F$4:$F$503,0))="","",INDEX(取得日!$E$4:$E$503,MATCH($A27,取得日!$F$4:$F$503,0))))</f>
        <v>2</v>
      </c>
      <c r="F27" s="37" t="n"/>
      <c r="G27" s="37" t="n"/>
      <c r="H27" s="37" t="n"/>
    </row>
    <row r="28">
      <c r="A28" s="9" t="str">
        <f>IF(ISNUMBER(MATCH(10,取得日!$F$4:$F$503,0)),10,"")</f>
        <v/>
      </c>
      <c r="B28" s="15" t="str">
        <f>IF($A28="","",IF(INDEX(取得日!$B$4:$B$503,MATCH($A28,取得日!$F$4:$F$503,0))="","",INDEX(取得日!$B$4:$B$503,MATCH($A28,取得日!$F$4:$F$503,0))))</f>
        <v/>
      </c>
      <c r="C28" s="18" t="str">
        <f>IF($A28="","",IF(INDEX(取得日!$C$4:$C$503,MATCH($A28,取得日!$F$4:$F$503,0))="","",INDEX(取得日!$C$4:$C$503,MATCH($A28,取得日!$F$4:$F$503,0))))</f>
        <v/>
      </c>
      <c r="D28" s="9" t="str">
        <f>IF($A28="","",IF(INDEX(取得日!$D$4:$D$503,MATCH($A28,取得日!$F$4:$F$503,0))="","",INDEX(取得日!$D$4:$D$503,MATCH($A28,取得日!$F$4:$F$503,0))))</f>
        <v/>
      </c>
      <c r="E28" s="21" t="str">
        <f>IF($A28="","",IF(INDEX(取得日!$E$4:$E$503,MATCH($A28,取得日!$F$4:$F$503,0))="","",INDEX(取得日!$E$4:$E$503,MATCH($A28,取得日!$F$4:$F$503,0))))</f>
        <v/>
      </c>
      <c r="F28" s="37" t="n"/>
      <c r="G28" s="37" t="n"/>
      <c r="H28" s="37" t="n"/>
    </row>
    <row r="29">
      <c r="A29" s="9" t="str">
        <f>IF(ISNUMBER(MATCH(11,取得日!$F$4:$F$503,0)),11,"")</f>
        <v/>
      </c>
      <c r="B29" s="15" t="str">
        <f>IF($A29="","",IF(INDEX(取得日!$B$4:$B$503,MATCH($A29,取得日!$F$4:$F$503,0))="","",INDEX(取得日!$B$4:$B$503,MATCH($A29,取得日!$F$4:$F$503,0))))</f>
        <v/>
      </c>
      <c r="C29" s="18" t="str">
        <f>IF($A29="","",IF(INDEX(取得日!$C$4:$C$503,MATCH($A29,取得日!$F$4:$F$503,0))="","",INDEX(取得日!$C$4:$C$503,MATCH($A29,取得日!$F$4:$F$503,0))))</f>
        <v/>
      </c>
      <c r="D29" s="9" t="str">
        <f>IF($A29="","",IF(INDEX(取得日!$D$4:$D$503,MATCH($A29,取得日!$F$4:$F$503,0))="","",INDEX(取得日!$D$4:$D$503,MATCH($A29,取得日!$F$4:$F$503,0))))</f>
        <v/>
      </c>
      <c r="E29" s="21" t="str">
        <f>IF($A29="","",IF(INDEX(取得日!$E$4:$E$503,MATCH($A29,取得日!$F$4:$F$503,0))="","",INDEX(取得日!$E$4:$E$503,MATCH($A29,取得日!$F$4:$F$503,0))))</f>
        <v/>
      </c>
      <c r="F29" s="37" t="n"/>
      <c r="G29" s="37" t="n"/>
      <c r="H29" s="37" t="n"/>
    </row>
    <row r="30">
      <c r="A30" s="9" t="str">
        <f>IF(ISNUMBER(MATCH(12,取得日!$F$4:$F$503,0)),12,"")</f>
        <v/>
      </c>
      <c r="B30" s="15" t="str">
        <f>IF($A30="","",IF(INDEX(取得日!$B$4:$B$503,MATCH($A30,取得日!$F$4:$F$503,0))="","",INDEX(取得日!$B$4:$B$503,MATCH($A30,取得日!$F$4:$F$503,0))))</f>
        <v/>
      </c>
      <c r="C30" s="18" t="str">
        <f>IF($A30="","",IF(INDEX(取得日!$C$4:$C$503,MATCH($A30,取得日!$F$4:$F$503,0))="","",INDEX(取得日!$C$4:$C$503,MATCH($A30,取得日!$F$4:$F$503,0))))</f>
        <v/>
      </c>
      <c r="D30" s="9" t="str">
        <f>IF($A30="","",IF(INDEX(取得日!$D$4:$D$503,MATCH($A30,取得日!$F$4:$F$503,0))="","",INDEX(取得日!$D$4:$D$503,MATCH($A30,取得日!$F$4:$F$503,0))))</f>
        <v/>
      </c>
      <c r="E30" s="21" t="str">
        <f>IF($A30="","",IF(INDEX(取得日!$E$4:$E$503,MATCH($A30,取得日!$F$4:$F$503,0))="","",INDEX(取得日!$E$4:$E$503,MATCH($A30,取得日!$F$4:$F$503,0))))</f>
        <v/>
      </c>
      <c r="F30" s="37" t="n"/>
      <c r="G30" s="37" t="n"/>
      <c r="H30" s="37" t="n"/>
    </row>
    <row r="31">
      <c r="A31" s="9" t="str">
        <f>IF(ISNUMBER(MATCH(13,取得日!$F$4:$F$503,0)),13,"")</f>
        <v/>
      </c>
      <c r="B31" s="15" t="str">
        <f>IF($A31="","",IF(INDEX(取得日!$B$4:$B$503,MATCH($A31,取得日!$F$4:$F$503,0))="","",INDEX(取得日!$B$4:$B$503,MATCH($A31,取得日!$F$4:$F$503,0))))</f>
        <v/>
      </c>
      <c r="C31" s="18" t="str">
        <f>IF($A31="","",IF(INDEX(取得日!$C$4:$C$503,MATCH($A31,取得日!$F$4:$F$503,0))="","",INDEX(取得日!$C$4:$C$503,MATCH($A31,取得日!$F$4:$F$503,0))))</f>
        <v/>
      </c>
      <c r="D31" s="9" t="str">
        <f>IF($A31="","",IF(INDEX(取得日!$D$4:$D$503,MATCH($A31,取得日!$F$4:$F$503,0))="","",INDEX(取得日!$D$4:$D$503,MATCH($A31,取得日!$F$4:$F$503,0))))</f>
        <v/>
      </c>
      <c r="E31" s="21" t="str">
        <f>IF($A31="","",IF(INDEX(取得日!$E$4:$E$503,MATCH($A31,取得日!$F$4:$F$503,0))="","",INDEX(取得日!$E$4:$E$503,MATCH($A31,取得日!$F$4:$F$503,0))))</f>
        <v/>
      </c>
      <c r="F31" s="37" t="n"/>
      <c r="G31" s="37" t="n"/>
      <c r="H31" s="37" t="n"/>
    </row>
    <row r="32">
      <c r="A32" s="9" t="str">
        <f>IF(ISNUMBER(MATCH(14,取得日!$F$4:$F$503,0)),14,"")</f>
        <v/>
      </c>
      <c r="B32" s="15" t="str">
        <f>IF($A32="","",IF(INDEX(取得日!$B$4:$B$503,MATCH($A32,取得日!$F$4:$F$503,0))="","",INDEX(取得日!$B$4:$B$503,MATCH($A32,取得日!$F$4:$F$503,0))))</f>
        <v/>
      </c>
      <c r="C32" s="18" t="str">
        <f>IF($A32="","",IF(INDEX(取得日!$C$4:$C$503,MATCH($A32,取得日!$F$4:$F$503,0))="","",INDEX(取得日!$C$4:$C$503,MATCH($A32,取得日!$F$4:$F$503,0))))</f>
        <v/>
      </c>
      <c r="D32" s="9" t="str">
        <f>IF($A32="","",IF(INDEX(取得日!$D$4:$D$503,MATCH($A32,取得日!$F$4:$F$503,0))="","",INDEX(取得日!$D$4:$D$503,MATCH($A32,取得日!$F$4:$F$503,0))))</f>
        <v/>
      </c>
      <c r="E32" s="21" t="str">
        <f>IF($A32="","",IF(INDEX(取得日!$E$4:$E$503,MATCH($A32,取得日!$F$4:$F$503,0))="","",INDEX(取得日!$E$4:$E$503,MATCH($A32,取得日!$F$4:$F$503,0))))</f>
        <v/>
      </c>
      <c r="F32" s="37" t="n"/>
      <c r="G32" s="37" t="n"/>
      <c r="H32" s="37" t="n"/>
    </row>
    <row r="33">
      <c r="A33" s="9" t="str">
        <f>IF(ISNUMBER(MATCH(15,取得日!$F$4:$F$503,0)),15,"")</f>
        <v/>
      </c>
      <c r="B33" s="15" t="str">
        <f>IF($A33="","",IF(INDEX(取得日!$B$4:$B$503,MATCH($A33,取得日!$F$4:$F$503,0))="","",INDEX(取得日!$B$4:$B$503,MATCH($A33,取得日!$F$4:$F$503,0))))</f>
        <v/>
      </c>
      <c r="C33" s="18" t="str">
        <f>IF($A33="","",IF(INDEX(取得日!$C$4:$C$503,MATCH($A33,取得日!$F$4:$F$503,0))="","",INDEX(取得日!$C$4:$C$503,MATCH($A33,取得日!$F$4:$F$503,0))))</f>
        <v/>
      </c>
      <c r="D33" s="9" t="str">
        <f>IF($A33="","",IF(INDEX(取得日!$D$4:$D$503,MATCH($A33,取得日!$F$4:$F$503,0))="","",INDEX(取得日!$D$4:$D$503,MATCH($A33,取得日!$F$4:$F$503,0))))</f>
        <v/>
      </c>
      <c r="E33" s="21" t="str">
        <f>IF($A33="","",IF(INDEX(取得日!$E$4:$E$503,MATCH($A33,取得日!$F$4:$F$503,0))="","",INDEX(取得日!$E$4:$E$503,MATCH($A33,取得日!$F$4:$F$503,0))))</f>
        <v/>
      </c>
      <c r="F33" s="37" t="n"/>
      <c r="G33" s="37" t="n"/>
      <c r="H33" s="37" t="n"/>
    </row>
    <row r="34">
      <c r="A34" s="9" t="str">
        <f>IF(ISNUMBER(MATCH(16,取得日!$F$4:$F$503,0)),16,"")</f>
        <v/>
      </c>
      <c r="B34" s="15" t="str">
        <f>IF($A34="","",IF(INDEX(取得日!$B$4:$B$503,MATCH($A34,取得日!$F$4:$F$503,0))="","",INDEX(取得日!$B$4:$B$503,MATCH($A34,取得日!$F$4:$F$503,0))))</f>
        <v/>
      </c>
      <c r="C34" s="18" t="str">
        <f>IF($A34="","",IF(INDEX(取得日!$C$4:$C$503,MATCH($A34,取得日!$F$4:$F$503,0))="","",INDEX(取得日!$C$4:$C$503,MATCH($A34,取得日!$F$4:$F$503,0))))</f>
        <v/>
      </c>
      <c r="D34" s="9" t="str">
        <f>IF($A34="","",IF(INDEX(取得日!$D$4:$D$503,MATCH($A34,取得日!$F$4:$F$503,0))="","",INDEX(取得日!$D$4:$D$503,MATCH($A34,取得日!$F$4:$F$503,0))))</f>
        <v/>
      </c>
      <c r="E34" s="21" t="str">
        <f>IF($A34="","",IF(INDEX(取得日!$E$4:$E$503,MATCH($A34,取得日!$F$4:$F$503,0))="","",INDEX(取得日!$E$4:$E$503,MATCH($A34,取得日!$F$4:$F$503,0))))</f>
        <v/>
      </c>
      <c r="F34" s="37" t="n"/>
      <c r="G34" s="37" t="n"/>
      <c r="H34" s="37" t="n"/>
    </row>
    <row r="35">
      <c r="A35" s="9" t="str">
        <f>IF(ISNUMBER(MATCH(17,取得日!$F$4:$F$503,0)),17,"")</f>
        <v/>
      </c>
      <c r="B35" s="15" t="str">
        <f>IF($A35="","",IF(INDEX(取得日!$B$4:$B$503,MATCH($A35,取得日!$F$4:$F$503,0))="","",INDEX(取得日!$B$4:$B$503,MATCH($A35,取得日!$F$4:$F$503,0))))</f>
        <v/>
      </c>
      <c r="C35" s="18" t="str">
        <f>IF($A35="","",IF(INDEX(取得日!$C$4:$C$503,MATCH($A35,取得日!$F$4:$F$503,0))="","",INDEX(取得日!$C$4:$C$503,MATCH($A35,取得日!$F$4:$F$503,0))))</f>
        <v/>
      </c>
      <c r="D35" s="9" t="str">
        <f>IF($A35="","",IF(INDEX(取得日!$D$4:$D$503,MATCH($A35,取得日!$F$4:$F$503,0))="","",INDEX(取得日!$D$4:$D$503,MATCH($A35,取得日!$F$4:$F$503,0))))</f>
        <v/>
      </c>
      <c r="E35" s="21" t="str">
        <f>IF($A35="","",IF(INDEX(取得日!$E$4:$E$503,MATCH($A35,取得日!$F$4:$F$503,0))="","",INDEX(取得日!$E$4:$E$503,MATCH($A35,取得日!$F$4:$F$503,0))))</f>
        <v/>
      </c>
      <c r="F35" s="37" t="n"/>
      <c r="G35" s="37" t="n"/>
      <c r="H35" s="37" t="n"/>
    </row>
    <row r="36">
      <c r="A36" s="9" t="str">
        <f>IF(ISNUMBER(MATCH(18,取得日!$F$4:$F$503,0)),18,"")</f>
        <v/>
      </c>
      <c r="B36" s="15" t="str">
        <f>IF($A36="","",IF(INDEX(取得日!$B$4:$B$503,MATCH($A36,取得日!$F$4:$F$503,0))="","",INDEX(取得日!$B$4:$B$503,MATCH($A36,取得日!$F$4:$F$503,0))))</f>
        <v/>
      </c>
      <c r="C36" s="18" t="str">
        <f>IF($A36="","",IF(INDEX(取得日!$C$4:$C$503,MATCH($A36,取得日!$F$4:$F$503,0))="","",INDEX(取得日!$C$4:$C$503,MATCH($A36,取得日!$F$4:$F$503,0))))</f>
        <v/>
      </c>
      <c r="D36" s="9" t="str">
        <f>IF($A36="","",IF(INDEX(取得日!$D$4:$D$503,MATCH($A36,取得日!$F$4:$F$503,0))="","",INDEX(取得日!$D$4:$D$503,MATCH($A36,取得日!$F$4:$F$503,0))))</f>
        <v/>
      </c>
      <c r="E36" s="21" t="str">
        <f>IF($A36="","",IF(INDEX(取得日!$E$4:$E$503,MATCH($A36,取得日!$F$4:$F$503,0))="","",INDEX(取得日!$E$4:$E$503,MATCH($A36,取得日!$F$4:$F$503,0))))</f>
        <v/>
      </c>
      <c r="F36" s="37" t="n"/>
      <c r="G36" s="37" t="n"/>
      <c r="H36" s="37" t="n"/>
    </row>
    <row r="37">
      <c r="A37" s="9" t="str">
        <f>IF(ISNUMBER(MATCH(19,取得日!$F$4:$F$503,0)),19,"")</f>
        <v/>
      </c>
      <c r="B37" s="15" t="str">
        <f>IF($A37="","",IF(INDEX(取得日!$B$4:$B$503,MATCH($A37,取得日!$F$4:$F$503,0))="","",INDEX(取得日!$B$4:$B$503,MATCH($A37,取得日!$F$4:$F$503,0))))</f>
        <v/>
      </c>
      <c r="C37" s="18" t="str">
        <f>IF($A37="","",IF(INDEX(取得日!$C$4:$C$503,MATCH($A37,取得日!$F$4:$F$503,0))="","",INDEX(取得日!$C$4:$C$503,MATCH($A37,取得日!$F$4:$F$503,0))))</f>
        <v/>
      </c>
      <c r="D37" s="9" t="str">
        <f>IF($A37="","",IF(INDEX(取得日!$D$4:$D$503,MATCH($A37,取得日!$F$4:$F$503,0))="","",INDEX(取得日!$D$4:$D$503,MATCH($A37,取得日!$F$4:$F$503,0))))</f>
        <v/>
      </c>
      <c r="E37" s="21" t="str">
        <f>IF($A37="","",IF(INDEX(取得日!$E$4:$E$503,MATCH($A37,取得日!$F$4:$F$503,0))="","",INDEX(取得日!$E$4:$E$503,MATCH($A37,取得日!$F$4:$F$503,0))))</f>
        <v/>
      </c>
      <c r="F37" s="37" t="n"/>
      <c r="G37" s="37" t="n"/>
      <c r="H37" s="37" t="n"/>
    </row>
    <row r="38">
      <c r="A38" s="9" t="str">
        <f>IF(ISNUMBER(MATCH(20,取得日!$F$4:$F$503,0)),20,"")</f>
        <v/>
      </c>
      <c r="B38" s="15" t="str">
        <f>IF($A38="","",IF(INDEX(取得日!$B$4:$B$503,MATCH($A38,取得日!$F$4:$F$503,0))="","",INDEX(取得日!$B$4:$B$503,MATCH($A38,取得日!$F$4:$F$503,0))))</f>
        <v/>
      </c>
      <c r="C38" s="18" t="str">
        <f>IF($A38="","",IF(INDEX(取得日!$C$4:$C$503,MATCH($A38,取得日!$F$4:$F$503,0))="","",INDEX(取得日!$C$4:$C$503,MATCH($A38,取得日!$F$4:$F$503,0))))</f>
        <v/>
      </c>
      <c r="D38" s="9" t="str">
        <f>IF($A38="","",IF(INDEX(取得日!$D$4:$D$503,MATCH($A38,取得日!$F$4:$F$503,0))="","",INDEX(取得日!$D$4:$D$503,MATCH($A38,取得日!$F$4:$F$503,0))))</f>
        <v/>
      </c>
      <c r="E38" s="21" t="str">
        <f>IF($A38="","",IF(INDEX(取得日!$E$4:$E$503,MATCH($A38,取得日!$F$4:$F$503,0))="","",INDEX(取得日!$E$4:$E$503,MATCH($A38,取得日!$F$4:$F$503,0))))</f>
        <v/>
      </c>
      <c r="F38" s="37" t="n"/>
      <c r="G38" s="37" t="n"/>
      <c r="H38" s="37" t="n"/>
    </row>
    <row r="39">
      <c r="A39" s="9" t="str">
        <f>IF(ISNUMBER(MATCH(21,取得日!$F$4:$F$503,0)),21,"")</f>
        <v/>
      </c>
      <c r="B39" s="15" t="str">
        <f>IF($A39="","",IF(INDEX(取得日!$B$4:$B$503,MATCH($A39,取得日!$F$4:$F$503,0))="","",INDEX(取得日!$B$4:$B$503,MATCH($A39,取得日!$F$4:$F$503,0))))</f>
        <v/>
      </c>
      <c r="C39" s="18" t="str">
        <f>IF($A39="","",IF(INDEX(取得日!$C$4:$C$503,MATCH($A39,取得日!$F$4:$F$503,0))="","",INDEX(取得日!$C$4:$C$503,MATCH($A39,取得日!$F$4:$F$503,0))))</f>
        <v/>
      </c>
      <c r="D39" s="9" t="str">
        <f>IF($A39="","",IF(INDEX(取得日!$D$4:$D$503,MATCH($A39,取得日!$F$4:$F$503,0))="","",INDEX(取得日!$D$4:$D$503,MATCH($A39,取得日!$F$4:$F$503,0))))</f>
        <v/>
      </c>
      <c r="E39" s="21" t="str">
        <f>IF($A39="","",IF(INDEX(取得日!$E$4:$E$503,MATCH($A39,取得日!$F$4:$F$503,0))="","",INDEX(取得日!$E$4:$E$503,MATCH($A39,取得日!$F$4:$F$503,0))))</f>
        <v/>
      </c>
      <c r="F39" s="37" t="n"/>
      <c r="G39" s="37" t="n"/>
      <c r="H39" s="37" t="n"/>
    </row>
    <row r="40">
      <c r="A40" s="9" t="str">
        <f>IF(ISNUMBER(MATCH(22,取得日!$F$4:$F$503,0)),22,"")</f>
        <v/>
      </c>
      <c r="B40" s="15" t="str">
        <f>IF($A40="","",IF(INDEX(取得日!$B$4:$B$503,MATCH($A40,取得日!$F$4:$F$503,0))="","",INDEX(取得日!$B$4:$B$503,MATCH($A40,取得日!$F$4:$F$503,0))))</f>
        <v/>
      </c>
      <c r="C40" s="18" t="str">
        <f>IF($A40="","",IF(INDEX(取得日!$C$4:$C$503,MATCH($A40,取得日!$F$4:$F$503,0))="","",INDEX(取得日!$C$4:$C$503,MATCH($A40,取得日!$F$4:$F$503,0))))</f>
        <v/>
      </c>
      <c r="D40" s="9" t="str">
        <f>IF($A40="","",IF(INDEX(取得日!$D$4:$D$503,MATCH($A40,取得日!$F$4:$F$503,0))="","",INDEX(取得日!$D$4:$D$503,MATCH($A40,取得日!$F$4:$F$503,0))))</f>
        <v/>
      </c>
      <c r="E40" s="21" t="str">
        <f>IF($A40="","",IF(INDEX(取得日!$E$4:$E$503,MATCH($A40,取得日!$F$4:$F$503,0))="","",INDEX(取得日!$E$4:$E$503,MATCH($A40,取得日!$F$4:$F$503,0))))</f>
        <v/>
      </c>
      <c r="F40" s="37" t="n"/>
      <c r="G40" s="37" t="n"/>
      <c r="H40" s="37" t="n"/>
    </row>
    <row r="41">
      <c r="A41" s="9" t="str">
        <f>IF(ISNUMBER(MATCH(23,取得日!$F$4:$F$503,0)),23,"")</f>
        <v/>
      </c>
      <c r="B41" s="15" t="str">
        <f>IF($A41="","",IF(INDEX(取得日!$B$4:$B$503,MATCH($A41,取得日!$F$4:$F$503,0))="","",INDEX(取得日!$B$4:$B$503,MATCH($A41,取得日!$F$4:$F$503,0))))</f>
        <v/>
      </c>
      <c r="C41" s="18" t="str">
        <f>IF($A41="","",IF(INDEX(取得日!$C$4:$C$503,MATCH($A41,取得日!$F$4:$F$503,0))="","",INDEX(取得日!$C$4:$C$503,MATCH($A41,取得日!$F$4:$F$503,0))))</f>
        <v/>
      </c>
      <c r="D41" s="9" t="str">
        <f>IF($A41="","",IF(INDEX(取得日!$D$4:$D$503,MATCH($A41,取得日!$F$4:$F$503,0))="","",INDEX(取得日!$D$4:$D$503,MATCH($A41,取得日!$F$4:$F$503,0))))</f>
        <v/>
      </c>
      <c r="E41" s="21" t="str">
        <f>IF($A41="","",IF(INDEX(取得日!$E$4:$E$503,MATCH($A41,取得日!$F$4:$F$503,0))="","",INDEX(取得日!$E$4:$E$503,MATCH($A41,取得日!$F$4:$F$503,0))))</f>
        <v/>
      </c>
      <c r="F41" s="37" t="n"/>
      <c r="G41" s="37" t="n"/>
      <c r="H41" s="37" t="n"/>
    </row>
    <row r="42">
      <c r="A42" s="9" t="str">
        <f>IF(ISNUMBER(MATCH(24,取得日!$F$4:$F$503,0)),24,"")</f>
        <v/>
      </c>
      <c r="B42" s="15" t="str">
        <f>IF($A42="","",IF(INDEX(取得日!$B$4:$B$503,MATCH($A42,取得日!$F$4:$F$503,0))="","",INDEX(取得日!$B$4:$B$503,MATCH($A42,取得日!$F$4:$F$503,0))))</f>
        <v/>
      </c>
      <c r="C42" s="18" t="str">
        <f>IF($A42="","",IF(INDEX(取得日!$C$4:$C$503,MATCH($A42,取得日!$F$4:$F$503,0))="","",INDEX(取得日!$C$4:$C$503,MATCH($A42,取得日!$F$4:$F$503,0))))</f>
        <v/>
      </c>
      <c r="D42" s="9" t="str">
        <f>IF($A42="","",IF(INDEX(取得日!$D$4:$D$503,MATCH($A42,取得日!$F$4:$F$503,0))="","",INDEX(取得日!$D$4:$D$503,MATCH($A42,取得日!$F$4:$F$503,0))))</f>
        <v/>
      </c>
      <c r="E42" s="21" t="str">
        <f>IF($A42="","",IF(INDEX(取得日!$E$4:$E$503,MATCH($A42,取得日!$F$4:$F$503,0))="","",INDEX(取得日!$E$4:$E$503,MATCH($A42,取得日!$F$4:$F$503,0))))</f>
        <v/>
      </c>
      <c r="F42" s="37" t="n"/>
      <c r="G42" s="37" t="n"/>
      <c r="H42" s="37" t="n"/>
    </row>
    <row r="43">
      <c r="A43" s="9" t="str">
        <f>IF(ISNUMBER(MATCH(25,取得日!$F$4:$F$503,0)),25,"")</f>
        <v/>
      </c>
      <c r="B43" s="15" t="str">
        <f>IF($A43="","",IF(INDEX(取得日!$B$4:$B$503,MATCH($A43,取得日!$F$4:$F$503,0))="","",INDEX(取得日!$B$4:$B$503,MATCH($A43,取得日!$F$4:$F$503,0))))</f>
        <v/>
      </c>
      <c r="C43" s="18" t="str">
        <f>IF($A43="","",IF(INDEX(取得日!$C$4:$C$503,MATCH($A43,取得日!$F$4:$F$503,0))="","",INDEX(取得日!$C$4:$C$503,MATCH($A43,取得日!$F$4:$F$503,0))))</f>
        <v/>
      </c>
      <c r="D43" s="9" t="str">
        <f>IF($A43="","",IF(INDEX(取得日!$D$4:$D$503,MATCH($A43,取得日!$F$4:$F$503,0))="","",INDEX(取得日!$D$4:$D$503,MATCH($A43,取得日!$F$4:$F$503,0))))</f>
        <v/>
      </c>
      <c r="E43" s="21" t="str">
        <f>IF($A43="","",IF(INDEX(取得日!$E$4:$E$503,MATCH($A43,取得日!$F$4:$F$503,0))="","",INDEX(取得日!$E$4:$E$503,MATCH($A43,取得日!$F$4:$F$503,0))))</f>
        <v/>
      </c>
      <c r="F43" s="37" t="n"/>
      <c r="G43" s="37" t="n"/>
      <c r="H43" s="37" t="n"/>
    </row>
    <row r="44">
      <c r="A44" s="9" t="str">
        <f>IF(ISNUMBER(MATCH(26,取得日!$F$4:$F$503,0)),26,"")</f>
        <v/>
      </c>
      <c r="B44" s="15" t="str">
        <f>IF($A44="","",IF(INDEX(取得日!$B$4:$B$503,MATCH($A44,取得日!$F$4:$F$503,0))="","",INDEX(取得日!$B$4:$B$503,MATCH($A44,取得日!$F$4:$F$503,0))))</f>
        <v/>
      </c>
      <c r="C44" s="18" t="str">
        <f>IF($A44="","",IF(INDEX(取得日!$C$4:$C$503,MATCH($A44,取得日!$F$4:$F$503,0))="","",INDEX(取得日!$C$4:$C$503,MATCH($A44,取得日!$F$4:$F$503,0))))</f>
        <v/>
      </c>
      <c r="D44" s="9" t="str">
        <f>IF($A44="","",IF(INDEX(取得日!$D$4:$D$503,MATCH($A44,取得日!$F$4:$F$503,0))="","",INDEX(取得日!$D$4:$D$503,MATCH($A44,取得日!$F$4:$F$503,0))))</f>
        <v/>
      </c>
      <c r="E44" s="21" t="str">
        <f>IF($A44="","",IF(INDEX(取得日!$E$4:$E$503,MATCH($A44,取得日!$F$4:$F$503,0))="","",INDEX(取得日!$E$4:$E$503,MATCH($A44,取得日!$F$4:$F$503,0))))</f>
        <v/>
      </c>
      <c r="F44" s="37" t="n"/>
      <c r="G44" s="37" t="n"/>
      <c r="H44" s="37" t="n"/>
    </row>
    <row r="45">
      <c r="A45" s="9" t="str">
        <f>IF(ISNUMBER(MATCH(27,取得日!$F$4:$F$503,0)),27,"")</f>
        <v/>
      </c>
      <c r="B45" s="15" t="str">
        <f>IF($A45="","",IF(INDEX(取得日!$B$4:$B$503,MATCH($A45,取得日!$F$4:$F$503,0))="","",INDEX(取得日!$B$4:$B$503,MATCH($A45,取得日!$F$4:$F$503,0))))</f>
        <v/>
      </c>
      <c r="C45" s="18" t="str">
        <f>IF($A45="","",IF(INDEX(取得日!$C$4:$C$503,MATCH($A45,取得日!$F$4:$F$503,0))="","",INDEX(取得日!$C$4:$C$503,MATCH($A45,取得日!$F$4:$F$503,0))))</f>
        <v/>
      </c>
      <c r="D45" s="9" t="str">
        <f>IF($A45="","",IF(INDEX(取得日!$D$4:$D$503,MATCH($A45,取得日!$F$4:$F$503,0))="","",INDEX(取得日!$D$4:$D$503,MATCH($A45,取得日!$F$4:$F$503,0))))</f>
        <v/>
      </c>
      <c r="E45" s="21" t="str">
        <f>IF($A45="","",IF(INDEX(取得日!$E$4:$E$503,MATCH($A45,取得日!$F$4:$F$503,0))="","",INDEX(取得日!$E$4:$E$503,MATCH($A45,取得日!$F$4:$F$503,0))))</f>
        <v/>
      </c>
      <c r="F45" s="37" t="n"/>
      <c r="G45" s="37" t="n"/>
      <c r="H45" s="37" t="n"/>
    </row>
    <row r="46">
      <c r="A46" s="9" t="str">
        <f>IF(ISNUMBER(MATCH(28,取得日!$F$4:$F$503,0)),28,"")</f>
        <v/>
      </c>
      <c r="B46" s="15" t="str">
        <f>IF($A46="","",IF(INDEX(取得日!$B$4:$B$503,MATCH($A46,取得日!$F$4:$F$503,0))="","",INDEX(取得日!$B$4:$B$503,MATCH($A46,取得日!$F$4:$F$503,0))))</f>
        <v/>
      </c>
      <c r="C46" s="18" t="str">
        <f>IF($A46="","",IF(INDEX(取得日!$C$4:$C$503,MATCH($A46,取得日!$F$4:$F$503,0))="","",INDEX(取得日!$C$4:$C$503,MATCH($A46,取得日!$F$4:$F$503,0))))</f>
        <v/>
      </c>
      <c r="D46" s="9" t="str">
        <f>IF($A46="","",IF(INDEX(取得日!$D$4:$D$503,MATCH($A46,取得日!$F$4:$F$503,0))="","",INDEX(取得日!$D$4:$D$503,MATCH($A46,取得日!$F$4:$F$503,0))))</f>
        <v/>
      </c>
      <c r="E46" s="21" t="str">
        <f>IF($A46="","",IF(INDEX(取得日!$E$4:$E$503,MATCH($A46,取得日!$F$4:$F$503,0))="","",INDEX(取得日!$E$4:$E$503,MATCH($A46,取得日!$F$4:$F$503,0))))</f>
        <v/>
      </c>
      <c r="F46" s="37" t="n"/>
      <c r="G46" s="37" t="n"/>
      <c r="H46" s="37" t="n"/>
    </row>
    <row r="47">
      <c r="A47" s="9" t="str">
        <f>IF(ISNUMBER(MATCH(29,取得日!$F$4:$F$503,0)),29,"")</f>
        <v/>
      </c>
      <c r="B47" s="15" t="str">
        <f>IF($A47="","",IF(INDEX(取得日!$B$4:$B$503,MATCH($A47,取得日!$F$4:$F$503,0))="","",INDEX(取得日!$B$4:$B$503,MATCH($A47,取得日!$F$4:$F$503,0))))</f>
        <v/>
      </c>
      <c r="C47" s="18" t="str">
        <f>IF($A47="","",IF(INDEX(取得日!$C$4:$C$503,MATCH($A47,取得日!$F$4:$F$503,0))="","",INDEX(取得日!$C$4:$C$503,MATCH($A47,取得日!$F$4:$F$503,0))))</f>
        <v/>
      </c>
      <c r="D47" s="9" t="str">
        <f>IF($A47="","",IF(INDEX(取得日!$D$4:$D$503,MATCH($A47,取得日!$F$4:$F$503,0))="","",INDEX(取得日!$D$4:$D$503,MATCH($A47,取得日!$F$4:$F$503,0))))</f>
        <v/>
      </c>
      <c r="E47" s="21" t="str">
        <f>IF($A47="","",IF(INDEX(取得日!$E$4:$E$503,MATCH($A47,取得日!$F$4:$F$503,0))="","",INDEX(取得日!$E$4:$E$503,MATCH($A47,取得日!$F$4:$F$503,0))))</f>
        <v/>
      </c>
      <c r="F47" s="37" t="n"/>
      <c r="G47" s="37" t="n"/>
      <c r="H47" s="37" t="n"/>
    </row>
    <row r="48">
      <c r="A48" s="9" t="str">
        <f>IF(ISNUMBER(MATCH(30,取得日!$F$4:$F$503,0)),30,"")</f>
        <v/>
      </c>
      <c r="B48" s="15" t="str">
        <f>IF($A48="","",IF(INDEX(取得日!$B$4:$B$503,MATCH($A48,取得日!$F$4:$F$503,0))="","",INDEX(取得日!$B$4:$B$503,MATCH($A48,取得日!$F$4:$F$503,0))))</f>
        <v/>
      </c>
      <c r="C48" s="18" t="str">
        <f>IF($A48="","",IF(INDEX(取得日!$C$4:$C$503,MATCH($A48,取得日!$F$4:$F$503,0))="","",INDEX(取得日!$C$4:$C$503,MATCH($A48,取得日!$F$4:$F$503,0))))</f>
        <v/>
      </c>
      <c r="D48" s="9" t="str">
        <f>IF($A48="","",IF(INDEX(取得日!$D$4:$D$503,MATCH($A48,取得日!$F$4:$F$503,0))="","",INDEX(取得日!$D$4:$D$503,MATCH($A48,取得日!$F$4:$F$503,0))))</f>
        <v/>
      </c>
      <c r="E48" s="21" t="str">
        <f>IF($A48="","",IF(INDEX(取得日!$E$4:$E$503,MATCH($A48,取得日!$F$4:$F$503,0))="","",INDEX(取得日!$E$4:$E$503,MATCH($A48,取得日!$F$4:$F$503,0))))</f>
        <v/>
      </c>
      <c r="F48" s="37" t="n"/>
      <c r="G48" s="37" t="n"/>
      <c r="H48" s="37" t="n"/>
    </row>
    <row r="49">
      <c r="A49" s="37" t="n"/>
      <c r="B49" s="37" t="n"/>
      <c r="C49" s="37" t="n"/>
      <c r="D49" s="37" t="n"/>
      <c r="E49" s="37" t="n"/>
      <c r="F49" s="37" t="n"/>
      <c r="G49" s="37" t="n"/>
      <c r="H49" s="37" t="n"/>
    </row>
    <row r="50" ht="58" customHeight="1">
      <c r="A50" s="38" t="inlineStr">
        <is>
          <t>保存: 年次有給休暇を与えた期間中と、その満了後3年間（本則5年・当分の間3年）。労働者名簿・賃金台帳とあわせて調製してもかまいません。（労働基準法施行規則24条の7・同附則71条・55条の2）。日数には、半日で取った回数と時間単位で取った時間数を含めて記録します（厚労省Q&amp;A 3-13）。年5日の対象でない10日未満の人も作成の対象です（Q&amp;A 3-29）。</t>
        </is>
      </c>
      <c r="G50" s="37" t="n"/>
      <c r="H50" s="37" t="n"/>
    </row>
  </sheetData>
  <mergeCells count="6">
    <mergeCell ref="B3:C3"/>
    <mergeCell ref="A1:F1"/>
    <mergeCell ref="A6:F6"/>
    <mergeCell ref="A17:F17"/>
    <mergeCell ref="A50:F50"/>
    <mergeCell ref="B4:C4"/>
  </mergeCells>
  <dataValidations count="1">
    <dataValidation sqref="B3" showDropDown="0" showInputMessage="0" showErrorMessage="0" allowBlank="0" type="list">
      <formula1>=従業員!$A$4:$A$53</formula1>
    </dataValidation>
  </dataValidations>
  <pageMargins left="0.5" right="0.5" top="0.6" bottom="0.6" header="0.3" footer="0.3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2026-10-07T19:42:33Z</dcterms:created>
  <dcterms:modified xmlns:dcterms="http://purl.org/dc/terms/" xmlns:xsi="http://www.w3.org/2001/XMLSchema-instance" xsi:type="dcterms:W3CDTF">2026-10-07T19:42:34Z</dcterms:modified>
</cp:coreProperties>
</file>