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設定" sheetId="2" state="visible" r:id="rId2"/>
    <sheet xmlns:r="http://schemas.openxmlformats.org/officeDocument/2006/relationships" name="棚卸表" sheetId="3" state="visible" r:id="rId3"/>
    <sheet xmlns:r="http://schemas.openxmlformats.org/officeDocument/2006/relationships" name="差異の原因" sheetId="4" state="visible" r:id="rId4"/>
    <sheet xmlns:r="http://schemas.openxmlformats.org/officeDocument/2006/relationships" name="集計" sheetId="5" state="visible" r:id="rId5"/>
    <sheet xmlns:r="http://schemas.openxmlformats.org/officeDocument/2006/relationships" name="数える用紙" sheetId="6" state="visible" r:id="rId6"/>
    <sheet xmlns:r="http://schemas.openxmlformats.org/officeDocument/2006/relationships" name="期限チェック" sheetId="7" state="visible" r:id="rId7"/>
  </sheets>
  <definedNames>
    <definedName name="_xlnm.Print_Area" localSheetId="1">'設定'!$A$1:$C$51</definedName>
    <definedName name="_xlnm._FilterDatabase" localSheetId="2" hidden="1">'棚卸表'!$A$4:$T$504</definedName>
    <definedName name="_xlnm.Print_Titles" localSheetId="2">'棚卸表'!$4:$4</definedName>
    <definedName name="_xlnm.Print_Area" localSheetId="2">'棚卸表'!$A$1:$Q$504</definedName>
    <definedName name="_xlnm._FilterDatabase" localSheetId="3" hidden="1">'差異の原因'!$A$4:$L$204</definedName>
    <definedName name="_xlnm.Print_Titles" localSheetId="3">'差異の原因'!$4:$4</definedName>
    <definedName name="_xlnm.Print_Area" localSheetId="3">'差異の原因'!$A$1:$L$204</definedName>
    <definedName name="_xlnm.Print_Area" localSheetId="4">'集計'!$A$1:$G$70</definedName>
    <definedName name="_xlnm.Print_Area" localSheetId="5">'数える用紙'!$A$1:$H$45</definedName>
    <definedName name="_xlnm.Print_Titles" localSheetId="6">'期限チェック'!$4:$4</definedName>
    <definedName name="_xlnm.Print_Area" localSheetId="6">'期限チェック'!$A$1:$J$104</definedName>
  </definedNames>
  <calcPr calcId="124519" fullCalcOnLoad="1"/>
</workbook>
</file>

<file path=xl/styles.xml><?xml version="1.0" encoding="utf-8"?>
<styleSheet xmlns="http://schemas.openxmlformats.org/spreadsheetml/2006/main">
  <numFmts count="7">
    <numFmt numFmtId="164" formatCode="yyyy/m/d"/>
    <numFmt numFmtId="165" formatCode="0.0%"/>
    <numFmt numFmtId="166" formatCode="#,##0;-#,##0"/>
    <numFmt numFmtId="167" formatCode="0.0%;-0.0%;0.0%"/>
    <numFmt numFmtId="168" formatCode="0.00000"/>
    <numFmt numFmtId="169" formatCode="0&quot;品目&quot;"/>
    <numFmt numFmtId="170" formatCode="0&quot;件&quot;"/>
  </numFmts>
  <fonts count="11">
    <font>
      <name val="Calibri"/>
      <family val="2"/>
      <color theme="1"/>
      <sz val="11"/>
      <scheme val="minor"/>
    </font>
    <font>
      <name val="Yu Gothic"/>
      <b val="1"/>
      <color rgb="00FFFFFF"/>
      <sz val="13"/>
    </font>
    <font>
      <name val="Yu Gothic"/>
      <b val="1"/>
      <color rgb="001B3A5C"/>
      <sz val="10"/>
    </font>
    <font>
      <name val="Yu Gothic"/>
      <color rgb="001A1A1A"/>
      <sz val="10"/>
    </font>
    <font>
      <name val="Yu Gothic"/>
      <color rgb="0066707A"/>
      <sz val="9"/>
    </font>
    <font>
      <name val="Yu Gothic"/>
      <b val="1"/>
      <color rgb="00FFFFFF"/>
      <sz val="10"/>
    </font>
    <font>
      <name val="Yu Gothic"/>
      <color rgb="0066707A"/>
      <sz val="8"/>
    </font>
    <font>
      <name val="Yu Gothic"/>
      <b val="1"/>
      <color rgb="001B3A5C"/>
      <sz val="12"/>
    </font>
    <font>
      <name val="Yu Gothic"/>
      <color theme="1"/>
      <sz val="11"/>
    </font>
    <font>
      <name val="Yu Gothic"/>
      <b val="1"/>
      <color rgb="FF1B3A5C"/>
      <sz val="10"/>
    </font>
    <font>
      <name val="Yu Gothic"/>
      <b val="1"/>
      <color rgb="FF1B3A5C"/>
      <sz val="12"/>
    </font>
  </fonts>
  <fills count="7">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4A5D73"/>
      </patternFill>
    </fill>
    <fill>
      <patternFill patternType="solid">
        <fgColor rgb="0066707A"/>
      </patternFill>
    </fill>
  </fills>
  <borders count="12">
    <border>
      <left/>
      <right/>
      <top/>
      <bottom/>
      <diagonal/>
    </border>
    <border>
      <left style="thin">
        <color rgb="00B9C4CF"/>
      </left>
      <right style="thin">
        <color rgb="00B9C4CF"/>
      </right>
      <top style="thin">
        <color rgb="00B9C4CF"/>
      </top>
      <bottom style="thin">
        <color rgb="00B9C4CF"/>
      </bottom>
    </border>
    <border>
      <top style="medium">
        <color rgb="001B3A5C"/>
      </top>
    </border>
    <border>
      <left/>
      <right/>
      <top style="thin">
        <color rgb="00B9C4CF"/>
      </top>
      <bottom/>
      <diagonal/>
    </border>
    <border>
      <left/>
      <right style="thin">
        <color rgb="00B9C4CF"/>
      </right>
      <top style="thin">
        <color rgb="00B9C4CF"/>
      </top>
      <bottom/>
      <diagonal/>
    </border>
    <border>
      <left/>
      <right style="thin">
        <color rgb="00B9C4CF"/>
      </right>
      <top style="thin">
        <color rgb="00B9C4CF"/>
      </top>
      <bottom style="thin">
        <color rgb="00B9C4CF"/>
      </bottom>
      <diagonal/>
    </border>
    <border>
      <left/>
      <right/>
      <top style="medium">
        <color rgb="001B3A5C"/>
      </top>
      <bottom/>
      <diagonal/>
    </border>
    <border>
      <left/>
      <right/>
      <top style="thin">
        <color rgb="00B9C4CF"/>
      </top>
      <bottom style="thin">
        <color rgb="00B9C4CF"/>
      </bottom>
      <diagonal/>
    </border>
    <border>
      <left/>
      <right/>
      <top/>
      <bottom/>
    </border>
    <border>
      <left/>
      <right/>
      <top style="medium">
        <color rgb="001B3A5C"/>
      </top>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81">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0" borderId="0" applyAlignment="1" pivotButton="0" quotePrefix="0" xfId="0">
      <alignment horizontal="left" vertical="top" wrapText="1"/>
    </xf>
    <xf numFmtId="0" fontId="4" fillId="0" borderId="0" applyAlignment="1" pivotButton="0" quotePrefix="0" xfId="0">
      <alignment horizontal="left" vertical="center" wrapText="1"/>
    </xf>
    <xf numFmtId="0" fontId="2" fillId="3" borderId="1" applyAlignment="1" pivotButton="0" quotePrefix="0" xfId="0">
      <alignment horizontal="center" vertical="center" wrapText="1"/>
    </xf>
    <xf numFmtId="0" fontId="3" fillId="4" borderId="1" applyAlignment="1" pivotButton="0" quotePrefix="0" xfId="0">
      <alignment horizontal="left" vertical="center" wrapText="1"/>
    </xf>
    <xf numFmtId="164" fontId="3" fillId="4" borderId="1" applyAlignment="1" pivotButton="0" quotePrefix="0" xfId="0">
      <alignment horizontal="left" vertical="center" wrapText="1"/>
    </xf>
    <xf numFmtId="164" fontId="3" fillId="3" borderId="1" applyAlignment="1" pivotButton="0" quotePrefix="0" xfId="0">
      <alignment horizontal="left" vertical="center" wrapText="1"/>
    </xf>
    <xf numFmtId="0" fontId="2" fillId="3" borderId="2" applyAlignment="1" pivotButton="0" quotePrefix="0" xfId="0">
      <alignment horizontal="left" vertical="center" wrapText="1"/>
    </xf>
    <xf numFmtId="0" fontId="0" fillId="3" borderId="2" pivotButton="0" quotePrefix="0" xfId="0"/>
    <xf numFmtId="165" fontId="3" fillId="4" borderId="1" applyAlignment="1" pivotButton="0" quotePrefix="0" xfId="0">
      <alignment horizontal="left" vertical="center" wrapText="1"/>
    </xf>
    <xf numFmtId="3" fontId="3" fillId="4" borderId="1" applyAlignment="1" pivotButton="0" quotePrefix="0" xfId="0">
      <alignment horizontal="left" vertical="center" wrapText="1"/>
    </xf>
    <xf numFmtId="1" fontId="3" fillId="4" borderId="1" applyAlignment="1" pivotButton="0" quotePrefix="0" xfId="0">
      <alignment horizontal="left" vertical="center" wrapText="1"/>
    </xf>
    <xf numFmtId="164" fontId="2" fillId="3" borderId="1" applyAlignment="1" pivotButton="0" quotePrefix="0" xfId="0">
      <alignment horizontal="left" vertical="center" wrapText="1"/>
    </xf>
    <xf numFmtId="0" fontId="2" fillId="3" borderId="1" applyAlignment="1" pivotButton="0" quotePrefix="0" xfId="0">
      <alignment horizontal="left" vertical="center" wrapText="1"/>
    </xf>
    <xf numFmtId="0" fontId="0" fillId="3" borderId="1" pivotButton="0" quotePrefix="0" xfId="0"/>
    <xf numFmtId="0" fontId="5" fillId="2" borderId="1" applyAlignment="1" pivotButton="0" quotePrefix="0" xfId="0">
      <alignment horizontal="center" vertical="center" wrapText="1"/>
    </xf>
    <xf numFmtId="0" fontId="5" fillId="5" borderId="1" applyAlignment="1" pivotButton="0" quotePrefix="0" xfId="0">
      <alignment horizontal="center" vertical="center" wrapText="1"/>
    </xf>
    <xf numFmtId="0" fontId="5" fillId="6" borderId="1" applyAlignment="1" pivotButton="0" quotePrefix="0" xfId="0">
      <alignment horizontal="center" vertical="center" wrapText="1"/>
    </xf>
    <xf numFmtId="0" fontId="6"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4" borderId="1" applyAlignment="1" pivotButton="0" quotePrefix="0" xfId="0">
      <alignment horizontal="left" vertical="center" shrinkToFit="1"/>
    </xf>
    <xf numFmtId="0" fontId="3" fillId="4" borderId="1" applyAlignment="1" pivotButton="0" quotePrefix="0" xfId="0">
      <alignment horizontal="right" vertical="center"/>
    </xf>
    <xf numFmtId="166" fontId="3" fillId="3" borderId="1" applyAlignment="1" pivotButton="0" quotePrefix="0" xfId="0">
      <alignment horizontal="right" vertical="center"/>
    </xf>
    <xf numFmtId="0" fontId="3" fillId="3" borderId="1" applyAlignment="1" pivotButton="0" quotePrefix="0" xfId="0">
      <alignment horizontal="right" vertical="center"/>
    </xf>
    <xf numFmtId="167" fontId="3" fillId="3" borderId="1" applyAlignment="1" pivotButton="0" quotePrefix="0" xfId="0">
      <alignment horizontal="right" vertical="center"/>
    </xf>
    <xf numFmtId="0" fontId="3" fillId="3" borderId="1" applyAlignment="1" pivotButton="0" quotePrefix="0" xfId="0">
      <alignment horizontal="center" vertical="center" wrapText="1"/>
    </xf>
    <xf numFmtId="164" fontId="3" fillId="4" borderId="1" applyAlignment="1" pivotButton="0" quotePrefix="0" xfId="0">
      <alignment horizontal="center" vertical="center" wrapText="1"/>
    </xf>
    <xf numFmtId="1" fontId="6" fillId="0" borderId="1" applyAlignment="1" pivotButton="0" quotePrefix="0" xfId="0">
      <alignment horizontal="left" vertical="center" wrapText="1"/>
    </xf>
    <xf numFmtId="168" fontId="6" fillId="0" borderId="1" applyAlignment="1" pivotButton="0" quotePrefix="0" xfId="0">
      <alignment horizontal="left" vertical="center" wrapText="1"/>
    </xf>
    <xf numFmtId="0" fontId="3" fillId="3" borderId="1" applyAlignment="1" pivotButton="0" quotePrefix="0" xfId="0">
      <alignment horizontal="left" vertical="center" shrinkToFit="1"/>
    </xf>
    <xf numFmtId="0" fontId="3" fillId="4" borderId="1" applyAlignment="1" pivotButton="0" quotePrefix="0" xfId="0">
      <alignment horizontal="left" vertical="top" wrapText="1"/>
    </xf>
    <xf numFmtId="0" fontId="6" fillId="0" borderId="1" applyAlignment="1" pivotButton="0" quotePrefix="0" xfId="0">
      <alignment horizontal="left" vertical="center" wrapText="1"/>
    </xf>
    <xf numFmtId="0" fontId="3" fillId="3" borderId="1" applyAlignment="1" pivotButton="0" quotePrefix="0" xfId="0">
      <alignment horizontal="left" vertical="center" wrapText="1"/>
    </xf>
    <xf numFmtId="164" fontId="3" fillId="3" borderId="1" applyAlignment="1" pivotButton="0" quotePrefix="0" xfId="0">
      <alignment horizontal="right" vertical="center"/>
    </xf>
    <xf numFmtId="0" fontId="4" fillId="0" borderId="1" applyAlignment="1" pivotButton="0" quotePrefix="0" xfId="0">
      <alignment horizontal="left" vertical="center" wrapText="1"/>
    </xf>
    <xf numFmtId="0" fontId="0" fillId="0" borderId="1" pivotButton="0" quotePrefix="0" xfId="0"/>
    <xf numFmtId="169" fontId="3" fillId="3" borderId="1" applyAlignment="1" pivotButton="0" quotePrefix="0" xfId="0">
      <alignment horizontal="right" vertical="center"/>
    </xf>
    <xf numFmtId="170" fontId="3" fillId="3" borderId="1" applyAlignment="1" pivotButton="0" quotePrefix="0" xfId="0">
      <alignment horizontal="right" vertical="center"/>
    </xf>
    <xf numFmtId="1" fontId="3" fillId="3" borderId="1" applyAlignment="1" pivotButton="0" quotePrefix="0" xfId="0">
      <alignment horizontal="left" vertical="center" wrapText="1"/>
    </xf>
    <xf numFmtId="1" fontId="3" fillId="3" borderId="1" applyAlignment="1" pivotButton="0" quotePrefix="0" xfId="0">
      <alignment horizontal="right" vertical="center"/>
    </xf>
    <xf numFmtId="0" fontId="4" fillId="3" borderId="1" applyAlignment="1" pivotButton="0" quotePrefix="0" xfId="0">
      <alignment horizontal="left" vertical="center" wrapText="1"/>
    </xf>
    <xf numFmtId="1" fontId="2" fillId="3" borderId="1" applyAlignment="1" pivotButton="0" quotePrefix="0" xfId="0">
      <alignment horizontal="right" vertical="center"/>
    </xf>
    <xf numFmtId="166" fontId="2" fillId="3" borderId="1" applyAlignment="1" pivotButton="0" quotePrefix="0" xfId="0">
      <alignment horizontal="right" vertical="center"/>
    </xf>
    <xf numFmtId="0" fontId="7" fillId="4" borderId="1" applyAlignment="1" pivotButton="0" quotePrefix="0" xfId="0">
      <alignment horizontal="center" vertical="center" wrapText="1"/>
    </xf>
    <xf numFmtId="164" fontId="3" fillId="3" borderId="1" applyAlignment="1" pivotButton="0" quotePrefix="0" xfId="0">
      <alignment horizontal="center" vertical="center" wrapText="1"/>
    </xf>
    <xf numFmtId="0" fontId="4" fillId="3" borderId="1" applyAlignment="1" pivotButton="0" quotePrefix="0" xfId="0">
      <alignment horizontal="left" vertical="center" shrinkToFit="1"/>
    </xf>
    <xf numFmtId="0" fontId="0" fillId="4" borderId="1" pivotButton="0" quotePrefix="0" xfId="0"/>
    <xf numFmtId="0" fontId="4" fillId="0"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left" vertical="center" shrinkToFit="1"/>
    </xf>
    <xf numFmtId="0" fontId="6" fillId="0" borderId="0" pivotButton="0" quotePrefix="0" xfId="0"/>
    <xf numFmtId="0" fontId="0" fillId="0" borderId="5" pivotButton="0" quotePrefix="0" xfId="0"/>
    <xf numFmtId="0" fontId="2" fillId="0" borderId="0" applyAlignment="1" pivotButton="0" quotePrefix="0" xfId="0">
      <alignment horizontal="left" vertical="center" wrapText="1"/>
    </xf>
    <xf numFmtId="164" fontId="3" fillId="0" borderId="1" applyAlignment="1" pivotButton="0" quotePrefix="0" xfId="0">
      <alignment horizontal="center" vertical="center" wrapText="1"/>
    </xf>
    <xf numFmtId="0" fontId="3" fillId="0" borderId="1" applyAlignment="1" pivotButton="0" quotePrefix="0" xfId="0">
      <alignment horizontal="right" vertical="center"/>
    </xf>
    <xf numFmtId="166" fontId="3" fillId="0" borderId="1" applyAlignment="1" pivotButton="0" quotePrefix="0" xfId="0">
      <alignment horizontal="right" vertical="center"/>
    </xf>
    <xf numFmtId="0" fontId="1" fillId="2" borderId="8" applyAlignment="1" pivotButton="0" quotePrefix="0" xfId="0">
      <alignment horizontal="left" vertical="center" wrapText="1"/>
    </xf>
    <xf numFmtId="0" fontId="8" fillId="0" borderId="8" pivotButton="0" quotePrefix="0" xfId="0"/>
    <xf numFmtId="0" fontId="9" fillId="3" borderId="8" applyAlignment="1" pivotButton="0" quotePrefix="0" xfId="0">
      <alignment horizontal="left" vertical="center" wrapText="1"/>
    </xf>
    <xf numFmtId="0" fontId="3" fillId="0" borderId="8" applyAlignment="1" pivotButton="0" quotePrefix="0" xfId="0">
      <alignment horizontal="left" vertical="top" wrapText="1"/>
    </xf>
    <xf numFmtId="0" fontId="4" fillId="0" borderId="8" applyAlignment="1" pivotButton="0" quotePrefix="0" xfId="0">
      <alignment horizontal="left" vertical="center" wrapText="1"/>
    </xf>
    <xf numFmtId="0" fontId="9" fillId="3" borderId="1" applyAlignment="1" pivotButton="0" quotePrefix="0" xfId="0">
      <alignment horizontal="center" vertical="center" wrapText="1"/>
    </xf>
    <xf numFmtId="0" fontId="9" fillId="3" borderId="2" applyAlignment="1" pivotButton="0" quotePrefix="0" xfId="0">
      <alignment horizontal="left" vertical="center" wrapText="1"/>
    </xf>
    <xf numFmtId="0" fontId="8" fillId="0" borderId="9" pivotButton="0" quotePrefix="0" xfId="0"/>
    <xf numFmtId="164" fontId="9" fillId="3" borderId="1" applyAlignment="1" pivotButton="0" quotePrefix="0" xfId="0">
      <alignment horizontal="left" vertical="center" wrapText="1"/>
    </xf>
    <xf numFmtId="0" fontId="9" fillId="3" borderId="1" applyAlignment="1" pivotButton="0" quotePrefix="0" xfId="0">
      <alignment horizontal="left" vertical="center" wrapText="1"/>
    </xf>
    <xf numFmtId="0" fontId="8" fillId="0" borderId="10" pivotButton="0" quotePrefix="0" xfId="0"/>
    <xf numFmtId="0" fontId="8" fillId="0" borderId="11" pivotButton="0" quotePrefix="0" xfId="0"/>
    <xf numFmtId="166" fontId="3" fillId="3" borderId="1" applyAlignment="1" pivotButton="0" quotePrefix="0" xfId="0">
      <alignment horizontal="right" vertical="center"/>
    </xf>
    <xf numFmtId="167" fontId="3" fillId="3" borderId="1" applyAlignment="1" pivotButton="0" quotePrefix="0" xfId="0">
      <alignment horizontal="right" vertical="center"/>
    </xf>
    <xf numFmtId="168" fontId="6" fillId="0" borderId="1" applyAlignment="1" pivotButton="0" quotePrefix="0" xfId="0">
      <alignment horizontal="left" vertical="center" wrapText="1"/>
    </xf>
    <xf numFmtId="1" fontId="9" fillId="3" borderId="1" applyAlignment="1" pivotButton="0" quotePrefix="0" xfId="0">
      <alignment horizontal="right" vertical="center"/>
    </xf>
    <xf numFmtId="166" fontId="9" fillId="3" borderId="1" applyAlignment="1" pivotButton="0" quotePrefix="0" xfId="0">
      <alignment horizontal="right" vertical="center"/>
    </xf>
    <xf numFmtId="0" fontId="10" fillId="4" borderId="1" applyAlignment="1" pivotButton="0" quotePrefix="0" xfId="0">
      <alignment horizontal="center" vertical="center" wrapText="1"/>
    </xf>
    <xf numFmtId="0" fontId="6" fillId="0" borderId="8" pivotButton="0" quotePrefix="0" xfId="0"/>
    <xf numFmtId="0" fontId="9" fillId="0" borderId="8" applyAlignment="1" pivotButton="0" quotePrefix="0" xfId="0">
      <alignment horizontal="left" vertical="center" wrapText="1"/>
    </xf>
    <xf numFmtId="166" fontId="3" fillId="0" borderId="1" applyAlignment="1" pivotButton="0" quotePrefix="0" xfId="0">
      <alignment horizontal="right" vertical="center"/>
    </xf>
  </cellXfs>
  <cellStyles count="1">
    <cellStyle name="Normal" xfId="0" builtinId="0" hidden="0"/>
  </cellStyles>
  <dxfs count="2">
    <dxf>
      <font>
        <b val="1"/>
        <color rgb="00B3261E"/>
      </font>
      <fill>
        <patternFill patternType="solid">
          <fgColor rgb="00FDECEA"/>
          <bgColor rgb="00FDECEA"/>
        </patternFill>
      </fill>
    </dxf>
    <dxf>
      <fill>
        <patternFill patternType="solid">
          <fgColor rgb="00FFF4CC"/>
          <bgColor rgb="00FFF4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66707A"/>
    <outlinePr summaryBelow="1" summaryRight="1"/>
    <pageSetUpPr fitToPage="1"/>
  </sheetPr>
  <dimension ref="A1:B62"/>
  <sheetViews>
    <sheetView showGridLines="0" tabSelected="1" workbookViewId="0">
      <selection activeCell="A1" sqref="A1"/>
    </sheetView>
  </sheetViews>
  <sheetFormatPr baseColWidth="8" defaultRowHeight="15"/>
  <cols>
    <col width="24" customWidth="1" min="1" max="1"/>
    <col width="104" customWidth="1" min="2" max="2"/>
  </cols>
  <sheetData>
    <row r="1" ht="26" customHeight="1">
      <c r="A1" s="60" t="inlineStr">
        <is>
          <t>使い方（棚卸表テンプレート）</t>
        </is>
      </c>
      <c r="B1" s="61" t="n"/>
    </row>
    <row r="2" ht="20" customHeight="1">
      <c r="A2" s="62" t="inlineStr">
        <is>
          <t>このファイルでできること</t>
        </is>
      </c>
      <c r="B2" s="61" t="n"/>
    </row>
    <row r="3" ht="17.5" customHeight="1">
      <c r="A3" s="63" t="inlineStr">
        <is>
          <t>帳簿の数（帳簿数）と、実際に数えた数（実棚数）を並べて、差異の数量・金額・率を出します。</t>
        </is>
      </c>
      <c r="B3" s="61" t="n"/>
    </row>
    <row r="4" ht="32" customHeight="1">
      <c r="A4" s="63" t="inlineStr">
        <is>
          <t>設定した基準を超えた品目に「要確認」の印を付けます。差異の原因は「差異の原因」シートに1件ずつ記録し、説明できていない差異の数が棚卸表に出ます。</t>
        </is>
      </c>
      <c r="B4" s="61" t="n"/>
    </row>
    <row r="5" ht="17.5" customHeight="1">
      <c r="A5" s="63" t="inlineStr">
        <is>
          <t>集計シートに、帳簿在庫金額・実地在庫金額・差異金額の合計と、保管場所別・原因別の集計が出ます。</t>
        </is>
      </c>
      <c r="B5" s="61" t="n"/>
    </row>
    <row r="6" ht="17.5" customHeight="1">
      <c r="A6" s="63" t="inlineStr">
        <is>
          <t>黄色のセルに入力します。灰色のセルは数式なので書き換えません。</t>
        </is>
      </c>
      <c r="B6" s="61" t="n"/>
    </row>
    <row r="7">
      <c r="A7" s="61" t="n"/>
      <c r="B7" s="61" t="n"/>
    </row>
    <row r="8" ht="20" customHeight="1">
      <c r="A8" s="62" t="inlineStr">
        <is>
          <t>最初の1回</t>
        </is>
      </c>
      <c r="B8" s="61" t="n"/>
    </row>
    <row r="9" ht="17.5" customHeight="1">
      <c r="A9" s="63" t="inlineStr">
        <is>
          <t>1. 「設定」シートに会社名・棚卸日・実施責任者を入れます。棚卸日を空にすると、今日の日付で期限を判定します。</t>
        </is>
      </c>
      <c r="B9" s="61" t="n"/>
    </row>
    <row r="10" ht="32" customHeight="1">
      <c r="A10" s="63" t="inlineStr">
        <is>
          <t>2. 「設定」シートの保管場所の一覧に、売場・倉庫・冷蔵庫など、数える単位の場所を入れます（20か所まで）。棚1段ずつのように細かく分けると、数える用紙が1枚に収まります。</t>
        </is>
      </c>
      <c r="B10" s="61" t="n"/>
    </row>
    <row r="11" ht="32" customHeight="1">
      <c r="A11" s="63" t="inlineStr">
        <is>
          <t>3. 要確認にする基準（差異率・差異金額）を決めて入れます。どちらかを超えた品目が要確認になります。片方だけ使うときは、使わない方を空にします。両方とも空にすると、差異が出た品目はすべて要確認になります。</t>
        </is>
      </c>
      <c r="B11" s="61" t="n"/>
    </row>
    <row r="12" ht="32" customHeight="1">
      <c r="A12" s="63" t="inlineStr">
        <is>
          <t>4. 「棚卸表」に品目コード・品名・規格・保管場所・単位・単価を入れます（500品目まで）。品目コードは重ならないようにします。同じ品目でも期限の違うロットを分けて数えるときは、S101-1、S101-2 のようにコードを分けます。</t>
        </is>
      </c>
      <c r="B12" s="61" t="n"/>
    </row>
    <row r="13">
      <c r="A13" s="61" t="n"/>
      <c r="B13" s="61" t="n"/>
    </row>
    <row r="14" ht="20" customHeight="1">
      <c r="A14" s="62" t="inlineStr">
        <is>
          <t>棚卸のたびに</t>
        </is>
      </c>
      <c r="B14" s="61" t="n"/>
    </row>
    <row r="15" ht="17.5" customHeight="1">
      <c r="A15" s="63" t="inlineStr">
        <is>
          <t>1. 棚卸の前に、帳簿（在庫の記録・会計ソフト・在庫管理表）から、その日時点の数を「帳簿数」に写します。</t>
        </is>
      </c>
      <c r="B15" s="61" t="n"/>
    </row>
    <row r="16" ht="32" customHeight="1">
      <c r="A16" s="63" t="inlineStr">
        <is>
          <t>2. 「数える用紙」で保管場所を選び、印刷して数える人に渡します。この用紙には帳簿数を出していません。数える人が帳簿の数を知らないまま数えられるようにするためです。</t>
        </is>
      </c>
      <c r="B16" s="61" t="n"/>
    </row>
    <row r="17" ht="46.5" customHeight="1">
      <c r="A17" s="63" t="inlineStr">
        <is>
          <t>3. 数えた数を「棚卸表」の「実棚数」に入れます。差異数・差異金額・差異率・判定が自動で出ます。数える用紙（手書きのメモ）は捨てずに、棚卸表と一緒に保存します（国税庁「令和7年分 青色申告の決算の手引き（一般用）」に、実地棚卸しの数量を書いたメモなどの原始記録は棚卸表と一緒に保存する、とあります）。</t>
        </is>
      </c>
      <c r="B17" s="61" t="n"/>
    </row>
    <row r="18" ht="32" customHeight="1">
      <c r="A18" s="63" t="inlineStr">
        <is>
          <t>4. 「要確認」の品目について原因を調べ、「差異の原因」シートに1件ずつ記録します。1つの品目に原因が2つあるときは、2行に分けます。</t>
        </is>
      </c>
      <c r="B18" s="61" t="n"/>
    </row>
    <row r="19" ht="32" customHeight="1">
      <c r="A19" s="63" t="inlineStr">
        <is>
          <t>5. 原因が分かって帳簿を直したら、「帳簿の修正」を「済」にします。棚卸表の「未説明の差異数」が0になると、「原因の記録」が「済」になります。</t>
        </is>
      </c>
      <c r="B19" s="61" t="n"/>
    </row>
    <row r="20" ht="17.5" customHeight="1">
      <c r="A20" s="63" t="inlineStr">
        <is>
          <t>6. 「集計」シートで、差異金額・要確認の数・原因の記録が終わっていない品目の数を確かめます。</t>
        </is>
      </c>
      <c r="B20" s="61" t="n"/>
    </row>
    <row r="21" ht="17.5" customHeight="1">
      <c r="A21" s="63" t="inlineStr">
        <is>
          <t>7. 次の月は、このファイルをコピーしてから帳簿数と実棚数を入れ直します。前の月のファイルは残しておきます。</t>
        </is>
      </c>
      <c r="B21" s="61" t="n"/>
    </row>
    <row r="22">
      <c r="A22" s="61" t="n"/>
      <c r="B22" s="61" t="n"/>
    </row>
    <row r="23" ht="20" customHeight="1">
      <c r="A23" s="62" t="inlineStr">
        <is>
          <t>判定の意味</t>
        </is>
      </c>
      <c r="B23" s="61" t="n"/>
    </row>
    <row r="24" ht="17.5" customHeight="1">
      <c r="A24" s="63" t="inlineStr">
        <is>
          <t>一致 … 帳簿数と実棚数が同じ。</t>
        </is>
      </c>
      <c r="B24" s="61" t="n"/>
    </row>
    <row r="25" ht="17.5" customHeight="1">
      <c r="A25" s="63" t="inlineStr">
        <is>
          <t>許容内 … 差異はあるが、差異率・差異金額のどちらも設定した基準を超えていない（ちょうど同じ値は許容内）。</t>
        </is>
      </c>
      <c r="B25" s="61" t="n"/>
    </row>
    <row r="26" ht="17.5" customHeight="1">
      <c r="A26" s="63" t="inlineStr">
        <is>
          <t>要確認 … 差異率か差異金額のどちらかが基準を超えた。帳簿数が0以下で差異があるとき（帳簿にない在庫など）も要確認。</t>
        </is>
      </c>
      <c r="B26" s="61" t="n"/>
    </row>
    <row r="27" ht="17.5" customHeight="1">
      <c r="A27" s="63" t="inlineStr">
        <is>
          <t>未入力 … 帳簿数か実棚数が空。</t>
        </is>
      </c>
      <c r="B27" s="61" t="n"/>
    </row>
    <row r="28">
      <c r="A28" s="61" t="n"/>
      <c r="B28" s="61" t="n"/>
    </row>
    <row r="29" ht="20" customHeight="1">
      <c r="A29" s="62" t="inlineStr">
        <is>
          <t>差異の数え方</t>
        </is>
      </c>
      <c r="B29" s="61" t="n"/>
    </row>
    <row r="30" ht="17.5" customHeight="1">
      <c r="A30" s="63" t="inlineStr">
        <is>
          <t>差異数 ＝ 実棚数 − 帳簿数。マイナスは「帳簿より少ない（不足）」、プラスは「帳簿より多い（超過）」です。</t>
        </is>
      </c>
      <c r="B30" s="61" t="n"/>
    </row>
    <row r="31" ht="17.5" customHeight="1">
      <c r="A31" s="63" t="inlineStr">
        <is>
          <t>差異金額 ＝ 差異数 × 単価。差異率 ＝ 差異数 ÷ 帳簿数（0.01% 未満は四捨五入。帳簿数が0以下のときは「－」）。</t>
        </is>
      </c>
      <c r="B31" s="61" t="n"/>
    </row>
    <row r="32" ht="17.5" customHeight="1">
      <c r="A32" s="63" t="inlineStr">
        <is>
          <t>差異の原因シートの数量は、差異と同じ向きで入れます。不足の原因ならマイナス、超過の原因ならプラスです。</t>
        </is>
      </c>
      <c r="B32" s="61" t="n"/>
    </row>
    <row r="33" ht="17.5" customHeight="1">
      <c r="A33" s="63" t="inlineStr">
        <is>
          <t>未説明の差異数 ＝ 差異数 − その品目の原因の数量の合計。0になれば、差異の全部に原因の記録があります。</t>
        </is>
      </c>
      <c r="B33" s="61" t="n"/>
    </row>
    <row r="34">
      <c r="A34" s="61" t="n"/>
      <c r="B34" s="61" t="n"/>
    </row>
    <row r="35" ht="20" customHeight="1">
      <c r="A35" s="62" t="inlineStr">
        <is>
          <t>単価に何を入れるか</t>
        </is>
      </c>
      <c r="B35" s="61" t="n"/>
    </row>
    <row r="36" ht="17.5" customHeight="1">
      <c r="A36" s="63" t="inlineStr">
        <is>
          <t>毎月の棚卸で差異の大きさを見るだけなら、ふだんの仕入単価で足ります。</t>
        </is>
      </c>
      <c r="B36" s="61" t="n"/>
    </row>
    <row r="37" ht="32" customHeight="1">
      <c r="A37" s="63" t="inlineStr">
        <is>
          <t>期末（決算）の棚卸表は、選んだ評価方法で計算した単価を入れます。評価方法を税務署に届け出ていなければ、最終仕入原価法（期末に最も近い時に仕入れたものの単価）です（法人税法施行令第31条第1項・所得税法施行令第102条第1項）。</t>
        </is>
      </c>
      <c r="B37" s="61" t="n"/>
    </row>
    <row r="38" ht="17.5" customHeight="1">
      <c r="A38" s="63" t="inlineStr">
        <is>
          <t>単価に小数があると、金額の表示は円未満を四捨五入しています（セルの値は四捨五入していません）。</t>
        </is>
      </c>
      <c r="B38" s="61" t="n"/>
    </row>
    <row r="39">
      <c r="A39" s="61" t="n"/>
      <c r="B39" s="61" t="n"/>
    </row>
    <row r="40" ht="20" customHeight="1">
      <c r="A40" s="62" t="inlineStr">
        <is>
          <t>期限（消費期限・賞味期限）の欄</t>
        </is>
      </c>
      <c r="B40" s="61" t="n"/>
    </row>
    <row r="41" ht="17.5" customHeight="1">
      <c r="A41" s="63" t="inlineStr">
        <is>
          <t>食品などで期限があるものは、パッケージの日付を「期限」に入れ、種類を選びます。期限のないものは空のままにします。</t>
        </is>
      </c>
      <c r="B41" s="61" t="n"/>
    </row>
    <row r="42" ht="32" customHeight="1">
      <c r="A42" s="63" t="inlineStr">
        <is>
          <t>期限切れ・当日・設定した日数以内のものは、棚卸表の「期限の状態」と「期限チェック」シートに出ます。実棚数が0の品目は出ません。</t>
        </is>
      </c>
      <c r="B42" s="61" t="n"/>
    </row>
    <row r="43" ht="32" customHeight="1">
      <c r="A43" s="63" t="inlineStr">
        <is>
          <t>食品表示基準では、消費期限は安全性を欠くおそれがないと認められる期限、賞味期限は期待される全ての品質の保持が十分に可能であると認められる期限です（第2条第1項第7号・第8号）。</t>
        </is>
      </c>
      <c r="B43" s="61" t="n"/>
    </row>
    <row r="44">
      <c r="A44" s="61" t="n"/>
      <c r="B44" s="61" t="n"/>
    </row>
    <row r="45" ht="20" customHeight="1">
      <c r="A45" s="62" t="inlineStr">
        <is>
          <t>入力のルール</t>
        </is>
      </c>
      <c r="B45" s="61" t="n"/>
    </row>
    <row r="46" ht="17.5" customHeight="1">
      <c r="A46" s="63" t="inlineStr">
        <is>
          <t>・品目コードに * や ? を使わないでください。差異の原因の集計で、ほかのコードと混ざります。</t>
        </is>
      </c>
      <c r="B46" s="61" t="n"/>
    </row>
    <row r="47" ht="32" customHeight="1">
      <c r="A47" s="63" t="inlineStr">
        <is>
          <t>・数式の入った行は削除しないでください（中身を消すだけにします）。並べ替えはしてもかまいませんが、灰色の列も含めて行ごと並べ替えます。</t>
        </is>
      </c>
      <c r="B47" s="61" t="n"/>
    </row>
    <row r="48" ht="17.5" customHeight="1">
      <c r="A48" s="63" t="inlineStr">
        <is>
          <t>・差異の原因シートの品目コードを書き換えると、その記録は別の品目の原因として数えられます。</t>
        </is>
      </c>
      <c r="B48" s="61" t="n"/>
    </row>
    <row r="49" ht="17.5" customHeight="1">
      <c r="A49" s="63" t="inlineStr">
        <is>
          <t>・品目が500を超えたら、保管場所ごとにファイルを分けるか、別の仕組みに移す時期です。</t>
        </is>
      </c>
      <c r="B49" s="61" t="n"/>
    </row>
    <row r="50">
      <c r="A50" s="61" t="n"/>
      <c r="B50" s="61" t="n"/>
    </row>
    <row r="51" ht="20" customHeight="1">
      <c r="A51" s="62" t="inlineStr">
        <is>
          <t>印刷</t>
        </is>
      </c>
      <c r="B51" s="61" t="n"/>
    </row>
    <row r="52" ht="32" customHeight="1">
      <c r="A52" s="63" t="inlineStr">
        <is>
          <t>・棚卸表は A4横です。品目コードの列のフィルターで「（空白）」のチェックを外すと、入力した行だけが表示されて、そのまま印刷できます。</t>
        </is>
      </c>
      <c r="B52" s="61" t="n"/>
    </row>
    <row r="53" ht="17.5" customHeight="1">
      <c r="A53" s="63" t="inlineStr">
        <is>
          <t>・数える用紙は A4縦1枚（40品目）です。41品目目からは表示されないので、その場所を2つに分けます。</t>
        </is>
      </c>
      <c r="B53" s="61" t="n"/>
    </row>
    <row r="54" ht="17.5" customHeight="1">
      <c r="A54" s="63" t="inlineStr">
        <is>
          <t>・集計は A4縦1枚、差異の原因・期限チェックは A4横です。</t>
        </is>
      </c>
      <c r="B54" s="61" t="n"/>
    </row>
    <row r="55">
      <c r="A55" s="61" t="n"/>
      <c r="B55" s="61" t="n"/>
    </row>
    <row r="56" ht="20" customHeight="1">
      <c r="A56" s="62" t="inlineStr">
        <is>
          <t>使っている関数と対応バージョン</t>
        </is>
      </c>
      <c r="B56" s="61" t="n"/>
    </row>
    <row r="57" ht="32" customHeight="1">
      <c r="A57" s="63" t="inlineStr">
        <is>
          <t>IF・AND・OR・NOT・IFERROR・INDEX・MATCH・SMALL・SUM・SUMIF・SUMIFS・COUNT・COUNTA・COUNTIF・COUNTIFS・ABS・ROUND・ISNUMBER・N・FIXED・LEFT・TODAY・ROW の23個です。XLOOKUP・FILTER・MAXIFS は使っていません。</t>
        </is>
      </c>
      <c r="B57" s="61" t="n"/>
    </row>
    <row r="58" ht="32" customHeight="1">
      <c r="A58" s="63" t="inlineStr">
        <is>
          <t>SUMIFS・COUNTIFS・SMALL・IFERROR・INDEX・MATCH は、Microsoft のサポートページで Excel 2016 が適用先に挙がっています（2026年10月3日確認）。</t>
        </is>
      </c>
      <c r="B58" s="61" t="n"/>
    </row>
    <row r="59" ht="17.5" customHeight="1">
      <c r="A59" s="63" t="inlineStr">
        <is>
          <t>確認したのは LibreOffice での再計算です。Excel と Google スプレッドシートの実機では開いていません。</t>
        </is>
      </c>
      <c r="B59" s="61" t="n"/>
    </row>
    <row r="60">
      <c r="A60" s="61" t="n"/>
      <c r="B60" s="61" t="n"/>
    </row>
    <row r="61" ht="20" customHeight="1">
      <c r="A61" s="62" t="inlineStr">
        <is>
          <t>色の意味</t>
        </is>
      </c>
      <c r="B61" s="61" t="n"/>
    </row>
    <row r="62" ht="32" customHeight="1">
      <c r="A62" s="63" t="inlineStr">
        <is>
          <t>黄色 … 入力するセル／灰色 … 数式（書き換えない）／赤 … 要確認・期限切れ・原因が未記録／薄い黄 … 原因の記録が一部・期限が近い</t>
        </is>
      </c>
      <c r="B62" s="61" t="n"/>
    </row>
  </sheetData>
  <mergeCells count="52">
    <mergeCell ref="A48:B48"/>
    <mergeCell ref="A24:B24"/>
    <mergeCell ref="A30:B30"/>
    <mergeCell ref="A15:B15"/>
    <mergeCell ref="A59:B59"/>
    <mergeCell ref="A11:B11"/>
    <mergeCell ref="A49:B49"/>
    <mergeCell ref="A51:B51"/>
    <mergeCell ref="A45:B45"/>
    <mergeCell ref="A36:B36"/>
    <mergeCell ref="A1:B1"/>
    <mergeCell ref="A61:B61"/>
    <mergeCell ref="A6:B6"/>
    <mergeCell ref="A16:B16"/>
    <mergeCell ref="A54:B54"/>
    <mergeCell ref="A25:B25"/>
    <mergeCell ref="A41:B41"/>
    <mergeCell ref="A37:B37"/>
    <mergeCell ref="A46:B46"/>
    <mergeCell ref="A18:B18"/>
    <mergeCell ref="A27:B27"/>
    <mergeCell ref="A56:B56"/>
    <mergeCell ref="A3:B3"/>
    <mergeCell ref="A12:B12"/>
    <mergeCell ref="A26:B26"/>
    <mergeCell ref="A21:B21"/>
    <mergeCell ref="A2:B2"/>
    <mergeCell ref="A57:B57"/>
    <mergeCell ref="A33:B33"/>
    <mergeCell ref="A47:B47"/>
    <mergeCell ref="A5:B5"/>
    <mergeCell ref="A42:B42"/>
    <mergeCell ref="A32:B32"/>
    <mergeCell ref="A14:B14"/>
    <mergeCell ref="A17:B17"/>
    <mergeCell ref="A23:B23"/>
    <mergeCell ref="A8:B8"/>
    <mergeCell ref="A53:B53"/>
    <mergeCell ref="A35:B35"/>
    <mergeCell ref="A4:B4"/>
    <mergeCell ref="A62:B62"/>
    <mergeCell ref="A20:B20"/>
    <mergeCell ref="A38:B38"/>
    <mergeCell ref="A29:B29"/>
    <mergeCell ref="A52:B52"/>
    <mergeCell ref="A43:B43"/>
    <mergeCell ref="A19:B19"/>
    <mergeCell ref="A10:B10"/>
    <mergeCell ref="A40:B40"/>
    <mergeCell ref="A9:B9"/>
    <mergeCell ref="A31:B31"/>
    <mergeCell ref="A58:B58"/>
  </mergeCells>
  <pageMargins left="0.4" right="0.4" top="0.45" bottom="0.45" header="0.2" footer="0.2"/>
  <pageSetup orientation="landscape" paperSize="9" fitToHeight="0" fitToWidth="1"/>
</worksheet>
</file>

<file path=xl/worksheets/sheet2.xml><?xml version="1.0" encoding="utf-8"?>
<worksheet xmlns="http://schemas.openxmlformats.org/spreadsheetml/2006/main">
  <sheetPr>
    <tabColor rgb="001B3A5C"/>
    <outlinePr summaryBelow="1" summaryRight="1"/>
    <pageSetUpPr fitToPage="1"/>
  </sheetPr>
  <dimension ref="A1:C51"/>
  <sheetViews>
    <sheetView showGridLines="0" tabSelected="0" workbookViewId="0">
      <selection activeCell="A1" sqref="A1"/>
    </sheetView>
  </sheetViews>
  <sheetFormatPr baseColWidth="8" defaultRowHeight="15"/>
  <cols>
    <col width="22" customWidth="1" min="1" max="1"/>
    <col width="30" customWidth="1" min="2" max="2"/>
    <col width="70" customWidth="1" min="3" max="3"/>
  </cols>
  <sheetData>
    <row r="1" ht="26" customHeight="1">
      <c r="A1" s="60" t="inlineStr">
        <is>
          <t>設定（最初に1回入れる）</t>
        </is>
      </c>
      <c r="B1" s="61" t="n"/>
      <c r="C1" s="61" t="n"/>
    </row>
    <row r="2" ht="20" customHeight="1">
      <c r="A2" s="64" t="inlineStr">
        <is>
          <t>黄色のセルに入れます。ここで決めた基準と一覧が、棚卸表・差異の原因・集計・数える用紙・期限チェックに使われます。</t>
        </is>
      </c>
      <c r="B2" s="61" t="n"/>
      <c r="C2" s="61" t="n"/>
    </row>
    <row r="3">
      <c r="A3" s="61" t="n"/>
      <c r="B3" s="61" t="n"/>
      <c r="C3" s="61" t="n"/>
    </row>
    <row r="4" ht="22" customHeight="1">
      <c r="A4" s="65" t="inlineStr">
        <is>
          <t>会社名・店名</t>
        </is>
      </c>
      <c r="B4" s="8" t="n"/>
      <c r="C4" s="64" t="n"/>
    </row>
    <row r="5" ht="22" customHeight="1">
      <c r="A5" s="65" t="inlineStr">
        <is>
          <t>棚卸日</t>
        </is>
      </c>
      <c r="B5" s="9" t="n"/>
      <c r="C5" s="64" t="inlineStr">
        <is>
          <t>空にすると、今日の日付で期限を判定します。</t>
        </is>
      </c>
    </row>
    <row r="6" ht="22" customHeight="1">
      <c r="A6" s="65" t="inlineStr">
        <is>
          <t>基準日（自動）</t>
        </is>
      </c>
      <c r="B6" s="10">
        <f>IF(B5="",TODAY(),B5)</f>
        <v/>
      </c>
      <c r="C6" s="64" t="inlineStr">
        <is>
          <t>期限切れ・期限が近いかの判定に使う日です（書き換えない）。</t>
        </is>
      </c>
    </row>
    <row r="7" ht="22" customHeight="1">
      <c r="A7" s="65" t="inlineStr">
        <is>
          <t>実施責任者</t>
        </is>
      </c>
      <c r="B7" s="8" t="n"/>
      <c r="C7" s="64" t="n"/>
    </row>
    <row r="8">
      <c r="A8" s="61" t="n"/>
      <c r="B8" s="61" t="n"/>
      <c r="C8" s="61" t="n"/>
    </row>
    <row r="9" ht="20" customHeight="1">
      <c r="A9" s="66" t="inlineStr">
        <is>
          <t>要確認にする基準（どちらか一方を超えたら要確認）</t>
        </is>
      </c>
      <c r="B9" s="67" t="n"/>
      <c r="C9" s="67" t="n"/>
    </row>
    <row r="10" ht="30" customHeight="1">
      <c r="A10" s="65" t="inlineStr">
        <is>
          <t>差異率</t>
        </is>
      </c>
      <c r="B10" s="13" t="n"/>
      <c r="C10" s="64" t="inlineStr">
        <is>
          <t>例: 5% と入れると、差異率が ±5% を超えた品目が要確認。空にすると差異率では判定しません。</t>
        </is>
      </c>
    </row>
    <row r="11" ht="30" customHeight="1">
      <c r="A11" s="65" t="inlineStr">
        <is>
          <t>差異金額（円）</t>
        </is>
      </c>
      <c r="B11" s="14" t="n"/>
      <c r="C11" s="64" t="inlineStr">
        <is>
          <t>例: 1000 と入れると、差異金額が ±1,000円を超えた品目が要確認。空にすると金額では判定しません。</t>
        </is>
      </c>
    </row>
    <row r="12" ht="20" customHeight="1">
      <c r="A12" s="64" t="inlineStr">
        <is>
          <t>両方とも空にすると、差異が出た品目はすべて要確認になります。基準は自社で決めます。</t>
        </is>
      </c>
      <c r="B12" s="61" t="n"/>
      <c r="C12" s="61" t="n"/>
    </row>
    <row r="13">
      <c r="A13" s="61" t="n"/>
      <c r="B13" s="61" t="n"/>
      <c r="C13" s="61" t="n"/>
    </row>
    <row r="14" ht="22" customHeight="1">
      <c r="A14" s="65" t="inlineStr">
        <is>
          <t>期限の注意日数</t>
        </is>
      </c>
      <c r="B14" s="15" t="n">
        <v>30</v>
      </c>
      <c r="C14" s="64" t="inlineStr">
        <is>
          <t>期限まで何日以内の品目を「期限チェック」に出すか（初期値 30日）。</t>
        </is>
      </c>
    </row>
    <row r="15">
      <c r="A15" s="61" t="n"/>
      <c r="B15" s="61" t="n"/>
      <c r="C15" s="61" t="n"/>
    </row>
    <row r="16" ht="20" customHeight="1">
      <c r="A16" s="66" t="inlineStr">
        <is>
          <t>保管場所の一覧（棚卸表のプルダウンに出ます・20か所まで）</t>
        </is>
      </c>
      <c r="B16" s="67" t="n"/>
      <c r="C16" s="67" t="n"/>
    </row>
    <row r="17" ht="18" customHeight="1">
      <c r="A17" s="65" t="n">
        <v>1</v>
      </c>
      <c r="B17" s="8" t="n"/>
      <c r="C17" s="64" t="inlineStr">
        <is>
          <t>数える単位の場所を入れます（売場・倉庫・冷蔵庫・棚1段など）。</t>
        </is>
      </c>
    </row>
    <row r="18" ht="18" customHeight="1">
      <c r="A18" s="65" t="n">
        <v>2</v>
      </c>
      <c r="B18" s="8" t="n"/>
      <c r="C18" s="64" t="inlineStr">
        <is>
          <t>名前を書き換えると、棚卸表で選んだ場所は自動では変わりません。選び直します。</t>
        </is>
      </c>
    </row>
    <row r="19" ht="18" customHeight="1">
      <c r="A19" s="65" t="n">
        <v>3</v>
      </c>
      <c r="B19" s="8" t="n"/>
      <c r="C19" s="61" t="n"/>
    </row>
    <row r="20" ht="18" customHeight="1">
      <c r="A20" s="65" t="n">
        <v>4</v>
      </c>
      <c r="B20" s="8" t="n"/>
      <c r="C20" s="61" t="n"/>
    </row>
    <row r="21" ht="18" customHeight="1">
      <c r="A21" s="65" t="n">
        <v>5</v>
      </c>
      <c r="B21" s="8" t="n"/>
      <c r="C21" s="61" t="n"/>
    </row>
    <row r="22" ht="18" customHeight="1">
      <c r="A22" s="65" t="n">
        <v>6</v>
      </c>
      <c r="B22" s="8" t="n"/>
      <c r="C22" s="61" t="n"/>
    </row>
    <row r="23" ht="18" customHeight="1">
      <c r="A23" s="65" t="n">
        <v>7</v>
      </c>
      <c r="B23" s="8" t="n"/>
      <c r="C23" s="61" t="n"/>
    </row>
    <row r="24" ht="18" customHeight="1">
      <c r="A24" s="65" t="n">
        <v>8</v>
      </c>
      <c r="B24" s="8" t="n"/>
      <c r="C24" s="61" t="n"/>
    </row>
    <row r="25" ht="18" customHeight="1">
      <c r="A25" s="65" t="n">
        <v>9</v>
      </c>
      <c r="B25" s="8" t="n"/>
      <c r="C25" s="61" t="n"/>
    </row>
    <row r="26" ht="18" customHeight="1">
      <c r="A26" s="65" t="n">
        <v>10</v>
      </c>
      <c r="B26" s="8" t="n"/>
      <c r="C26" s="61" t="n"/>
    </row>
    <row r="27" ht="18" customHeight="1">
      <c r="A27" s="65" t="n">
        <v>11</v>
      </c>
      <c r="B27" s="8" t="n"/>
      <c r="C27" s="61" t="n"/>
    </row>
    <row r="28" ht="18" customHeight="1">
      <c r="A28" s="65" t="n">
        <v>12</v>
      </c>
      <c r="B28" s="8" t="n"/>
      <c r="C28" s="61" t="n"/>
    </row>
    <row r="29" ht="18" customHeight="1">
      <c r="A29" s="65" t="n">
        <v>13</v>
      </c>
      <c r="B29" s="8" t="n"/>
      <c r="C29" s="61" t="n"/>
    </row>
    <row r="30" ht="18" customHeight="1">
      <c r="A30" s="65" t="n">
        <v>14</v>
      </c>
      <c r="B30" s="8" t="n"/>
      <c r="C30" s="61" t="n"/>
    </row>
    <row r="31" ht="18" customHeight="1">
      <c r="A31" s="65" t="n">
        <v>15</v>
      </c>
      <c r="B31" s="8" t="n"/>
      <c r="C31" s="61" t="n"/>
    </row>
    <row r="32" ht="18" customHeight="1">
      <c r="A32" s="65" t="n">
        <v>16</v>
      </c>
      <c r="B32" s="8" t="n"/>
      <c r="C32" s="61" t="n"/>
    </row>
    <row r="33" ht="18" customHeight="1">
      <c r="A33" s="65" t="n">
        <v>17</v>
      </c>
      <c r="B33" s="8" t="n"/>
      <c r="C33" s="61" t="n"/>
    </row>
    <row r="34" ht="18" customHeight="1">
      <c r="A34" s="65" t="n">
        <v>18</v>
      </c>
      <c r="B34" s="8" t="n"/>
      <c r="C34" s="61" t="n"/>
    </row>
    <row r="35" ht="18" customHeight="1">
      <c r="A35" s="65" t="n">
        <v>19</v>
      </c>
      <c r="B35" s="8" t="n"/>
      <c r="C35" s="61" t="n"/>
    </row>
    <row r="36" ht="18" customHeight="1">
      <c r="A36" s="65" t="n">
        <v>20</v>
      </c>
      <c r="B36" s="8" t="n"/>
      <c r="C36" s="61" t="n"/>
    </row>
    <row r="37">
      <c r="A37" s="61" t="n"/>
      <c r="B37" s="61" t="n"/>
      <c r="C37" s="61" t="n"/>
    </row>
    <row r="38">
      <c r="A38" s="61" t="n"/>
      <c r="B38" s="61" t="n"/>
      <c r="C38" s="61" t="n"/>
    </row>
    <row r="39" ht="20" customHeight="1">
      <c r="A39" s="66" t="inlineStr">
        <is>
          <t>差異の原因の区分（差異の原因シートのプルダウンに出ます・12個まで）</t>
        </is>
      </c>
      <c r="B39" s="67" t="n"/>
      <c r="C39" s="67" t="n"/>
    </row>
    <row r="40" ht="18" customHeight="1">
      <c r="A40" s="65" t="n">
        <v>1</v>
      </c>
      <c r="B40" s="8" t="inlineStr">
        <is>
          <t>入庫の記録漏れ・誤り</t>
        </is>
      </c>
      <c r="C40" s="64" t="inlineStr">
        <is>
          <t>自社でよく出る原因に書き換えたり、空いている欄に足したりできます。</t>
        </is>
      </c>
    </row>
    <row r="41" ht="18" customHeight="1">
      <c r="A41" s="65" t="n">
        <v>2</v>
      </c>
      <c r="B41" s="8" t="inlineStr">
        <is>
          <t>出庫・売上の記録漏れ・誤り</t>
        </is>
      </c>
      <c r="C41" s="61" t="n"/>
    </row>
    <row r="42" ht="18" customHeight="1">
      <c r="A42" s="65" t="n">
        <v>3</v>
      </c>
      <c r="B42" s="8" t="inlineStr">
        <is>
          <t>破損・廃棄の記録漏れ</t>
        </is>
      </c>
      <c r="C42" s="61" t="n"/>
    </row>
    <row r="43" ht="18" customHeight="1">
      <c r="A43" s="65" t="n">
        <v>4</v>
      </c>
      <c r="B43" s="8" t="inlineStr">
        <is>
          <t>返品の処理漏れ</t>
        </is>
      </c>
      <c r="C43" s="61" t="n"/>
    </row>
    <row r="44" ht="18" customHeight="1">
      <c r="A44" s="65" t="n">
        <v>5</v>
      </c>
      <c r="B44" s="8" t="inlineStr">
        <is>
          <t>単位・入数の取り違え</t>
        </is>
      </c>
      <c r="C44" s="61" t="n"/>
    </row>
    <row r="45" ht="18" customHeight="1">
      <c r="A45" s="65" t="n">
        <v>6</v>
      </c>
      <c r="B45" s="8" t="inlineStr">
        <is>
          <t>別の場所にあった（数え漏れ）</t>
        </is>
      </c>
      <c r="C45" s="61" t="n"/>
    </row>
    <row r="46" ht="18" customHeight="1">
      <c r="A46" s="65" t="n">
        <v>7</v>
      </c>
      <c r="B46" s="8" t="inlineStr">
        <is>
          <t>前回の棚卸の数え間違い</t>
        </is>
      </c>
      <c r="C46" s="61" t="n"/>
    </row>
    <row r="47" ht="18" customHeight="1">
      <c r="A47" s="65" t="n">
        <v>8</v>
      </c>
      <c r="B47" s="8" t="inlineStr">
        <is>
          <t>紛失・盗難の疑い</t>
        </is>
      </c>
      <c r="C47" s="61" t="n"/>
    </row>
    <row r="48" ht="18" customHeight="1">
      <c r="A48" s="65" t="n">
        <v>9</v>
      </c>
      <c r="B48" s="8" t="inlineStr">
        <is>
          <t>原因不明</t>
        </is>
      </c>
      <c r="C48" s="61" t="n"/>
    </row>
    <row r="49" ht="18" customHeight="1">
      <c r="A49" s="65" t="n">
        <v>10</v>
      </c>
      <c r="B49" s="8" t="inlineStr">
        <is>
          <t>その他</t>
        </is>
      </c>
      <c r="C49" s="61" t="n"/>
    </row>
    <row r="50" ht="18" customHeight="1">
      <c r="A50" s="65" t="n">
        <v>11</v>
      </c>
      <c r="B50" s="8" t="n"/>
      <c r="C50" s="61" t="n"/>
    </row>
    <row r="51" ht="18" customHeight="1">
      <c r="A51" s="65" t="n">
        <v>12</v>
      </c>
      <c r="B51" s="8" t="n"/>
      <c r="C51" s="61" t="n"/>
    </row>
  </sheetData>
  <mergeCells count="6">
    <mergeCell ref="A1:C1"/>
    <mergeCell ref="A16:C16"/>
    <mergeCell ref="A9:C9"/>
    <mergeCell ref="A39:C39"/>
    <mergeCell ref="A12:C12"/>
    <mergeCell ref="A2:C2"/>
  </mergeCells>
  <dataValidations count="4">
    <dataValidation sqref="B5" showDropDown="0" showInputMessage="0" showErrorMessage="1" allowBlank="1" errorTitle="日付で入力してください" error="2026/9/30 のように、日付として入力してください。" type="date" operator="greaterThanOrEqual">
      <formula1>36526</formula1>
    </dataValidation>
    <dataValidation sqref="B10" showDropDown="0" showInputMessage="0" showErrorMessage="1" allowBlank="1" errorTitle="差異率" error="0%〜100% の間で入れてください（5% なら 5% または 0.05）。" type="decimal" operator="between">
      <formula1>0</formula1>
      <formula2>1</formula2>
    </dataValidation>
    <dataValidation sqref="B11" showDropDown="0" showInputMessage="0" showErrorMessage="1" allowBlank="1" errorTitle="差異金額" error="0以上の金額（円）を入れてください。" type="decimal" operator="between">
      <formula1>0</formula1>
      <formula2>999999999</formula2>
    </dataValidation>
    <dataValidation sqref="B14" showDropDown="0" showInputMessage="0" showErrorMessage="1" allowBlank="1" errorTitle="期限の注意日数" error="0〜3650 の日数を入れてください。" type="whole" operator="between">
      <formula1>0</formula1>
      <formula2>3650</formula2>
    </dataValidation>
  </dataValidations>
  <pageMargins left="0.4" right="0.4" top="0.45" bottom="0.45" header="0.2" footer="0.2"/>
  <pageSetup orientation="portrait" paperSize="9" fitToHeight="0" fitToWidth="1"/>
</worksheet>
</file>

<file path=xl/worksheets/sheet3.xml><?xml version="1.0" encoding="utf-8"?>
<worksheet xmlns="http://schemas.openxmlformats.org/spreadsheetml/2006/main">
  <sheetPr>
    <tabColor rgb="001B3A5C"/>
    <outlinePr summaryBelow="1" summaryRight="1"/>
    <pageSetUpPr fitToPage="1"/>
  </sheetPr>
  <dimension ref="A1:W504"/>
  <sheetViews>
    <sheetView showGridLines="0" tabSelected="0" workbookViewId="0">
      <pane xSplit="3" ySplit="4" topLeftCell="D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0.5" customWidth="1" min="2" max="2"/>
    <col width="22" customWidth="1" min="3" max="3"/>
    <col width="11" customWidth="1" min="4" max="4"/>
    <col width="12" customWidth="1" min="5" max="5"/>
    <col width="6" customWidth="1" min="6" max="6"/>
    <col width="10" customWidth="1" min="7" max="7"/>
    <col width="8" customWidth="1" min="8" max="8"/>
    <col width="8" customWidth="1" min="9" max="9"/>
    <col width="11" customWidth="1" min="10" max="10"/>
    <col width="11" customWidth="1" min="11" max="11"/>
    <col width="8" customWidth="1" min="12" max="12"/>
    <col width="11" customWidth="1" min="13" max="13"/>
    <col width="8" customWidth="1" min="14" max="14"/>
    <col width="8" customWidth="1" min="15" max="15"/>
    <col width="8" customWidth="1" min="16" max="16"/>
    <col width="8" customWidth="1" min="17" max="17"/>
    <col width="11" customWidth="1" min="18" max="18"/>
    <col width="9" customWidth="1" min="19" max="19"/>
    <col width="10" customWidth="1" min="20" max="20"/>
    <col width="2" customWidth="1" min="21" max="21"/>
    <col width="9" customWidth="1" min="22" max="22"/>
    <col width="11" customWidth="1" min="23" max="23"/>
  </cols>
  <sheetData>
    <row r="1" ht="26" customHeight="1">
      <c r="A1" s="60" t="inlineStr">
        <is>
          <t>棚卸表</t>
        </is>
      </c>
      <c r="B1" s="61" t="n"/>
      <c r="C1" s="61" t="n"/>
      <c r="D1" s="61" t="n"/>
      <c r="E1" s="61" t="n"/>
      <c r="F1" s="61" t="n"/>
      <c r="G1" s="61" t="n"/>
      <c r="H1" s="61" t="n"/>
      <c r="I1" s="61" t="n"/>
      <c r="J1" s="61" t="n"/>
      <c r="K1" s="61" t="n"/>
      <c r="L1" s="61" t="n"/>
      <c r="M1" s="61" t="n"/>
      <c r="N1" s="61" t="n"/>
      <c r="O1" s="61" t="n"/>
      <c r="P1" s="61" t="n"/>
      <c r="Q1" s="61" t="n"/>
      <c r="R1" s="61" t="n"/>
      <c r="S1" s="61" t="n"/>
      <c r="T1" s="61" t="n"/>
      <c r="U1" s="61" t="n"/>
      <c r="V1" s="61" t="n"/>
      <c r="W1" s="61" t="n"/>
    </row>
    <row r="2" ht="28" customHeight="1">
      <c r="A2" s="64" t="inlineStr">
        <is>
          <t>紺の見出しの列（黄色のセル）に入れます。グレーがかった見出しの列は自動で出ます（書き換えない）。差異数 ＝ 実棚数 − 帳簿数（マイナスは帳簿より少ない）。差異の原因は「差異の原因」シートに記録します。</t>
        </is>
      </c>
      <c r="B2" s="61" t="n"/>
      <c r="C2" s="61" t="n"/>
      <c r="D2" s="61" t="n"/>
      <c r="E2" s="61" t="n"/>
      <c r="F2" s="61" t="n"/>
      <c r="G2" s="61" t="n"/>
      <c r="H2" s="61" t="n"/>
      <c r="I2" s="61" t="n"/>
      <c r="J2" s="61" t="n"/>
      <c r="K2" s="61" t="n"/>
      <c r="L2" s="61" t="n"/>
      <c r="M2" s="61" t="n"/>
      <c r="N2" s="61" t="n"/>
      <c r="O2" s="61" t="n"/>
      <c r="P2" s="61" t="n"/>
      <c r="Q2" s="61" t="n"/>
      <c r="R2" s="61" t="n"/>
      <c r="S2" s="61" t="n"/>
      <c r="T2" s="61" t="n"/>
      <c r="U2" s="61" t="n"/>
      <c r="V2" s="61" t="n"/>
      <c r="W2" s="61" t="n"/>
    </row>
    <row r="3" ht="20" customHeight="1">
      <c r="A3" s="61" t="n"/>
      <c r="B3" s="65" t="inlineStr">
        <is>
          <t>棚卸日</t>
        </is>
      </c>
      <c r="C3" s="68">
        <f>IF('設定'!$B$5="","（設定シートで入れる）",'設定'!$B$5)</f>
        <v/>
      </c>
      <c r="D3" s="69">
        <f>IF(AND('設定'!$B$10="",'設定'!$B$11=""),"基準なし（差異がある品目はすべて要確認）","要確認の基準: "&amp;IF('設定'!$B$10="","","差異率 ±"&amp;ROUND('設定'!$B$10*100,2)&amp;"% 超")&amp;IF(AND('設定'!$B$10&lt;&gt;"",'設定'!$B$11&lt;&gt;"")," または ","")&amp;IF('設定'!$B$11="","","差異金額 ±"&amp;FIXED('設定'!$B$11,0)&amp;"円 超"))</f>
        <v/>
      </c>
      <c r="E3" s="70" t="n"/>
      <c r="F3" s="70" t="n"/>
      <c r="G3" s="70" t="n"/>
      <c r="H3" s="70" t="n"/>
      <c r="I3" s="70" t="n"/>
      <c r="J3" s="70" t="n"/>
      <c r="K3" s="70" t="n"/>
      <c r="L3" s="70" t="n"/>
      <c r="M3" s="71" t="n"/>
      <c r="N3" s="61" t="n"/>
      <c r="O3" s="61" t="n"/>
      <c r="P3" s="61" t="n"/>
      <c r="Q3" s="61" t="n"/>
      <c r="R3" s="61" t="n"/>
      <c r="S3" s="61" t="n"/>
      <c r="T3" s="61" t="n"/>
      <c r="U3" s="61" t="n"/>
      <c r="V3" s="61" t="n"/>
      <c r="W3" s="61" t="n"/>
    </row>
    <row r="4" ht="32" customHeight="1">
      <c r="A4" s="19" t="inlineStr">
        <is>
          <t>No.</t>
        </is>
      </c>
      <c r="B4" s="19" t="inlineStr">
        <is>
          <t>品目コード</t>
        </is>
      </c>
      <c r="C4" s="19" t="inlineStr">
        <is>
          <t>品名</t>
        </is>
      </c>
      <c r="D4" s="19" t="inlineStr">
        <is>
          <t>規格・入数</t>
        </is>
      </c>
      <c r="E4" s="19" t="inlineStr">
        <is>
          <t>保管場所</t>
        </is>
      </c>
      <c r="F4" s="19" t="inlineStr">
        <is>
          <t>単位</t>
        </is>
      </c>
      <c r="G4" s="19" t="inlineStr">
        <is>
          <t>単価（円）</t>
        </is>
      </c>
      <c r="H4" s="19" t="inlineStr">
        <is>
          <t>帳簿数</t>
        </is>
      </c>
      <c r="I4" s="19" t="inlineStr">
        <is>
          <t>実棚数</t>
        </is>
      </c>
      <c r="J4" s="20" t="inlineStr">
        <is>
          <t>帳簿金額</t>
        </is>
      </c>
      <c r="K4" s="20" t="inlineStr">
        <is>
          <t>実地金額</t>
        </is>
      </c>
      <c r="L4" s="20" t="inlineStr">
        <is>
          <t>差異数</t>
        </is>
      </c>
      <c r="M4" s="20" t="inlineStr">
        <is>
          <t>差異金額</t>
        </is>
      </c>
      <c r="N4" s="20" t="inlineStr">
        <is>
          <t>差異率</t>
        </is>
      </c>
      <c r="O4" s="20" t="inlineStr">
        <is>
          <t>判定</t>
        </is>
      </c>
      <c r="P4" s="20" t="inlineStr">
        <is>
          <t>原因の記録</t>
        </is>
      </c>
      <c r="Q4" s="20" t="inlineStr">
        <is>
          <t>未説明の差異数</t>
        </is>
      </c>
      <c r="R4" s="19" t="inlineStr">
        <is>
          <t>期限</t>
        </is>
      </c>
      <c r="S4" s="19" t="inlineStr">
        <is>
          <t>期限の種類</t>
        </is>
      </c>
      <c r="T4" s="20" t="inlineStr">
        <is>
          <t>期限の状態</t>
        </is>
      </c>
      <c r="U4" s="61" t="n"/>
      <c r="V4" s="21" t="inlineStr">
        <is>
          <t>数える用紙用</t>
        </is>
      </c>
      <c r="W4" s="21" t="inlineStr">
        <is>
          <t>期限チェック用</t>
        </is>
      </c>
    </row>
    <row r="5" ht="18" customHeight="1">
      <c r="A5" s="22" t="n">
        <v>1</v>
      </c>
      <c r="B5" s="23" t="n"/>
      <c r="C5" s="24" t="n"/>
      <c r="D5" s="24" t="n"/>
      <c r="E5" s="23" t="n"/>
      <c r="F5" s="23" t="n"/>
      <c r="G5" s="25" t="n"/>
      <c r="H5" s="25" t="n"/>
      <c r="I5" s="25" t="n"/>
      <c r="J5" s="72">
        <f>IF(OR($B5="",$H5=""),"",N($G5)*$H5)</f>
        <v/>
      </c>
      <c r="K5" s="72">
        <f>IF(OR($B5="",$I5=""),"",N($G5)*$I5)</f>
        <v/>
      </c>
      <c r="L5" s="27">
        <f>IF(OR($B5="",$H5="",$I5=""),"",$I5-$H5)</f>
        <v/>
      </c>
      <c r="M5" s="72">
        <f>IF($L5="","",$L5*N($G5))</f>
        <v/>
      </c>
      <c r="N5" s="73">
        <f>IF($L5="","",IF($H5&gt;0,ROUND($L5/$H5,4),"－"))</f>
        <v/>
      </c>
      <c r="O5" s="29">
        <f>IF($B5="","",IF($L5="","未入力",IF($L5=0,"一致",IF(OR(NOT(ISNUMBER($N5)),AND('設定'!$B$10&lt;&gt;"",ABS(N($N5))&gt;'設定'!$B$10),AND('設定'!$B$11&lt;&gt;"",ABS(ROUND($M5,4))&gt;'設定'!$B$11),AND('設定'!$B$10="",'設定'!$B$11="")),"要確認","許容内"))))</f>
        <v/>
      </c>
      <c r="P5" s="29">
        <f>IF($O5&lt;&gt;"要確認","",IF($Q5=0,"済",IF(COUNTIF('差異の原因'!$B$5:$B$204,$B5)=0,"未記録","一部")))</f>
        <v/>
      </c>
      <c r="Q5" s="27">
        <f>IF($L5="","",IF(AND($L5=0,COUNTIF('差異の原因'!$B$5:$B$204,$B5)=0),"",ROUND($L5-SUMIF('差異の原因'!$B$5:$B$204,$B5,'差異の原因'!$G$5:$G$204),6)))</f>
        <v/>
      </c>
      <c r="R5" s="30" t="n"/>
      <c r="S5" s="23" t="n"/>
      <c r="T5" s="29">
        <f>IF(OR($B5="",NOT(ISNUMBER($R5))),"",IF(IF(ISNUMBER($I5),$I5,N($H5))&lt;=0,"",IF($R5&lt;'設定'!$B$6,"期限切れ",IF($R5='設定'!$B$6,"当日",IF($R5-'設定'!$B$6&lt;=N('設定'!$B$14),"あと"&amp;($R5-'設定'!$B$6)&amp;"日","")))))</f>
        <v/>
      </c>
      <c r="U5" s="61" t="n"/>
      <c r="V5" s="31">
        <f>IF(AND($B5&lt;&gt;"",$E5&lt;&gt;"",$E5='数える用紙'!$C$2),ROW(),"")</f>
        <v/>
      </c>
      <c r="W5" s="74">
        <f>IF(AND($B5&lt;&gt;"",ISNUMBER($R5)),IF(AND($R5&lt;='設定'!$B$6+N('設定'!$B$14),IF(ISNUMBER($I5),$I5,N($H5))&gt;0),$R5+ROW()/100000,""),"")</f>
        <v/>
      </c>
    </row>
    <row r="6" ht="18" customHeight="1">
      <c r="A6" s="22" t="n">
        <v>2</v>
      </c>
      <c r="B6" s="23" t="n"/>
      <c r="C6" s="24" t="n"/>
      <c r="D6" s="24" t="n"/>
      <c r="E6" s="23" t="n"/>
      <c r="F6" s="23" t="n"/>
      <c r="G6" s="25" t="n"/>
      <c r="H6" s="25" t="n"/>
      <c r="I6" s="25" t="n"/>
      <c r="J6" s="72">
        <f>IF(OR($B6="",$H6=""),"",N($G6)*$H6)</f>
        <v/>
      </c>
      <c r="K6" s="72">
        <f>IF(OR($B6="",$I6=""),"",N($G6)*$I6)</f>
        <v/>
      </c>
      <c r="L6" s="27">
        <f>IF(OR($B6="",$H6="",$I6=""),"",$I6-$H6)</f>
        <v/>
      </c>
      <c r="M6" s="72">
        <f>IF($L6="","",$L6*N($G6))</f>
        <v/>
      </c>
      <c r="N6" s="73">
        <f>IF($L6="","",IF($H6&gt;0,ROUND($L6/$H6,4),"－"))</f>
        <v/>
      </c>
      <c r="O6" s="29">
        <f>IF($B6="","",IF($L6="","未入力",IF($L6=0,"一致",IF(OR(NOT(ISNUMBER($N6)),AND('設定'!$B$10&lt;&gt;"",ABS(N($N6))&gt;'設定'!$B$10),AND('設定'!$B$11&lt;&gt;"",ABS(ROUND($M6,4))&gt;'設定'!$B$11),AND('設定'!$B$10="",'設定'!$B$11="")),"要確認","許容内"))))</f>
        <v/>
      </c>
      <c r="P6" s="29">
        <f>IF($O6&lt;&gt;"要確認","",IF($Q6=0,"済",IF(COUNTIF('差異の原因'!$B$5:$B$204,$B6)=0,"未記録","一部")))</f>
        <v/>
      </c>
      <c r="Q6" s="27">
        <f>IF($L6="","",IF(AND($L6=0,COUNTIF('差異の原因'!$B$5:$B$204,$B6)=0),"",ROUND($L6-SUMIF('差異の原因'!$B$5:$B$204,$B6,'差異の原因'!$G$5:$G$204),6)))</f>
        <v/>
      </c>
      <c r="R6" s="30" t="n"/>
      <c r="S6" s="23" t="n"/>
      <c r="T6" s="29">
        <f>IF(OR($B6="",NOT(ISNUMBER($R6))),"",IF(IF(ISNUMBER($I6),$I6,N($H6))&lt;=0,"",IF($R6&lt;'設定'!$B$6,"期限切れ",IF($R6='設定'!$B$6,"当日",IF($R6-'設定'!$B$6&lt;=N('設定'!$B$14),"あと"&amp;($R6-'設定'!$B$6)&amp;"日","")))))</f>
        <v/>
      </c>
      <c r="U6" s="61" t="n"/>
      <c r="V6" s="31">
        <f>IF(AND($B6&lt;&gt;"",$E6&lt;&gt;"",$E6='数える用紙'!$C$2),ROW(),"")</f>
        <v/>
      </c>
      <c r="W6" s="74">
        <f>IF(AND($B6&lt;&gt;"",ISNUMBER($R6)),IF(AND($R6&lt;='設定'!$B$6+N('設定'!$B$14),IF(ISNUMBER($I6),$I6,N($H6))&gt;0),$R6+ROW()/100000,""),"")</f>
        <v/>
      </c>
    </row>
    <row r="7" ht="18" customHeight="1">
      <c r="A7" s="22" t="n">
        <v>3</v>
      </c>
      <c r="B7" s="23" t="n"/>
      <c r="C7" s="24" t="n"/>
      <c r="D7" s="24" t="n"/>
      <c r="E7" s="23" t="n"/>
      <c r="F7" s="23" t="n"/>
      <c r="G7" s="25" t="n"/>
      <c r="H7" s="25" t="n"/>
      <c r="I7" s="25" t="n"/>
      <c r="J7" s="72">
        <f>IF(OR($B7="",$H7=""),"",N($G7)*$H7)</f>
        <v/>
      </c>
      <c r="K7" s="72">
        <f>IF(OR($B7="",$I7=""),"",N($G7)*$I7)</f>
        <v/>
      </c>
      <c r="L7" s="27">
        <f>IF(OR($B7="",$H7="",$I7=""),"",$I7-$H7)</f>
        <v/>
      </c>
      <c r="M7" s="72">
        <f>IF($L7="","",$L7*N($G7))</f>
        <v/>
      </c>
      <c r="N7" s="73">
        <f>IF($L7="","",IF($H7&gt;0,ROUND($L7/$H7,4),"－"))</f>
        <v/>
      </c>
      <c r="O7" s="29">
        <f>IF($B7="","",IF($L7="","未入力",IF($L7=0,"一致",IF(OR(NOT(ISNUMBER($N7)),AND('設定'!$B$10&lt;&gt;"",ABS(N($N7))&gt;'設定'!$B$10),AND('設定'!$B$11&lt;&gt;"",ABS(ROUND($M7,4))&gt;'設定'!$B$11),AND('設定'!$B$10="",'設定'!$B$11="")),"要確認","許容内"))))</f>
        <v/>
      </c>
      <c r="P7" s="29">
        <f>IF($O7&lt;&gt;"要確認","",IF($Q7=0,"済",IF(COUNTIF('差異の原因'!$B$5:$B$204,$B7)=0,"未記録","一部")))</f>
        <v/>
      </c>
      <c r="Q7" s="27">
        <f>IF($L7="","",IF(AND($L7=0,COUNTIF('差異の原因'!$B$5:$B$204,$B7)=0),"",ROUND($L7-SUMIF('差異の原因'!$B$5:$B$204,$B7,'差異の原因'!$G$5:$G$204),6)))</f>
        <v/>
      </c>
      <c r="R7" s="30" t="n"/>
      <c r="S7" s="23" t="n"/>
      <c r="T7" s="29">
        <f>IF(OR($B7="",NOT(ISNUMBER($R7))),"",IF(IF(ISNUMBER($I7),$I7,N($H7))&lt;=0,"",IF($R7&lt;'設定'!$B$6,"期限切れ",IF($R7='設定'!$B$6,"当日",IF($R7-'設定'!$B$6&lt;=N('設定'!$B$14),"あと"&amp;($R7-'設定'!$B$6)&amp;"日","")))))</f>
        <v/>
      </c>
      <c r="U7" s="61" t="n"/>
      <c r="V7" s="31">
        <f>IF(AND($B7&lt;&gt;"",$E7&lt;&gt;"",$E7='数える用紙'!$C$2),ROW(),"")</f>
        <v/>
      </c>
      <c r="W7" s="74">
        <f>IF(AND($B7&lt;&gt;"",ISNUMBER($R7)),IF(AND($R7&lt;='設定'!$B$6+N('設定'!$B$14),IF(ISNUMBER($I7),$I7,N($H7))&gt;0),$R7+ROW()/100000,""),"")</f>
        <v/>
      </c>
    </row>
    <row r="8" ht="18" customHeight="1">
      <c r="A8" s="22" t="n">
        <v>4</v>
      </c>
      <c r="B8" s="23" t="n"/>
      <c r="C8" s="24" t="n"/>
      <c r="D8" s="24" t="n"/>
      <c r="E8" s="23" t="n"/>
      <c r="F8" s="23" t="n"/>
      <c r="G8" s="25" t="n"/>
      <c r="H8" s="25" t="n"/>
      <c r="I8" s="25" t="n"/>
      <c r="J8" s="72">
        <f>IF(OR($B8="",$H8=""),"",N($G8)*$H8)</f>
        <v/>
      </c>
      <c r="K8" s="72">
        <f>IF(OR($B8="",$I8=""),"",N($G8)*$I8)</f>
        <v/>
      </c>
      <c r="L8" s="27">
        <f>IF(OR($B8="",$H8="",$I8=""),"",$I8-$H8)</f>
        <v/>
      </c>
      <c r="M8" s="72">
        <f>IF($L8="","",$L8*N($G8))</f>
        <v/>
      </c>
      <c r="N8" s="73">
        <f>IF($L8="","",IF($H8&gt;0,ROUND($L8/$H8,4),"－"))</f>
        <v/>
      </c>
      <c r="O8" s="29">
        <f>IF($B8="","",IF($L8="","未入力",IF($L8=0,"一致",IF(OR(NOT(ISNUMBER($N8)),AND('設定'!$B$10&lt;&gt;"",ABS(N($N8))&gt;'設定'!$B$10),AND('設定'!$B$11&lt;&gt;"",ABS(ROUND($M8,4))&gt;'設定'!$B$11),AND('設定'!$B$10="",'設定'!$B$11="")),"要確認","許容内"))))</f>
        <v/>
      </c>
      <c r="P8" s="29">
        <f>IF($O8&lt;&gt;"要確認","",IF($Q8=0,"済",IF(COUNTIF('差異の原因'!$B$5:$B$204,$B8)=0,"未記録","一部")))</f>
        <v/>
      </c>
      <c r="Q8" s="27">
        <f>IF($L8="","",IF(AND($L8=0,COUNTIF('差異の原因'!$B$5:$B$204,$B8)=0),"",ROUND($L8-SUMIF('差異の原因'!$B$5:$B$204,$B8,'差異の原因'!$G$5:$G$204),6)))</f>
        <v/>
      </c>
      <c r="R8" s="30" t="n"/>
      <c r="S8" s="23" t="n"/>
      <c r="T8" s="29">
        <f>IF(OR($B8="",NOT(ISNUMBER($R8))),"",IF(IF(ISNUMBER($I8),$I8,N($H8))&lt;=0,"",IF($R8&lt;'設定'!$B$6,"期限切れ",IF($R8='設定'!$B$6,"当日",IF($R8-'設定'!$B$6&lt;=N('設定'!$B$14),"あと"&amp;($R8-'設定'!$B$6)&amp;"日","")))))</f>
        <v/>
      </c>
      <c r="U8" s="61" t="n"/>
      <c r="V8" s="31">
        <f>IF(AND($B8&lt;&gt;"",$E8&lt;&gt;"",$E8='数える用紙'!$C$2),ROW(),"")</f>
        <v/>
      </c>
      <c r="W8" s="74">
        <f>IF(AND($B8&lt;&gt;"",ISNUMBER($R8)),IF(AND($R8&lt;='設定'!$B$6+N('設定'!$B$14),IF(ISNUMBER($I8),$I8,N($H8))&gt;0),$R8+ROW()/100000,""),"")</f>
        <v/>
      </c>
    </row>
    <row r="9" ht="18" customHeight="1">
      <c r="A9" s="22" t="n">
        <v>5</v>
      </c>
      <c r="B9" s="23" t="n"/>
      <c r="C9" s="24" t="n"/>
      <c r="D9" s="24" t="n"/>
      <c r="E9" s="23" t="n"/>
      <c r="F9" s="23" t="n"/>
      <c r="G9" s="25" t="n"/>
      <c r="H9" s="25" t="n"/>
      <c r="I9" s="25" t="n"/>
      <c r="J9" s="72">
        <f>IF(OR($B9="",$H9=""),"",N($G9)*$H9)</f>
        <v/>
      </c>
      <c r="K9" s="72">
        <f>IF(OR($B9="",$I9=""),"",N($G9)*$I9)</f>
        <v/>
      </c>
      <c r="L9" s="27">
        <f>IF(OR($B9="",$H9="",$I9=""),"",$I9-$H9)</f>
        <v/>
      </c>
      <c r="M9" s="72">
        <f>IF($L9="","",$L9*N($G9))</f>
        <v/>
      </c>
      <c r="N9" s="73">
        <f>IF($L9="","",IF($H9&gt;0,ROUND($L9/$H9,4),"－"))</f>
        <v/>
      </c>
      <c r="O9" s="29">
        <f>IF($B9="","",IF($L9="","未入力",IF($L9=0,"一致",IF(OR(NOT(ISNUMBER($N9)),AND('設定'!$B$10&lt;&gt;"",ABS(N($N9))&gt;'設定'!$B$10),AND('設定'!$B$11&lt;&gt;"",ABS(ROUND($M9,4))&gt;'設定'!$B$11),AND('設定'!$B$10="",'設定'!$B$11="")),"要確認","許容内"))))</f>
        <v/>
      </c>
      <c r="P9" s="29">
        <f>IF($O9&lt;&gt;"要確認","",IF($Q9=0,"済",IF(COUNTIF('差異の原因'!$B$5:$B$204,$B9)=0,"未記録","一部")))</f>
        <v/>
      </c>
      <c r="Q9" s="27">
        <f>IF($L9="","",IF(AND($L9=0,COUNTIF('差異の原因'!$B$5:$B$204,$B9)=0),"",ROUND($L9-SUMIF('差異の原因'!$B$5:$B$204,$B9,'差異の原因'!$G$5:$G$204),6)))</f>
        <v/>
      </c>
      <c r="R9" s="30" t="n"/>
      <c r="S9" s="23" t="n"/>
      <c r="T9" s="29">
        <f>IF(OR($B9="",NOT(ISNUMBER($R9))),"",IF(IF(ISNUMBER($I9),$I9,N($H9))&lt;=0,"",IF($R9&lt;'設定'!$B$6,"期限切れ",IF($R9='設定'!$B$6,"当日",IF($R9-'設定'!$B$6&lt;=N('設定'!$B$14),"あと"&amp;($R9-'設定'!$B$6)&amp;"日","")))))</f>
        <v/>
      </c>
      <c r="U9" s="61" t="n"/>
      <c r="V9" s="31">
        <f>IF(AND($B9&lt;&gt;"",$E9&lt;&gt;"",$E9='数える用紙'!$C$2),ROW(),"")</f>
        <v/>
      </c>
      <c r="W9" s="74">
        <f>IF(AND($B9&lt;&gt;"",ISNUMBER($R9)),IF(AND($R9&lt;='設定'!$B$6+N('設定'!$B$14),IF(ISNUMBER($I9),$I9,N($H9))&gt;0),$R9+ROW()/100000,""),"")</f>
        <v/>
      </c>
    </row>
    <row r="10" ht="18" customHeight="1">
      <c r="A10" s="22" t="n">
        <v>6</v>
      </c>
      <c r="B10" s="23" t="n"/>
      <c r="C10" s="24" t="n"/>
      <c r="D10" s="24" t="n"/>
      <c r="E10" s="23" t="n"/>
      <c r="F10" s="23" t="n"/>
      <c r="G10" s="25" t="n"/>
      <c r="H10" s="25" t="n"/>
      <c r="I10" s="25" t="n"/>
      <c r="J10" s="72">
        <f>IF(OR($B10="",$H10=""),"",N($G10)*$H10)</f>
        <v/>
      </c>
      <c r="K10" s="72">
        <f>IF(OR($B10="",$I10=""),"",N($G10)*$I10)</f>
        <v/>
      </c>
      <c r="L10" s="27">
        <f>IF(OR($B10="",$H10="",$I10=""),"",$I10-$H10)</f>
        <v/>
      </c>
      <c r="M10" s="72">
        <f>IF($L10="","",$L10*N($G10))</f>
        <v/>
      </c>
      <c r="N10" s="73">
        <f>IF($L10="","",IF($H10&gt;0,ROUND($L10/$H10,4),"－"))</f>
        <v/>
      </c>
      <c r="O10" s="29">
        <f>IF($B10="","",IF($L10="","未入力",IF($L10=0,"一致",IF(OR(NOT(ISNUMBER($N10)),AND('設定'!$B$10&lt;&gt;"",ABS(N($N10))&gt;'設定'!$B$10),AND('設定'!$B$11&lt;&gt;"",ABS(ROUND($M10,4))&gt;'設定'!$B$11),AND('設定'!$B$10="",'設定'!$B$11="")),"要確認","許容内"))))</f>
        <v/>
      </c>
      <c r="P10" s="29">
        <f>IF($O10&lt;&gt;"要確認","",IF($Q10=0,"済",IF(COUNTIF('差異の原因'!$B$5:$B$204,$B10)=0,"未記録","一部")))</f>
        <v/>
      </c>
      <c r="Q10" s="27">
        <f>IF($L10="","",IF(AND($L10=0,COUNTIF('差異の原因'!$B$5:$B$204,$B10)=0),"",ROUND($L10-SUMIF('差異の原因'!$B$5:$B$204,$B10,'差異の原因'!$G$5:$G$204),6)))</f>
        <v/>
      </c>
      <c r="R10" s="30" t="n"/>
      <c r="S10" s="23" t="n"/>
      <c r="T10" s="29">
        <f>IF(OR($B10="",NOT(ISNUMBER($R10))),"",IF(IF(ISNUMBER($I10),$I10,N($H10))&lt;=0,"",IF($R10&lt;'設定'!$B$6,"期限切れ",IF($R10='設定'!$B$6,"当日",IF($R10-'設定'!$B$6&lt;=N('設定'!$B$14),"あと"&amp;($R10-'設定'!$B$6)&amp;"日","")))))</f>
        <v/>
      </c>
      <c r="U10" s="61" t="n"/>
      <c r="V10" s="31">
        <f>IF(AND($B10&lt;&gt;"",$E10&lt;&gt;"",$E10='数える用紙'!$C$2),ROW(),"")</f>
        <v/>
      </c>
      <c r="W10" s="74">
        <f>IF(AND($B10&lt;&gt;"",ISNUMBER($R10)),IF(AND($R10&lt;='設定'!$B$6+N('設定'!$B$14),IF(ISNUMBER($I10),$I10,N($H10))&gt;0),$R10+ROW()/100000,""),"")</f>
        <v/>
      </c>
    </row>
    <row r="11" ht="18" customHeight="1">
      <c r="A11" s="22" t="n">
        <v>7</v>
      </c>
      <c r="B11" s="23" t="n"/>
      <c r="C11" s="24" t="n"/>
      <c r="D11" s="24" t="n"/>
      <c r="E11" s="23" t="n"/>
      <c r="F11" s="23" t="n"/>
      <c r="G11" s="25" t="n"/>
      <c r="H11" s="25" t="n"/>
      <c r="I11" s="25" t="n"/>
      <c r="J11" s="72">
        <f>IF(OR($B11="",$H11=""),"",N($G11)*$H11)</f>
        <v/>
      </c>
      <c r="K11" s="72">
        <f>IF(OR($B11="",$I11=""),"",N($G11)*$I11)</f>
        <v/>
      </c>
      <c r="L11" s="27">
        <f>IF(OR($B11="",$H11="",$I11=""),"",$I11-$H11)</f>
        <v/>
      </c>
      <c r="M11" s="72">
        <f>IF($L11="","",$L11*N($G11))</f>
        <v/>
      </c>
      <c r="N11" s="73">
        <f>IF($L11="","",IF($H11&gt;0,ROUND($L11/$H11,4),"－"))</f>
        <v/>
      </c>
      <c r="O11" s="29">
        <f>IF($B11="","",IF($L11="","未入力",IF($L11=0,"一致",IF(OR(NOT(ISNUMBER($N11)),AND('設定'!$B$10&lt;&gt;"",ABS(N($N11))&gt;'設定'!$B$10),AND('設定'!$B$11&lt;&gt;"",ABS(ROUND($M11,4))&gt;'設定'!$B$11),AND('設定'!$B$10="",'設定'!$B$11="")),"要確認","許容内"))))</f>
        <v/>
      </c>
      <c r="P11" s="29">
        <f>IF($O11&lt;&gt;"要確認","",IF($Q11=0,"済",IF(COUNTIF('差異の原因'!$B$5:$B$204,$B11)=0,"未記録","一部")))</f>
        <v/>
      </c>
      <c r="Q11" s="27">
        <f>IF($L11="","",IF(AND($L11=0,COUNTIF('差異の原因'!$B$5:$B$204,$B11)=0),"",ROUND($L11-SUMIF('差異の原因'!$B$5:$B$204,$B11,'差異の原因'!$G$5:$G$204),6)))</f>
        <v/>
      </c>
      <c r="R11" s="30" t="n"/>
      <c r="S11" s="23" t="n"/>
      <c r="T11" s="29">
        <f>IF(OR($B11="",NOT(ISNUMBER($R11))),"",IF(IF(ISNUMBER($I11),$I11,N($H11))&lt;=0,"",IF($R11&lt;'設定'!$B$6,"期限切れ",IF($R11='設定'!$B$6,"当日",IF($R11-'設定'!$B$6&lt;=N('設定'!$B$14),"あと"&amp;($R11-'設定'!$B$6)&amp;"日","")))))</f>
        <v/>
      </c>
      <c r="U11" s="61" t="n"/>
      <c r="V11" s="31">
        <f>IF(AND($B11&lt;&gt;"",$E11&lt;&gt;"",$E11='数える用紙'!$C$2),ROW(),"")</f>
        <v/>
      </c>
      <c r="W11" s="74">
        <f>IF(AND($B11&lt;&gt;"",ISNUMBER($R11)),IF(AND($R11&lt;='設定'!$B$6+N('設定'!$B$14),IF(ISNUMBER($I11),$I11,N($H11))&gt;0),$R11+ROW()/100000,""),"")</f>
        <v/>
      </c>
    </row>
    <row r="12" ht="18" customHeight="1">
      <c r="A12" s="22" t="n">
        <v>8</v>
      </c>
      <c r="B12" s="23" t="n"/>
      <c r="C12" s="24" t="n"/>
      <c r="D12" s="24" t="n"/>
      <c r="E12" s="23" t="n"/>
      <c r="F12" s="23" t="n"/>
      <c r="G12" s="25" t="n"/>
      <c r="H12" s="25" t="n"/>
      <c r="I12" s="25" t="n"/>
      <c r="J12" s="72">
        <f>IF(OR($B12="",$H12=""),"",N($G12)*$H12)</f>
        <v/>
      </c>
      <c r="K12" s="72">
        <f>IF(OR($B12="",$I12=""),"",N($G12)*$I12)</f>
        <v/>
      </c>
      <c r="L12" s="27">
        <f>IF(OR($B12="",$H12="",$I12=""),"",$I12-$H12)</f>
        <v/>
      </c>
      <c r="M12" s="72">
        <f>IF($L12="","",$L12*N($G12))</f>
        <v/>
      </c>
      <c r="N12" s="73">
        <f>IF($L12="","",IF($H12&gt;0,ROUND($L12/$H12,4),"－"))</f>
        <v/>
      </c>
      <c r="O12" s="29">
        <f>IF($B12="","",IF($L12="","未入力",IF($L12=0,"一致",IF(OR(NOT(ISNUMBER($N12)),AND('設定'!$B$10&lt;&gt;"",ABS(N($N12))&gt;'設定'!$B$10),AND('設定'!$B$11&lt;&gt;"",ABS(ROUND($M12,4))&gt;'設定'!$B$11),AND('設定'!$B$10="",'設定'!$B$11="")),"要確認","許容内"))))</f>
        <v/>
      </c>
      <c r="P12" s="29">
        <f>IF($O12&lt;&gt;"要確認","",IF($Q12=0,"済",IF(COUNTIF('差異の原因'!$B$5:$B$204,$B12)=0,"未記録","一部")))</f>
        <v/>
      </c>
      <c r="Q12" s="27">
        <f>IF($L12="","",IF(AND($L12=0,COUNTIF('差異の原因'!$B$5:$B$204,$B12)=0),"",ROUND($L12-SUMIF('差異の原因'!$B$5:$B$204,$B12,'差異の原因'!$G$5:$G$204),6)))</f>
        <v/>
      </c>
      <c r="R12" s="30" t="n"/>
      <c r="S12" s="23" t="n"/>
      <c r="T12" s="29">
        <f>IF(OR($B12="",NOT(ISNUMBER($R12))),"",IF(IF(ISNUMBER($I12),$I12,N($H12))&lt;=0,"",IF($R12&lt;'設定'!$B$6,"期限切れ",IF($R12='設定'!$B$6,"当日",IF($R12-'設定'!$B$6&lt;=N('設定'!$B$14),"あと"&amp;($R12-'設定'!$B$6)&amp;"日","")))))</f>
        <v/>
      </c>
      <c r="U12" s="61" t="n"/>
      <c r="V12" s="31">
        <f>IF(AND($B12&lt;&gt;"",$E12&lt;&gt;"",$E12='数える用紙'!$C$2),ROW(),"")</f>
        <v/>
      </c>
      <c r="W12" s="74">
        <f>IF(AND($B12&lt;&gt;"",ISNUMBER($R12)),IF(AND($R12&lt;='設定'!$B$6+N('設定'!$B$14),IF(ISNUMBER($I12),$I12,N($H12))&gt;0),$R12+ROW()/100000,""),"")</f>
        <v/>
      </c>
    </row>
    <row r="13" ht="18" customHeight="1">
      <c r="A13" s="22" t="n">
        <v>9</v>
      </c>
      <c r="B13" s="23" t="n"/>
      <c r="C13" s="24" t="n"/>
      <c r="D13" s="24" t="n"/>
      <c r="E13" s="23" t="n"/>
      <c r="F13" s="23" t="n"/>
      <c r="G13" s="25" t="n"/>
      <c r="H13" s="25" t="n"/>
      <c r="I13" s="25" t="n"/>
      <c r="J13" s="72">
        <f>IF(OR($B13="",$H13=""),"",N($G13)*$H13)</f>
        <v/>
      </c>
      <c r="K13" s="72">
        <f>IF(OR($B13="",$I13=""),"",N($G13)*$I13)</f>
        <v/>
      </c>
      <c r="L13" s="27">
        <f>IF(OR($B13="",$H13="",$I13=""),"",$I13-$H13)</f>
        <v/>
      </c>
      <c r="M13" s="72">
        <f>IF($L13="","",$L13*N($G13))</f>
        <v/>
      </c>
      <c r="N13" s="73">
        <f>IF($L13="","",IF($H13&gt;0,ROUND($L13/$H13,4),"－"))</f>
        <v/>
      </c>
      <c r="O13" s="29">
        <f>IF($B13="","",IF($L13="","未入力",IF($L13=0,"一致",IF(OR(NOT(ISNUMBER($N13)),AND('設定'!$B$10&lt;&gt;"",ABS(N($N13))&gt;'設定'!$B$10),AND('設定'!$B$11&lt;&gt;"",ABS(ROUND($M13,4))&gt;'設定'!$B$11),AND('設定'!$B$10="",'設定'!$B$11="")),"要確認","許容内"))))</f>
        <v/>
      </c>
      <c r="P13" s="29">
        <f>IF($O13&lt;&gt;"要確認","",IF($Q13=0,"済",IF(COUNTIF('差異の原因'!$B$5:$B$204,$B13)=0,"未記録","一部")))</f>
        <v/>
      </c>
      <c r="Q13" s="27">
        <f>IF($L13="","",IF(AND($L13=0,COUNTIF('差異の原因'!$B$5:$B$204,$B13)=0),"",ROUND($L13-SUMIF('差異の原因'!$B$5:$B$204,$B13,'差異の原因'!$G$5:$G$204),6)))</f>
        <v/>
      </c>
      <c r="R13" s="30" t="n"/>
      <c r="S13" s="23" t="n"/>
      <c r="T13" s="29">
        <f>IF(OR($B13="",NOT(ISNUMBER($R13))),"",IF(IF(ISNUMBER($I13),$I13,N($H13))&lt;=0,"",IF($R13&lt;'設定'!$B$6,"期限切れ",IF($R13='設定'!$B$6,"当日",IF($R13-'設定'!$B$6&lt;=N('設定'!$B$14),"あと"&amp;($R13-'設定'!$B$6)&amp;"日","")))))</f>
        <v/>
      </c>
      <c r="U13" s="61" t="n"/>
      <c r="V13" s="31">
        <f>IF(AND($B13&lt;&gt;"",$E13&lt;&gt;"",$E13='数える用紙'!$C$2),ROW(),"")</f>
        <v/>
      </c>
      <c r="W13" s="74">
        <f>IF(AND($B13&lt;&gt;"",ISNUMBER($R13)),IF(AND($R13&lt;='設定'!$B$6+N('設定'!$B$14),IF(ISNUMBER($I13),$I13,N($H13))&gt;0),$R13+ROW()/100000,""),"")</f>
        <v/>
      </c>
    </row>
    <row r="14" ht="18" customHeight="1">
      <c r="A14" s="22" t="n">
        <v>10</v>
      </c>
      <c r="B14" s="23" t="n"/>
      <c r="C14" s="24" t="n"/>
      <c r="D14" s="24" t="n"/>
      <c r="E14" s="23" t="n"/>
      <c r="F14" s="23" t="n"/>
      <c r="G14" s="25" t="n"/>
      <c r="H14" s="25" t="n"/>
      <c r="I14" s="25" t="n"/>
      <c r="J14" s="72">
        <f>IF(OR($B14="",$H14=""),"",N($G14)*$H14)</f>
        <v/>
      </c>
      <c r="K14" s="72">
        <f>IF(OR($B14="",$I14=""),"",N($G14)*$I14)</f>
        <v/>
      </c>
      <c r="L14" s="27">
        <f>IF(OR($B14="",$H14="",$I14=""),"",$I14-$H14)</f>
        <v/>
      </c>
      <c r="M14" s="72">
        <f>IF($L14="","",$L14*N($G14))</f>
        <v/>
      </c>
      <c r="N14" s="73">
        <f>IF($L14="","",IF($H14&gt;0,ROUND($L14/$H14,4),"－"))</f>
        <v/>
      </c>
      <c r="O14" s="29">
        <f>IF($B14="","",IF($L14="","未入力",IF($L14=0,"一致",IF(OR(NOT(ISNUMBER($N14)),AND('設定'!$B$10&lt;&gt;"",ABS(N($N14))&gt;'設定'!$B$10),AND('設定'!$B$11&lt;&gt;"",ABS(ROUND($M14,4))&gt;'設定'!$B$11),AND('設定'!$B$10="",'設定'!$B$11="")),"要確認","許容内"))))</f>
        <v/>
      </c>
      <c r="P14" s="29">
        <f>IF($O14&lt;&gt;"要確認","",IF($Q14=0,"済",IF(COUNTIF('差異の原因'!$B$5:$B$204,$B14)=0,"未記録","一部")))</f>
        <v/>
      </c>
      <c r="Q14" s="27">
        <f>IF($L14="","",IF(AND($L14=0,COUNTIF('差異の原因'!$B$5:$B$204,$B14)=0),"",ROUND($L14-SUMIF('差異の原因'!$B$5:$B$204,$B14,'差異の原因'!$G$5:$G$204),6)))</f>
        <v/>
      </c>
      <c r="R14" s="30" t="n"/>
      <c r="S14" s="23" t="n"/>
      <c r="T14" s="29">
        <f>IF(OR($B14="",NOT(ISNUMBER($R14))),"",IF(IF(ISNUMBER($I14),$I14,N($H14))&lt;=0,"",IF($R14&lt;'設定'!$B$6,"期限切れ",IF($R14='設定'!$B$6,"当日",IF($R14-'設定'!$B$6&lt;=N('設定'!$B$14),"あと"&amp;($R14-'設定'!$B$6)&amp;"日","")))))</f>
        <v/>
      </c>
      <c r="U14" s="61" t="n"/>
      <c r="V14" s="31">
        <f>IF(AND($B14&lt;&gt;"",$E14&lt;&gt;"",$E14='数える用紙'!$C$2),ROW(),"")</f>
        <v/>
      </c>
      <c r="W14" s="74">
        <f>IF(AND($B14&lt;&gt;"",ISNUMBER($R14)),IF(AND($R14&lt;='設定'!$B$6+N('設定'!$B$14),IF(ISNUMBER($I14),$I14,N($H14))&gt;0),$R14+ROW()/100000,""),"")</f>
        <v/>
      </c>
    </row>
    <row r="15" ht="18" customHeight="1">
      <c r="A15" s="22" t="n">
        <v>11</v>
      </c>
      <c r="B15" s="23" t="n"/>
      <c r="C15" s="24" t="n"/>
      <c r="D15" s="24" t="n"/>
      <c r="E15" s="23" t="n"/>
      <c r="F15" s="23" t="n"/>
      <c r="G15" s="25" t="n"/>
      <c r="H15" s="25" t="n"/>
      <c r="I15" s="25" t="n"/>
      <c r="J15" s="72">
        <f>IF(OR($B15="",$H15=""),"",N($G15)*$H15)</f>
        <v/>
      </c>
      <c r="K15" s="72">
        <f>IF(OR($B15="",$I15=""),"",N($G15)*$I15)</f>
        <v/>
      </c>
      <c r="L15" s="27">
        <f>IF(OR($B15="",$H15="",$I15=""),"",$I15-$H15)</f>
        <v/>
      </c>
      <c r="M15" s="72">
        <f>IF($L15="","",$L15*N($G15))</f>
        <v/>
      </c>
      <c r="N15" s="73">
        <f>IF($L15="","",IF($H15&gt;0,ROUND($L15/$H15,4),"－"))</f>
        <v/>
      </c>
      <c r="O15" s="29">
        <f>IF($B15="","",IF($L15="","未入力",IF($L15=0,"一致",IF(OR(NOT(ISNUMBER($N15)),AND('設定'!$B$10&lt;&gt;"",ABS(N($N15))&gt;'設定'!$B$10),AND('設定'!$B$11&lt;&gt;"",ABS(ROUND($M15,4))&gt;'設定'!$B$11),AND('設定'!$B$10="",'設定'!$B$11="")),"要確認","許容内"))))</f>
        <v/>
      </c>
      <c r="P15" s="29">
        <f>IF($O15&lt;&gt;"要確認","",IF($Q15=0,"済",IF(COUNTIF('差異の原因'!$B$5:$B$204,$B15)=0,"未記録","一部")))</f>
        <v/>
      </c>
      <c r="Q15" s="27">
        <f>IF($L15="","",IF(AND($L15=0,COUNTIF('差異の原因'!$B$5:$B$204,$B15)=0),"",ROUND($L15-SUMIF('差異の原因'!$B$5:$B$204,$B15,'差異の原因'!$G$5:$G$204),6)))</f>
        <v/>
      </c>
      <c r="R15" s="30" t="n"/>
      <c r="S15" s="23" t="n"/>
      <c r="T15" s="29">
        <f>IF(OR($B15="",NOT(ISNUMBER($R15))),"",IF(IF(ISNUMBER($I15),$I15,N($H15))&lt;=0,"",IF($R15&lt;'設定'!$B$6,"期限切れ",IF($R15='設定'!$B$6,"当日",IF($R15-'設定'!$B$6&lt;=N('設定'!$B$14),"あと"&amp;($R15-'設定'!$B$6)&amp;"日","")))))</f>
        <v/>
      </c>
      <c r="U15" s="61" t="n"/>
      <c r="V15" s="31">
        <f>IF(AND($B15&lt;&gt;"",$E15&lt;&gt;"",$E15='数える用紙'!$C$2),ROW(),"")</f>
        <v/>
      </c>
      <c r="W15" s="74">
        <f>IF(AND($B15&lt;&gt;"",ISNUMBER($R15)),IF(AND($R15&lt;='設定'!$B$6+N('設定'!$B$14),IF(ISNUMBER($I15),$I15,N($H15))&gt;0),$R15+ROW()/100000,""),"")</f>
        <v/>
      </c>
    </row>
    <row r="16" ht="18" customHeight="1">
      <c r="A16" s="22" t="n">
        <v>12</v>
      </c>
      <c r="B16" s="23" t="n"/>
      <c r="C16" s="24" t="n"/>
      <c r="D16" s="24" t="n"/>
      <c r="E16" s="23" t="n"/>
      <c r="F16" s="23" t="n"/>
      <c r="G16" s="25" t="n"/>
      <c r="H16" s="25" t="n"/>
      <c r="I16" s="25" t="n"/>
      <c r="J16" s="72">
        <f>IF(OR($B16="",$H16=""),"",N($G16)*$H16)</f>
        <v/>
      </c>
      <c r="K16" s="72">
        <f>IF(OR($B16="",$I16=""),"",N($G16)*$I16)</f>
        <v/>
      </c>
      <c r="L16" s="27">
        <f>IF(OR($B16="",$H16="",$I16=""),"",$I16-$H16)</f>
        <v/>
      </c>
      <c r="M16" s="72">
        <f>IF($L16="","",$L16*N($G16))</f>
        <v/>
      </c>
      <c r="N16" s="73">
        <f>IF($L16="","",IF($H16&gt;0,ROUND($L16/$H16,4),"－"))</f>
        <v/>
      </c>
      <c r="O16" s="29">
        <f>IF($B16="","",IF($L16="","未入力",IF($L16=0,"一致",IF(OR(NOT(ISNUMBER($N16)),AND('設定'!$B$10&lt;&gt;"",ABS(N($N16))&gt;'設定'!$B$10),AND('設定'!$B$11&lt;&gt;"",ABS(ROUND($M16,4))&gt;'設定'!$B$11),AND('設定'!$B$10="",'設定'!$B$11="")),"要確認","許容内"))))</f>
        <v/>
      </c>
      <c r="P16" s="29">
        <f>IF($O16&lt;&gt;"要確認","",IF($Q16=0,"済",IF(COUNTIF('差異の原因'!$B$5:$B$204,$B16)=0,"未記録","一部")))</f>
        <v/>
      </c>
      <c r="Q16" s="27">
        <f>IF($L16="","",IF(AND($L16=0,COUNTIF('差異の原因'!$B$5:$B$204,$B16)=0),"",ROUND($L16-SUMIF('差異の原因'!$B$5:$B$204,$B16,'差異の原因'!$G$5:$G$204),6)))</f>
        <v/>
      </c>
      <c r="R16" s="30" t="n"/>
      <c r="S16" s="23" t="n"/>
      <c r="T16" s="29">
        <f>IF(OR($B16="",NOT(ISNUMBER($R16))),"",IF(IF(ISNUMBER($I16),$I16,N($H16))&lt;=0,"",IF($R16&lt;'設定'!$B$6,"期限切れ",IF($R16='設定'!$B$6,"当日",IF($R16-'設定'!$B$6&lt;=N('設定'!$B$14),"あと"&amp;($R16-'設定'!$B$6)&amp;"日","")))))</f>
        <v/>
      </c>
      <c r="U16" s="61" t="n"/>
      <c r="V16" s="31">
        <f>IF(AND($B16&lt;&gt;"",$E16&lt;&gt;"",$E16='数える用紙'!$C$2),ROW(),"")</f>
        <v/>
      </c>
      <c r="W16" s="74">
        <f>IF(AND($B16&lt;&gt;"",ISNUMBER($R16)),IF(AND($R16&lt;='設定'!$B$6+N('設定'!$B$14),IF(ISNUMBER($I16),$I16,N($H16))&gt;0),$R16+ROW()/100000,""),"")</f>
        <v/>
      </c>
    </row>
    <row r="17" ht="18" customHeight="1">
      <c r="A17" s="22" t="n">
        <v>13</v>
      </c>
      <c r="B17" s="23" t="n"/>
      <c r="C17" s="24" t="n"/>
      <c r="D17" s="24" t="n"/>
      <c r="E17" s="23" t="n"/>
      <c r="F17" s="23" t="n"/>
      <c r="G17" s="25" t="n"/>
      <c r="H17" s="25" t="n"/>
      <c r="I17" s="25" t="n"/>
      <c r="J17" s="72">
        <f>IF(OR($B17="",$H17=""),"",N($G17)*$H17)</f>
        <v/>
      </c>
      <c r="K17" s="72">
        <f>IF(OR($B17="",$I17=""),"",N($G17)*$I17)</f>
        <v/>
      </c>
      <c r="L17" s="27">
        <f>IF(OR($B17="",$H17="",$I17=""),"",$I17-$H17)</f>
        <v/>
      </c>
      <c r="M17" s="72">
        <f>IF($L17="","",$L17*N($G17))</f>
        <v/>
      </c>
      <c r="N17" s="73">
        <f>IF($L17="","",IF($H17&gt;0,ROUND($L17/$H17,4),"－"))</f>
        <v/>
      </c>
      <c r="O17" s="29">
        <f>IF($B17="","",IF($L17="","未入力",IF($L17=0,"一致",IF(OR(NOT(ISNUMBER($N17)),AND('設定'!$B$10&lt;&gt;"",ABS(N($N17))&gt;'設定'!$B$10),AND('設定'!$B$11&lt;&gt;"",ABS(ROUND($M17,4))&gt;'設定'!$B$11),AND('設定'!$B$10="",'設定'!$B$11="")),"要確認","許容内"))))</f>
        <v/>
      </c>
      <c r="P17" s="29">
        <f>IF($O17&lt;&gt;"要確認","",IF($Q17=0,"済",IF(COUNTIF('差異の原因'!$B$5:$B$204,$B17)=0,"未記録","一部")))</f>
        <v/>
      </c>
      <c r="Q17" s="27">
        <f>IF($L17="","",IF(AND($L17=0,COUNTIF('差異の原因'!$B$5:$B$204,$B17)=0),"",ROUND($L17-SUMIF('差異の原因'!$B$5:$B$204,$B17,'差異の原因'!$G$5:$G$204),6)))</f>
        <v/>
      </c>
      <c r="R17" s="30" t="n"/>
      <c r="S17" s="23" t="n"/>
      <c r="T17" s="29">
        <f>IF(OR($B17="",NOT(ISNUMBER($R17))),"",IF(IF(ISNUMBER($I17),$I17,N($H17))&lt;=0,"",IF($R17&lt;'設定'!$B$6,"期限切れ",IF($R17='設定'!$B$6,"当日",IF($R17-'設定'!$B$6&lt;=N('設定'!$B$14),"あと"&amp;($R17-'設定'!$B$6)&amp;"日","")))))</f>
        <v/>
      </c>
      <c r="U17" s="61" t="n"/>
      <c r="V17" s="31">
        <f>IF(AND($B17&lt;&gt;"",$E17&lt;&gt;"",$E17='数える用紙'!$C$2),ROW(),"")</f>
        <v/>
      </c>
      <c r="W17" s="74">
        <f>IF(AND($B17&lt;&gt;"",ISNUMBER($R17)),IF(AND($R17&lt;='設定'!$B$6+N('設定'!$B$14),IF(ISNUMBER($I17),$I17,N($H17))&gt;0),$R17+ROW()/100000,""),"")</f>
        <v/>
      </c>
    </row>
    <row r="18" ht="18" customHeight="1">
      <c r="A18" s="22" t="n">
        <v>14</v>
      </c>
      <c r="B18" s="23" t="n"/>
      <c r="C18" s="24" t="n"/>
      <c r="D18" s="24" t="n"/>
      <c r="E18" s="23" t="n"/>
      <c r="F18" s="23" t="n"/>
      <c r="G18" s="25" t="n"/>
      <c r="H18" s="25" t="n"/>
      <c r="I18" s="25" t="n"/>
      <c r="J18" s="72">
        <f>IF(OR($B18="",$H18=""),"",N($G18)*$H18)</f>
        <v/>
      </c>
      <c r="K18" s="72">
        <f>IF(OR($B18="",$I18=""),"",N($G18)*$I18)</f>
        <v/>
      </c>
      <c r="L18" s="27">
        <f>IF(OR($B18="",$H18="",$I18=""),"",$I18-$H18)</f>
        <v/>
      </c>
      <c r="M18" s="72">
        <f>IF($L18="","",$L18*N($G18))</f>
        <v/>
      </c>
      <c r="N18" s="73">
        <f>IF($L18="","",IF($H18&gt;0,ROUND($L18/$H18,4),"－"))</f>
        <v/>
      </c>
      <c r="O18" s="29">
        <f>IF($B18="","",IF($L18="","未入力",IF($L18=0,"一致",IF(OR(NOT(ISNUMBER($N18)),AND('設定'!$B$10&lt;&gt;"",ABS(N($N18))&gt;'設定'!$B$10),AND('設定'!$B$11&lt;&gt;"",ABS(ROUND($M18,4))&gt;'設定'!$B$11),AND('設定'!$B$10="",'設定'!$B$11="")),"要確認","許容内"))))</f>
        <v/>
      </c>
      <c r="P18" s="29">
        <f>IF($O18&lt;&gt;"要確認","",IF($Q18=0,"済",IF(COUNTIF('差異の原因'!$B$5:$B$204,$B18)=0,"未記録","一部")))</f>
        <v/>
      </c>
      <c r="Q18" s="27">
        <f>IF($L18="","",IF(AND($L18=0,COUNTIF('差異の原因'!$B$5:$B$204,$B18)=0),"",ROUND($L18-SUMIF('差異の原因'!$B$5:$B$204,$B18,'差異の原因'!$G$5:$G$204),6)))</f>
        <v/>
      </c>
      <c r="R18" s="30" t="n"/>
      <c r="S18" s="23" t="n"/>
      <c r="T18" s="29">
        <f>IF(OR($B18="",NOT(ISNUMBER($R18))),"",IF(IF(ISNUMBER($I18),$I18,N($H18))&lt;=0,"",IF($R18&lt;'設定'!$B$6,"期限切れ",IF($R18='設定'!$B$6,"当日",IF($R18-'設定'!$B$6&lt;=N('設定'!$B$14),"あと"&amp;($R18-'設定'!$B$6)&amp;"日","")))))</f>
        <v/>
      </c>
      <c r="U18" s="61" t="n"/>
      <c r="V18" s="31">
        <f>IF(AND($B18&lt;&gt;"",$E18&lt;&gt;"",$E18='数える用紙'!$C$2),ROW(),"")</f>
        <v/>
      </c>
      <c r="W18" s="74">
        <f>IF(AND($B18&lt;&gt;"",ISNUMBER($R18)),IF(AND($R18&lt;='設定'!$B$6+N('設定'!$B$14),IF(ISNUMBER($I18),$I18,N($H18))&gt;0),$R18+ROW()/100000,""),"")</f>
        <v/>
      </c>
    </row>
    <row r="19" ht="18" customHeight="1">
      <c r="A19" s="22" t="n">
        <v>15</v>
      </c>
      <c r="B19" s="23" t="n"/>
      <c r="C19" s="24" t="n"/>
      <c r="D19" s="24" t="n"/>
      <c r="E19" s="23" t="n"/>
      <c r="F19" s="23" t="n"/>
      <c r="G19" s="25" t="n"/>
      <c r="H19" s="25" t="n"/>
      <c r="I19" s="25" t="n"/>
      <c r="J19" s="72">
        <f>IF(OR($B19="",$H19=""),"",N($G19)*$H19)</f>
        <v/>
      </c>
      <c r="K19" s="72">
        <f>IF(OR($B19="",$I19=""),"",N($G19)*$I19)</f>
        <v/>
      </c>
      <c r="L19" s="27">
        <f>IF(OR($B19="",$H19="",$I19=""),"",$I19-$H19)</f>
        <v/>
      </c>
      <c r="M19" s="72">
        <f>IF($L19="","",$L19*N($G19))</f>
        <v/>
      </c>
      <c r="N19" s="73">
        <f>IF($L19="","",IF($H19&gt;0,ROUND($L19/$H19,4),"－"))</f>
        <v/>
      </c>
      <c r="O19" s="29">
        <f>IF($B19="","",IF($L19="","未入力",IF($L19=0,"一致",IF(OR(NOT(ISNUMBER($N19)),AND('設定'!$B$10&lt;&gt;"",ABS(N($N19))&gt;'設定'!$B$10),AND('設定'!$B$11&lt;&gt;"",ABS(ROUND($M19,4))&gt;'設定'!$B$11),AND('設定'!$B$10="",'設定'!$B$11="")),"要確認","許容内"))))</f>
        <v/>
      </c>
      <c r="P19" s="29">
        <f>IF($O19&lt;&gt;"要確認","",IF($Q19=0,"済",IF(COUNTIF('差異の原因'!$B$5:$B$204,$B19)=0,"未記録","一部")))</f>
        <v/>
      </c>
      <c r="Q19" s="27">
        <f>IF($L19="","",IF(AND($L19=0,COUNTIF('差異の原因'!$B$5:$B$204,$B19)=0),"",ROUND($L19-SUMIF('差異の原因'!$B$5:$B$204,$B19,'差異の原因'!$G$5:$G$204),6)))</f>
        <v/>
      </c>
      <c r="R19" s="30" t="n"/>
      <c r="S19" s="23" t="n"/>
      <c r="T19" s="29">
        <f>IF(OR($B19="",NOT(ISNUMBER($R19))),"",IF(IF(ISNUMBER($I19),$I19,N($H19))&lt;=0,"",IF($R19&lt;'設定'!$B$6,"期限切れ",IF($R19='設定'!$B$6,"当日",IF($R19-'設定'!$B$6&lt;=N('設定'!$B$14),"あと"&amp;($R19-'設定'!$B$6)&amp;"日","")))))</f>
        <v/>
      </c>
      <c r="U19" s="61" t="n"/>
      <c r="V19" s="31">
        <f>IF(AND($B19&lt;&gt;"",$E19&lt;&gt;"",$E19='数える用紙'!$C$2),ROW(),"")</f>
        <v/>
      </c>
      <c r="W19" s="74">
        <f>IF(AND($B19&lt;&gt;"",ISNUMBER($R19)),IF(AND($R19&lt;='設定'!$B$6+N('設定'!$B$14),IF(ISNUMBER($I19),$I19,N($H19))&gt;0),$R19+ROW()/100000,""),"")</f>
        <v/>
      </c>
    </row>
    <row r="20" ht="18" customHeight="1">
      <c r="A20" s="22" t="n">
        <v>16</v>
      </c>
      <c r="B20" s="23" t="n"/>
      <c r="C20" s="24" t="n"/>
      <c r="D20" s="24" t="n"/>
      <c r="E20" s="23" t="n"/>
      <c r="F20" s="23" t="n"/>
      <c r="G20" s="25" t="n"/>
      <c r="H20" s="25" t="n"/>
      <c r="I20" s="25" t="n"/>
      <c r="J20" s="72">
        <f>IF(OR($B20="",$H20=""),"",N($G20)*$H20)</f>
        <v/>
      </c>
      <c r="K20" s="72">
        <f>IF(OR($B20="",$I20=""),"",N($G20)*$I20)</f>
        <v/>
      </c>
      <c r="L20" s="27">
        <f>IF(OR($B20="",$H20="",$I20=""),"",$I20-$H20)</f>
        <v/>
      </c>
      <c r="M20" s="72">
        <f>IF($L20="","",$L20*N($G20))</f>
        <v/>
      </c>
      <c r="N20" s="73">
        <f>IF($L20="","",IF($H20&gt;0,ROUND($L20/$H20,4),"－"))</f>
        <v/>
      </c>
      <c r="O20" s="29">
        <f>IF($B20="","",IF($L20="","未入力",IF($L20=0,"一致",IF(OR(NOT(ISNUMBER($N20)),AND('設定'!$B$10&lt;&gt;"",ABS(N($N20))&gt;'設定'!$B$10),AND('設定'!$B$11&lt;&gt;"",ABS(ROUND($M20,4))&gt;'設定'!$B$11),AND('設定'!$B$10="",'設定'!$B$11="")),"要確認","許容内"))))</f>
        <v/>
      </c>
      <c r="P20" s="29">
        <f>IF($O20&lt;&gt;"要確認","",IF($Q20=0,"済",IF(COUNTIF('差異の原因'!$B$5:$B$204,$B20)=0,"未記録","一部")))</f>
        <v/>
      </c>
      <c r="Q20" s="27">
        <f>IF($L20="","",IF(AND($L20=0,COUNTIF('差異の原因'!$B$5:$B$204,$B20)=0),"",ROUND($L20-SUMIF('差異の原因'!$B$5:$B$204,$B20,'差異の原因'!$G$5:$G$204),6)))</f>
        <v/>
      </c>
      <c r="R20" s="30" t="n"/>
      <c r="S20" s="23" t="n"/>
      <c r="T20" s="29">
        <f>IF(OR($B20="",NOT(ISNUMBER($R20))),"",IF(IF(ISNUMBER($I20),$I20,N($H20))&lt;=0,"",IF($R20&lt;'設定'!$B$6,"期限切れ",IF($R20='設定'!$B$6,"当日",IF($R20-'設定'!$B$6&lt;=N('設定'!$B$14),"あと"&amp;($R20-'設定'!$B$6)&amp;"日","")))))</f>
        <v/>
      </c>
      <c r="U20" s="61" t="n"/>
      <c r="V20" s="31">
        <f>IF(AND($B20&lt;&gt;"",$E20&lt;&gt;"",$E20='数える用紙'!$C$2),ROW(),"")</f>
        <v/>
      </c>
      <c r="W20" s="74">
        <f>IF(AND($B20&lt;&gt;"",ISNUMBER($R20)),IF(AND($R20&lt;='設定'!$B$6+N('設定'!$B$14),IF(ISNUMBER($I20),$I20,N($H20))&gt;0),$R20+ROW()/100000,""),"")</f>
        <v/>
      </c>
    </row>
    <row r="21" ht="18" customHeight="1">
      <c r="A21" s="22" t="n">
        <v>17</v>
      </c>
      <c r="B21" s="23" t="n"/>
      <c r="C21" s="24" t="n"/>
      <c r="D21" s="24" t="n"/>
      <c r="E21" s="23" t="n"/>
      <c r="F21" s="23" t="n"/>
      <c r="G21" s="25" t="n"/>
      <c r="H21" s="25" t="n"/>
      <c r="I21" s="25" t="n"/>
      <c r="J21" s="72">
        <f>IF(OR($B21="",$H21=""),"",N($G21)*$H21)</f>
        <v/>
      </c>
      <c r="K21" s="72">
        <f>IF(OR($B21="",$I21=""),"",N($G21)*$I21)</f>
        <v/>
      </c>
      <c r="L21" s="27">
        <f>IF(OR($B21="",$H21="",$I21=""),"",$I21-$H21)</f>
        <v/>
      </c>
      <c r="M21" s="72">
        <f>IF($L21="","",$L21*N($G21))</f>
        <v/>
      </c>
      <c r="N21" s="73">
        <f>IF($L21="","",IF($H21&gt;0,ROUND($L21/$H21,4),"－"))</f>
        <v/>
      </c>
      <c r="O21" s="29">
        <f>IF($B21="","",IF($L21="","未入力",IF($L21=0,"一致",IF(OR(NOT(ISNUMBER($N21)),AND('設定'!$B$10&lt;&gt;"",ABS(N($N21))&gt;'設定'!$B$10),AND('設定'!$B$11&lt;&gt;"",ABS(ROUND($M21,4))&gt;'設定'!$B$11),AND('設定'!$B$10="",'設定'!$B$11="")),"要確認","許容内"))))</f>
        <v/>
      </c>
      <c r="P21" s="29">
        <f>IF($O21&lt;&gt;"要確認","",IF($Q21=0,"済",IF(COUNTIF('差異の原因'!$B$5:$B$204,$B21)=0,"未記録","一部")))</f>
        <v/>
      </c>
      <c r="Q21" s="27">
        <f>IF($L21="","",IF(AND($L21=0,COUNTIF('差異の原因'!$B$5:$B$204,$B21)=0),"",ROUND($L21-SUMIF('差異の原因'!$B$5:$B$204,$B21,'差異の原因'!$G$5:$G$204),6)))</f>
        <v/>
      </c>
      <c r="R21" s="30" t="n"/>
      <c r="S21" s="23" t="n"/>
      <c r="T21" s="29">
        <f>IF(OR($B21="",NOT(ISNUMBER($R21))),"",IF(IF(ISNUMBER($I21),$I21,N($H21))&lt;=0,"",IF($R21&lt;'設定'!$B$6,"期限切れ",IF($R21='設定'!$B$6,"当日",IF($R21-'設定'!$B$6&lt;=N('設定'!$B$14),"あと"&amp;($R21-'設定'!$B$6)&amp;"日","")))))</f>
        <v/>
      </c>
      <c r="U21" s="61" t="n"/>
      <c r="V21" s="31">
        <f>IF(AND($B21&lt;&gt;"",$E21&lt;&gt;"",$E21='数える用紙'!$C$2),ROW(),"")</f>
        <v/>
      </c>
      <c r="W21" s="74">
        <f>IF(AND($B21&lt;&gt;"",ISNUMBER($R21)),IF(AND($R21&lt;='設定'!$B$6+N('設定'!$B$14),IF(ISNUMBER($I21),$I21,N($H21))&gt;0),$R21+ROW()/100000,""),"")</f>
        <v/>
      </c>
    </row>
    <row r="22" ht="18" customHeight="1">
      <c r="A22" s="22" t="n">
        <v>18</v>
      </c>
      <c r="B22" s="23" t="n"/>
      <c r="C22" s="24" t="n"/>
      <c r="D22" s="24" t="n"/>
      <c r="E22" s="23" t="n"/>
      <c r="F22" s="23" t="n"/>
      <c r="G22" s="25" t="n"/>
      <c r="H22" s="25" t="n"/>
      <c r="I22" s="25" t="n"/>
      <c r="J22" s="72">
        <f>IF(OR($B22="",$H22=""),"",N($G22)*$H22)</f>
        <v/>
      </c>
      <c r="K22" s="72">
        <f>IF(OR($B22="",$I22=""),"",N($G22)*$I22)</f>
        <v/>
      </c>
      <c r="L22" s="27">
        <f>IF(OR($B22="",$H22="",$I22=""),"",$I22-$H22)</f>
        <v/>
      </c>
      <c r="M22" s="72">
        <f>IF($L22="","",$L22*N($G22))</f>
        <v/>
      </c>
      <c r="N22" s="73">
        <f>IF($L22="","",IF($H22&gt;0,ROUND($L22/$H22,4),"－"))</f>
        <v/>
      </c>
      <c r="O22" s="29">
        <f>IF($B22="","",IF($L22="","未入力",IF($L22=0,"一致",IF(OR(NOT(ISNUMBER($N22)),AND('設定'!$B$10&lt;&gt;"",ABS(N($N22))&gt;'設定'!$B$10),AND('設定'!$B$11&lt;&gt;"",ABS(ROUND($M22,4))&gt;'設定'!$B$11),AND('設定'!$B$10="",'設定'!$B$11="")),"要確認","許容内"))))</f>
        <v/>
      </c>
      <c r="P22" s="29">
        <f>IF($O22&lt;&gt;"要確認","",IF($Q22=0,"済",IF(COUNTIF('差異の原因'!$B$5:$B$204,$B22)=0,"未記録","一部")))</f>
        <v/>
      </c>
      <c r="Q22" s="27">
        <f>IF($L22="","",IF(AND($L22=0,COUNTIF('差異の原因'!$B$5:$B$204,$B22)=0),"",ROUND($L22-SUMIF('差異の原因'!$B$5:$B$204,$B22,'差異の原因'!$G$5:$G$204),6)))</f>
        <v/>
      </c>
      <c r="R22" s="30" t="n"/>
      <c r="S22" s="23" t="n"/>
      <c r="T22" s="29">
        <f>IF(OR($B22="",NOT(ISNUMBER($R22))),"",IF(IF(ISNUMBER($I22),$I22,N($H22))&lt;=0,"",IF($R22&lt;'設定'!$B$6,"期限切れ",IF($R22='設定'!$B$6,"当日",IF($R22-'設定'!$B$6&lt;=N('設定'!$B$14),"あと"&amp;($R22-'設定'!$B$6)&amp;"日","")))))</f>
        <v/>
      </c>
      <c r="U22" s="61" t="n"/>
      <c r="V22" s="31">
        <f>IF(AND($B22&lt;&gt;"",$E22&lt;&gt;"",$E22='数える用紙'!$C$2),ROW(),"")</f>
        <v/>
      </c>
      <c r="W22" s="74">
        <f>IF(AND($B22&lt;&gt;"",ISNUMBER($R22)),IF(AND($R22&lt;='設定'!$B$6+N('設定'!$B$14),IF(ISNUMBER($I22),$I22,N($H22))&gt;0),$R22+ROW()/100000,""),"")</f>
        <v/>
      </c>
    </row>
    <row r="23" ht="18" customHeight="1">
      <c r="A23" s="22" t="n">
        <v>19</v>
      </c>
      <c r="B23" s="23" t="n"/>
      <c r="C23" s="24" t="n"/>
      <c r="D23" s="24" t="n"/>
      <c r="E23" s="23" t="n"/>
      <c r="F23" s="23" t="n"/>
      <c r="G23" s="25" t="n"/>
      <c r="H23" s="25" t="n"/>
      <c r="I23" s="25" t="n"/>
      <c r="J23" s="72">
        <f>IF(OR($B23="",$H23=""),"",N($G23)*$H23)</f>
        <v/>
      </c>
      <c r="K23" s="72">
        <f>IF(OR($B23="",$I23=""),"",N($G23)*$I23)</f>
        <v/>
      </c>
      <c r="L23" s="27">
        <f>IF(OR($B23="",$H23="",$I23=""),"",$I23-$H23)</f>
        <v/>
      </c>
      <c r="M23" s="72">
        <f>IF($L23="","",$L23*N($G23))</f>
        <v/>
      </c>
      <c r="N23" s="73">
        <f>IF($L23="","",IF($H23&gt;0,ROUND($L23/$H23,4),"－"))</f>
        <v/>
      </c>
      <c r="O23" s="29">
        <f>IF($B23="","",IF($L23="","未入力",IF($L23=0,"一致",IF(OR(NOT(ISNUMBER($N23)),AND('設定'!$B$10&lt;&gt;"",ABS(N($N23))&gt;'設定'!$B$10),AND('設定'!$B$11&lt;&gt;"",ABS(ROUND($M23,4))&gt;'設定'!$B$11),AND('設定'!$B$10="",'設定'!$B$11="")),"要確認","許容内"))))</f>
        <v/>
      </c>
      <c r="P23" s="29">
        <f>IF($O23&lt;&gt;"要確認","",IF($Q23=0,"済",IF(COUNTIF('差異の原因'!$B$5:$B$204,$B23)=0,"未記録","一部")))</f>
        <v/>
      </c>
      <c r="Q23" s="27">
        <f>IF($L23="","",IF(AND($L23=0,COUNTIF('差異の原因'!$B$5:$B$204,$B23)=0),"",ROUND($L23-SUMIF('差異の原因'!$B$5:$B$204,$B23,'差異の原因'!$G$5:$G$204),6)))</f>
        <v/>
      </c>
      <c r="R23" s="30" t="n"/>
      <c r="S23" s="23" t="n"/>
      <c r="T23" s="29">
        <f>IF(OR($B23="",NOT(ISNUMBER($R23))),"",IF(IF(ISNUMBER($I23),$I23,N($H23))&lt;=0,"",IF($R23&lt;'設定'!$B$6,"期限切れ",IF($R23='設定'!$B$6,"当日",IF($R23-'設定'!$B$6&lt;=N('設定'!$B$14),"あと"&amp;($R23-'設定'!$B$6)&amp;"日","")))))</f>
        <v/>
      </c>
      <c r="U23" s="61" t="n"/>
      <c r="V23" s="31">
        <f>IF(AND($B23&lt;&gt;"",$E23&lt;&gt;"",$E23='数える用紙'!$C$2),ROW(),"")</f>
        <v/>
      </c>
      <c r="W23" s="74">
        <f>IF(AND($B23&lt;&gt;"",ISNUMBER($R23)),IF(AND($R23&lt;='設定'!$B$6+N('設定'!$B$14),IF(ISNUMBER($I23),$I23,N($H23))&gt;0),$R23+ROW()/100000,""),"")</f>
        <v/>
      </c>
    </row>
    <row r="24" ht="18" customHeight="1">
      <c r="A24" s="22" t="n">
        <v>20</v>
      </c>
      <c r="B24" s="23" t="n"/>
      <c r="C24" s="24" t="n"/>
      <c r="D24" s="24" t="n"/>
      <c r="E24" s="23" t="n"/>
      <c r="F24" s="23" t="n"/>
      <c r="G24" s="25" t="n"/>
      <c r="H24" s="25" t="n"/>
      <c r="I24" s="25" t="n"/>
      <c r="J24" s="72">
        <f>IF(OR($B24="",$H24=""),"",N($G24)*$H24)</f>
        <v/>
      </c>
      <c r="K24" s="72">
        <f>IF(OR($B24="",$I24=""),"",N($G24)*$I24)</f>
        <v/>
      </c>
      <c r="L24" s="27">
        <f>IF(OR($B24="",$H24="",$I24=""),"",$I24-$H24)</f>
        <v/>
      </c>
      <c r="M24" s="72">
        <f>IF($L24="","",$L24*N($G24))</f>
        <v/>
      </c>
      <c r="N24" s="73">
        <f>IF($L24="","",IF($H24&gt;0,ROUND($L24/$H24,4),"－"))</f>
        <v/>
      </c>
      <c r="O24" s="29">
        <f>IF($B24="","",IF($L24="","未入力",IF($L24=0,"一致",IF(OR(NOT(ISNUMBER($N24)),AND('設定'!$B$10&lt;&gt;"",ABS(N($N24))&gt;'設定'!$B$10),AND('設定'!$B$11&lt;&gt;"",ABS(ROUND($M24,4))&gt;'設定'!$B$11),AND('設定'!$B$10="",'設定'!$B$11="")),"要確認","許容内"))))</f>
        <v/>
      </c>
      <c r="P24" s="29">
        <f>IF($O24&lt;&gt;"要確認","",IF($Q24=0,"済",IF(COUNTIF('差異の原因'!$B$5:$B$204,$B24)=0,"未記録","一部")))</f>
        <v/>
      </c>
      <c r="Q24" s="27">
        <f>IF($L24="","",IF(AND($L24=0,COUNTIF('差異の原因'!$B$5:$B$204,$B24)=0),"",ROUND($L24-SUMIF('差異の原因'!$B$5:$B$204,$B24,'差異の原因'!$G$5:$G$204),6)))</f>
        <v/>
      </c>
      <c r="R24" s="30" t="n"/>
      <c r="S24" s="23" t="n"/>
      <c r="T24" s="29">
        <f>IF(OR($B24="",NOT(ISNUMBER($R24))),"",IF(IF(ISNUMBER($I24),$I24,N($H24))&lt;=0,"",IF($R24&lt;'設定'!$B$6,"期限切れ",IF($R24='設定'!$B$6,"当日",IF($R24-'設定'!$B$6&lt;=N('設定'!$B$14),"あと"&amp;($R24-'設定'!$B$6)&amp;"日","")))))</f>
        <v/>
      </c>
      <c r="U24" s="61" t="n"/>
      <c r="V24" s="31">
        <f>IF(AND($B24&lt;&gt;"",$E24&lt;&gt;"",$E24='数える用紙'!$C$2),ROW(),"")</f>
        <v/>
      </c>
      <c r="W24" s="74">
        <f>IF(AND($B24&lt;&gt;"",ISNUMBER($R24)),IF(AND($R24&lt;='設定'!$B$6+N('設定'!$B$14),IF(ISNUMBER($I24),$I24,N($H24))&gt;0),$R24+ROW()/100000,""),"")</f>
        <v/>
      </c>
    </row>
    <row r="25" ht="18" customHeight="1">
      <c r="A25" s="22" t="n">
        <v>21</v>
      </c>
      <c r="B25" s="23" t="n"/>
      <c r="C25" s="24" t="n"/>
      <c r="D25" s="24" t="n"/>
      <c r="E25" s="23" t="n"/>
      <c r="F25" s="23" t="n"/>
      <c r="G25" s="25" t="n"/>
      <c r="H25" s="25" t="n"/>
      <c r="I25" s="25" t="n"/>
      <c r="J25" s="72">
        <f>IF(OR($B25="",$H25=""),"",N($G25)*$H25)</f>
        <v/>
      </c>
      <c r="K25" s="72">
        <f>IF(OR($B25="",$I25=""),"",N($G25)*$I25)</f>
        <v/>
      </c>
      <c r="L25" s="27">
        <f>IF(OR($B25="",$H25="",$I25=""),"",$I25-$H25)</f>
        <v/>
      </c>
      <c r="M25" s="72">
        <f>IF($L25="","",$L25*N($G25))</f>
        <v/>
      </c>
      <c r="N25" s="73">
        <f>IF($L25="","",IF($H25&gt;0,ROUND($L25/$H25,4),"－"))</f>
        <v/>
      </c>
      <c r="O25" s="29">
        <f>IF($B25="","",IF($L25="","未入力",IF($L25=0,"一致",IF(OR(NOT(ISNUMBER($N25)),AND('設定'!$B$10&lt;&gt;"",ABS(N($N25))&gt;'設定'!$B$10),AND('設定'!$B$11&lt;&gt;"",ABS(ROUND($M25,4))&gt;'設定'!$B$11),AND('設定'!$B$10="",'設定'!$B$11="")),"要確認","許容内"))))</f>
        <v/>
      </c>
      <c r="P25" s="29">
        <f>IF($O25&lt;&gt;"要確認","",IF($Q25=0,"済",IF(COUNTIF('差異の原因'!$B$5:$B$204,$B25)=0,"未記録","一部")))</f>
        <v/>
      </c>
      <c r="Q25" s="27">
        <f>IF($L25="","",IF(AND($L25=0,COUNTIF('差異の原因'!$B$5:$B$204,$B25)=0),"",ROUND($L25-SUMIF('差異の原因'!$B$5:$B$204,$B25,'差異の原因'!$G$5:$G$204),6)))</f>
        <v/>
      </c>
      <c r="R25" s="30" t="n"/>
      <c r="S25" s="23" t="n"/>
      <c r="T25" s="29">
        <f>IF(OR($B25="",NOT(ISNUMBER($R25))),"",IF(IF(ISNUMBER($I25),$I25,N($H25))&lt;=0,"",IF($R25&lt;'設定'!$B$6,"期限切れ",IF($R25='設定'!$B$6,"当日",IF($R25-'設定'!$B$6&lt;=N('設定'!$B$14),"あと"&amp;($R25-'設定'!$B$6)&amp;"日","")))))</f>
        <v/>
      </c>
      <c r="U25" s="61" t="n"/>
      <c r="V25" s="31">
        <f>IF(AND($B25&lt;&gt;"",$E25&lt;&gt;"",$E25='数える用紙'!$C$2),ROW(),"")</f>
        <v/>
      </c>
      <c r="W25" s="74">
        <f>IF(AND($B25&lt;&gt;"",ISNUMBER($R25)),IF(AND($R25&lt;='設定'!$B$6+N('設定'!$B$14),IF(ISNUMBER($I25),$I25,N($H25))&gt;0),$R25+ROW()/100000,""),"")</f>
        <v/>
      </c>
    </row>
    <row r="26" ht="18" customHeight="1">
      <c r="A26" s="22" t="n">
        <v>22</v>
      </c>
      <c r="B26" s="23" t="n"/>
      <c r="C26" s="24" t="n"/>
      <c r="D26" s="24" t="n"/>
      <c r="E26" s="23" t="n"/>
      <c r="F26" s="23" t="n"/>
      <c r="G26" s="25" t="n"/>
      <c r="H26" s="25" t="n"/>
      <c r="I26" s="25" t="n"/>
      <c r="J26" s="72">
        <f>IF(OR($B26="",$H26=""),"",N($G26)*$H26)</f>
        <v/>
      </c>
      <c r="K26" s="72">
        <f>IF(OR($B26="",$I26=""),"",N($G26)*$I26)</f>
        <v/>
      </c>
      <c r="L26" s="27">
        <f>IF(OR($B26="",$H26="",$I26=""),"",$I26-$H26)</f>
        <v/>
      </c>
      <c r="M26" s="72">
        <f>IF($L26="","",$L26*N($G26))</f>
        <v/>
      </c>
      <c r="N26" s="73">
        <f>IF($L26="","",IF($H26&gt;0,ROUND($L26/$H26,4),"－"))</f>
        <v/>
      </c>
      <c r="O26" s="29">
        <f>IF($B26="","",IF($L26="","未入力",IF($L26=0,"一致",IF(OR(NOT(ISNUMBER($N26)),AND('設定'!$B$10&lt;&gt;"",ABS(N($N26))&gt;'設定'!$B$10),AND('設定'!$B$11&lt;&gt;"",ABS(ROUND($M26,4))&gt;'設定'!$B$11),AND('設定'!$B$10="",'設定'!$B$11="")),"要確認","許容内"))))</f>
        <v/>
      </c>
      <c r="P26" s="29">
        <f>IF($O26&lt;&gt;"要確認","",IF($Q26=0,"済",IF(COUNTIF('差異の原因'!$B$5:$B$204,$B26)=0,"未記録","一部")))</f>
        <v/>
      </c>
      <c r="Q26" s="27">
        <f>IF($L26="","",IF(AND($L26=0,COUNTIF('差異の原因'!$B$5:$B$204,$B26)=0),"",ROUND($L26-SUMIF('差異の原因'!$B$5:$B$204,$B26,'差異の原因'!$G$5:$G$204),6)))</f>
        <v/>
      </c>
      <c r="R26" s="30" t="n"/>
      <c r="S26" s="23" t="n"/>
      <c r="T26" s="29">
        <f>IF(OR($B26="",NOT(ISNUMBER($R26))),"",IF(IF(ISNUMBER($I26),$I26,N($H26))&lt;=0,"",IF($R26&lt;'設定'!$B$6,"期限切れ",IF($R26='設定'!$B$6,"当日",IF($R26-'設定'!$B$6&lt;=N('設定'!$B$14),"あと"&amp;($R26-'設定'!$B$6)&amp;"日","")))))</f>
        <v/>
      </c>
      <c r="U26" s="61" t="n"/>
      <c r="V26" s="31">
        <f>IF(AND($B26&lt;&gt;"",$E26&lt;&gt;"",$E26='数える用紙'!$C$2),ROW(),"")</f>
        <v/>
      </c>
      <c r="W26" s="74">
        <f>IF(AND($B26&lt;&gt;"",ISNUMBER($R26)),IF(AND($R26&lt;='設定'!$B$6+N('設定'!$B$14),IF(ISNUMBER($I26),$I26,N($H26))&gt;0),$R26+ROW()/100000,""),"")</f>
        <v/>
      </c>
    </row>
    <row r="27" ht="18" customHeight="1">
      <c r="A27" s="22" t="n">
        <v>23</v>
      </c>
      <c r="B27" s="23" t="n"/>
      <c r="C27" s="24" t="n"/>
      <c r="D27" s="24" t="n"/>
      <c r="E27" s="23" t="n"/>
      <c r="F27" s="23" t="n"/>
      <c r="G27" s="25" t="n"/>
      <c r="H27" s="25" t="n"/>
      <c r="I27" s="25" t="n"/>
      <c r="J27" s="72">
        <f>IF(OR($B27="",$H27=""),"",N($G27)*$H27)</f>
        <v/>
      </c>
      <c r="K27" s="72">
        <f>IF(OR($B27="",$I27=""),"",N($G27)*$I27)</f>
        <v/>
      </c>
      <c r="L27" s="27">
        <f>IF(OR($B27="",$H27="",$I27=""),"",$I27-$H27)</f>
        <v/>
      </c>
      <c r="M27" s="72">
        <f>IF($L27="","",$L27*N($G27))</f>
        <v/>
      </c>
      <c r="N27" s="73">
        <f>IF($L27="","",IF($H27&gt;0,ROUND($L27/$H27,4),"－"))</f>
        <v/>
      </c>
      <c r="O27" s="29">
        <f>IF($B27="","",IF($L27="","未入力",IF($L27=0,"一致",IF(OR(NOT(ISNUMBER($N27)),AND('設定'!$B$10&lt;&gt;"",ABS(N($N27))&gt;'設定'!$B$10),AND('設定'!$B$11&lt;&gt;"",ABS(ROUND($M27,4))&gt;'設定'!$B$11),AND('設定'!$B$10="",'設定'!$B$11="")),"要確認","許容内"))))</f>
        <v/>
      </c>
      <c r="P27" s="29">
        <f>IF($O27&lt;&gt;"要確認","",IF($Q27=0,"済",IF(COUNTIF('差異の原因'!$B$5:$B$204,$B27)=0,"未記録","一部")))</f>
        <v/>
      </c>
      <c r="Q27" s="27">
        <f>IF($L27="","",IF(AND($L27=0,COUNTIF('差異の原因'!$B$5:$B$204,$B27)=0),"",ROUND($L27-SUMIF('差異の原因'!$B$5:$B$204,$B27,'差異の原因'!$G$5:$G$204),6)))</f>
        <v/>
      </c>
      <c r="R27" s="30" t="n"/>
      <c r="S27" s="23" t="n"/>
      <c r="T27" s="29">
        <f>IF(OR($B27="",NOT(ISNUMBER($R27))),"",IF(IF(ISNUMBER($I27),$I27,N($H27))&lt;=0,"",IF($R27&lt;'設定'!$B$6,"期限切れ",IF($R27='設定'!$B$6,"当日",IF($R27-'設定'!$B$6&lt;=N('設定'!$B$14),"あと"&amp;($R27-'設定'!$B$6)&amp;"日","")))))</f>
        <v/>
      </c>
      <c r="U27" s="61" t="n"/>
      <c r="V27" s="31">
        <f>IF(AND($B27&lt;&gt;"",$E27&lt;&gt;"",$E27='数える用紙'!$C$2),ROW(),"")</f>
        <v/>
      </c>
      <c r="W27" s="74">
        <f>IF(AND($B27&lt;&gt;"",ISNUMBER($R27)),IF(AND($R27&lt;='設定'!$B$6+N('設定'!$B$14),IF(ISNUMBER($I27),$I27,N($H27))&gt;0),$R27+ROW()/100000,""),"")</f>
        <v/>
      </c>
    </row>
    <row r="28" ht="18" customHeight="1">
      <c r="A28" s="22" t="n">
        <v>24</v>
      </c>
      <c r="B28" s="23" t="n"/>
      <c r="C28" s="24" t="n"/>
      <c r="D28" s="24" t="n"/>
      <c r="E28" s="23" t="n"/>
      <c r="F28" s="23" t="n"/>
      <c r="G28" s="25" t="n"/>
      <c r="H28" s="25" t="n"/>
      <c r="I28" s="25" t="n"/>
      <c r="J28" s="72">
        <f>IF(OR($B28="",$H28=""),"",N($G28)*$H28)</f>
        <v/>
      </c>
      <c r="K28" s="72">
        <f>IF(OR($B28="",$I28=""),"",N($G28)*$I28)</f>
        <v/>
      </c>
      <c r="L28" s="27">
        <f>IF(OR($B28="",$H28="",$I28=""),"",$I28-$H28)</f>
        <v/>
      </c>
      <c r="M28" s="72">
        <f>IF($L28="","",$L28*N($G28))</f>
        <v/>
      </c>
      <c r="N28" s="73">
        <f>IF($L28="","",IF($H28&gt;0,ROUND($L28/$H28,4),"－"))</f>
        <v/>
      </c>
      <c r="O28" s="29">
        <f>IF($B28="","",IF($L28="","未入力",IF($L28=0,"一致",IF(OR(NOT(ISNUMBER($N28)),AND('設定'!$B$10&lt;&gt;"",ABS(N($N28))&gt;'設定'!$B$10),AND('設定'!$B$11&lt;&gt;"",ABS(ROUND($M28,4))&gt;'設定'!$B$11),AND('設定'!$B$10="",'設定'!$B$11="")),"要確認","許容内"))))</f>
        <v/>
      </c>
      <c r="P28" s="29">
        <f>IF($O28&lt;&gt;"要確認","",IF($Q28=0,"済",IF(COUNTIF('差異の原因'!$B$5:$B$204,$B28)=0,"未記録","一部")))</f>
        <v/>
      </c>
      <c r="Q28" s="27">
        <f>IF($L28="","",IF(AND($L28=0,COUNTIF('差異の原因'!$B$5:$B$204,$B28)=0),"",ROUND($L28-SUMIF('差異の原因'!$B$5:$B$204,$B28,'差異の原因'!$G$5:$G$204),6)))</f>
        <v/>
      </c>
      <c r="R28" s="30" t="n"/>
      <c r="S28" s="23" t="n"/>
      <c r="T28" s="29">
        <f>IF(OR($B28="",NOT(ISNUMBER($R28))),"",IF(IF(ISNUMBER($I28),$I28,N($H28))&lt;=0,"",IF($R28&lt;'設定'!$B$6,"期限切れ",IF($R28='設定'!$B$6,"当日",IF($R28-'設定'!$B$6&lt;=N('設定'!$B$14),"あと"&amp;($R28-'設定'!$B$6)&amp;"日","")))))</f>
        <v/>
      </c>
      <c r="U28" s="61" t="n"/>
      <c r="V28" s="31">
        <f>IF(AND($B28&lt;&gt;"",$E28&lt;&gt;"",$E28='数える用紙'!$C$2),ROW(),"")</f>
        <v/>
      </c>
      <c r="W28" s="74">
        <f>IF(AND($B28&lt;&gt;"",ISNUMBER($R28)),IF(AND($R28&lt;='設定'!$B$6+N('設定'!$B$14),IF(ISNUMBER($I28),$I28,N($H28))&gt;0),$R28+ROW()/100000,""),"")</f>
        <v/>
      </c>
    </row>
    <row r="29" ht="18" customHeight="1">
      <c r="A29" s="22" t="n">
        <v>25</v>
      </c>
      <c r="B29" s="23" t="n"/>
      <c r="C29" s="24" t="n"/>
      <c r="D29" s="24" t="n"/>
      <c r="E29" s="23" t="n"/>
      <c r="F29" s="23" t="n"/>
      <c r="G29" s="25" t="n"/>
      <c r="H29" s="25" t="n"/>
      <c r="I29" s="25" t="n"/>
      <c r="J29" s="72">
        <f>IF(OR($B29="",$H29=""),"",N($G29)*$H29)</f>
        <v/>
      </c>
      <c r="K29" s="72">
        <f>IF(OR($B29="",$I29=""),"",N($G29)*$I29)</f>
        <v/>
      </c>
      <c r="L29" s="27">
        <f>IF(OR($B29="",$H29="",$I29=""),"",$I29-$H29)</f>
        <v/>
      </c>
      <c r="M29" s="72">
        <f>IF($L29="","",$L29*N($G29))</f>
        <v/>
      </c>
      <c r="N29" s="73">
        <f>IF($L29="","",IF($H29&gt;0,ROUND($L29/$H29,4),"－"))</f>
        <v/>
      </c>
      <c r="O29" s="29">
        <f>IF($B29="","",IF($L29="","未入力",IF($L29=0,"一致",IF(OR(NOT(ISNUMBER($N29)),AND('設定'!$B$10&lt;&gt;"",ABS(N($N29))&gt;'設定'!$B$10),AND('設定'!$B$11&lt;&gt;"",ABS(ROUND($M29,4))&gt;'設定'!$B$11),AND('設定'!$B$10="",'設定'!$B$11="")),"要確認","許容内"))))</f>
        <v/>
      </c>
      <c r="P29" s="29">
        <f>IF($O29&lt;&gt;"要確認","",IF($Q29=0,"済",IF(COUNTIF('差異の原因'!$B$5:$B$204,$B29)=0,"未記録","一部")))</f>
        <v/>
      </c>
      <c r="Q29" s="27">
        <f>IF($L29="","",IF(AND($L29=0,COUNTIF('差異の原因'!$B$5:$B$204,$B29)=0),"",ROUND($L29-SUMIF('差異の原因'!$B$5:$B$204,$B29,'差異の原因'!$G$5:$G$204),6)))</f>
        <v/>
      </c>
      <c r="R29" s="30" t="n"/>
      <c r="S29" s="23" t="n"/>
      <c r="T29" s="29">
        <f>IF(OR($B29="",NOT(ISNUMBER($R29))),"",IF(IF(ISNUMBER($I29),$I29,N($H29))&lt;=0,"",IF($R29&lt;'設定'!$B$6,"期限切れ",IF($R29='設定'!$B$6,"当日",IF($R29-'設定'!$B$6&lt;=N('設定'!$B$14),"あと"&amp;($R29-'設定'!$B$6)&amp;"日","")))))</f>
        <v/>
      </c>
      <c r="U29" s="61" t="n"/>
      <c r="V29" s="31">
        <f>IF(AND($B29&lt;&gt;"",$E29&lt;&gt;"",$E29='数える用紙'!$C$2),ROW(),"")</f>
        <v/>
      </c>
      <c r="W29" s="74">
        <f>IF(AND($B29&lt;&gt;"",ISNUMBER($R29)),IF(AND($R29&lt;='設定'!$B$6+N('設定'!$B$14),IF(ISNUMBER($I29),$I29,N($H29))&gt;0),$R29+ROW()/100000,""),"")</f>
        <v/>
      </c>
    </row>
    <row r="30" ht="18" customHeight="1">
      <c r="A30" s="22" t="n">
        <v>26</v>
      </c>
      <c r="B30" s="23" t="n"/>
      <c r="C30" s="24" t="n"/>
      <c r="D30" s="24" t="n"/>
      <c r="E30" s="23" t="n"/>
      <c r="F30" s="23" t="n"/>
      <c r="G30" s="25" t="n"/>
      <c r="H30" s="25" t="n"/>
      <c r="I30" s="25" t="n"/>
      <c r="J30" s="72">
        <f>IF(OR($B30="",$H30=""),"",N($G30)*$H30)</f>
        <v/>
      </c>
      <c r="K30" s="72">
        <f>IF(OR($B30="",$I30=""),"",N($G30)*$I30)</f>
        <v/>
      </c>
      <c r="L30" s="27">
        <f>IF(OR($B30="",$H30="",$I30=""),"",$I30-$H30)</f>
        <v/>
      </c>
      <c r="M30" s="72">
        <f>IF($L30="","",$L30*N($G30))</f>
        <v/>
      </c>
      <c r="N30" s="73">
        <f>IF($L30="","",IF($H30&gt;0,ROUND($L30/$H30,4),"－"))</f>
        <v/>
      </c>
      <c r="O30" s="29">
        <f>IF($B30="","",IF($L30="","未入力",IF($L30=0,"一致",IF(OR(NOT(ISNUMBER($N30)),AND('設定'!$B$10&lt;&gt;"",ABS(N($N30))&gt;'設定'!$B$10),AND('設定'!$B$11&lt;&gt;"",ABS(ROUND($M30,4))&gt;'設定'!$B$11),AND('設定'!$B$10="",'設定'!$B$11="")),"要確認","許容内"))))</f>
        <v/>
      </c>
      <c r="P30" s="29">
        <f>IF($O30&lt;&gt;"要確認","",IF($Q30=0,"済",IF(COUNTIF('差異の原因'!$B$5:$B$204,$B30)=0,"未記録","一部")))</f>
        <v/>
      </c>
      <c r="Q30" s="27">
        <f>IF($L30="","",IF(AND($L30=0,COUNTIF('差異の原因'!$B$5:$B$204,$B30)=0),"",ROUND($L30-SUMIF('差異の原因'!$B$5:$B$204,$B30,'差異の原因'!$G$5:$G$204),6)))</f>
        <v/>
      </c>
      <c r="R30" s="30" t="n"/>
      <c r="S30" s="23" t="n"/>
      <c r="T30" s="29">
        <f>IF(OR($B30="",NOT(ISNUMBER($R30))),"",IF(IF(ISNUMBER($I30),$I30,N($H30))&lt;=0,"",IF($R30&lt;'設定'!$B$6,"期限切れ",IF($R30='設定'!$B$6,"当日",IF($R30-'設定'!$B$6&lt;=N('設定'!$B$14),"あと"&amp;($R30-'設定'!$B$6)&amp;"日","")))))</f>
        <v/>
      </c>
      <c r="U30" s="61" t="n"/>
      <c r="V30" s="31">
        <f>IF(AND($B30&lt;&gt;"",$E30&lt;&gt;"",$E30='数える用紙'!$C$2),ROW(),"")</f>
        <v/>
      </c>
      <c r="W30" s="74">
        <f>IF(AND($B30&lt;&gt;"",ISNUMBER($R30)),IF(AND($R30&lt;='設定'!$B$6+N('設定'!$B$14),IF(ISNUMBER($I30),$I30,N($H30))&gt;0),$R30+ROW()/100000,""),"")</f>
        <v/>
      </c>
    </row>
    <row r="31" ht="18" customHeight="1">
      <c r="A31" s="22" t="n">
        <v>27</v>
      </c>
      <c r="B31" s="23" t="n"/>
      <c r="C31" s="24" t="n"/>
      <c r="D31" s="24" t="n"/>
      <c r="E31" s="23" t="n"/>
      <c r="F31" s="23" t="n"/>
      <c r="G31" s="25" t="n"/>
      <c r="H31" s="25" t="n"/>
      <c r="I31" s="25" t="n"/>
      <c r="J31" s="72">
        <f>IF(OR($B31="",$H31=""),"",N($G31)*$H31)</f>
        <v/>
      </c>
      <c r="K31" s="72">
        <f>IF(OR($B31="",$I31=""),"",N($G31)*$I31)</f>
        <v/>
      </c>
      <c r="L31" s="27">
        <f>IF(OR($B31="",$H31="",$I31=""),"",$I31-$H31)</f>
        <v/>
      </c>
      <c r="M31" s="72">
        <f>IF($L31="","",$L31*N($G31))</f>
        <v/>
      </c>
      <c r="N31" s="73">
        <f>IF($L31="","",IF($H31&gt;0,ROUND($L31/$H31,4),"－"))</f>
        <v/>
      </c>
      <c r="O31" s="29">
        <f>IF($B31="","",IF($L31="","未入力",IF($L31=0,"一致",IF(OR(NOT(ISNUMBER($N31)),AND('設定'!$B$10&lt;&gt;"",ABS(N($N31))&gt;'設定'!$B$10),AND('設定'!$B$11&lt;&gt;"",ABS(ROUND($M31,4))&gt;'設定'!$B$11),AND('設定'!$B$10="",'設定'!$B$11="")),"要確認","許容内"))))</f>
        <v/>
      </c>
      <c r="P31" s="29">
        <f>IF($O31&lt;&gt;"要確認","",IF($Q31=0,"済",IF(COUNTIF('差異の原因'!$B$5:$B$204,$B31)=0,"未記録","一部")))</f>
        <v/>
      </c>
      <c r="Q31" s="27">
        <f>IF($L31="","",IF(AND($L31=0,COUNTIF('差異の原因'!$B$5:$B$204,$B31)=0),"",ROUND($L31-SUMIF('差異の原因'!$B$5:$B$204,$B31,'差異の原因'!$G$5:$G$204),6)))</f>
        <v/>
      </c>
      <c r="R31" s="30" t="n"/>
      <c r="S31" s="23" t="n"/>
      <c r="T31" s="29">
        <f>IF(OR($B31="",NOT(ISNUMBER($R31))),"",IF(IF(ISNUMBER($I31),$I31,N($H31))&lt;=0,"",IF($R31&lt;'設定'!$B$6,"期限切れ",IF($R31='設定'!$B$6,"当日",IF($R31-'設定'!$B$6&lt;=N('設定'!$B$14),"あと"&amp;($R31-'設定'!$B$6)&amp;"日","")))))</f>
        <v/>
      </c>
      <c r="U31" s="61" t="n"/>
      <c r="V31" s="31">
        <f>IF(AND($B31&lt;&gt;"",$E31&lt;&gt;"",$E31='数える用紙'!$C$2),ROW(),"")</f>
        <v/>
      </c>
      <c r="W31" s="74">
        <f>IF(AND($B31&lt;&gt;"",ISNUMBER($R31)),IF(AND($R31&lt;='設定'!$B$6+N('設定'!$B$14),IF(ISNUMBER($I31),$I31,N($H31))&gt;0),$R31+ROW()/100000,""),"")</f>
        <v/>
      </c>
    </row>
    <row r="32" ht="18" customHeight="1">
      <c r="A32" s="22" t="n">
        <v>28</v>
      </c>
      <c r="B32" s="23" t="n"/>
      <c r="C32" s="24" t="n"/>
      <c r="D32" s="24" t="n"/>
      <c r="E32" s="23" t="n"/>
      <c r="F32" s="23" t="n"/>
      <c r="G32" s="25" t="n"/>
      <c r="H32" s="25" t="n"/>
      <c r="I32" s="25" t="n"/>
      <c r="J32" s="72">
        <f>IF(OR($B32="",$H32=""),"",N($G32)*$H32)</f>
        <v/>
      </c>
      <c r="K32" s="72">
        <f>IF(OR($B32="",$I32=""),"",N($G32)*$I32)</f>
        <v/>
      </c>
      <c r="L32" s="27">
        <f>IF(OR($B32="",$H32="",$I32=""),"",$I32-$H32)</f>
        <v/>
      </c>
      <c r="M32" s="72">
        <f>IF($L32="","",$L32*N($G32))</f>
        <v/>
      </c>
      <c r="N32" s="73">
        <f>IF($L32="","",IF($H32&gt;0,ROUND($L32/$H32,4),"－"))</f>
        <v/>
      </c>
      <c r="O32" s="29">
        <f>IF($B32="","",IF($L32="","未入力",IF($L32=0,"一致",IF(OR(NOT(ISNUMBER($N32)),AND('設定'!$B$10&lt;&gt;"",ABS(N($N32))&gt;'設定'!$B$10),AND('設定'!$B$11&lt;&gt;"",ABS(ROUND($M32,4))&gt;'設定'!$B$11),AND('設定'!$B$10="",'設定'!$B$11="")),"要確認","許容内"))))</f>
        <v/>
      </c>
      <c r="P32" s="29">
        <f>IF($O32&lt;&gt;"要確認","",IF($Q32=0,"済",IF(COUNTIF('差異の原因'!$B$5:$B$204,$B32)=0,"未記録","一部")))</f>
        <v/>
      </c>
      <c r="Q32" s="27">
        <f>IF($L32="","",IF(AND($L32=0,COUNTIF('差異の原因'!$B$5:$B$204,$B32)=0),"",ROUND($L32-SUMIF('差異の原因'!$B$5:$B$204,$B32,'差異の原因'!$G$5:$G$204),6)))</f>
        <v/>
      </c>
      <c r="R32" s="30" t="n"/>
      <c r="S32" s="23" t="n"/>
      <c r="T32" s="29">
        <f>IF(OR($B32="",NOT(ISNUMBER($R32))),"",IF(IF(ISNUMBER($I32),$I32,N($H32))&lt;=0,"",IF($R32&lt;'設定'!$B$6,"期限切れ",IF($R32='設定'!$B$6,"当日",IF($R32-'設定'!$B$6&lt;=N('設定'!$B$14),"あと"&amp;($R32-'設定'!$B$6)&amp;"日","")))))</f>
        <v/>
      </c>
      <c r="U32" s="61" t="n"/>
      <c r="V32" s="31">
        <f>IF(AND($B32&lt;&gt;"",$E32&lt;&gt;"",$E32='数える用紙'!$C$2),ROW(),"")</f>
        <v/>
      </c>
      <c r="W32" s="74">
        <f>IF(AND($B32&lt;&gt;"",ISNUMBER($R32)),IF(AND($R32&lt;='設定'!$B$6+N('設定'!$B$14),IF(ISNUMBER($I32),$I32,N($H32))&gt;0),$R32+ROW()/100000,""),"")</f>
        <v/>
      </c>
    </row>
    <row r="33" ht="18" customHeight="1">
      <c r="A33" s="22" t="n">
        <v>29</v>
      </c>
      <c r="B33" s="23" t="n"/>
      <c r="C33" s="24" t="n"/>
      <c r="D33" s="24" t="n"/>
      <c r="E33" s="23" t="n"/>
      <c r="F33" s="23" t="n"/>
      <c r="G33" s="25" t="n"/>
      <c r="H33" s="25" t="n"/>
      <c r="I33" s="25" t="n"/>
      <c r="J33" s="72">
        <f>IF(OR($B33="",$H33=""),"",N($G33)*$H33)</f>
        <v/>
      </c>
      <c r="K33" s="72">
        <f>IF(OR($B33="",$I33=""),"",N($G33)*$I33)</f>
        <v/>
      </c>
      <c r="L33" s="27">
        <f>IF(OR($B33="",$H33="",$I33=""),"",$I33-$H33)</f>
        <v/>
      </c>
      <c r="M33" s="72">
        <f>IF($L33="","",$L33*N($G33))</f>
        <v/>
      </c>
      <c r="N33" s="73">
        <f>IF($L33="","",IF($H33&gt;0,ROUND($L33/$H33,4),"－"))</f>
        <v/>
      </c>
      <c r="O33" s="29">
        <f>IF($B33="","",IF($L33="","未入力",IF($L33=0,"一致",IF(OR(NOT(ISNUMBER($N33)),AND('設定'!$B$10&lt;&gt;"",ABS(N($N33))&gt;'設定'!$B$10),AND('設定'!$B$11&lt;&gt;"",ABS(ROUND($M33,4))&gt;'設定'!$B$11),AND('設定'!$B$10="",'設定'!$B$11="")),"要確認","許容内"))))</f>
        <v/>
      </c>
      <c r="P33" s="29">
        <f>IF($O33&lt;&gt;"要確認","",IF($Q33=0,"済",IF(COUNTIF('差異の原因'!$B$5:$B$204,$B33)=0,"未記録","一部")))</f>
        <v/>
      </c>
      <c r="Q33" s="27">
        <f>IF($L33="","",IF(AND($L33=0,COUNTIF('差異の原因'!$B$5:$B$204,$B33)=0),"",ROUND($L33-SUMIF('差異の原因'!$B$5:$B$204,$B33,'差異の原因'!$G$5:$G$204),6)))</f>
        <v/>
      </c>
      <c r="R33" s="30" t="n"/>
      <c r="S33" s="23" t="n"/>
      <c r="T33" s="29">
        <f>IF(OR($B33="",NOT(ISNUMBER($R33))),"",IF(IF(ISNUMBER($I33),$I33,N($H33))&lt;=0,"",IF($R33&lt;'設定'!$B$6,"期限切れ",IF($R33='設定'!$B$6,"当日",IF($R33-'設定'!$B$6&lt;=N('設定'!$B$14),"あと"&amp;($R33-'設定'!$B$6)&amp;"日","")))))</f>
        <v/>
      </c>
      <c r="U33" s="61" t="n"/>
      <c r="V33" s="31">
        <f>IF(AND($B33&lt;&gt;"",$E33&lt;&gt;"",$E33='数える用紙'!$C$2),ROW(),"")</f>
        <v/>
      </c>
      <c r="W33" s="74">
        <f>IF(AND($B33&lt;&gt;"",ISNUMBER($R33)),IF(AND($R33&lt;='設定'!$B$6+N('設定'!$B$14),IF(ISNUMBER($I33),$I33,N($H33))&gt;0),$R33+ROW()/100000,""),"")</f>
        <v/>
      </c>
    </row>
    <row r="34" ht="18" customHeight="1">
      <c r="A34" s="22" t="n">
        <v>30</v>
      </c>
      <c r="B34" s="23" t="n"/>
      <c r="C34" s="24" t="n"/>
      <c r="D34" s="24" t="n"/>
      <c r="E34" s="23" t="n"/>
      <c r="F34" s="23" t="n"/>
      <c r="G34" s="25" t="n"/>
      <c r="H34" s="25" t="n"/>
      <c r="I34" s="25" t="n"/>
      <c r="J34" s="72">
        <f>IF(OR($B34="",$H34=""),"",N($G34)*$H34)</f>
        <v/>
      </c>
      <c r="K34" s="72">
        <f>IF(OR($B34="",$I34=""),"",N($G34)*$I34)</f>
        <v/>
      </c>
      <c r="L34" s="27">
        <f>IF(OR($B34="",$H34="",$I34=""),"",$I34-$H34)</f>
        <v/>
      </c>
      <c r="M34" s="72">
        <f>IF($L34="","",$L34*N($G34))</f>
        <v/>
      </c>
      <c r="N34" s="73">
        <f>IF($L34="","",IF($H34&gt;0,ROUND($L34/$H34,4),"－"))</f>
        <v/>
      </c>
      <c r="O34" s="29">
        <f>IF($B34="","",IF($L34="","未入力",IF($L34=0,"一致",IF(OR(NOT(ISNUMBER($N34)),AND('設定'!$B$10&lt;&gt;"",ABS(N($N34))&gt;'設定'!$B$10),AND('設定'!$B$11&lt;&gt;"",ABS(ROUND($M34,4))&gt;'設定'!$B$11),AND('設定'!$B$10="",'設定'!$B$11="")),"要確認","許容内"))))</f>
        <v/>
      </c>
      <c r="P34" s="29">
        <f>IF($O34&lt;&gt;"要確認","",IF($Q34=0,"済",IF(COUNTIF('差異の原因'!$B$5:$B$204,$B34)=0,"未記録","一部")))</f>
        <v/>
      </c>
      <c r="Q34" s="27">
        <f>IF($L34="","",IF(AND($L34=0,COUNTIF('差異の原因'!$B$5:$B$204,$B34)=0),"",ROUND($L34-SUMIF('差異の原因'!$B$5:$B$204,$B34,'差異の原因'!$G$5:$G$204),6)))</f>
        <v/>
      </c>
      <c r="R34" s="30" t="n"/>
      <c r="S34" s="23" t="n"/>
      <c r="T34" s="29">
        <f>IF(OR($B34="",NOT(ISNUMBER($R34))),"",IF(IF(ISNUMBER($I34),$I34,N($H34))&lt;=0,"",IF($R34&lt;'設定'!$B$6,"期限切れ",IF($R34='設定'!$B$6,"当日",IF($R34-'設定'!$B$6&lt;=N('設定'!$B$14),"あと"&amp;($R34-'設定'!$B$6)&amp;"日","")))))</f>
        <v/>
      </c>
      <c r="U34" s="61" t="n"/>
      <c r="V34" s="31">
        <f>IF(AND($B34&lt;&gt;"",$E34&lt;&gt;"",$E34='数える用紙'!$C$2),ROW(),"")</f>
        <v/>
      </c>
      <c r="W34" s="74">
        <f>IF(AND($B34&lt;&gt;"",ISNUMBER($R34)),IF(AND($R34&lt;='設定'!$B$6+N('設定'!$B$14),IF(ISNUMBER($I34),$I34,N($H34))&gt;0),$R34+ROW()/100000,""),"")</f>
        <v/>
      </c>
    </row>
    <row r="35" ht="18" customHeight="1">
      <c r="A35" s="22" t="n">
        <v>31</v>
      </c>
      <c r="B35" s="23" t="n"/>
      <c r="C35" s="24" t="n"/>
      <c r="D35" s="24" t="n"/>
      <c r="E35" s="23" t="n"/>
      <c r="F35" s="23" t="n"/>
      <c r="G35" s="25" t="n"/>
      <c r="H35" s="25" t="n"/>
      <c r="I35" s="25" t="n"/>
      <c r="J35" s="72">
        <f>IF(OR($B35="",$H35=""),"",N($G35)*$H35)</f>
        <v/>
      </c>
      <c r="K35" s="72">
        <f>IF(OR($B35="",$I35=""),"",N($G35)*$I35)</f>
        <v/>
      </c>
      <c r="L35" s="27">
        <f>IF(OR($B35="",$H35="",$I35=""),"",$I35-$H35)</f>
        <v/>
      </c>
      <c r="M35" s="72">
        <f>IF($L35="","",$L35*N($G35))</f>
        <v/>
      </c>
      <c r="N35" s="73">
        <f>IF($L35="","",IF($H35&gt;0,ROUND($L35/$H35,4),"－"))</f>
        <v/>
      </c>
      <c r="O35" s="29">
        <f>IF($B35="","",IF($L35="","未入力",IF($L35=0,"一致",IF(OR(NOT(ISNUMBER($N35)),AND('設定'!$B$10&lt;&gt;"",ABS(N($N35))&gt;'設定'!$B$10),AND('設定'!$B$11&lt;&gt;"",ABS(ROUND($M35,4))&gt;'設定'!$B$11),AND('設定'!$B$10="",'設定'!$B$11="")),"要確認","許容内"))))</f>
        <v/>
      </c>
      <c r="P35" s="29">
        <f>IF($O35&lt;&gt;"要確認","",IF($Q35=0,"済",IF(COUNTIF('差異の原因'!$B$5:$B$204,$B35)=0,"未記録","一部")))</f>
        <v/>
      </c>
      <c r="Q35" s="27">
        <f>IF($L35="","",IF(AND($L35=0,COUNTIF('差異の原因'!$B$5:$B$204,$B35)=0),"",ROUND($L35-SUMIF('差異の原因'!$B$5:$B$204,$B35,'差異の原因'!$G$5:$G$204),6)))</f>
        <v/>
      </c>
      <c r="R35" s="30" t="n"/>
      <c r="S35" s="23" t="n"/>
      <c r="T35" s="29">
        <f>IF(OR($B35="",NOT(ISNUMBER($R35))),"",IF(IF(ISNUMBER($I35),$I35,N($H35))&lt;=0,"",IF($R35&lt;'設定'!$B$6,"期限切れ",IF($R35='設定'!$B$6,"当日",IF($R35-'設定'!$B$6&lt;=N('設定'!$B$14),"あと"&amp;($R35-'設定'!$B$6)&amp;"日","")))))</f>
        <v/>
      </c>
      <c r="U35" s="61" t="n"/>
      <c r="V35" s="31">
        <f>IF(AND($B35&lt;&gt;"",$E35&lt;&gt;"",$E35='数える用紙'!$C$2),ROW(),"")</f>
        <v/>
      </c>
      <c r="W35" s="74">
        <f>IF(AND($B35&lt;&gt;"",ISNUMBER($R35)),IF(AND($R35&lt;='設定'!$B$6+N('設定'!$B$14),IF(ISNUMBER($I35),$I35,N($H35))&gt;0),$R35+ROW()/100000,""),"")</f>
        <v/>
      </c>
    </row>
    <row r="36" ht="18" customHeight="1">
      <c r="A36" s="22" t="n">
        <v>32</v>
      </c>
      <c r="B36" s="23" t="n"/>
      <c r="C36" s="24" t="n"/>
      <c r="D36" s="24" t="n"/>
      <c r="E36" s="23" t="n"/>
      <c r="F36" s="23" t="n"/>
      <c r="G36" s="25" t="n"/>
      <c r="H36" s="25" t="n"/>
      <c r="I36" s="25" t="n"/>
      <c r="J36" s="72">
        <f>IF(OR($B36="",$H36=""),"",N($G36)*$H36)</f>
        <v/>
      </c>
      <c r="K36" s="72">
        <f>IF(OR($B36="",$I36=""),"",N($G36)*$I36)</f>
        <v/>
      </c>
      <c r="L36" s="27">
        <f>IF(OR($B36="",$H36="",$I36=""),"",$I36-$H36)</f>
        <v/>
      </c>
      <c r="M36" s="72">
        <f>IF($L36="","",$L36*N($G36))</f>
        <v/>
      </c>
      <c r="N36" s="73">
        <f>IF($L36="","",IF($H36&gt;0,ROUND($L36/$H36,4),"－"))</f>
        <v/>
      </c>
      <c r="O36" s="29">
        <f>IF($B36="","",IF($L36="","未入力",IF($L36=0,"一致",IF(OR(NOT(ISNUMBER($N36)),AND('設定'!$B$10&lt;&gt;"",ABS(N($N36))&gt;'設定'!$B$10),AND('設定'!$B$11&lt;&gt;"",ABS(ROUND($M36,4))&gt;'設定'!$B$11),AND('設定'!$B$10="",'設定'!$B$11="")),"要確認","許容内"))))</f>
        <v/>
      </c>
      <c r="P36" s="29">
        <f>IF($O36&lt;&gt;"要確認","",IF($Q36=0,"済",IF(COUNTIF('差異の原因'!$B$5:$B$204,$B36)=0,"未記録","一部")))</f>
        <v/>
      </c>
      <c r="Q36" s="27">
        <f>IF($L36="","",IF(AND($L36=0,COUNTIF('差異の原因'!$B$5:$B$204,$B36)=0),"",ROUND($L36-SUMIF('差異の原因'!$B$5:$B$204,$B36,'差異の原因'!$G$5:$G$204),6)))</f>
        <v/>
      </c>
      <c r="R36" s="30" t="n"/>
      <c r="S36" s="23" t="n"/>
      <c r="T36" s="29">
        <f>IF(OR($B36="",NOT(ISNUMBER($R36))),"",IF(IF(ISNUMBER($I36),$I36,N($H36))&lt;=0,"",IF($R36&lt;'設定'!$B$6,"期限切れ",IF($R36='設定'!$B$6,"当日",IF($R36-'設定'!$B$6&lt;=N('設定'!$B$14),"あと"&amp;($R36-'設定'!$B$6)&amp;"日","")))))</f>
        <v/>
      </c>
      <c r="U36" s="61" t="n"/>
      <c r="V36" s="31">
        <f>IF(AND($B36&lt;&gt;"",$E36&lt;&gt;"",$E36='数える用紙'!$C$2),ROW(),"")</f>
        <v/>
      </c>
      <c r="W36" s="74">
        <f>IF(AND($B36&lt;&gt;"",ISNUMBER($R36)),IF(AND($R36&lt;='設定'!$B$6+N('設定'!$B$14),IF(ISNUMBER($I36),$I36,N($H36))&gt;0),$R36+ROW()/100000,""),"")</f>
        <v/>
      </c>
    </row>
    <row r="37" ht="18" customHeight="1">
      <c r="A37" s="22" t="n">
        <v>33</v>
      </c>
      <c r="B37" s="23" t="n"/>
      <c r="C37" s="24" t="n"/>
      <c r="D37" s="24" t="n"/>
      <c r="E37" s="23" t="n"/>
      <c r="F37" s="23" t="n"/>
      <c r="G37" s="25" t="n"/>
      <c r="H37" s="25" t="n"/>
      <c r="I37" s="25" t="n"/>
      <c r="J37" s="72">
        <f>IF(OR($B37="",$H37=""),"",N($G37)*$H37)</f>
        <v/>
      </c>
      <c r="K37" s="72">
        <f>IF(OR($B37="",$I37=""),"",N($G37)*$I37)</f>
        <v/>
      </c>
      <c r="L37" s="27">
        <f>IF(OR($B37="",$H37="",$I37=""),"",$I37-$H37)</f>
        <v/>
      </c>
      <c r="M37" s="72">
        <f>IF($L37="","",$L37*N($G37))</f>
        <v/>
      </c>
      <c r="N37" s="73">
        <f>IF($L37="","",IF($H37&gt;0,ROUND($L37/$H37,4),"－"))</f>
        <v/>
      </c>
      <c r="O37" s="29">
        <f>IF($B37="","",IF($L37="","未入力",IF($L37=0,"一致",IF(OR(NOT(ISNUMBER($N37)),AND('設定'!$B$10&lt;&gt;"",ABS(N($N37))&gt;'設定'!$B$10),AND('設定'!$B$11&lt;&gt;"",ABS(ROUND($M37,4))&gt;'設定'!$B$11),AND('設定'!$B$10="",'設定'!$B$11="")),"要確認","許容内"))))</f>
        <v/>
      </c>
      <c r="P37" s="29">
        <f>IF($O37&lt;&gt;"要確認","",IF($Q37=0,"済",IF(COUNTIF('差異の原因'!$B$5:$B$204,$B37)=0,"未記録","一部")))</f>
        <v/>
      </c>
      <c r="Q37" s="27">
        <f>IF($L37="","",IF(AND($L37=0,COUNTIF('差異の原因'!$B$5:$B$204,$B37)=0),"",ROUND($L37-SUMIF('差異の原因'!$B$5:$B$204,$B37,'差異の原因'!$G$5:$G$204),6)))</f>
        <v/>
      </c>
      <c r="R37" s="30" t="n"/>
      <c r="S37" s="23" t="n"/>
      <c r="T37" s="29">
        <f>IF(OR($B37="",NOT(ISNUMBER($R37))),"",IF(IF(ISNUMBER($I37),$I37,N($H37))&lt;=0,"",IF($R37&lt;'設定'!$B$6,"期限切れ",IF($R37='設定'!$B$6,"当日",IF($R37-'設定'!$B$6&lt;=N('設定'!$B$14),"あと"&amp;($R37-'設定'!$B$6)&amp;"日","")))))</f>
        <v/>
      </c>
      <c r="U37" s="61" t="n"/>
      <c r="V37" s="31">
        <f>IF(AND($B37&lt;&gt;"",$E37&lt;&gt;"",$E37='数える用紙'!$C$2),ROW(),"")</f>
        <v/>
      </c>
      <c r="W37" s="74">
        <f>IF(AND($B37&lt;&gt;"",ISNUMBER($R37)),IF(AND($R37&lt;='設定'!$B$6+N('設定'!$B$14),IF(ISNUMBER($I37),$I37,N($H37))&gt;0),$R37+ROW()/100000,""),"")</f>
        <v/>
      </c>
    </row>
    <row r="38" ht="18" customHeight="1">
      <c r="A38" s="22" t="n">
        <v>34</v>
      </c>
      <c r="B38" s="23" t="n"/>
      <c r="C38" s="24" t="n"/>
      <c r="D38" s="24" t="n"/>
      <c r="E38" s="23" t="n"/>
      <c r="F38" s="23" t="n"/>
      <c r="G38" s="25" t="n"/>
      <c r="H38" s="25" t="n"/>
      <c r="I38" s="25" t="n"/>
      <c r="J38" s="72">
        <f>IF(OR($B38="",$H38=""),"",N($G38)*$H38)</f>
        <v/>
      </c>
      <c r="K38" s="72">
        <f>IF(OR($B38="",$I38=""),"",N($G38)*$I38)</f>
        <v/>
      </c>
      <c r="L38" s="27">
        <f>IF(OR($B38="",$H38="",$I38=""),"",$I38-$H38)</f>
        <v/>
      </c>
      <c r="M38" s="72">
        <f>IF($L38="","",$L38*N($G38))</f>
        <v/>
      </c>
      <c r="N38" s="73">
        <f>IF($L38="","",IF($H38&gt;0,ROUND($L38/$H38,4),"－"))</f>
        <v/>
      </c>
      <c r="O38" s="29">
        <f>IF($B38="","",IF($L38="","未入力",IF($L38=0,"一致",IF(OR(NOT(ISNUMBER($N38)),AND('設定'!$B$10&lt;&gt;"",ABS(N($N38))&gt;'設定'!$B$10),AND('設定'!$B$11&lt;&gt;"",ABS(ROUND($M38,4))&gt;'設定'!$B$11),AND('設定'!$B$10="",'設定'!$B$11="")),"要確認","許容内"))))</f>
        <v/>
      </c>
      <c r="P38" s="29">
        <f>IF($O38&lt;&gt;"要確認","",IF($Q38=0,"済",IF(COUNTIF('差異の原因'!$B$5:$B$204,$B38)=0,"未記録","一部")))</f>
        <v/>
      </c>
      <c r="Q38" s="27">
        <f>IF($L38="","",IF(AND($L38=0,COUNTIF('差異の原因'!$B$5:$B$204,$B38)=0),"",ROUND($L38-SUMIF('差異の原因'!$B$5:$B$204,$B38,'差異の原因'!$G$5:$G$204),6)))</f>
        <v/>
      </c>
      <c r="R38" s="30" t="n"/>
      <c r="S38" s="23" t="n"/>
      <c r="T38" s="29">
        <f>IF(OR($B38="",NOT(ISNUMBER($R38))),"",IF(IF(ISNUMBER($I38),$I38,N($H38))&lt;=0,"",IF($R38&lt;'設定'!$B$6,"期限切れ",IF($R38='設定'!$B$6,"当日",IF($R38-'設定'!$B$6&lt;=N('設定'!$B$14),"あと"&amp;($R38-'設定'!$B$6)&amp;"日","")))))</f>
        <v/>
      </c>
      <c r="U38" s="61" t="n"/>
      <c r="V38" s="31">
        <f>IF(AND($B38&lt;&gt;"",$E38&lt;&gt;"",$E38='数える用紙'!$C$2),ROW(),"")</f>
        <v/>
      </c>
      <c r="W38" s="74">
        <f>IF(AND($B38&lt;&gt;"",ISNUMBER($R38)),IF(AND($R38&lt;='設定'!$B$6+N('設定'!$B$14),IF(ISNUMBER($I38),$I38,N($H38))&gt;0),$R38+ROW()/100000,""),"")</f>
        <v/>
      </c>
    </row>
    <row r="39" ht="18" customHeight="1">
      <c r="A39" s="22" t="n">
        <v>35</v>
      </c>
      <c r="B39" s="23" t="n"/>
      <c r="C39" s="24" t="n"/>
      <c r="D39" s="24" t="n"/>
      <c r="E39" s="23" t="n"/>
      <c r="F39" s="23" t="n"/>
      <c r="G39" s="25" t="n"/>
      <c r="H39" s="25" t="n"/>
      <c r="I39" s="25" t="n"/>
      <c r="J39" s="72">
        <f>IF(OR($B39="",$H39=""),"",N($G39)*$H39)</f>
        <v/>
      </c>
      <c r="K39" s="72">
        <f>IF(OR($B39="",$I39=""),"",N($G39)*$I39)</f>
        <v/>
      </c>
      <c r="L39" s="27">
        <f>IF(OR($B39="",$H39="",$I39=""),"",$I39-$H39)</f>
        <v/>
      </c>
      <c r="M39" s="72">
        <f>IF($L39="","",$L39*N($G39))</f>
        <v/>
      </c>
      <c r="N39" s="73">
        <f>IF($L39="","",IF($H39&gt;0,ROUND($L39/$H39,4),"－"))</f>
        <v/>
      </c>
      <c r="O39" s="29">
        <f>IF($B39="","",IF($L39="","未入力",IF($L39=0,"一致",IF(OR(NOT(ISNUMBER($N39)),AND('設定'!$B$10&lt;&gt;"",ABS(N($N39))&gt;'設定'!$B$10),AND('設定'!$B$11&lt;&gt;"",ABS(ROUND($M39,4))&gt;'設定'!$B$11),AND('設定'!$B$10="",'設定'!$B$11="")),"要確認","許容内"))))</f>
        <v/>
      </c>
      <c r="P39" s="29">
        <f>IF($O39&lt;&gt;"要確認","",IF($Q39=0,"済",IF(COUNTIF('差異の原因'!$B$5:$B$204,$B39)=0,"未記録","一部")))</f>
        <v/>
      </c>
      <c r="Q39" s="27">
        <f>IF($L39="","",IF(AND($L39=0,COUNTIF('差異の原因'!$B$5:$B$204,$B39)=0),"",ROUND($L39-SUMIF('差異の原因'!$B$5:$B$204,$B39,'差異の原因'!$G$5:$G$204),6)))</f>
        <v/>
      </c>
      <c r="R39" s="30" t="n"/>
      <c r="S39" s="23" t="n"/>
      <c r="T39" s="29">
        <f>IF(OR($B39="",NOT(ISNUMBER($R39))),"",IF(IF(ISNUMBER($I39),$I39,N($H39))&lt;=0,"",IF($R39&lt;'設定'!$B$6,"期限切れ",IF($R39='設定'!$B$6,"当日",IF($R39-'設定'!$B$6&lt;=N('設定'!$B$14),"あと"&amp;($R39-'設定'!$B$6)&amp;"日","")))))</f>
        <v/>
      </c>
      <c r="U39" s="61" t="n"/>
      <c r="V39" s="31">
        <f>IF(AND($B39&lt;&gt;"",$E39&lt;&gt;"",$E39='数える用紙'!$C$2),ROW(),"")</f>
        <v/>
      </c>
      <c r="W39" s="74">
        <f>IF(AND($B39&lt;&gt;"",ISNUMBER($R39)),IF(AND($R39&lt;='設定'!$B$6+N('設定'!$B$14),IF(ISNUMBER($I39),$I39,N($H39))&gt;0),$R39+ROW()/100000,""),"")</f>
        <v/>
      </c>
    </row>
    <row r="40" ht="18" customHeight="1">
      <c r="A40" s="22" t="n">
        <v>36</v>
      </c>
      <c r="B40" s="23" t="n"/>
      <c r="C40" s="24" t="n"/>
      <c r="D40" s="24" t="n"/>
      <c r="E40" s="23" t="n"/>
      <c r="F40" s="23" t="n"/>
      <c r="G40" s="25" t="n"/>
      <c r="H40" s="25" t="n"/>
      <c r="I40" s="25" t="n"/>
      <c r="J40" s="72">
        <f>IF(OR($B40="",$H40=""),"",N($G40)*$H40)</f>
        <v/>
      </c>
      <c r="K40" s="72">
        <f>IF(OR($B40="",$I40=""),"",N($G40)*$I40)</f>
        <v/>
      </c>
      <c r="L40" s="27">
        <f>IF(OR($B40="",$H40="",$I40=""),"",$I40-$H40)</f>
        <v/>
      </c>
      <c r="M40" s="72">
        <f>IF($L40="","",$L40*N($G40))</f>
        <v/>
      </c>
      <c r="N40" s="73">
        <f>IF($L40="","",IF($H40&gt;0,ROUND($L40/$H40,4),"－"))</f>
        <v/>
      </c>
      <c r="O40" s="29">
        <f>IF($B40="","",IF($L40="","未入力",IF($L40=0,"一致",IF(OR(NOT(ISNUMBER($N40)),AND('設定'!$B$10&lt;&gt;"",ABS(N($N40))&gt;'設定'!$B$10),AND('設定'!$B$11&lt;&gt;"",ABS(ROUND($M40,4))&gt;'設定'!$B$11),AND('設定'!$B$10="",'設定'!$B$11="")),"要確認","許容内"))))</f>
        <v/>
      </c>
      <c r="P40" s="29">
        <f>IF($O40&lt;&gt;"要確認","",IF($Q40=0,"済",IF(COUNTIF('差異の原因'!$B$5:$B$204,$B40)=0,"未記録","一部")))</f>
        <v/>
      </c>
      <c r="Q40" s="27">
        <f>IF($L40="","",IF(AND($L40=0,COUNTIF('差異の原因'!$B$5:$B$204,$B40)=0),"",ROUND($L40-SUMIF('差異の原因'!$B$5:$B$204,$B40,'差異の原因'!$G$5:$G$204),6)))</f>
        <v/>
      </c>
      <c r="R40" s="30" t="n"/>
      <c r="S40" s="23" t="n"/>
      <c r="T40" s="29">
        <f>IF(OR($B40="",NOT(ISNUMBER($R40))),"",IF(IF(ISNUMBER($I40),$I40,N($H40))&lt;=0,"",IF($R40&lt;'設定'!$B$6,"期限切れ",IF($R40='設定'!$B$6,"当日",IF($R40-'設定'!$B$6&lt;=N('設定'!$B$14),"あと"&amp;($R40-'設定'!$B$6)&amp;"日","")))))</f>
        <v/>
      </c>
      <c r="U40" s="61" t="n"/>
      <c r="V40" s="31">
        <f>IF(AND($B40&lt;&gt;"",$E40&lt;&gt;"",$E40='数える用紙'!$C$2),ROW(),"")</f>
        <v/>
      </c>
      <c r="W40" s="74">
        <f>IF(AND($B40&lt;&gt;"",ISNUMBER($R40)),IF(AND($R40&lt;='設定'!$B$6+N('設定'!$B$14),IF(ISNUMBER($I40),$I40,N($H40))&gt;0),$R40+ROW()/100000,""),"")</f>
        <v/>
      </c>
    </row>
    <row r="41" ht="18" customHeight="1">
      <c r="A41" s="22" t="n">
        <v>37</v>
      </c>
      <c r="B41" s="23" t="n"/>
      <c r="C41" s="24" t="n"/>
      <c r="D41" s="24" t="n"/>
      <c r="E41" s="23" t="n"/>
      <c r="F41" s="23" t="n"/>
      <c r="G41" s="25" t="n"/>
      <c r="H41" s="25" t="n"/>
      <c r="I41" s="25" t="n"/>
      <c r="J41" s="72">
        <f>IF(OR($B41="",$H41=""),"",N($G41)*$H41)</f>
        <v/>
      </c>
      <c r="K41" s="72">
        <f>IF(OR($B41="",$I41=""),"",N($G41)*$I41)</f>
        <v/>
      </c>
      <c r="L41" s="27">
        <f>IF(OR($B41="",$H41="",$I41=""),"",$I41-$H41)</f>
        <v/>
      </c>
      <c r="M41" s="72">
        <f>IF($L41="","",$L41*N($G41))</f>
        <v/>
      </c>
      <c r="N41" s="73">
        <f>IF($L41="","",IF($H41&gt;0,ROUND($L41/$H41,4),"－"))</f>
        <v/>
      </c>
      <c r="O41" s="29">
        <f>IF($B41="","",IF($L41="","未入力",IF($L41=0,"一致",IF(OR(NOT(ISNUMBER($N41)),AND('設定'!$B$10&lt;&gt;"",ABS(N($N41))&gt;'設定'!$B$10),AND('設定'!$B$11&lt;&gt;"",ABS(ROUND($M41,4))&gt;'設定'!$B$11),AND('設定'!$B$10="",'設定'!$B$11="")),"要確認","許容内"))))</f>
        <v/>
      </c>
      <c r="P41" s="29">
        <f>IF($O41&lt;&gt;"要確認","",IF($Q41=0,"済",IF(COUNTIF('差異の原因'!$B$5:$B$204,$B41)=0,"未記録","一部")))</f>
        <v/>
      </c>
      <c r="Q41" s="27">
        <f>IF($L41="","",IF(AND($L41=0,COUNTIF('差異の原因'!$B$5:$B$204,$B41)=0),"",ROUND($L41-SUMIF('差異の原因'!$B$5:$B$204,$B41,'差異の原因'!$G$5:$G$204),6)))</f>
        <v/>
      </c>
      <c r="R41" s="30" t="n"/>
      <c r="S41" s="23" t="n"/>
      <c r="T41" s="29">
        <f>IF(OR($B41="",NOT(ISNUMBER($R41))),"",IF(IF(ISNUMBER($I41),$I41,N($H41))&lt;=0,"",IF($R41&lt;'設定'!$B$6,"期限切れ",IF($R41='設定'!$B$6,"当日",IF($R41-'設定'!$B$6&lt;=N('設定'!$B$14),"あと"&amp;($R41-'設定'!$B$6)&amp;"日","")))))</f>
        <v/>
      </c>
      <c r="U41" s="61" t="n"/>
      <c r="V41" s="31">
        <f>IF(AND($B41&lt;&gt;"",$E41&lt;&gt;"",$E41='数える用紙'!$C$2),ROW(),"")</f>
        <v/>
      </c>
      <c r="W41" s="74">
        <f>IF(AND($B41&lt;&gt;"",ISNUMBER($R41)),IF(AND($R41&lt;='設定'!$B$6+N('設定'!$B$14),IF(ISNUMBER($I41),$I41,N($H41))&gt;0),$R41+ROW()/100000,""),"")</f>
        <v/>
      </c>
    </row>
    <row r="42" ht="18" customHeight="1">
      <c r="A42" s="22" t="n">
        <v>38</v>
      </c>
      <c r="B42" s="23" t="n"/>
      <c r="C42" s="24" t="n"/>
      <c r="D42" s="24" t="n"/>
      <c r="E42" s="23" t="n"/>
      <c r="F42" s="23" t="n"/>
      <c r="G42" s="25" t="n"/>
      <c r="H42" s="25" t="n"/>
      <c r="I42" s="25" t="n"/>
      <c r="J42" s="72">
        <f>IF(OR($B42="",$H42=""),"",N($G42)*$H42)</f>
        <v/>
      </c>
      <c r="K42" s="72">
        <f>IF(OR($B42="",$I42=""),"",N($G42)*$I42)</f>
        <v/>
      </c>
      <c r="L42" s="27">
        <f>IF(OR($B42="",$H42="",$I42=""),"",$I42-$H42)</f>
        <v/>
      </c>
      <c r="M42" s="72">
        <f>IF($L42="","",$L42*N($G42))</f>
        <v/>
      </c>
      <c r="N42" s="73">
        <f>IF($L42="","",IF($H42&gt;0,ROUND($L42/$H42,4),"－"))</f>
        <v/>
      </c>
      <c r="O42" s="29">
        <f>IF($B42="","",IF($L42="","未入力",IF($L42=0,"一致",IF(OR(NOT(ISNUMBER($N42)),AND('設定'!$B$10&lt;&gt;"",ABS(N($N42))&gt;'設定'!$B$10),AND('設定'!$B$11&lt;&gt;"",ABS(ROUND($M42,4))&gt;'設定'!$B$11),AND('設定'!$B$10="",'設定'!$B$11="")),"要確認","許容内"))))</f>
        <v/>
      </c>
      <c r="P42" s="29">
        <f>IF($O42&lt;&gt;"要確認","",IF($Q42=0,"済",IF(COUNTIF('差異の原因'!$B$5:$B$204,$B42)=0,"未記録","一部")))</f>
        <v/>
      </c>
      <c r="Q42" s="27">
        <f>IF($L42="","",IF(AND($L42=0,COUNTIF('差異の原因'!$B$5:$B$204,$B42)=0),"",ROUND($L42-SUMIF('差異の原因'!$B$5:$B$204,$B42,'差異の原因'!$G$5:$G$204),6)))</f>
        <v/>
      </c>
      <c r="R42" s="30" t="n"/>
      <c r="S42" s="23" t="n"/>
      <c r="T42" s="29">
        <f>IF(OR($B42="",NOT(ISNUMBER($R42))),"",IF(IF(ISNUMBER($I42),$I42,N($H42))&lt;=0,"",IF($R42&lt;'設定'!$B$6,"期限切れ",IF($R42='設定'!$B$6,"当日",IF($R42-'設定'!$B$6&lt;=N('設定'!$B$14),"あと"&amp;($R42-'設定'!$B$6)&amp;"日","")))))</f>
        <v/>
      </c>
      <c r="U42" s="61" t="n"/>
      <c r="V42" s="31">
        <f>IF(AND($B42&lt;&gt;"",$E42&lt;&gt;"",$E42='数える用紙'!$C$2),ROW(),"")</f>
        <v/>
      </c>
      <c r="W42" s="74">
        <f>IF(AND($B42&lt;&gt;"",ISNUMBER($R42)),IF(AND($R42&lt;='設定'!$B$6+N('設定'!$B$14),IF(ISNUMBER($I42),$I42,N($H42))&gt;0),$R42+ROW()/100000,""),"")</f>
        <v/>
      </c>
    </row>
    <row r="43" ht="18" customHeight="1">
      <c r="A43" s="22" t="n">
        <v>39</v>
      </c>
      <c r="B43" s="23" t="n"/>
      <c r="C43" s="24" t="n"/>
      <c r="D43" s="24" t="n"/>
      <c r="E43" s="23" t="n"/>
      <c r="F43" s="23" t="n"/>
      <c r="G43" s="25" t="n"/>
      <c r="H43" s="25" t="n"/>
      <c r="I43" s="25" t="n"/>
      <c r="J43" s="72">
        <f>IF(OR($B43="",$H43=""),"",N($G43)*$H43)</f>
        <v/>
      </c>
      <c r="K43" s="72">
        <f>IF(OR($B43="",$I43=""),"",N($G43)*$I43)</f>
        <v/>
      </c>
      <c r="L43" s="27">
        <f>IF(OR($B43="",$H43="",$I43=""),"",$I43-$H43)</f>
        <v/>
      </c>
      <c r="M43" s="72">
        <f>IF($L43="","",$L43*N($G43))</f>
        <v/>
      </c>
      <c r="N43" s="73">
        <f>IF($L43="","",IF($H43&gt;0,ROUND($L43/$H43,4),"－"))</f>
        <v/>
      </c>
      <c r="O43" s="29">
        <f>IF($B43="","",IF($L43="","未入力",IF($L43=0,"一致",IF(OR(NOT(ISNUMBER($N43)),AND('設定'!$B$10&lt;&gt;"",ABS(N($N43))&gt;'設定'!$B$10),AND('設定'!$B$11&lt;&gt;"",ABS(ROUND($M43,4))&gt;'設定'!$B$11),AND('設定'!$B$10="",'設定'!$B$11="")),"要確認","許容内"))))</f>
        <v/>
      </c>
      <c r="P43" s="29">
        <f>IF($O43&lt;&gt;"要確認","",IF($Q43=0,"済",IF(COUNTIF('差異の原因'!$B$5:$B$204,$B43)=0,"未記録","一部")))</f>
        <v/>
      </c>
      <c r="Q43" s="27">
        <f>IF($L43="","",IF(AND($L43=0,COUNTIF('差異の原因'!$B$5:$B$204,$B43)=0),"",ROUND($L43-SUMIF('差異の原因'!$B$5:$B$204,$B43,'差異の原因'!$G$5:$G$204),6)))</f>
        <v/>
      </c>
      <c r="R43" s="30" t="n"/>
      <c r="S43" s="23" t="n"/>
      <c r="T43" s="29">
        <f>IF(OR($B43="",NOT(ISNUMBER($R43))),"",IF(IF(ISNUMBER($I43),$I43,N($H43))&lt;=0,"",IF($R43&lt;'設定'!$B$6,"期限切れ",IF($R43='設定'!$B$6,"当日",IF($R43-'設定'!$B$6&lt;=N('設定'!$B$14),"あと"&amp;($R43-'設定'!$B$6)&amp;"日","")))))</f>
        <v/>
      </c>
      <c r="U43" s="61" t="n"/>
      <c r="V43" s="31">
        <f>IF(AND($B43&lt;&gt;"",$E43&lt;&gt;"",$E43='数える用紙'!$C$2),ROW(),"")</f>
        <v/>
      </c>
      <c r="W43" s="74">
        <f>IF(AND($B43&lt;&gt;"",ISNUMBER($R43)),IF(AND($R43&lt;='設定'!$B$6+N('設定'!$B$14),IF(ISNUMBER($I43),$I43,N($H43))&gt;0),$R43+ROW()/100000,""),"")</f>
        <v/>
      </c>
    </row>
    <row r="44" ht="18" customHeight="1">
      <c r="A44" s="22" t="n">
        <v>40</v>
      </c>
      <c r="B44" s="23" t="n"/>
      <c r="C44" s="24" t="n"/>
      <c r="D44" s="24" t="n"/>
      <c r="E44" s="23" t="n"/>
      <c r="F44" s="23" t="n"/>
      <c r="G44" s="25" t="n"/>
      <c r="H44" s="25" t="n"/>
      <c r="I44" s="25" t="n"/>
      <c r="J44" s="72">
        <f>IF(OR($B44="",$H44=""),"",N($G44)*$H44)</f>
        <v/>
      </c>
      <c r="K44" s="72">
        <f>IF(OR($B44="",$I44=""),"",N($G44)*$I44)</f>
        <v/>
      </c>
      <c r="L44" s="27">
        <f>IF(OR($B44="",$H44="",$I44=""),"",$I44-$H44)</f>
        <v/>
      </c>
      <c r="M44" s="72">
        <f>IF($L44="","",$L44*N($G44))</f>
        <v/>
      </c>
      <c r="N44" s="73">
        <f>IF($L44="","",IF($H44&gt;0,ROUND($L44/$H44,4),"－"))</f>
        <v/>
      </c>
      <c r="O44" s="29">
        <f>IF($B44="","",IF($L44="","未入力",IF($L44=0,"一致",IF(OR(NOT(ISNUMBER($N44)),AND('設定'!$B$10&lt;&gt;"",ABS(N($N44))&gt;'設定'!$B$10),AND('設定'!$B$11&lt;&gt;"",ABS(ROUND($M44,4))&gt;'設定'!$B$11),AND('設定'!$B$10="",'設定'!$B$11="")),"要確認","許容内"))))</f>
        <v/>
      </c>
      <c r="P44" s="29">
        <f>IF($O44&lt;&gt;"要確認","",IF($Q44=0,"済",IF(COUNTIF('差異の原因'!$B$5:$B$204,$B44)=0,"未記録","一部")))</f>
        <v/>
      </c>
      <c r="Q44" s="27">
        <f>IF($L44="","",IF(AND($L44=0,COUNTIF('差異の原因'!$B$5:$B$204,$B44)=0),"",ROUND($L44-SUMIF('差異の原因'!$B$5:$B$204,$B44,'差異の原因'!$G$5:$G$204),6)))</f>
        <v/>
      </c>
      <c r="R44" s="30" t="n"/>
      <c r="S44" s="23" t="n"/>
      <c r="T44" s="29">
        <f>IF(OR($B44="",NOT(ISNUMBER($R44))),"",IF(IF(ISNUMBER($I44),$I44,N($H44))&lt;=0,"",IF($R44&lt;'設定'!$B$6,"期限切れ",IF($R44='設定'!$B$6,"当日",IF($R44-'設定'!$B$6&lt;=N('設定'!$B$14),"あと"&amp;($R44-'設定'!$B$6)&amp;"日","")))))</f>
        <v/>
      </c>
      <c r="U44" s="61" t="n"/>
      <c r="V44" s="31">
        <f>IF(AND($B44&lt;&gt;"",$E44&lt;&gt;"",$E44='数える用紙'!$C$2),ROW(),"")</f>
        <v/>
      </c>
      <c r="W44" s="74">
        <f>IF(AND($B44&lt;&gt;"",ISNUMBER($R44)),IF(AND($R44&lt;='設定'!$B$6+N('設定'!$B$14),IF(ISNUMBER($I44),$I44,N($H44))&gt;0),$R44+ROW()/100000,""),"")</f>
        <v/>
      </c>
    </row>
    <row r="45" ht="18" customHeight="1">
      <c r="A45" s="22" t="n">
        <v>41</v>
      </c>
      <c r="B45" s="23" t="n"/>
      <c r="C45" s="24" t="n"/>
      <c r="D45" s="24" t="n"/>
      <c r="E45" s="23" t="n"/>
      <c r="F45" s="23" t="n"/>
      <c r="G45" s="25" t="n"/>
      <c r="H45" s="25" t="n"/>
      <c r="I45" s="25" t="n"/>
      <c r="J45" s="72">
        <f>IF(OR($B45="",$H45=""),"",N($G45)*$H45)</f>
        <v/>
      </c>
      <c r="K45" s="72">
        <f>IF(OR($B45="",$I45=""),"",N($G45)*$I45)</f>
        <v/>
      </c>
      <c r="L45" s="27">
        <f>IF(OR($B45="",$H45="",$I45=""),"",$I45-$H45)</f>
        <v/>
      </c>
      <c r="M45" s="72">
        <f>IF($L45="","",$L45*N($G45))</f>
        <v/>
      </c>
      <c r="N45" s="73">
        <f>IF($L45="","",IF($H45&gt;0,ROUND($L45/$H45,4),"－"))</f>
        <v/>
      </c>
      <c r="O45" s="29">
        <f>IF($B45="","",IF($L45="","未入力",IF($L45=0,"一致",IF(OR(NOT(ISNUMBER($N45)),AND('設定'!$B$10&lt;&gt;"",ABS(N($N45))&gt;'設定'!$B$10),AND('設定'!$B$11&lt;&gt;"",ABS(ROUND($M45,4))&gt;'設定'!$B$11),AND('設定'!$B$10="",'設定'!$B$11="")),"要確認","許容内"))))</f>
        <v/>
      </c>
      <c r="P45" s="29">
        <f>IF($O45&lt;&gt;"要確認","",IF($Q45=0,"済",IF(COUNTIF('差異の原因'!$B$5:$B$204,$B45)=0,"未記録","一部")))</f>
        <v/>
      </c>
      <c r="Q45" s="27">
        <f>IF($L45="","",IF(AND($L45=0,COUNTIF('差異の原因'!$B$5:$B$204,$B45)=0),"",ROUND($L45-SUMIF('差異の原因'!$B$5:$B$204,$B45,'差異の原因'!$G$5:$G$204),6)))</f>
        <v/>
      </c>
      <c r="R45" s="30" t="n"/>
      <c r="S45" s="23" t="n"/>
      <c r="T45" s="29">
        <f>IF(OR($B45="",NOT(ISNUMBER($R45))),"",IF(IF(ISNUMBER($I45),$I45,N($H45))&lt;=0,"",IF($R45&lt;'設定'!$B$6,"期限切れ",IF($R45='設定'!$B$6,"当日",IF($R45-'設定'!$B$6&lt;=N('設定'!$B$14),"あと"&amp;($R45-'設定'!$B$6)&amp;"日","")))))</f>
        <v/>
      </c>
      <c r="U45" s="61" t="n"/>
      <c r="V45" s="31">
        <f>IF(AND($B45&lt;&gt;"",$E45&lt;&gt;"",$E45='数える用紙'!$C$2),ROW(),"")</f>
        <v/>
      </c>
      <c r="W45" s="74">
        <f>IF(AND($B45&lt;&gt;"",ISNUMBER($R45)),IF(AND($R45&lt;='設定'!$B$6+N('設定'!$B$14),IF(ISNUMBER($I45),$I45,N($H45))&gt;0),$R45+ROW()/100000,""),"")</f>
        <v/>
      </c>
    </row>
    <row r="46" ht="18" customHeight="1">
      <c r="A46" s="22" t="n">
        <v>42</v>
      </c>
      <c r="B46" s="23" t="n"/>
      <c r="C46" s="24" t="n"/>
      <c r="D46" s="24" t="n"/>
      <c r="E46" s="23" t="n"/>
      <c r="F46" s="23" t="n"/>
      <c r="G46" s="25" t="n"/>
      <c r="H46" s="25" t="n"/>
      <c r="I46" s="25" t="n"/>
      <c r="J46" s="72">
        <f>IF(OR($B46="",$H46=""),"",N($G46)*$H46)</f>
        <v/>
      </c>
      <c r="K46" s="72">
        <f>IF(OR($B46="",$I46=""),"",N($G46)*$I46)</f>
        <v/>
      </c>
      <c r="L46" s="27">
        <f>IF(OR($B46="",$H46="",$I46=""),"",$I46-$H46)</f>
        <v/>
      </c>
      <c r="M46" s="72">
        <f>IF($L46="","",$L46*N($G46))</f>
        <v/>
      </c>
      <c r="N46" s="73">
        <f>IF($L46="","",IF($H46&gt;0,ROUND($L46/$H46,4),"－"))</f>
        <v/>
      </c>
      <c r="O46" s="29">
        <f>IF($B46="","",IF($L46="","未入力",IF($L46=0,"一致",IF(OR(NOT(ISNUMBER($N46)),AND('設定'!$B$10&lt;&gt;"",ABS(N($N46))&gt;'設定'!$B$10),AND('設定'!$B$11&lt;&gt;"",ABS(ROUND($M46,4))&gt;'設定'!$B$11),AND('設定'!$B$10="",'設定'!$B$11="")),"要確認","許容内"))))</f>
        <v/>
      </c>
      <c r="P46" s="29">
        <f>IF($O46&lt;&gt;"要確認","",IF($Q46=0,"済",IF(COUNTIF('差異の原因'!$B$5:$B$204,$B46)=0,"未記録","一部")))</f>
        <v/>
      </c>
      <c r="Q46" s="27">
        <f>IF($L46="","",IF(AND($L46=0,COUNTIF('差異の原因'!$B$5:$B$204,$B46)=0),"",ROUND($L46-SUMIF('差異の原因'!$B$5:$B$204,$B46,'差異の原因'!$G$5:$G$204),6)))</f>
        <v/>
      </c>
      <c r="R46" s="30" t="n"/>
      <c r="S46" s="23" t="n"/>
      <c r="T46" s="29">
        <f>IF(OR($B46="",NOT(ISNUMBER($R46))),"",IF(IF(ISNUMBER($I46),$I46,N($H46))&lt;=0,"",IF($R46&lt;'設定'!$B$6,"期限切れ",IF($R46='設定'!$B$6,"当日",IF($R46-'設定'!$B$6&lt;=N('設定'!$B$14),"あと"&amp;($R46-'設定'!$B$6)&amp;"日","")))))</f>
        <v/>
      </c>
      <c r="U46" s="61" t="n"/>
      <c r="V46" s="31">
        <f>IF(AND($B46&lt;&gt;"",$E46&lt;&gt;"",$E46='数える用紙'!$C$2),ROW(),"")</f>
        <v/>
      </c>
      <c r="W46" s="74">
        <f>IF(AND($B46&lt;&gt;"",ISNUMBER($R46)),IF(AND($R46&lt;='設定'!$B$6+N('設定'!$B$14),IF(ISNUMBER($I46),$I46,N($H46))&gt;0),$R46+ROW()/100000,""),"")</f>
        <v/>
      </c>
    </row>
    <row r="47" ht="18" customHeight="1">
      <c r="A47" s="22" t="n">
        <v>43</v>
      </c>
      <c r="B47" s="23" t="n"/>
      <c r="C47" s="24" t="n"/>
      <c r="D47" s="24" t="n"/>
      <c r="E47" s="23" t="n"/>
      <c r="F47" s="23" t="n"/>
      <c r="G47" s="25" t="n"/>
      <c r="H47" s="25" t="n"/>
      <c r="I47" s="25" t="n"/>
      <c r="J47" s="72">
        <f>IF(OR($B47="",$H47=""),"",N($G47)*$H47)</f>
        <v/>
      </c>
      <c r="K47" s="72">
        <f>IF(OR($B47="",$I47=""),"",N($G47)*$I47)</f>
        <v/>
      </c>
      <c r="L47" s="27">
        <f>IF(OR($B47="",$H47="",$I47=""),"",$I47-$H47)</f>
        <v/>
      </c>
      <c r="M47" s="72">
        <f>IF($L47="","",$L47*N($G47))</f>
        <v/>
      </c>
      <c r="N47" s="73">
        <f>IF($L47="","",IF($H47&gt;0,ROUND($L47/$H47,4),"－"))</f>
        <v/>
      </c>
      <c r="O47" s="29">
        <f>IF($B47="","",IF($L47="","未入力",IF($L47=0,"一致",IF(OR(NOT(ISNUMBER($N47)),AND('設定'!$B$10&lt;&gt;"",ABS(N($N47))&gt;'設定'!$B$10),AND('設定'!$B$11&lt;&gt;"",ABS(ROUND($M47,4))&gt;'設定'!$B$11),AND('設定'!$B$10="",'設定'!$B$11="")),"要確認","許容内"))))</f>
        <v/>
      </c>
      <c r="P47" s="29">
        <f>IF($O47&lt;&gt;"要確認","",IF($Q47=0,"済",IF(COUNTIF('差異の原因'!$B$5:$B$204,$B47)=0,"未記録","一部")))</f>
        <v/>
      </c>
      <c r="Q47" s="27">
        <f>IF($L47="","",IF(AND($L47=0,COUNTIF('差異の原因'!$B$5:$B$204,$B47)=0),"",ROUND($L47-SUMIF('差異の原因'!$B$5:$B$204,$B47,'差異の原因'!$G$5:$G$204),6)))</f>
        <v/>
      </c>
      <c r="R47" s="30" t="n"/>
      <c r="S47" s="23" t="n"/>
      <c r="T47" s="29">
        <f>IF(OR($B47="",NOT(ISNUMBER($R47))),"",IF(IF(ISNUMBER($I47),$I47,N($H47))&lt;=0,"",IF($R47&lt;'設定'!$B$6,"期限切れ",IF($R47='設定'!$B$6,"当日",IF($R47-'設定'!$B$6&lt;=N('設定'!$B$14),"あと"&amp;($R47-'設定'!$B$6)&amp;"日","")))))</f>
        <v/>
      </c>
      <c r="U47" s="61" t="n"/>
      <c r="V47" s="31">
        <f>IF(AND($B47&lt;&gt;"",$E47&lt;&gt;"",$E47='数える用紙'!$C$2),ROW(),"")</f>
        <v/>
      </c>
      <c r="W47" s="74">
        <f>IF(AND($B47&lt;&gt;"",ISNUMBER($R47)),IF(AND($R47&lt;='設定'!$B$6+N('設定'!$B$14),IF(ISNUMBER($I47),$I47,N($H47))&gt;0),$R47+ROW()/100000,""),"")</f>
        <v/>
      </c>
    </row>
    <row r="48" ht="18" customHeight="1">
      <c r="A48" s="22" t="n">
        <v>44</v>
      </c>
      <c r="B48" s="23" t="n"/>
      <c r="C48" s="24" t="n"/>
      <c r="D48" s="24" t="n"/>
      <c r="E48" s="23" t="n"/>
      <c r="F48" s="23" t="n"/>
      <c r="G48" s="25" t="n"/>
      <c r="H48" s="25" t="n"/>
      <c r="I48" s="25" t="n"/>
      <c r="J48" s="72">
        <f>IF(OR($B48="",$H48=""),"",N($G48)*$H48)</f>
        <v/>
      </c>
      <c r="K48" s="72">
        <f>IF(OR($B48="",$I48=""),"",N($G48)*$I48)</f>
        <v/>
      </c>
      <c r="L48" s="27">
        <f>IF(OR($B48="",$H48="",$I48=""),"",$I48-$H48)</f>
        <v/>
      </c>
      <c r="M48" s="72">
        <f>IF($L48="","",$L48*N($G48))</f>
        <v/>
      </c>
      <c r="N48" s="73">
        <f>IF($L48="","",IF($H48&gt;0,ROUND($L48/$H48,4),"－"))</f>
        <v/>
      </c>
      <c r="O48" s="29">
        <f>IF($B48="","",IF($L48="","未入力",IF($L48=0,"一致",IF(OR(NOT(ISNUMBER($N48)),AND('設定'!$B$10&lt;&gt;"",ABS(N($N48))&gt;'設定'!$B$10),AND('設定'!$B$11&lt;&gt;"",ABS(ROUND($M48,4))&gt;'設定'!$B$11),AND('設定'!$B$10="",'設定'!$B$11="")),"要確認","許容内"))))</f>
        <v/>
      </c>
      <c r="P48" s="29">
        <f>IF($O48&lt;&gt;"要確認","",IF($Q48=0,"済",IF(COUNTIF('差異の原因'!$B$5:$B$204,$B48)=0,"未記録","一部")))</f>
        <v/>
      </c>
      <c r="Q48" s="27">
        <f>IF($L48="","",IF(AND($L48=0,COUNTIF('差異の原因'!$B$5:$B$204,$B48)=0),"",ROUND($L48-SUMIF('差異の原因'!$B$5:$B$204,$B48,'差異の原因'!$G$5:$G$204),6)))</f>
        <v/>
      </c>
      <c r="R48" s="30" t="n"/>
      <c r="S48" s="23" t="n"/>
      <c r="T48" s="29">
        <f>IF(OR($B48="",NOT(ISNUMBER($R48))),"",IF(IF(ISNUMBER($I48),$I48,N($H48))&lt;=0,"",IF($R48&lt;'設定'!$B$6,"期限切れ",IF($R48='設定'!$B$6,"当日",IF($R48-'設定'!$B$6&lt;=N('設定'!$B$14),"あと"&amp;($R48-'設定'!$B$6)&amp;"日","")))))</f>
        <v/>
      </c>
      <c r="U48" s="61" t="n"/>
      <c r="V48" s="31">
        <f>IF(AND($B48&lt;&gt;"",$E48&lt;&gt;"",$E48='数える用紙'!$C$2),ROW(),"")</f>
        <v/>
      </c>
      <c r="W48" s="74">
        <f>IF(AND($B48&lt;&gt;"",ISNUMBER($R48)),IF(AND($R48&lt;='設定'!$B$6+N('設定'!$B$14),IF(ISNUMBER($I48),$I48,N($H48))&gt;0),$R48+ROW()/100000,""),"")</f>
        <v/>
      </c>
    </row>
    <row r="49" ht="18" customHeight="1">
      <c r="A49" s="22" t="n">
        <v>45</v>
      </c>
      <c r="B49" s="23" t="n"/>
      <c r="C49" s="24" t="n"/>
      <c r="D49" s="24" t="n"/>
      <c r="E49" s="23" t="n"/>
      <c r="F49" s="23" t="n"/>
      <c r="G49" s="25" t="n"/>
      <c r="H49" s="25" t="n"/>
      <c r="I49" s="25" t="n"/>
      <c r="J49" s="72">
        <f>IF(OR($B49="",$H49=""),"",N($G49)*$H49)</f>
        <v/>
      </c>
      <c r="K49" s="72">
        <f>IF(OR($B49="",$I49=""),"",N($G49)*$I49)</f>
        <v/>
      </c>
      <c r="L49" s="27">
        <f>IF(OR($B49="",$H49="",$I49=""),"",$I49-$H49)</f>
        <v/>
      </c>
      <c r="M49" s="72">
        <f>IF($L49="","",$L49*N($G49))</f>
        <v/>
      </c>
      <c r="N49" s="73">
        <f>IF($L49="","",IF($H49&gt;0,ROUND($L49/$H49,4),"－"))</f>
        <v/>
      </c>
      <c r="O49" s="29">
        <f>IF($B49="","",IF($L49="","未入力",IF($L49=0,"一致",IF(OR(NOT(ISNUMBER($N49)),AND('設定'!$B$10&lt;&gt;"",ABS(N($N49))&gt;'設定'!$B$10),AND('設定'!$B$11&lt;&gt;"",ABS(ROUND($M49,4))&gt;'設定'!$B$11),AND('設定'!$B$10="",'設定'!$B$11="")),"要確認","許容内"))))</f>
        <v/>
      </c>
      <c r="P49" s="29">
        <f>IF($O49&lt;&gt;"要確認","",IF($Q49=0,"済",IF(COUNTIF('差異の原因'!$B$5:$B$204,$B49)=0,"未記録","一部")))</f>
        <v/>
      </c>
      <c r="Q49" s="27">
        <f>IF($L49="","",IF(AND($L49=0,COUNTIF('差異の原因'!$B$5:$B$204,$B49)=0),"",ROUND($L49-SUMIF('差異の原因'!$B$5:$B$204,$B49,'差異の原因'!$G$5:$G$204),6)))</f>
        <v/>
      </c>
      <c r="R49" s="30" t="n"/>
      <c r="S49" s="23" t="n"/>
      <c r="T49" s="29">
        <f>IF(OR($B49="",NOT(ISNUMBER($R49))),"",IF(IF(ISNUMBER($I49),$I49,N($H49))&lt;=0,"",IF($R49&lt;'設定'!$B$6,"期限切れ",IF($R49='設定'!$B$6,"当日",IF($R49-'設定'!$B$6&lt;=N('設定'!$B$14),"あと"&amp;($R49-'設定'!$B$6)&amp;"日","")))))</f>
        <v/>
      </c>
      <c r="U49" s="61" t="n"/>
      <c r="V49" s="31">
        <f>IF(AND($B49&lt;&gt;"",$E49&lt;&gt;"",$E49='数える用紙'!$C$2),ROW(),"")</f>
        <v/>
      </c>
      <c r="W49" s="74">
        <f>IF(AND($B49&lt;&gt;"",ISNUMBER($R49)),IF(AND($R49&lt;='設定'!$B$6+N('設定'!$B$14),IF(ISNUMBER($I49),$I49,N($H49))&gt;0),$R49+ROW()/100000,""),"")</f>
        <v/>
      </c>
    </row>
    <row r="50" ht="18" customHeight="1">
      <c r="A50" s="22" t="n">
        <v>46</v>
      </c>
      <c r="B50" s="23" t="n"/>
      <c r="C50" s="24" t="n"/>
      <c r="D50" s="24" t="n"/>
      <c r="E50" s="23" t="n"/>
      <c r="F50" s="23" t="n"/>
      <c r="G50" s="25" t="n"/>
      <c r="H50" s="25" t="n"/>
      <c r="I50" s="25" t="n"/>
      <c r="J50" s="72">
        <f>IF(OR($B50="",$H50=""),"",N($G50)*$H50)</f>
        <v/>
      </c>
      <c r="K50" s="72">
        <f>IF(OR($B50="",$I50=""),"",N($G50)*$I50)</f>
        <v/>
      </c>
      <c r="L50" s="27">
        <f>IF(OR($B50="",$H50="",$I50=""),"",$I50-$H50)</f>
        <v/>
      </c>
      <c r="M50" s="72">
        <f>IF($L50="","",$L50*N($G50))</f>
        <v/>
      </c>
      <c r="N50" s="73">
        <f>IF($L50="","",IF($H50&gt;0,ROUND($L50/$H50,4),"－"))</f>
        <v/>
      </c>
      <c r="O50" s="29">
        <f>IF($B50="","",IF($L50="","未入力",IF($L50=0,"一致",IF(OR(NOT(ISNUMBER($N50)),AND('設定'!$B$10&lt;&gt;"",ABS(N($N50))&gt;'設定'!$B$10),AND('設定'!$B$11&lt;&gt;"",ABS(ROUND($M50,4))&gt;'設定'!$B$11),AND('設定'!$B$10="",'設定'!$B$11="")),"要確認","許容内"))))</f>
        <v/>
      </c>
      <c r="P50" s="29">
        <f>IF($O50&lt;&gt;"要確認","",IF($Q50=0,"済",IF(COUNTIF('差異の原因'!$B$5:$B$204,$B50)=0,"未記録","一部")))</f>
        <v/>
      </c>
      <c r="Q50" s="27">
        <f>IF($L50="","",IF(AND($L50=0,COUNTIF('差異の原因'!$B$5:$B$204,$B50)=0),"",ROUND($L50-SUMIF('差異の原因'!$B$5:$B$204,$B50,'差異の原因'!$G$5:$G$204),6)))</f>
        <v/>
      </c>
      <c r="R50" s="30" t="n"/>
      <c r="S50" s="23" t="n"/>
      <c r="T50" s="29">
        <f>IF(OR($B50="",NOT(ISNUMBER($R50))),"",IF(IF(ISNUMBER($I50),$I50,N($H50))&lt;=0,"",IF($R50&lt;'設定'!$B$6,"期限切れ",IF($R50='設定'!$B$6,"当日",IF($R50-'設定'!$B$6&lt;=N('設定'!$B$14),"あと"&amp;($R50-'設定'!$B$6)&amp;"日","")))))</f>
        <v/>
      </c>
      <c r="U50" s="61" t="n"/>
      <c r="V50" s="31">
        <f>IF(AND($B50&lt;&gt;"",$E50&lt;&gt;"",$E50='数える用紙'!$C$2),ROW(),"")</f>
        <v/>
      </c>
      <c r="W50" s="74">
        <f>IF(AND($B50&lt;&gt;"",ISNUMBER($R50)),IF(AND($R50&lt;='設定'!$B$6+N('設定'!$B$14),IF(ISNUMBER($I50),$I50,N($H50))&gt;0),$R50+ROW()/100000,""),"")</f>
        <v/>
      </c>
    </row>
    <row r="51" ht="18" customHeight="1">
      <c r="A51" s="22" t="n">
        <v>47</v>
      </c>
      <c r="B51" s="23" t="n"/>
      <c r="C51" s="24" t="n"/>
      <c r="D51" s="24" t="n"/>
      <c r="E51" s="23" t="n"/>
      <c r="F51" s="23" t="n"/>
      <c r="G51" s="25" t="n"/>
      <c r="H51" s="25" t="n"/>
      <c r="I51" s="25" t="n"/>
      <c r="J51" s="72">
        <f>IF(OR($B51="",$H51=""),"",N($G51)*$H51)</f>
        <v/>
      </c>
      <c r="K51" s="72">
        <f>IF(OR($B51="",$I51=""),"",N($G51)*$I51)</f>
        <v/>
      </c>
      <c r="L51" s="27">
        <f>IF(OR($B51="",$H51="",$I51=""),"",$I51-$H51)</f>
        <v/>
      </c>
      <c r="M51" s="72">
        <f>IF($L51="","",$L51*N($G51))</f>
        <v/>
      </c>
      <c r="N51" s="73">
        <f>IF($L51="","",IF($H51&gt;0,ROUND($L51/$H51,4),"－"))</f>
        <v/>
      </c>
      <c r="O51" s="29">
        <f>IF($B51="","",IF($L51="","未入力",IF($L51=0,"一致",IF(OR(NOT(ISNUMBER($N51)),AND('設定'!$B$10&lt;&gt;"",ABS(N($N51))&gt;'設定'!$B$10),AND('設定'!$B$11&lt;&gt;"",ABS(ROUND($M51,4))&gt;'設定'!$B$11),AND('設定'!$B$10="",'設定'!$B$11="")),"要確認","許容内"))))</f>
        <v/>
      </c>
      <c r="P51" s="29">
        <f>IF($O51&lt;&gt;"要確認","",IF($Q51=0,"済",IF(COUNTIF('差異の原因'!$B$5:$B$204,$B51)=0,"未記録","一部")))</f>
        <v/>
      </c>
      <c r="Q51" s="27">
        <f>IF($L51="","",IF(AND($L51=0,COUNTIF('差異の原因'!$B$5:$B$204,$B51)=0),"",ROUND($L51-SUMIF('差異の原因'!$B$5:$B$204,$B51,'差異の原因'!$G$5:$G$204),6)))</f>
        <v/>
      </c>
      <c r="R51" s="30" t="n"/>
      <c r="S51" s="23" t="n"/>
      <c r="T51" s="29">
        <f>IF(OR($B51="",NOT(ISNUMBER($R51))),"",IF(IF(ISNUMBER($I51),$I51,N($H51))&lt;=0,"",IF($R51&lt;'設定'!$B$6,"期限切れ",IF($R51='設定'!$B$6,"当日",IF($R51-'設定'!$B$6&lt;=N('設定'!$B$14),"あと"&amp;($R51-'設定'!$B$6)&amp;"日","")))))</f>
        <v/>
      </c>
      <c r="U51" s="61" t="n"/>
      <c r="V51" s="31">
        <f>IF(AND($B51&lt;&gt;"",$E51&lt;&gt;"",$E51='数える用紙'!$C$2),ROW(),"")</f>
        <v/>
      </c>
      <c r="W51" s="74">
        <f>IF(AND($B51&lt;&gt;"",ISNUMBER($R51)),IF(AND($R51&lt;='設定'!$B$6+N('設定'!$B$14),IF(ISNUMBER($I51),$I51,N($H51))&gt;0),$R51+ROW()/100000,""),"")</f>
        <v/>
      </c>
    </row>
    <row r="52" ht="18" customHeight="1">
      <c r="A52" s="22" t="n">
        <v>48</v>
      </c>
      <c r="B52" s="23" t="n"/>
      <c r="C52" s="24" t="n"/>
      <c r="D52" s="24" t="n"/>
      <c r="E52" s="23" t="n"/>
      <c r="F52" s="23" t="n"/>
      <c r="G52" s="25" t="n"/>
      <c r="H52" s="25" t="n"/>
      <c r="I52" s="25" t="n"/>
      <c r="J52" s="72">
        <f>IF(OR($B52="",$H52=""),"",N($G52)*$H52)</f>
        <v/>
      </c>
      <c r="K52" s="72">
        <f>IF(OR($B52="",$I52=""),"",N($G52)*$I52)</f>
        <v/>
      </c>
      <c r="L52" s="27">
        <f>IF(OR($B52="",$H52="",$I52=""),"",$I52-$H52)</f>
        <v/>
      </c>
      <c r="M52" s="72">
        <f>IF($L52="","",$L52*N($G52))</f>
        <v/>
      </c>
      <c r="N52" s="73">
        <f>IF($L52="","",IF($H52&gt;0,ROUND($L52/$H52,4),"－"))</f>
        <v/>
      </c>
      <c r="O52" s="29">
        <f>IF($B52="","",IF($L52="","未入力",IF($L52=0,"一致",IF(OR(NOT(ISNUMBER($N52)),AND('設定'!$B$10&lt;&gt;"",ABS(N($N52))&gt;'設定'!$B$10),AND('設定'!$B$11&lt;&gt;"",ABS(ROUND($M52,4))&gt;'設定'!$B$11),AND('設定'!$B$10="",'設定'!$B$11="")),"要確認","許容内"))))</f>
        <v/>
      </c>
      <c r="P52" s="29">
        <f>IF($O52&lt;&gt;"要確認","",IF($Q52=0,"済",IF(COUNTIF('差異の原因'!$B$5:$B$204,$B52)=0,"未記録","一部")))</f>
        <v/>
      </c>
      <c r="Q52" s="27">
        <f>IF($L52="","",IF(AND($L52=0,COUNTIF('差異の原因'!$B$5:$B$204,$B52)=0),"",ROUND($L52-SUMIF('差異の原因'!$B$5:$B$204,$B52,'差異の原因'!$G$5:$G$204),6)))</f>
        <v/>
      </c>
      <c r="R52" s="30" t="n"/>
      <c r="S52" s="23" t="n"/>
      <c r="T52" s="29">
        <f>IF(OR($B52="",NOT(ISNUMBER($R52))),"",IF(IF(ISNUMBER($I52),$I52,N($H52))&lt;=0,"",IF($R52&lt;'設定'!$B$6,"期限切れ",IF($R52='設定'!$B$6,"当日",IF($R52-'設定'!$B$6&lt;=N('設定'!$B$14),"あと"&amp;($R52-'設定'!$B$6)&amp;"日","")))))</f>
        <v/>
      </c>
      <c r="U52" s="61" t="n"/>
      <c r="V52" s="31">
        <f>IF(AND($B52&lt;&gt;"",$E52&lt;&gt;"",$E52='数える用紙'!$C$2),ROW(),"")</f>
        <v/>
      </c>
      <c r="W52" s="74">
        <f>IF(AND($B52&lt;&gt;"",ISNUMBER($R52)),IF(AND($R52&lt;='設定'!$B$6+N('設定'!$B$14),IF(ISNUMBER($I52),$I52,N($H52))&gt;0),$R52+ROW()/100000,""),"")</f>
        <v/>
      </c>
    </row>
    <row r="53" ht="18" customHeight="1">
      <c r="A53" s="22" t="n">
        <v>49</v>
      </c>
      <c r="B53" s="23" t="n"/>
      <c r="C53" s="24" t="n"/>
      <c r="D53" s="24" t="n"/>
      <c r="E53" s="23" t="n"/>
      <c r="F53" s="23" t="n"/>
      <c r="G53" s="25" t="n"/>
      <c r="H53" s="25" t="n"/>
      <c r="I53" s="25" t="n"/>
      <c r="J53" s="72">
        <f>IF(OR($B53="",$H53=""),"",N($G53)*$H53)</f>
        <v/>
      </c>
      <c r="K53" s="72">
        <f>IF(OR($B53="",$I53=""),"",N($G53)*$I53)</f>
        <v/>
      </c>
      <c r="L53" s="27">
        <f>IF(OR($B53="",$H53="",$I53=""),"",$I53-$H53)</f>
        <v/>
      </c>
      <c r="M53" s="72">
        <f>IF($L53="","",$L53*N($G53))</f>
        <v/>
      </c>
      <c r="N53" s="73">
        <f>IF($L53="","",IF($H53&gt;0,ROUND($L53/$H53,4),"－"))</f>
        <v/>
      </c>
      <c r="O53" s="29">
        <f>IF($B53="","",IF($L53="","未入力",IF($L53=0,"一致",IF(OR(NOT(ISNUMBER($N53)),AND('設定'!$B$10&lt;&gt;"",ABS(N($N53))&gt;'設定'!$B$10),AND('設定'!$B$11&lt;&gt;"",ABS(ROUND($M53,4))&gt;'設定'!$B$11),AND('設定'!$B$10="",'設定'!$B$11="")),"要確認","許容内"))))</f>
        <v/>
      </c>
      <c r="P53" s="29">
        <f>IF($O53&lt;&gt;"要確認","",IF($Q53=0,"済",IF(COUNTIF('差異の原因'!$B$5:$B$204,$B53)=0,"未記録","一部")))</f>
        <v/>
      </c>
      <c r="Q53" s="27">
        <f>IF($L53="","",IF(AND($L53=0,COUNTIF('差異の原因'!$B$5:$B$204,$B53)=0),"",ROUND($L53-SUMIF('差異の原因'!$B$5:$B$204,$B53,'差異の原因'!$G$5:$G$204),6)))</f>
        <v/>
      </c>
      <c r="R53" s="30" t="n"/>
      <c r="S53" s="23" t="n"/>
      <c r="T53" s="29">
        <f>IF(OR($B53="",NOT(ISNUMBER($R53))),"",IF(IF(ISNUMBER($I53),$I53,N($H53))&lt;=0,"",IF($R53&lt;'設定'!$B$6,"期限切れ",IF($R53='設定'!$B$6,"当日",IF($R53-'設定'!$B$6&lt;=N('設定'!$B$14),"あと"&amp;($R53-'設定'!$B$6)&amp;"日","")))))</f>
        <v/>
      </c>
      <c r="U53" s="61" t="n"/>
      <c r="V53" s="31">
        <f>IF(AND($B53&lt;&gt;"",$E53&lt;&gt;"",$E53='数える用紙'!$C$2),ROW(),"")</f>
        <v/>
      </c>
      <c r="W53" s="74">
        <f>IF(AND($B53&lt;&gt;"",ISNUMBER($R53)),IF(AND($R53&lt;='設定'!$B$6+N('設定'!$B$14),IF(ISNUMBER($I53),$I53,N($H53))&gt;0),$R53+ROW()/100000,""),"")</f>
        <v/>
      </c>
    </row>
    <row r="54" ht="18" customHeight="1">
      <c r="A54" s="22" t="n">
        <v>50</v>
      </c>
      <c r="B54" s="23" t="n"/>
      <c r="C54" s="24" t="n"/>
      <c r="D54" s="24" t="n"/>
      <c r="E54" s="23" t="n"/>
      <c r="F54" s="23" t="n"/>
      <c r="G54" s="25" t="n"/>
      <c r="H54" s="25" t="n"/>
      <c r="I54" s="25" t="n"/>
      <c r="J54" s="72">
        <f>IF(OR($B54="",$H54=""),"",N($G54)*$H54)</f>
        <v/>
      </c>
      <c r="K54" s="72">
        <f>IF(OR($B54="",$I54=""),"",N($G54)*$I54)</f>
        <v/>
      </c>
      <c r="L54" s="27">
        <f>IF(OR($B54="",$H54="",$I54=""),"",$I54-$H54)</f>
        <v/>
      </c>
      <c r="M54" s="72">
        <f>IF($L54="","",$L54*N($G54))</f>
        <v/>
      </c>
      <c r="N54" s="73">
        <f>IF($L54="","",IF($H54&gt;0,ROUND($L54/$H54,4),"－"))</f>
        <v/>
      </c>
      <c r="O54" s="29">
        <f>IF($B54="","",IF($L54="","未入力",IF($L54=0,"一致",IF(OR(NOT(ISNUMBER($N54)),AND('設定'!$B$10&lt;&gt;"",ABS(N($N54))&gt;'設定'!$B$10),AND('設定'!$B$11&lt;&gt;"",ABS(ROUND($M54,4))&gt;'設定'!$B$11),AND('設定'!$B$10="",'設定'!$B$11="")),"要確認","許容内"))))</f>
        <v/>
      </c>
      <c r="P54" s="29">
        <f>IF($O54&lt;&gt;"要確認","",IF($Q54=0,"済",IF(COUNTIF('差異の原因'!$B$5:$B$204,$B54)=0,"未記録","一部")))</f>
        <v/>
      </c>
      <c r="Q54" s="27">
        <f>IF($L54="","",IF(AND($L54=0,COUNTIF('差異の原因'!$B$5:$B$204,$B54)=0),"",ROUND($L54-SUMIF('差異の原因'!$B$5:$B$204,$B54,'差異の原因'!$G$5:$G$204),6)))</f>
        <v/>
      </c>
      <c r="R54" s="30" t="n"/>
      <c r="S54" s="23" t="n"/>
      <c r="T54" s="29">
        <f>IF(OR($B54="",NOT(ISNUMBER($R54))),"",IF(IF(ISNUMBER($I54),$I54,N($H54))&lt;=0,"",IF($R54&lt;'設定'!$B$6,"期限切れ",IF($R54='設定'!$B$6,"当日",IF($R54-'設定'!$B$6&lt;=N('設定'!$B$14),"あと"&amp;($R54-'設定'!$B$6)&amp;"日","")))))</f>
        <v/>
      </c>
      <c r="U54" s="61" t="n"/>
      <c r="V54" s="31">
        <f>IF(AND($B54&lt;&gt;"",$E54&lt;&gt;"",$E54='数える用紙'!$C$2),ROW(),"")</f>
        <v/>
      </c>
      <c r="W54" s="74">
        <f>IF(AND($B54&lt;&gt;"",ISNUMBER($R54)),IF(AND($R54&lt;='設定'!$B$6+N('設定'!$B$14),IF(ISNUMBER($I54),$I54,N($H54))&gt;0),$R54+ROW()/100000,""),"")</f>
        <v/>
      </c>
    </row>
    <row r="55" ht="18" customHeight="1">
      <c r="A55" s="22" t="n">
        <v>51</v>
      </c>
      <c r="B55" s="23" t="n"/>
      <c r="C55" s="24" t="n"/>
      <c r="D55" s="24" t="n"/>
      <c r="E55" s="23" t="n"/>
      <c r="F55" s="23" t="n"/>
      <c r="G55" s="25" t="n"/>
      <c r="H55" s="25" t="n"/>
      <c r="I55" s="25" t="n"/>
      <c r="J55" s="72">
        <f>IF(OR($B55="",$H55=""),"",N($G55)*$H55)</f>
        <v/>
      </c>
      <c r="K55" s="72">
        <f>IF(OR($B55="",$I55=""),"",N($G55)*$I55)</f>
        <v/>
      </c>
      <c r="L55" s="27">
        <f>IF(OR($B55="",$H55="",$I55=""),"",$I55-$H55)</f>
        <v/>
      </c>
      <c r="M55" s="72">
        <f>IF($L55="","",$L55*N($G55))</f>
        <v/>
      </c>
      <c r="N55" s="73">
        <f>IF($L55="","",IF($H55&gt;0,ROUND($L55/$H55,4),"－"))</f>
        <v/>
      </c>
      <c r="O55" s="29">
        <f>IF($B55="","",IF($L55="","未入力",IF($L55=0,"一致",IF(OR(NOT(ISNUMBER($N55)),AND('設定'!$B$10&lt;&gt;"",ABS(N($N55))&gt;'設定'!$B$10),AND('設定'!$B$11&lt;&gt;"",ABS(ROUND($M55,4))&gt;'設定'!$B$11),AND('設定'!$B$10="",'設定'!$B$11="")),"要確認","許容内"))))</f>
        <v/>
      </c>
      <c r="P55" s="29">
        <f>IF($O55&lt;&gt;"要確認","",IF($Q55=0,"済",IF(COUNTIF('差異の原因'!$B$5:$B$204,$B55)=0,"未記録","一部")))</f>
        <v/>
      </c>
      <c r="Q55" s="27">
        <f>IF($L55="","",IF(AND($L55=0,COUNTIF('差異の原因'!$B$5:$B$204,$B55)=0),"",ROUND($L55-SUMIF('差異の原因'!$B$5:$B$204,$B55,'差異の原因'!$G$5:$G$204),6)))</f>
        <v/>
      </c>
      <c r="R55" s="30" t="n"/>
      <c r="S55" s="23" t="n"/>
      <c r="T55" s="29">
        <f>IF(OR($B55="",NOT(ISNUMBER($R55))),"",IF(IF(ISNUMBER($I55),$I55,N($H55))&lt;=0,"",IF($R55&lt;'設定'!$B$6,"期限切れ",IF($R55='設定'!$B$6,"当日",IF($R55-'設定'!$B$6&lt;=N('設定'!$B$14),"あと"&amp;($R55-'設定'!$B$6)&amp;"日","")))))</f>
        <v/>
      </c>
      <c r="U55" s="61" t="n"/>
      <c r="V55" s="31">
        <f>IF(AND($B55&lt;&gt;"",$E55&lt;&gt;"",$E55='数える用紙'!$C$2),ROW(),"")</f>
        <v/>
      </c>
      <c r="W55" s="74">
        <f>IF(AND($B55&lt;&gt;"",ISNUMBER($R55)),IF(AND($R55&lt;='設定'!$B$6+N('設定'!$B$14),IF(ISNUMBER($I55),$I55,N($H55))&gt;0),$R55+ROW()/100000,""),"")</f>
        <v/>
      </c>
    </row>
    <row r="56" ht="18" customHeight="1">
      <c r="A56" s="22" t="n">
        <v>52</v>
      </c>
      <c r="B56" s="23" t="n"/>
      <c r="C56" s="24" t="n"/>
      <c r="D56" s="24" t="n"/>
      <c r="E56" s="23" t="n"/>
      <c r="F56" s="23" t="n"/>
      <c r="G56" s="25" t="n"/>
      <c r="H56" s="25" t="n"/>
      <c r="I56" s="25" t="n"/>
      <c r="J56" s="72">
        <f>IF(OR($B56="",$H56=""),"",N($G56)*$H56)</f>
        <v/>
      </c>
      <c r="K56" s="72">
        <f>IF(OR($B56="",$I56=""),"",N($G56)*$I56)</f>
        <v/>
      </c>
      <c r="L56" s="27">
        <f>IF(OR($B56="",$H56="",$I56=""),"",$I56-$H56)</f>
        <v/>
      </c>
      <c r="M56" s="72">
        <f>IF($L56="","",$L56*N($G56))</f>
        <v/>
      </c>
      <c r="N56" s="73">
        <f>IF($L56="","",IF($H56&gt;0,ROUND($L56/$H56,4),"－"))</f>
        <v/>
      </c>
      <c r="O56" s="29">
        <f>IF($B56="","",IF($L56="","未入力",IF($L56=0,"一致",IF(OR(NOT(ISNUMBER($N56)),AND('設定'!$B$10&lt;&gt;"",ABS(N($N56))&gt;'設定'!$B$10),AND('設定'!$B$11&lt;&gt;"",ABS(ROUND($M56,4))&gt;'設定'!$B$11),AND('設定'!$B$10="",'設定'!$B$11="")),"要確認","許容内"))))</f>
        <v/>
      </c>
      <c r="P56" s="29">
        <f>IF($O56&lt;&gt;"要確認","",IF($Q56=0,"済",IF(COUNTIF('差異の原因'!$B$5:$B$204,$B56)=0,"未記録","一部")))</f>
        <v/>
      </c>
      <c r="Q56" s="27">
        <f>IF($L56="","",IF(AND($L56=0,COUNTIF('差異の原因'!$B$5:$B$204,$B56)=0),"",ROUND($L56-SUMIF('差異の原因'!$B$5:$B$204,$B56,'差異の原因'!$G$5:$G$204),6)))</f>
        <v/>
      </c>
      <c r="R56" s="30" t="n"/>
      <c r="S56" s="23" t="n"/>
      <c r="T56" s="29">
        <f>IF(OR($B56="",NOT(ISNUMBER($R56))),"",IF(IF(ISNUMBER($I56),$I56,N($H56))&lt;=0,"",IF($R56&lt;'設定'!$B$6,"期限切れ",IF($R56='設定'!$B$6,"当日",IF($R56-'設定'!$B$6&lt;=N('設定'!$B$14),"あと"&amp;($R56-'設定'!$B$6)&amp;"日","")))))</f>
        <v/>
      </c>
      <c r="U56" s="61" t="n"/>
      <c r="V56" s="31">
        <f>IF(AND($B56&lt;&gt;"",$E56&lt;&gt;"",$E56='数える用紙'!$C$2),ROW(),"")</f>
        <v/>
      </c>
      <c r="W56" s="74">
        <f>IF(AND($B56&lt;&gt;"",ISNUMBER($R56)),IF(AND($R56&lt;='設定'!$B$6+N('設定'!$B$14),IF(ISNUMBER($I56),$I56,N($H56))&gt;0),$R56+ROW()/100000,""),"")</f>
        <v/>
      </c>
    </row>
    <row r="57" ht="18" customHeight="1">
      <c r="A57" s="22" t="n">
        <v>53</v>
      </c>
      <c r="B57" s="23" t="n"/>
      <c r="C57" s="24" t="n"/>
      <c r="D57" s="24" t="n"/>
      <c r="E57" s="23" t="n"/>
      <c r="F57" s="23" t="n"/>
      <c r="G57" s="25" t="n"/>
      <c r="H57" s="25" t="n"/>
      <c r="I57" s="25" t="n"/>
      <c r="J57" s="72">
        <f>IF(OR($B57="",$H57=""),"",N($G57)*$H57)</f>
        <v/>
      </c>
      <c r="K57" s="72">
        <f>IF(OR($B57="",$I57=""),"",N($G57)*$I57)</f>
        <v/>
      </c>
      <c r="L57" s="27">
        <f>IF(OR($B57="",$H57="",$I57=""),"",$I57-$H57)</f>
        <v/>
      </c>
      <c r="M57" s="72">
        <f>IF($L57="","",$L57*N($G57))</f>
        <v/>
      </c>
      <c r="N57" s="73">
        <f>IF($L57="","",IF($H57&gt;0,ROUND($L57/$H57,4),"－"))</f>
        <v/>
      </c>
      <c r="O57" s="29">
        <f>IF($B57="","",IF($L57="","未入力",IF($L57=0,"一致",IF(OR(NOT(ISNUMBER($N57)),AND('設定'!$B$10&lt;&gt;"",ABS(N($N57))&gt;'設定'!$B$10),AND('設定'!$B$11&lt;&gt;"",ABS(ROUND($M57,4))&gt;'設定'!$B$11),AND('設定'!$B$10="",'設定'!$B$11="")),"要確認","許容内"))))</f>
        <v/>
      </c>
      <c r="P57" s="29">
        <f>IF($O57&lt;&gt;"要確認","",IF($Q57=0,"済",IF(COUNTIF('差異の原因'!$B$5:$B$204,$B57)=0,"未記録","一部")))</f>
        <v/>
      </c>
      <c r="Q57" s="27">
        <f>IF($L57="","",IF(AND($L57=0,COUNTIF('差異の原因'!$B$5:$B$204,$B57)=0),"",ROUND($L57-SUMIF('差異の原因'!$B$5:$B$204,$B57,'差異の原因'!$G$5:$G$204),6)))</f>
        <v/>
      </c>
      <c r="R57" s="30" t="n"/>
      <c r="S57" s="23" t="n"/>
      <c r="T57" s="29">
        <f>IF(OR($B57="",NOT(ISNUMBER($R57))),"",IF(IF(ISNUMBER($I57),$I57,N($H57))&lt;=0,"",IF($R57&lt;'設定'!$B$6,"期限切れ",IF($R57='設定'!$B$6,"当日",IF($R57-'設定'!$B$6&lt;=N('設定'!$B$14),"あと"&amp;($R57-'設定'!$B$6)&amp;"日","")))))</f>
        <v/>
      </c>
      <c r="U57" s="61" t="n"/>
      <c r="V57" s="31">
        <f>IF(AND($B57&lt;&gt;"",$E57&lt;&gt;"",$E57='数える用紙'!$C$2),ROW(),"")</f>
        <v/>
      </c>
      <c r="W57" s="74">
        <f>IF(AND($B57&lt;&gt;"",ISNUMBER($R57)),IF(AND($R57&lt;='設定'!$B$6+N('設定'!$B$14),IF(ISNUMBER($I57),$I57,N($H57))&gt;0),$R57+ROW()/100000,""),"")</f>
        <v/>
      </c>
    </row>
    <row r="58" ht="18" customHeight="1">
      <c r="A58" s="22" t="n">
        <v>54</v>
      </c>
      <c r="B58" s="23" t="n"/>
      <c r="C58" s="24" t="n"/>
      <c r="D58" s="24" t="n"/>
      <c r="E58" s="23" t="n"/>
      <c r="F58" s="23" t="n"/>
      <c r="G58" s="25" t="n"/>
      <c r="H58" s="25" t="n"/>
      <c r="I58" s="25" t="n"/>
      <c r="J58" s="72">
        <f>IF(OR($B58="",$H58=""),"",N($G58)*$H58)</f>
        <v/>
      </c>
      <c r="K58" s="72">
        <f>IF(OR($B58="",$I58=""),"",N($G58)*$I58)</f>
        <v/>
      </c>
      <c r="L58" s="27">
        <f>IF(OR($B58="",$H58="",$I58=""),"",$I58-$H58)</f>
        <v/>
      </c>
      <c r="M58" s="72">
        <f>IF($L58="","",$L58*N($G58))</f>
        <v/>
      </c>
      <c r="N58" s="73">
        <f>IF($L58="","",IF($H58&gt;0,ROUND($L58/$H58,4),"－"))</f>
        <v/>
      </c>
      <c r="O58" s="29">
        <f>IF($B58="","",IF($L58="","未入力",IF($L58=0,"一致",IF(OR(NOT(ISNUMBER($N58)),AND('設定'!$B$10&lt;&gt;"",ABS(N($N58))&gt;'設定'!$B$10),AND('設定'!$B$11&lt;&gt;"",ABS(ROUND($M58,4))&gt;'設定'!$B$11),AND('設定'!$B$10="",'設定'!$B$11="")),"要確認","許容内"))))</f>
        <v/>
      </c>
      <c r="P58" s="29">
        <f>IF($O58&lt;&gt;"要確認","",IF($Q58=0,"済",IF(COUNTIF('差異の原因'!$B$5:$B$204,$B58)=0,"未記録","一部")))</f>
        <v/>
      </c>
      <c r="Q58" s="27">
        <f>IF($L58="","",IF(AND($L58=0,COUNTIF('差異の原因'!$B$5:$B$204,$B58)=0),"",ROUND($L58-SUMIF('差異の原因'!$B$5:$B$204,$B58,'差異の原因'!$G$5:$G$204),6)))</f>
        <v/>
      </c>
      <c r="R58" s="30" t="n"/>
      <c r="S58" s="23" t="n"/>
      <c r="T58" s="29">
        <f>IF(OR($B58="",NOT(ISNUMBER($R58))),"",IF(IF(ISNUMBER($I58),$I58,N($H58))&lt;=0,"",IF($R58&lt;'設定'!$B$6,"期限切れ",IF($R58='設定'!$B$6,"当日",IF($R58-'設定'!$B$6&lt;=N('設定'!$B$14),"あと"&amp;($R58-'設定'!$B$6)&amp;"日","")))))</f>
        <v/>
      </c>
      <c r="U58" s="61" t="n"/>
      <c r="V58" s="31">
        <f>IF(AND($B58&lt;&gt;"",$E58&lt;&gt;"",$E58='数える用紙'!$C$2),ROW(),"")</f>
        <v/>
      </c>
      <c r="W58" s="74">
        <f>IF(AND($B58&lt;&gt;"",ISNUMBER($R58)),IF(AND($R58&lt;='設定'!$B$6+N('設定'!$B$14),IF(ISNUMBER($I58),$I58,N($H58))&gt;0),$R58+ROW()/100000,""),"")</f>
        <v/>
      </c>
    </row>
    <row r="59" ht="18" customHeight="1">
      <c r="A59" s="22" t="n">
        <v>55</v>
      </c>
      <c r="B59" s="23" t="n"/>
      <c r="C59" s="24" t="n"/>
      <c r="D59" s="24" t="n"/>
      <c r="E59" s="23" t="n"/>
      <c r="F59" s="23" t="n"/>
      <c r="G59" s="25" t="n"/>
      <c r="H59" s="25" t="n"/>
      <c r="I59" s="25" t="n"/>
      <c r="J59" s="72">
        <f>IF(OR($B59="",$H59=""),"",N($G59)*$H59)</f>
        <v/>
      </c>
      <c r="K59" s="72">
        <f>IF(OR($B59="",$I59=""),"",N($G59)*$I59)</f>
        <v/>
      </c>
      <c r="L59" s="27">
        <f>IF(OR($B59="",$H59="",$I59=""),"",$I59-$H59)</f>
        <v/>
      </c>
      <c r="M59" s="72">
        <f>IF($L59="","",$L59*N($G59))</f>
        <v/>
      </c>
      <c r="N59" s="73">
        <f>IF($L59="","",IF($H59&gt;0,ROUND($L59/$H59,4),"－"))</f>
        <v/>
      </c>
      <c r="O59" s="29">
        <f>IF($B59="","",IF($L59="","未入力",IF($L59=0,"一致",IF(OR(NOT(ISNUMBER($N59)),AND('設定'!$B$10&lt;&gt;"",ABS(N($N59))&gt;'設定'!$B$10),AND('設定'!$B$11&lt;&gt;"",ABS(ROUND($M59,4))&gt;'設定'!$B$11),AND('設定'!$B$10="",'設定'!$B$11="")),"要確認","許容内"))))</f>
        <v/>
      </c>
      <c r="P59" s="29">
        <f>IF($O59&lt;&gt;"要確認","",IF($Q59=0,"済",IF(COUNTIF('差異の原因'!$B$5:$B$204,$B59)=0,"未記録","一部")))</f>
        <v/>
      </c>
      <c r="Q59" s="27">
        <f>IF($L59="","",IF(AND($L59=0,COUNTIF('差異の原因'!$B$5:$B$204,$B59)=0),"",ROUND($L59-SUMIF('差異の原因'!$B$5:$B$204,$B59,'差異の原因'!$G$5:$G$204),6)))</f>
        <v/>
      </c>
      <c r="R59" s="30" t="n"/>
      <c r="S59" s="23" t="n"/>
      <c r="T59" s="29">
        <f>IF(OR($B59="",NOT(ISNUMBER($R59))),"",IF(IF(ISNUMBER($I59),$I59,N($H59))&lt;=0,"",IF($R59&lt;'設定'!$B$6,"期限切れ",IF($R59='設定'!$B$6,"当日",IF($R59-'設定'!$B$6&lt;=N('設定'!$B$14),"あと"&amp;($R59-'設定'!$B$6)&amp;"日","")))))</f>
        <v/>
      </c>
      <c r="U59" s="61" t="n"/>
      <c r="V59" s="31">
        <f>IF(AND($B59&lt;&gt;"",$E59&lt;&gt;"",$E59='数える用紙'!$C$2),ROW(),"")</f>
        <v/>
      </c>
      <c r="W59" s="74">
        <f>IF(AND($B59&lt;&gt;"",ISNUMBER($R59)),IF(AND($R59&lt;='設定'!$B$6+N('設定'!$B$14),IF(ISNUMBER($I59),$I59,N($H59))&gt;0),$R59+ROW()/100000,""),"")</f>
        <v/>
      </c>
    </row>
    <row r="60" ht="18" customHeight="1">
      <c r="A60" s="22" t="n">
        <v>56</v>
      </c>
      <c r="B60" s="23" t="n"/>
      <c r="C60" s="24" t="n"/>
      <c r="D60" s="24" t="n"/>
      <c r="E60" s="23" t="n"/>
      <c r="F60" s="23" t="n"/>
      <c r="G60" s="25" t="n"/>
      <c r="H60" s="25" t="n"/>
      <c r="I60" s="25" t="n"/>
      <c r="J60" s="72">
        <f>IF(OR($B60="",$H60=""),"",N($G60)*$H60)</f>
        <v/>
      </c>
      <c r="K60" s="72">
        <f>IF(OR($B60="",$I60=""),"",N($G60)*$I60)</f>
        <v/>
      </c>
      <c r="L60" s="27">
        <f>IF(OR($B60="",$H60="",$I60=""),"",$I60-$H60)</f>
        <v/>
      </c>
      <c r="M60" s="72">
        <f>IF($L60="","",$L60*N($G60))</f>
        <v/>
      </c>
      <c r="N60" s="73">
        <f>IF($L60="","",IF($H60&gt;0,ROUND($L60/$H60,4),"－"))</f>
        <v/>
      </c>
      <c r="O60" s="29">
        <f>IF($B60="","",IF($L60="","未入力",IF($L60=0,"一致",IF(OR(NOT(ISNUMBER($N60)),AND('設定'!$B$10&lt;&gt;"",ABS(N($N60))&gt;'設定'!$B$10),AND('設定'!$B$11&lt;&gt;"",ABS(ROUND($M60,4))&gt;'設定'!$B$11),AND('設定'!$B$10="",'設定'!$B$11="")),"要確認","許容内"))))</f>
        <v/>
      </c>
      <c r="P60" s="29">
        <f>IF($O60&lt;&gt;"要確認","",IF($Q60=0,"済",IF(COUNTIF('差異の原因'!$B$5:$B$204,$B60)=0,"未記録","一部")))</f>
        <v/>
      </c>
      <c r="Q60" s="27">
        <f>IF($L60="","",IF(AND($L60=0,COUNTIF('差異の原因'!$B$5:$B$204,$B60)=0),"",ROUND($L60-SUMIF('差異の原因'!$B$5:$B$204,$B60,'差異の原因'!$G$5:$G$204),6)))</f>
        <v/>
      </c>
      <c r="R60" s="30" t="n"/>
      <c r="S60" s="23" t="n"/>
      <c r="T60" s="29">
        <f>IF(OR($B60="",NOT(ISNUMBER($R60))),"",IF(IF(ISNUMBER($I60),$I60,N($H60))&lt;=0,"",IF($R60&lt;'設定'!$B$6,"期限切れ",IF($R60='設定'!$B$6,"当日",IF($R60-'設定'!$B$6&lt;=N('設定'!$B$14),"あと"&amp;($R60-'設定'!$B$6)&amp;"日","")))))</f>
        <v/>
      </c>
      <c r="U60" s="61" t="n"/>
      <c r="V60" s="31">
        <f>IF(AND($B60&lt;&gt;"",$E60&lt;&gt;"",$E60='数える用紙'!$C$2),ROW(),"")</f>
        <v/>
      </c>
      <c r="W60" s="74">
        <f>IF(AND($B60&lt;&gt;"",ISNUMBER($R60)),IF(AND($R60&lt;='設定'!$B$6+N('設定'!$B$14),IF(ISNUMBER($I60),$I60,N($H60))&gt;0),$R60+ROW()/100000,""),"")</f>
        <v/>
      </c>
    </row>
    <row r="61" ht="18" customHeight="1">
      <c r="A61" s="22" t="n">
        <v>57</v>
      </c>
      <c r="B61" s="23" t="n"/>
      <c r="C61" s="24" t="n"/>
      <c r="D61" s="24" t="n"/>
      <c r="E61" s="23" t="n"/>
      <c r="F61" s="23" t="n"/>
      <c r="G61" s="25" t="n"/>
      <c r="H61" s="25" t="n"/>
      <c r="I61" s="25" t="n"/>
      <c r="J61" s="72">
        <f>IF(OR($B61="",$H61=""),"",N($G61)*$H61)</f>
        <v/>
      </c>
      <c r="K61" s="72">
        <f>IF(OR($B61="",$I61=""),"",N($G61)*$I61)</f>
        <v/>
      </c>
      <c r="L61" s="27">
        <f>IF(OR($B61="",$H61="",$I61=""),"",$I61-$H61)</f>
        <v/>
      </c>
      <c r="M61" s="72">
        <f>IF($L61="","",$L61*N($G61))</f>
        <v/>
      </c>
      <c r="N61" s="73">
        <f>IF($L61="","",IF($H61&gt;0,ROUND($L61/$H61,4),"－"))</f>
        <v/>
      </c>
      <c r="O61" s="29">
        <f>IF($B61="","",IF($L61="","未入力",IF($L61=0,"一致",IF(OR(NOT(ISNUMBER($N61)),AND('設定'!$B$10&lt;&gt;"",ABS(N($N61))&gt;'設定'!$B$10),AND('設定'!$B$11&lt;&gt;"",ABS(ROUND($M61,4))&gt;'設定'!$B$11),AND('設定'!$B$10="",'設定'!$B$11="")),"要確認","許容内"))))</f>
        <v/>
      </c>
      <c r="P61" s="29">
        <f>IF($O61&lt;&gt;"要確認","",IF($Q61=0,"済",IF(COUNTIF('差異の原因'!$B$5:$B$204,$B61)=0,"未記録","一部")))</f>
        <v/>
      </c>
      <c r="Q61" s="27">
        <f>IF($L61="","",IF(AND($L61=0,COUNTIF('差異の原因'!$B$5:$B$204,$B61)=0),"",ROUND($L61-SUMIF('差異の原因'!$B$5:$B$204,$B61,'差異の原因'!$G$5:$G$204),6)))</f>
        <v/>
      </c>
      <c r="R61" s="30" t="n"/>
      <c r="S61" s="23" t="n"/>
      <c r="T61" s="29">
        <f>IF(OR($B61="",NOT(ISNUMBER($R61))),"",IF(IF(ISNUMBER($I61),$I61,N($H61))&lt;=0,"",IF($R61&lt;'設定'!$B$6,"期限切れ",IF($R61='設定'!$B$6,"当日",IF($R61-'設定'!$B$6&lt;=N('設定'!$B$14),"あと"&amp;($R61-'設定'!$B$6)&amp;"日","")))))</f>
        <v/>
      </c>
      <c r="U61" s="61" t="n"/>
      <c r="V61" s="31">
        <f>IF(AND($B61&lt;&gt;"",$E61&lt;&gt;"",$E61='数える用紙'!$C$2),ROW(),"")</f>
        <v/>
      </c>
      <c r="W61" s="74">
        <f>IF(AND($B61&lt;&gt;"",ISNUMBER($R61)),IF(AND($R61&lt;='設定'!$B$6+N('設定'!$B$14),IF(ISNUMBER($I61),$I61,N($H61))&gt;0),$R61+ROW()/100000,""),"")</f>
        <v/>
      </c>
    </row>
    <row r="62" ht="18" customHeight="1">
      <c r="A62" s="22" t="n">
        <v>58</v>
      </c>
      <c r="B62" s="23" t="n"/>
      <c r="C62" s="24" t="n"/>
      <c r="D62" s="24" t="n"/>
      <c r="E62" s="23" t="n"/>
      <c r="F62" s="23" t="n"/>
      <c r="G62" s="25" t="n"/>
      <c r="H62" s="25" t="n"/>
      <c r="I62" s="25" t="n"/>
      <c r="J62" s="72">
        <f>IF(OR($B62="",$H62=""),"",N($G62)*$H62)</f>
        <v/>
      </c>
      <c r="K62" s="72">
        <f>IF(OR($B62="",$I62=""),"",N($G62)*$I62)</f>
        <v/>
      </c>
      <c r="L62" s="27">
        <f>IF(OR($B62="",$H62="",$I62=""),"",$I62-$H62)</f>
        <v/>
      </c>
      <c r="M62" s="72">
        <f>IF($L62="","",$L62*N($G62))</f>
        <v/>
      </c>
      <c r="N62" s="73">
        <f>IF($L62="","",IF($H62&gt;0,ROUND($L62/$H62,4),"－"))</f>
        <v/>
      </c>
      <c r="O62" s="29">
        <f>IF($B62="","",IF($L62="","未入力",IF($L62=0,"一致",IF(OR(NOT(ISNUMBER($N62)),AND('設定'!$B$10&lt;&gt;"",ABS(N($N62))&gt;'設定'!$B$10),AND('設定'!$B$11&lt;&gt;"",ABS(ROUND($M62,4))&gt;'設定'!$B$11),AND('設定'!$B$10="",'設定'!$B$11="")),"要確認","許容内"))))</f>
        <v/>
      </c>
      <c r="P62" s="29">
        <f>IF($O62&lt;&gt;"要確認","",IF($Q62=0,"済",IF(COUNTIF('差異の原因'!$B$5:$B$204,$B62)=0,"未記録","一部")))</f>
        <v/>
      </c>
      <c r="Q62" s="27">
        <f>IF($L62="","",IF(AND($L62=0,COUNTIF('差異の原因'!$B$5:$B$204,$B62)=0),"",ROUND($L62-SUMIF('差異の原因'!$B$5:$B$204,$B62,'差異の原因'!$G$5:$G$204),6)))</f>
        <v/>
      </c>
      <c r="R62" s="30" t="n"/>
      <c r="S62" s="23" t="n"/>
      <c r="T62" s="29">
        <f>IF(OR($B62="",NOT(ISNUMBER($R62))),"",IF(IF(ISNUMBER($I62),$I62,N($H62))&lt;=0,"",IF($R62&lt;'設定'!$B$6,"期限切れ",IF($R62='設定'!$B$6,"当日",IF($R62-'設定'!$B$6&lt;=N('設定'!$B$14),"あと"&amp;($R62-'設定'!$B$6)&amp;"日","")))))</f>
        <v/>
      </c>
      <c r="U62" s="61" t="n"/>
      <c r="V62" s="31">
        <f>IF(AND($B62&lt;&gt;"",$E62&lt;&gt;"",$E62='数える用紙'!$C$2),ROW(),"")</f>
        <v/>
      </c>
      <c r="W62" s="74">
        <f>IF(AND($B62&lt;&gt;"",ISNUMBER($R62)),IF(AND($R62&lt;='設定'!$B$6+N('設定'!$B$14),IF(ISNUMBER($I62),$I62,N($H62))&gt;0),$R62+ROW()/100000,""),"")</f>
        <v/>
      </c>
    </row>
    <row r="63" ht="18" customHeight="1">
      <c r="A63" s="22" t="n">
        <v>59</v>
      </c>
      <c r="B63" s="23" t="n"/>
      <c r="C63" s="24" t="n"/>
      <c r="D63" s="24" t="n"/>
      <c r="E63" s="23" t="n"/>
      <c r="F63" s="23" t="n"/>
      <c r="G63" s="25" t="n"/>
      <c r="H63" s="25" t="n"/>
      <c r="I63" s="25" t="n"/>
      <c r="J63" s="72">
        <f>IF(OR($B63="",$H63=""),"",N($G63)*$H63)</f>
        <v/>
      </c>
      <c r="K63" s="72">
        <f>IF(OR($B63="",$I63=""),"",N($G63)*$I63)</f>
        <v/>
      </c>
      <c r="L63" s="27">
        <f>IF(OR($B63="",$H63="",$I63=""),"",$I63-$H63)</f>
        <v/>
      </c>
      <c r="M63" s="72">
        <f>IF($L63="","",$L63*N($G63))</f>
        <v/>
      </c>
      <c r="N63" s="73">
        <f>IF($L63="","",IF($H63&gt;0,ROUND($L63/$H63,4),"－"))</f>
        <v/>
      </c>
      <c r="O63" s="29">
        <f>IF($B63="","",IF($L63="","未入力",IF($L63=0,"一致",IF(OR(NOT(ISNUMBER($N63)),AND('設定'!$B$10&lt;&gt;"",ABS(N($N63))&gt;'設定'!$B$10),AND('設定'!$B$11&lt;&gt;"",ABS(ROUND($M63,4))&gt;'設定'!$B$11),AND('設定'!$B$10="",'設定'!$B$11="")),"要確認","許容内"))))</f>
        <v/>
      </c>
      <c r="P63" s="29">
        <f>IF($O63&lt;&gt;"要確認","",IF($Q63=0,"済",IF(COUNTIF('差異の原因'!$B$5:$B$204,$B63)=0,"未記録","一部")))</f>
        <v/>
      </c>
      <c r="Q63" s="27">
        <f>IF($L63="","",IF(AND($L63=0,COUNTIF('差異の原因'!$B$5:$B$204,$B63)=0),"",ROUND($L63-SUMIF('差異の原因'!$B$5:$B$204,$B63,'差異の原因'!$G$5:$G$204),6)))</f>
        <v/>
      </c>
      <c r="R63" s="30" t="n"/>
      <c r="S63" s="23" t="n"/>
      <c r="T63" s="29">
        <f>IF(OR($B63="",NOT(ISNUMBER($R63))),"",IF(IF(ISNUMBER($I63),$I63,N($H63))&lt;=0,"",IF($R63&lt;'設定'!$B$6,"期限切れ",IF($R63='設定'!$B$6,"当日",IF($R63-'設定'!$B$6&lt;=N('設定'!$B$14),"あと"&amp;($R63-'設定'!$B$6)&amp;"日","")))))</f>
        <v/>
      </c>
      <c r="U63" s="61" t="n"/>
      <c r="V63" s="31">
        <f>IF(AND($B63&lt;&gt;"",$E63&lt;&gt;"",$E63='数える用紙'!$C$2),ROW(),"")</f>
        <v/>
      </c>
      <c r="W63" s="74">
        <f>IF(AND($B63&lt;&gt;"",ISNUMBER($R63)),IF(AND($R63&lt;='設定'!$B$6+N('設定'!$B$14),IF(ISNUMBER($I63),$I63,N($H63))&gt;0),$R63+ROW()/100000,""),"")</f>
        <v/>
      </c>
    </row>
    <row r="64" ht="18" customHeight="1">
      <c r="A64" s="22" t="n">
        <v>60</v>
      </c>
      <c r="B64" s="23" t="n"/>
      <c r="C64" s="24" t="n"/>
      <c r="D64" s="24" t="n"/>
      <c r="E64" s="23" t="n"/>
      <c r="F64" s="23" t="n"/>
      <c r="G64" s="25" t="n"/>
      <c r="H64" s="25" t="n"/>
      <c r="I64" s="25" t="n"/>
      <c r="J64" s="72">
        <f>IF(OR($B64="",$H64=""),"",N($G64)*$H64)</f>
        <v/>
      </c>
      <c r="K64" s="72">
        <f>IF(OR($B64="",$I64=""),"",N($G64)*$I64)</f>
        <v/>
      </c>
      <c r="L64" s="27">
        <f>IF(OR($B64="",$H64="",$I64=""),"",$I64-$H64)</f>
        <v/>
      </c>
      <c r="M64" s="72">
        <f>IF($L64="","",$L64*N($G64))</f>
        <v/>
      </c>
      <c r="N64" s="73">
        <f>IF($L64="","",IF($H64&gt;0,ROUND($L64/$H64,4),"－"))</f>
        <v/>
      </c>
      <c r="O64" s="29">
        <f>IF($B64="","",IF($L64="","未入力",IF($L64=0,"一致",IF(OR(NOT(ISNUMBER($N64)),AND('設定'!$B$10&lt;&gt;"",ABS(N($N64))&gt;'設定'!$B$10),AND('設定'!$B$11&lt;&gt;"",ABS(ROUND($M64,4))&gt;'設定'!$B$11),AND('設定'!$B$10="",'設定'!$B$11="")),"要確認","許容内"))))</f>
        <v/>
      </c>
      <c r="P64" s="29">
        <f>IF($O64&lt;&gt;"要確認","",IF($Q64=0,"済",IF(COUNTIF('差異の原因'!$B$5:$B$204,$B64)=0,"未記録","一部")))</f>
        <v/>
      </c>
      <c r="Q64" s="27">
        <f>IF($L64="","",IF(AND($L64=0,COUNTIF('差異の原因'!$B$5:$B$204,$B64)=0),"",ROUND($L64-SUMIF('差異の原因'!$B$5:$B$204,$B64,'差異の原因'!$G$5:$G$204),6)))</f>
        <v/>
      </c>
      <c r="R64" s="30" t="n"/>
      <c r="S64" s="23" t="n"/>
      <c r="T64" s="29">
        <f>IF(OR($B64="",NOT(ISNUMBER($R64))),"",IF(IF(ISNUMBER($I64),$I64,N($H64))&lt;=0,"",IF($R64&lt;'設定'!$B$6,"期限切れ",IF($R64='設定'!$B$6,"当日",IF($R64-'設定'!$B$6&lt;=N('設定'!$B$14),"あと"&amp;($R64-'設定'!$B$6)&amp;"日","")))))</f>
        <v/>
      </c>
      <c r="U64" s="61" t="n"/>
      <c r="V64" s="31">
        <f>IF(AND($B64&lt;&gt;"",$E64&lt;&gt;"",$E64='数える用紙'!$C$2),ROW(),"")</f>
        <v/>
      </c>
      <c r="W64" s="74">
        <f>IF(AND($B64&lt;&gt;"",ISNUMBER($R64)),IF(AND($R64&lt;='設定'!$B$6+N('設定'!$B$14),IF(ISNUMBER($I64),$I64,N($H64))&gt;0),$R64+ROW()/100000,""),"")</f>
        <v/>
      </c>
    </row>
    <row r="65" ht="18" customHeight="1">
      <c r="A65" s="22" t="n">
        <v>61</v>
      </c>
      <c r="B65" s="23" t="n"/>
      <c r="C65" s="24" t="n"/>
      <c r="D65" s="24" t="n"/>
      <c r="E65" s="23" t="n"/>
      <c r="F65" s="23" t="n"/>
      <c r="G65" s="25" t="n"/>
      <c r="H65" s="25" t="n"/>
      <c r="I65" s="25" t="n"/>
      <c r="J65" s="72">
        <f>IF(OR($B65="",$H65=""),"",N($G65)*$H65)</f>
        <v/>
      </c>
      <c r="K65" s="72">
        <f>IF(OR($B65="",$I65=""),"",N($G65)*$I65)</f>
        <v/>
      </c>
      <c r="L65" s="27">
        <f>IF(OR($B65="",$H65="",$I65=""),"",$I65-$H65)</f>
        <v/>
      </c>
      <c r="M65" s="72">
        <f>IF($L65="","",$L65*N($G65))</f>
        <v/>
      </c>
      <c r="N65" s="73">
        <f>IF($L65="","",IF($H65&gt;0,ROUND($L65/$H65,4),"－"))</f>
        <v/>
      </c>
      <c r="O65" s="29">
        <f>IF($B65="","",IF($L65="","未入力",IF($L65=0,"一致",IF(OR(NOT(ISNUMBER($N65)),AND('設定'!$B$10&lt;&gt;"",ABS(N($N65))&gt;'設定'!$B$10),AND('設定'!$B$11&lt;&gt;"",ABS(ROUND($M65,4))&gt;'設定'!$B$11),AND('設定'!$B$10="",'設定'!$B$11="")),"要確認","許容内"))))</f>
        <v/>
      </c>
      <c r="P65" s="29">
        <f>IF($O65&lt;&gt;"要確認","",IF($Q65=0,"済",IF(COUNTIF('差異の原因'!$B$5:$B$204,$B65)=0,"未記録","一部")))</f>
        <v/>
      </c>
      <c r="Q65" s="27">
        <f>IF($L65="","",IF(AND($L65=0,COUNTIF('差異の原因'!$B$5:$B$204,$B65)=0),"",ROUND($L65-SUMIF('差異の原因'!$B$5:$B$204,$B65,'差異の原因'!$G$5:$G$204),6)))</f>
        <v/>
      </c>
      <c r="R65" s="30" t="n"/>
      <c r="S65" s="23" t="n"/>
      <c r="T65" s="29">
        <f>IF(OR($B65="",NOT(ISNUMBER($R65))),"",IF(IF(ISNUMBER($I65),$I65,N($H65))&lt;=0,"",IF($R65&lt;'設定'!$B$6,"期限切れ",IF($R65='設定'!$B$6,"当日",IF($R65-'設定'!$B$6&lt;=N('設定'!$B$14),"あと"&amp;($R65-'設定'!$B$6)&amp;"日","")))))</f>
        <v/>
      </c>
      <c r="U65" s="61" t="n"/>
      <c r="V65" s="31">
        <f>IF(AND($B65&lt;&gt;"",$E65&lt;&gt;"",$E65='数える用紙'!$C$2),ROW(),"")</f>
        <v/>
      </c>
      <c r="W65" s="74">
        <f>IF(AND($B65&lt;&gt;"",ISNUMBER($R65)),IF(AND($R65&lt;='設定'!$B$6+N('設定'!$B$14),IF(ISNUMBER($I65),$I65,N($H65))&gt;0),$R65+ROW()/100000,""),"")</f>
        <v/>
      </c>
    </row>
    <row r="66" ht="18" customHeight="1">
      <c r="A66" s="22" t="n">
        <v>62</v>
      </c>
      <c r="B66" s="23" t="n"/>
      <c r="C66" s="24" t="n"/>
      <c r="D66" s="24" t="n"/>
      <c r="E66" s="23" t="n"/>
      <c r="F66" s="23" t="n"/>
      <c r="G66" s="25" t="n"/>
      <c r="H66" s="25" t="n"/>
      <c r="I66" s="25" t="n"/>
      <c r="J66" s="72">
        <f>IF(OR($B66="",$H66=""),"",N($G66)*$H66)</f>
        <v/>
      </c>
      <c r="K66" s="72">
        <f>IF(OR($B66="",$I66=""),"",N($G66)*$I66)</f>
        <v/>
      </c>
      <c r="L66" s="27">
        <f>IF(OR($B66="",$H66="",$I66=""),"",$I66-$H66)</f>
        <v/>
      </c>
      <c r="M66" s="72">
        <f>IF($L66="","",$L66*N($G66))</f>
        <v/>
      </c>
      <c r="N66" s="73">
        <f>IF($L66="","",IF($H66&gt;0,ROUND($L66/$H66,4),"－"))</f>
        <v/>
      </c>
      <c r="O66" s="29">
        <f>IF($B66="","",IF($L66="","未入力",IF($L66=0,"一致",IF(OR(NOT(ISNUMBER($N66)),AND('設定'!$B$10&lt;&gt;"",ABS(N($N66))&gt;'設定'!$B$10),AND('設定'!$B$11&lt;&gt;"",ABS(ROUND($M66,4))&gt;'設定'!$B$11),AND('設定'!$B$10="",'設定'!$B$11="")),"要確認","許容内"))))</f>
        <v/>
      </c>
      <c r="P66" s="29">
        <f>IF($O66&lt;&gt;"要確認","",IF($Q66=0,"済",IF(COUNTIF('差異の原因'!$B$5:$B$204,$B66)=0,"未記録","一部")))</f>
        <v/>
      </c>
      <c r="Q66" s="27">
        <f>IF($L66="","",IF(AND($L66=0,COUNTIF('差異の原因'!$B$5:$B$204,$B66)=0),"",ROUND($L66-SUMIF('差異の原因'!$B$5:$B$204,$B66,'差異の原因'!$G$5:$G$204),6)))</f>
        <v/>
      </c>
      <c r="R66" s="30" t="n"/>
      <c r="S66" s="23" t="n"/>
      <c r="T66" s="29">
        <f>IF(OR($B66="",NOT(ISNUMBER($R66))),"",IF(IF(ISNUMBER($I66),$I66,N($H66))&lt;=0,"",IF($R66&lt;'設定'!$B$6,"期限切れ",IF($R66='設定'!$B$6,"当日",IF($R66-'設定'!$B$6&lt;=N('設定'!$B$14),"あと"&amp;($R66-'設定'!$B$6)&amp;"日","")))))</f>
        <v/>
      </c>
      <c r="U66" s="61" t="n"/>
      <c r="V66" s="31">
        <f>IF(AND($B66&lt;&gt;"",$E66&lt;&gt;"",$E66='数える用紙'!$C$2),ROW(),"")</f>
        <v/>
      </c>
      <c r="W66" s="74">
        <f>IF(AND($B66&lt;&gt;"",ISNUMBER($R66)),IF(AND($R66&lt;='設定'!$B$6+N('設定'!$B$14),IF(ISNUMBER($I66),$I66,N($H66))&gt;0),$R66+ROW()/100000,""),"")</f>
        <v/>
      </c>
    </row>
    <row r="67" ht="18" customHeight="1">
      <c r="A67" s="22" t="n">
        <v>63</v>
      </c>
      <c r="B67" s="23" t="n"/>
      <c r="C67" s="24" t="n"/>
      <c r="D67" s="24" t="n"/>
      <c r="E67" s="23" t="n"/>
      <c r="F67" s="23" t="n"/>
      <c r="G67" s="25" t="n"/>
      <c r="H67" s="25" t="n"/>
      <c r="I67" s="25" t="n"/>
      <c r="J67" s="72">
        <f>IF(OR($B67="",$H67=""),"",N($G67)*$H67)</f>
        <v/>
      </c>
      <c r="K67" s="72">
        <f>IF(OR($B67="",$I67=""),"",N($G67)*$I67)</f>
        <v/>
      </c>
      <c r="L67" s="27">
        <f>IF(OR($B67="",$H67="",$I67=""),"",$I67-$H67)</f>
        <v/>
      </c>
      <c r="M67" s="72">
        <f>IF($L67="","",$L67*N($G67))</f>
        <v/>
      </c>
      <c r="N67" s="73">
        <f>IF($L67="","",IF($H67&gt;0,ROUND($L67/$H67,4),"－"))</f>
        <v/>
      </c>
      <c r="O67" s="29">
        <f>IF($B67="","",IF($L67="","未入力",IF($L67=0,"一致",IF(OR(NOT(ISNUMBER($N67)),AND('設定'!$B$10&lt;&gt;"",ABS(N($N67))&gt;'設定'!$B$10),AND('設定'!$B$11&lt;&gt;"",ABS(ROUND($M67,4))&gt;'設定'!$B$11),AND('設定'!$B$10="",'設定'!$B$11="")),"要確認","許容内"))))</f>
        <v/>
      </c>
      <c r="P67" s="29">
        <f>IF($O67&lt;&gt;"要確認","",IF($Q67=0,"済",IF(COUNTIF('差異の原因'!$B$5:$B$204,$B67)=0,"未記録","一部")))</f>
        <v/>
      </c>
      <c r="Q67" s="27">
        <f>IF($L67="","",IF(AND($L67=0,COUNTIF('差異の原因'!$B$5:$B$204,$B67)=0),"",ROUND($L67-SUMIF('差異の原因'!$B$5:$B$204,$B67,'差異の原因'!$G$5:$G$204),6)))</f>
        <v/>
      </c>
      <c r="R67" s="30" t="n"/>
      <c r="S67" s="23" t="n"/>
      <c r="T67" s="29">
        <f>IF(OR($B67="",NOT(ISNUMBER($R67))),"",IF(IF(ISNUMBER($I67),$I67,N($H67))&lt;=0,"",IF($R67&lt;'設定'!$B$6,"期限切れ",IF($R67='設定'!$B$6,"当日",IF($R67-'設定'!$B$6&lt;=N('設定'!$B$14),"あと"&amp;($R67-'設定'!$B$6)&amp;"日","")))))</f>
        <v/>
      </c>
      <c r="U67" s="61" t="n"/>
      <c r="V67" s="31">
        <f>IF(AND($B67&lt;&gt;"",$E67&lt;&gt;"",$E67='数える用紙'!$C$2),ROW(),"")</f>
        <v/>
      </c>
      <c r="W67" s="74">
        <f>IF(AND($B67&lt;&gt;"",ISNUMBER($R67)),IF(AND($R67&lt;='設定'!$B$6+N('設定'!$B$14),IF(ISNUMBER($I67),$I67,N($H67))&gt;0),$R67+ROW()/100000,""),"")</f>
        <v/>
      </c>
    </row>
    <row r="68" ht="18" customHeight="1">
      <c r="A68" s="22" t="n">
        <v>64</v>
      </c>
      <c r="B68" s="23" t="n"/>
      <c r="C68" s="24" t="n"/>
      <c r="D68" s="24" t="n"/>
      <c r="E68" s="23" t="n"/>
      <c r="F68" s="23" t="n"/>
      <c r="G68" s="25" t="n"/>
      <c r="H68" s="25" t="n"/>
      <c r="I68" s="25" t="n"/>
      <c r="J68" s="72">
        <f>IF(OR($B68="",$H68=""),"",N($G68)*$H68)</f>
        <v/>
      </c>
      <c r="K68" s="72">
        <f>IF(OR($B68="",$I68=""),"",N($G68)*$I68)</f>
        <v/>
      </c>
      <c r="L68" s="27">
        <f>IF(OR($B68="",$H68="",$I68=""),"",$I68-$H68)</f>
        <v/>
      </c>
      <c r="M68" s="72">
        <f>IF($L68="","",$L68*N($G68))</f>
        <v/>
      </c>
      <c r="N68" s="73">
        <f>IF($L68="","",IF($H68&gt;0,ROUND($L68/$H68,4),"－"))</f>
        <v/>
      </c>
      <c r="O68" s="29">
        <f>IF($B68="","",IF($L68="","未入力",IF($L68=0,"一致",IF(OR(NOT(ISNUMBER($N68)),AND('設定'!$B$10&lt;&gt;"",ABS(N($N68))&gt;'設定'!$B$10),AND('設定'!$B$11&lt;&gt;"",ABS(ROUND($M68,4))&gt;'設定'!$B$11),AND('設定'!$B$10="",'設定'!$B$11="")),"要確認","許容内"))))</f>
        <v/>
      </c>
      <c r="P68" s="29">
        <f>IF($O68&lt;&gt;"要確認","",IF($Q68=0,"済",IF(COUNTIF('差異の原因'!$B$5:$B$204,$B68)=0,"未記録","一部")))</f>
        <v/>
      </c>
      <c r="Q68" s="27">
        <f>IF($L68="","",IF(AND($L68=0,COUNTIF('差異の原因'!$B$5:$B$204,$B68)=0),"",ROUND($L68-SUMIF('差異の原因'!$B$5:$B$204,$B68,'差異の原因'!$G$5:$G$204),6)))</f>
        <v/>
      </c>
      <c r="R68" s="30" t="n"/>
      <c r="S68" s="23" t="n"/>
      <c r="T68" s="29">
        <f>IF(OR($B68="",NOT(ISNUMBER($R68))),"",IF(IF(ISNUMBER($I68),$I68,N($H68))&lt;=0,"",IF($R68&lt;'設定'!$B$6,"期限切れ",IF($R68='設定'!$B$6,"当日",IF($R68-'設定'!$B$6&lt;=N('設定'!$B$14),"あと"&amp;($R68-'設定'!$B$6)&amp;"日","")))))</f>
        <v/>
      </c>
      <c r="U68" s="61" t="n"/>
      <c r="V68" s="31">
        <f>IF(AND($B68&lt;&gt;"",$E68&lt;&gt;"",$E68='数える用紙'!$C$2),ROW(),"")</f>
        <v/>
      </c>
      <c r="W68" s="74">
        <f>IF(AND($B68&lt;&gt;"",ISNUMBER($R68)),IF(AND($R68&lt;='設定'!$B$6+N('設定'!$B$14),IF(ISNUMBER($I68),$I68,N($H68))&gt;0),$R68+ROW()/100000,""),"")</f>
        <v/>
      </c>
    </row>
    <row r="69" ht="18" customHeight="1">
      <c r="A69" s="22" t="n">
        <v>65</v>
      </c>
      <c r="B69" s="23" t="n"/>
      <c r="C69" s="24" t="n"/>
      <c r="D69" s="24" t="n"/>
      <c r="E69" s="23" t="n"/>
      <c r="F69" s="23" t="n"/>
      <c r="G69" s="25" t="n"/>
      <c r="H69" s="25" t="n"/>
      <c r="I69" s="25" t="n"/>
      <c r="J69" s="72">
        <f>IF(OR($B69="",$H69=""),"",N($G69)*$H69)</f>
        <v/>
      </c>
      <c r="K69" s="72">
        <f>IF(OR($B69="",$I69=""),"",N($G69)*$I69)</f>
        <v/>
      </c>
      <c r="L69" s="27">
        <f>IF(OR($B69="",$H69="",$I69=""),"",$I69-$H69)</f>
        <v/>
      </c>
      <c r="M69" s="72">
        <f>IF($L69="","",$L69*N($G69))</f>
        <v/>
      </c>
      <c r="N69" s="73">
        <f>IF($L69="","",IF($H69&gt;0,ROUND($L69/$H69,4),"－"))</f>
        <v/>
      </c>
      <c r="O69" s="29">
        <f>IF($B69="","",IF($L69="","未入力",IF($L69=0,"一致",IF(OR(NOT(ISNUMBER($N69)),AND('設定'!$B$10&lt;&gt;"",ABS(N($N69))&gt;'設定'!$B$10),AND('設定'!$B$11&lt;&gt;"",ABS(ROUND($M69,4))&gt;'設定'!$B$11),AND('設定'!$B$10="",'設定'!$B$11="")),"要確認","許容内"))))</f>
        <v/>
      </c>
      <c r="P69" s="29">
        <f>IF($O69&lt;&gt;"要確認","",IF($Q69=0,"済",IF(COUNTIF('差異の原因'!$B$5:$B$204,$B69)=0,"未記録","一部")))</f>
        <v/>
      </c>
      <c r="Q69" s="27">
        <f>IF($L69="","",IF(AND($L69=0,COUNTIF('差異の原因'!$B$5:$B$204,$B69)=0),"",ROUND($L69-SUMIF('差異の原因'!$B$5:$B$204,$B69,'差異の原因'!$G$5:$G$204),6)))</f>
        <v/>
      </c>
      <c r="R69" s="30" t="n"/>
      <c r="S69" s="23" t="n"/>
      <c r="T69" s="29">
        <f>IF(OR($B69="",NOT(ISNUMBER($R69))),"",IF(IF(ISNUMBER($I69),$I69,N($H69))&lt;=0,"",IF($R69&lt;'設定'!$B$6,"期限切れ",IF($R69='設定'!$B$6,"当日",IF($R69-'設定'!$B$6&lt;=N('設定'!$B$14),"あと"&amp;($R69-'設定'!$B$6)&amp;"日","")))))</f>
        <v/>
      </c>
      <c r="U69" s="61" t="n"/>
      <c r="V69" s="31">
        <f>IF(AND($B69&lt;&gt;"",$E69&lt;&gt;"",$E69='数える用紙'!$C$2),ROW(),"")</f>
        <v/>
      </c>
      <c r="W69" s="74">
        <f>IF(AND($B69&lt;&gt;"",ISNUMBER($R69)),IF(AND($R69&lt;='設定'!$B$6+N('設定'!$B$14),IF(ISNUMBER($I69),$I69,N($H69))&gt;0),$R69+ROW()/100000,""),"")</f>
        <v/>
      </c>
    </row>
    <row r="70" ht="18" customHeight="1">
      <c r="A70" s="22" t="n">
        <v>66</v>
      </c>
      <c r="B70" s="23" t="n"/>
      <c r="C70" s="24" t="n"/>
      <c r="D70" s="24" t="n"/>
      <c r="E70" s="23" t="n"/>
      <c r="F70" s="23" t="n"/>
      <c r="G70" s="25" t="n"/>
      <c r="H70" s="25" t="n"/>
      <c r="I70" s="25" t="n"/>
      <c r="J70" s="72">
        <f>IF(OR($B70="",$H70=""),"",N($G70)*$H70)</f>
        <v/>
      </c>
      <c r="K70" s="72">
        <f>IF(OR($B70="",$I70=""),"",N($G70)*$I70)</f>
        <v/>
      </c>
      <c r="L70" s="27">
        <f>IF(OR($B70="",$H70="",$I70=""),"",$I70-$H70)</f>
        <v/>
      </c>
      <c r="M70" s="72">
        <f>IF($L70="","",$L70*N($G70))</f>
        <v/>
      </c>
      <c r="N70" s="73">
        <f>IF($L70="","",IF($H70&gt;0,ROUND($L70/$H70,4),"－"))</f>
        <v/>
      </c>
      <c r="O70" s="29">
        <f>IF($B70="","",IF($L70="","未入力",IF($L70=0,"一致",IF(OR(NOT(ISNUMBER($N70)),AND('設定'!$B$10&lt;&gt;"",ABS(N($N70))&gt;'設定'!$B$10),AND('設定'!$B$11&lt;&gt;"",ABS(ROUND($M70,4))&gt;'設定'!$B$11),AND('設定'!$B$10="",'設定'!$B$11="")),"要確認","許容内"))))</f>
        <v/>
      </c>
      <c r="P70" s="29">
        <f>IF($O70&lt;&gt;"要確認","",IF($Q70=0,"済",IF(COUNTIF('差異の原因'!$B$5:$B$204,$B70)=0,"未記録","一部")))</f>
        <v/>
      </c>
      <c r="Q70" s="27">
        <f>IF($L70="","",IF(AND($L70=0,COUNTIF('差異の原因'!$B$5:$B$204,$B70)=0),"",ROUND($L70-SUMIF('差異の原因'!$B$5:$B$204,$B70,'差異の原因'!$G$5:$G$204),6)))</f>
        <v/>
      </c>
      <c r="R70" s="30" t="n"/>
      <c r="S70" s="23" t="n"/>
      <c r="T70" s="29">
        <f>IF(OR($B70="",NOT(ISNUMBER($R70))),"",IF(IF(ISNUMBER($I70),$I70,N($H70))&lt;=0,"",IF($R70&lt;'設定'!$B$6,"期限切れ",IF($R70='設定'!$B$6,"当日",IF($R70-'設定'!$B$6&lt;=N('設定'!$B$14),"あと"&amp;($R70-'設定'!$B$6)&amp;"日","")))))</f>
        <v/>
      </c>
      <c r="U70" s="61" t="n"/>
      <c r="V70" s="31">
        <f>IF(AND($B70&lt;&gt;"",$E70&lt;&gt;"",$E70='数える用紙'!$C$2),ROW(),"")</f>
        <v/>
      </c>
      <c r="W70" s="74">
        <f>IF(AND($B70&lt;&gt;"",ISNUMBER($R70)),IF(AND($R70&lt;='設定'!$B$6+N('設定'!$B$14),IF(ISNUMBER($I70),$I70,N($H70))&gt;0),$R70+ROW()/100000,""),"")</f>
        <v/>
      </c>
    </row>
    <row r="71" ht="18" customHeight="1">
      <c r="A71" s="22" t="n">
        <v>67</v>
      </c>
      <c r="B71" s="23" t="n"/>
      <c r="C71" s="24" t="n"/>
      <c r="D71" s="24" t="n"/>
      <c r="E71" s="23" t="n"/>
      <c r="F71" s="23" t="n"/>
      <c r="G71" s="25" t="n"/>
      <c r="H71" s="25" t="n"/>
      <c r="I71" s="25" t="n"/>
      <c r="J71" s="72">
        <f>IF(OR($B71="",$H71=""),"",N($G71)*$H71)</f>
        <v/>
      </c>
      <c r="K71" s="72">
        <f>IF(OR($B71="",$I71=""),"",N($G71)*$I71)</f>
        <v/>
      </c>
      <c r="L71" s="27">
        <f>IF(OR($B71="",$H71="",$I71=""),"",$I71-$H71)</f>
        <v/>
      </c>
      <c r="M71" s="72">
        <f>IF($L71="","",$L71*N($G71))</f>
        <v/>
      </c>
      <c r="N71" s="73">
        <f>IF($L71="","",IF($H71&gt;0,ROUND($L71/$H71,4),"－"))</f>
        <v/>
      </c>
      <c r="O71" s="29">
        <f>IF($B71="","",IF($L71="","未入力",IF($L71=0,"一致",IF(OR(NOT(ISNUMBER($N71)),AND('設定'!$B$10&lt;&gt;"",ABS(N($N71))&gt;'設定'!$B$10),AND('設定'!$B$11&lt;&gt;"",ABS(ROUND($M71,4))&gt;'設定'!$B$11),AND('設定'!$B$10="",'設定'!$B$11="")),"要確認","許容内"))))</f>
        <v/>
      </c>
      <c r="P71" s="29">
        <f>IF($O71&lt;&gt;"要確認","",IF($Q71=0,"済",IF(COUNTIF('差異の原因'!$B$5:$B$204,$B71)=0,"未記録","一部")))</f>
        <v/>
      </c>
      <c r="Q71" s="27">
        <f>IF($L71="","",IF(AND($L71=0,COUNTIF('差異の原因'!$B$5:$B$204,$B71)=0),"",ROUND($L71-SUMIF('差異の原因'!$B$5:$B$204,$B71,'差異の原因'!$G$5:$G$204),6)))</f>
        <v/>
      </c>
      <c r="R71" s="30" t="n"/>
      <c r="S71" s="23" t="n"/>
      <c r="T71" s="29">
        <f>IF(OR($B71="",NOT(ISNUMBER($R71))),"",IF(IF(ISNUMBER($I71),$I71,N($H71))&lt;=0,"",IF($R71&lt;'設定'!$B$6,"期限切れ",IF($R71='設定'!$B$6,"当日",IF($R71-'設定'!$B$6&lt;=N('設定'!$B$14),"あと"&amp;($R71-'設定'!$B$6)&amp;"日","")))))</f>
        <v/>
      </c>
      <c r="U71" s="61" t="n"/>
      <c r="V71" s="31">
        <f>IF(AND($B71&lt;&gt;"",$E71&lt;&gt;"",$E71='数える用紙'!$C$2),ROW(),"")</f>
        <v/>
      </c>
      <c r="W71" s="74">
        <f>IF(AND($B71&lt;&gt;"",ISNUMBER($R71)),IF(AND($R71&lt;='設定'!$B$6+N('設定'!$B$14),IF(ISNUMBER($I71),$I71,N($H71))&gt;0),$R71+ROW()/100000,""),"")</f>
        <v/>
      </c>
    </row>
    <row r="72" ht="18" customHeight="1">
      <c r="A72" s="22" t="n">
        <v>68</v>
      </c>
      <c r="B72" s="23" t="n"/>
      <c r="C72" s="24" t="n"/>
      <c r="D72" s="24" t="n"/>
      <c r="E72" s="23" t="n"/>
      <c r="F72" s="23" t="n"/>
      <c r="G72" s="25" t="n"/>
      <c r="H72" s="25" t="n"/>
      <c r="I72" s="25" t="n"/>
      <c r="J72" s="72">
        <f>IF(OR($B72="",$H72=""),"",N($G72)*$H72)</f>
        <v/>
      </c>
      <c r="K72" s="72">
        <f>IF(OR($B72="",$I72=""),"",N($G72)*$I72)</f>
        <v/>
      </c>
      <c r="L72" s="27">
        <f>IF(OR($B72="",$H72="",$I72=""),"",$I72-$H72)</f>
        <v/>
      </c>
      <c r="M72" s="72">
        <f>IF($L72="","",$L72*N($G72))</f>
        <v/>
      </c>
      <c r="N72" s="73">
        <f>IF($L72="","",IF($H72&gt;0,ROUND($L72/$H72,4),"－"))</f>
        <v/>
      </c>
      <c r="O72" s="29">
        <f>IF($B72="","",IF($L72="","未入力",IF($L72=0,"一致",IF(OR(NOT(ISNUMBER($N72)),AND('設定'!$B$10&lt;&gt;"",ABS(N($N72))&gt;'設定'!$B$10),AND('設定'!$B$11&lt;&gt;"",ABS(ROUND($M72,4))&gt;'設定'!$B$11),AND('設定'!$B$10="",'設定'!$B$11="")),"要確認","許容内"))))</f>
        <v/>
      </c>
      <c r="P72" s="29">
        <f>IF($O72&lt;&gt;"要確認","",IF($Q72=0,"済",IF(COUNTIF('差異の原因'!$B$5:$B$204,$B72)=0,"未記録","一部")))</f>
        <v/>
      </c>
      <c r="Q72" s="27">
        <f>IF($L72="","",IF(AND($L72=0,COUNTIF('差異の原因'!$B$5:$B$204,$B72)=0),"",ROUND($L72-SUMIF('差異の原因'!$B$5:$B$204,$B72,'差異の原因'!$G$5:$G$204),6)))</f>
        <v/>
      </c>
      <c r="R72" s="30" t="n"/>
      <c r="S72" s="23" t="n"/>
      <c r="T72" s="29">
        <f>IF(OR($B72="",NOT(ISNUMBER($R72))),"",IF(IF(ISNUMBER($I72),$I72,N($H72))&lt;=0,"",IF($R72&lt;'設定'!$B$6,"期限切れ",IF($R72='設定'!$B$6,"当日",IF($R72-'設定'!$B$6&lt;=N('設定'!$B$14),"あと"&amp;($R72-'設定'!$B$6)&amp;"日","")))))</f>
        <v/>
      </c>
      <c r="U72" s="61" t="n"/>
      <c r="V72" s="31">
        <f>IF(AND($B72&lt;&gt;"",$E72&lt;&gt;"",$E72='数える用紙'!$C$2),ROW(),"")</f>
        <v/>
      </c>
      <c r="W72" s="74">
        <f>IF(AND($B72&lt;&gt;"",ISNUMBER($R72)),IF(AND($R72&lt;='設定'!$B$6+N('設定'!$B$14),IF(ISNUMBER($I72),$I72,N($H72))&gt;0),$R72+ROW()/100000,""),"")</f>
        <v/>
      </c>
    </row>
    <row r="73" ht="18" customHeight="1">
      <c r="A73" s="22" t="n">
        <v>69</v>
      </c>
      <c r="B73" s="23" t="n"/>
      <c r="C73" s="24" t="n"/>
      <c r="D73" s="24" t="n"/>
      <c r="E73" s="23" t="n"/>
      <c r="F73" s="23" t="n"/>
      <c r="G73" s="25" t="n"/>
      <c r="H73" s="25" t="n"/>
      <c r="I73" s="25" t="n"/>
      <c r="J73" s="72">
        <f>IF(OR($B73="",$H73=""),"",N($G73)*$H73)</f>
        <v/>
      </c>
      <c r="K73" s="72">
        <f>IF(OR($B73="",$I73=""),"",N($G73)*$I73)</f>
        <v/>
      </c>
      <c r="L73" s="27">
        <f>IF(OR($B73="",$H73="",$I73=""),"",$I73-$H73)</f>
        <v/>
      </c>
      <c r="M73" s="72">
        <f>IF($L73="","",$L73*N($G73))</f>
        <v/>
      </c>
      <c r="N73" s="73">
        <f>IF($L73="","",IF($H73&gt;0,ROUND($L73/$H73,4),"－"))</f>
        <v/>
      </c>
      <c r="O73" s="29">
        <f>IF($B73="","",IF($L73="","未入力",IF($L73=0,"一致",IF(OR(NOT(ISNUMBER($N73)),AND('設定'!$B$10&lt;&gt;"",ABS(N($N73))&gt;'設定'!$B$10),AND('設定'!$B$11&lt;&gt;"",ABS(ROUND($M73,4))&gt;'設定'!$B$11),AND('設定'!$B$10="",'設定'!$B$11="")),"要確認","許容内"))))</f>
        <v/>
      </c>
      <c r="P73" s="29">
        <f>IF($O73&lt;&gt;"要確認","",IF($Q73=0,"済",IF(COUNTIF('差異の原因'!$B$5:$B$204,$B73)=0,"未記録","一部")))</f>
        <v/>
      </c>
      <c r="Q73" s="27">
        <f>IF($L73="","",IF(AND($L73=0,COUNTIF('差異の原因'!$B$5:$B$204,$B73)=0),"",ROUND($L73-SUMIF('差異の原因'!$B$5:$B$204,$B73,'差異の原因'!$G$5:$G$204),6)))</f>
        <v/>
      </c>
      <c r="R73" s="30" t="n"/>
      <c r="S73" s="23" t="n"/>
      <c r="T73" s="29">
        <f>IF(OR($B73="",NOT(ISNUMBER($R73))),"",IF(IF(ISNUMBER($I73),$I73,N($H73))&lt;=0,"",IF($R73&lt;'設定'!$B$6,"期限切れ",IF($R73='設定'!$B$6,"当日",IF($R73-'設定'!$B$6&lt;=N('設定'!$B$14),"あと"&amp;($R73-'設定'!$B$6)&amp;"日","")))))</f>
        <v/>
      </c>
      <c r="U73" s="61" t="n"/>
      <c r="V73" s="31">
        <f>IF(AND($B73&lt;&gt;"",$E73&lt;&gt;"",$E73='数える用紙'!$C$2),ROW(),"")</f>
        <v/>
      </c>
      <c r="W73" s="74">
        <f>IF(AND($B73&lt;&gt;"",ISNUMBER($R73)),IF(AND($R73&lt;='設定'!$B$6+N('設定'!$B$14),IF(ISNUMBER($I73),$I73,N($H73))&gt;0),$R73+ROW()/100000,""),"")</f>
        <v/>
      </c>
    </row>
    <row r="74" ht="18" customHeight="1">
      <c r="A74" s="22" t="n">
        <v>70</v>
      </c>
      <c r="B74" s="23" t="n"/>
      <c r="C74" s="24" t="n"/>
      <c r="D74" s="24" t="n"/>
      <c r="E74" s="23" t="n"/>
      <c r="F74" s="23" t="n"/>
      <c r="G74" s="25" t="n"/>
      <c r="H74" s="25" t="n"/>
      <c r="I74" s="25" t="n"/>
      <c r="J74" s="72">
        <f>IF(OR($B74="",$H74=""),"",N($G74)*$H74)</f>
        <v/>
      </c>
      <c r="K74" s="72">
        <f>IF(OR($B74="",$I74=""),"",N($G74)*$I74)</f>
        <v/>
      </c>
      <c r="L74" s="27">
        <f>IF(OR($B74="",$H74="",$I74=""),"",$I74-$H74)</f>
        <v/>
      </c>
      <c r="M74" s="72">
        <f>IF($L74="","",$L74*N($G74))</f>
        <v/>
      </c>
      <c r="N74" s="73">
        <f>IF($L74="","",IF($H74&gt;0,ROUND($L74/$H74,4),"－"))</f>
        <v/>
      </c>
      <c r="O74" s="29">
        <f>IF($B74="","",IF($L74="","未入力",IF($L74=0,"一致",IF(OR(NOT(ISNUMBER($N74)),AND('設定'!$B$10&lt;&gt;"",ABS(N($N74))&gt;'設定'!$B$10),AND('設定'!$B$11&lt;&gt;"",ABS(ROUND($M74,4))&gt;'設定'!$B$11),AND('設定'!$B$10="",'設定'!$B$11="")),"要確認","許容内"))))</f>
        <v/>
      </c>
      <c r="P74" s="29">
        <f>IF($O74&lt;&gt;"要確認","",IF($Q74=0,"済",IF(COUNTIF('差異の原因'!$B$5:$B$204,$B74)=0,"未記録","一部")))</f>
        <v/>
      </c>
      <c r="Q74" s="27">
        <f>IF($L74="","",IF(AND($L74=0,COUNTIF('差異の原因'!$B$5:$B$204,$B74)=0),"",ROUND($L74-SUMIF('差異の原因'!$B$5:$B$204,$B74,'差異の原因'!$G$5:$G$204),6)))</f>
        <v/>
      </c>
      <c r="R74" s="30" t="n"/>
      <c r="S74" s="23" t="n"/>
      <c r="T74" s="29">
        <f>IF(OR($B74="",NOT(ISNUMBER($R74))),"",IF(IF(ISNUMBER($I74),$I74,N($H74))&lt;=0,"",IF($R74&lt;'設定'!$B$6,"期限切れ",IF($R74='設定'!$B$6,"当日",IF($R74-'設定'!$B$6&lt;=N('設定'!$B$14),"あと"&amp;($R74-'設定'!$B$6)&amp;"日","")))))</f>
        <v/>
      </c>
      <c r="U74" s="61" t="n"/>
      <c r="V74" s="31">
        <f>IF(AND($B74&lt;&gt;"",$E74&lt;&gt;"",$E74='数える用紙'!$C$2),ROW(),"")</f>
        <v/>
      </c>
      <c r="W74" s="74">
        <f>IF(AND($B74&lt;&gt;"",ISNUMBER($R74)),IF(AND($R74&lt;='設定'!$B$6+N('設定'!$B$14),IF(ISNUMBER($I74),$I74,N($H74))&gt;0),$R74+ROW()/100000,""),"")</f>
        <v/>
      </c>
    </row>
    <row r="75" ht="18" customHeight="1">
      <c r="A75" s="22" t="n">
        <v>71</v>
      </c>
      <c r="B75" s="23" t="n"/>
      <c r="C75" s="24" t="n"/>
      <c r="D75" s="24" t="n"/>
      <c r="E75" s="23" t="n"/>
      <c r="F75" s="23" t="n"/>
      <c r="G75" s="25" t="n"/>
      <c r="H75" s="25" t="n"/>
      <c r="I75" s="25" t="n"/>
      <c r="J75" s="72">
        <f>IF(OR($B75="",$H75=""),"",N($G75)*$H75)</f>
        <v/>
      </c>
      <c r="K75" s="72">
        <f>IF(OR($B75="",$I75=""),"",N($G75)*$I75)</f>
        <v/>
      </c>
      <c r="L75" s="27">
        <f>IF(OR($B75="",$H75="",$I75=""),"",$I75-$H75)</f>
        <v/>
      </c>
      <c r="M75" s="72">
        <f>IF($L75="","",$L75*N($G75))</f>
        <v/>
      </c>
      <c r="N75" s="73">
        <f>IF($L75="","",IF($H75&gt;0,ROUND($L75/$H75,4),"－"))</f>
        <v/>
      </c>
      <c r="O75" s="29">
        <f>IF($B75="","",IF($L75="","未入力",IF($L75=0,"一致",IF(OR(NOT(ISNUMBER($N75)),AND('設定'!$B$10&lt;&gt;"",ABS(N($N75))&gt;'設定'!$B$10),AND('設定'!$B$11&lt;&gt;"",ABS(ROUND($M75,4))&gt;'設定'!$B$11),AND('設定'!$B$10="",'設定'!$B$11="")),"要確認","許容内"))))</f>
        <v/>
      </c>
      <c r="P75" s="29">
        <f>IF($O75&lt;&gt;"要確認","",IF($Q75=0,"済",IF(COUNTIF('差異の原因'!$B$5:$B$204,$B75)=0,"未記録","一部")))</f>
        <v/>
      </c>
      <c r="Q75" s="27">
        <f>IF($L75="","",IF(AND($L75=0,COUNTIF('差異の原因'!$B$5:$B$204,$B75)=0),"",ROUND($L75-SUMIF('差異の原因'!$B$5:$B$204,$B75,'差異の原因'!$G$5:$G$204),6)))</f>
        <v/>
      </c>
      <c r="R75" s="30" t="n"/>
      <c r="S75" s="23" t="n"/>
      <c r="T75" s="29">
        <f>IF(OR($B75="",NOT(ISNUMBER($R75))),"",IF(IF(ISNUMBER($I75),$I75,N($H75))&lt;=0,"",IF($R75&lt;'設定'!$B$6,"期限切れ",IF($R75='設定'!$B$6,"当日",IF($R75-'設定'!$B$6&lt;=N('設定'!$B$14),"あと"&amp;($R75-'設定'!$B$6)&amp;"日","")))))</f>
        <v/>
      </c>
      <c r="U75" s="61" t="n"/>
      <c r="V75" s="31">
        <f>IF(AND($B75&lt;&gt;"",$E75&lt;&gt;"",$E75='数える用紙'!$C$2),ROW(),"")</f>
        <v/>
      </c>
      <c r="W75" s="74">
        <f>IF(AND($B75&lt;&gt;"",ISNUMBER($R75)),IF(AND($R75&lt;='設定'!$B$6+N('設定'!$B$14),IF(ISNUMBER($I75),$I75,N($H75))&gt;0),$R75+ROW()/100000,""),"")</f>
        <v/>
      </c>
    </row>
    <row r="76" ht="18" customHeight="1">
      <c r="A76" s="22" t="n">
        <v>72</v>
      </c>
      <c r="B76" s="23" t="n"/>
      <c r="C76" s="24" t="n"/>
      <c r="D76" s="24" t="n"/>
      <c r="E76" s="23" t="n"/>
      <c r="F76" s="23" t="n"/>
      <c r="G76" s="25" t="n"/>
      <c r="H76" s="25" t="n"/>
      <c r="I76" s="25" t="n"/>
      <c r="J76" s="72">
        <f>IF(OR($B76="",$H76=""),"",N($G76)*$H76)</f>
        <v/>
      </c>
      <c r="K76" s="72">
        <f>IF(OR($B76="",$I76=""),"",N($G76)*$I76)</f>
        <v/>
      </c>
      <c r="L76" s="27">
        <f>IF(OR($B76="",$H76="",$I76=""),"",$I76-$H76)</f>
        <v/>
      </c>
      <c r="M76" s="72">
        <f>IF($L76="","",$L76*N($G76))</f>
        <v/>
      </c>
      <c r="N76" s="73">
        <f>IF($L76="","",IF($H76&gt;0,ROUND($L76/$H76,4),"－"))</f>
        <v/>
      </c>
      <c r="O76" s="29">
        <f>IF($B76="","",IF($L76="","未入力",IF($L76=0,"一致",IF(OR(NOT(ISNUMBER($N76)),AND('設定'!$B$10&lt;&gt;"",ABS(N($N76))&gt;'設定'!$B$10),AND('設定'!$B$11&lt;&gt;"",ABS(ROUND($M76,4))&gt;'設定'!$B$11),AND('設定'!$B$10="",'設定'!$B$11="")),"要確認","許容内"))))</f>
        <v/>
      </c>
      <c r="P76" s="29">
        <f>IF($O76&lt;&gt;"要確認","",IF($Q76=0,"済",IF(COUNTIF('差異の原因'!$B$5:$B$204,$B76)=0,"未記録","一部")))</f>
        <v/>
      </c>
      <c r="Q76" s="27">
        <f>IF($L76="","",IF(AND($L76=0,COUNTIF('差異の原因'!$B$5:$B$204,$B76)=0),"",ROUND($L76-SUMIF('差異の原因'!$B$5:$B$204,$B76,'差異の原因'!$G$5:$G$204),6)))</f>
        <v/>
      </c>
      <c r="R76" s="30" t="n"/>
      <c r="S76" s="23" t="n"/>
      <c r="T76" s="29">
        <f>IF(OR($B76="",NOT(ISNUMBER($R76))),"",IF(IF(ISNUMBER($I76),$I76,N($H76))&lt;=0,"",IF($R76&lt;'設定'!$B$6,"期限切れ",IF($R76='設定'!$B$6,"当日",IF($R76-'設定'!$B$6&lt;=N('設定'!$B$14),"あと"&amp;($R76-'設定'!$B$6)&amp;"日","")))))</f>
        <v/>
      </c>
      <c r="U76" s="61" t="n"/>
      <c r="V76" s="31">
        <f>IF(AND($B76&lt;&gt;"",$E76&lt;&gt;"",$E76='数える用紙'!$C$2),ROW(),"")</f>
        <v/>
      </c>
      <c r="W76" s="74">
        <f>IF(AND($B76&lt;&gt;"",ISNUMBER($R76)),IF(AND($R76&lt;='設定'!$B$6+N('設定'!$B$14),IF(ISNUMBER($I76),$I76,N($H76))&gt;0),$R76+ROW()/100000,""),"")</f>
        <v/>
      </c>
    </row>
    <row r="77" ht="18" customHeight="1">
      <c r="A77" s="22" t="n">
        <v>73</v>
      </c>
      <c r="B77" s="23" t="n"/>
      <c r="C77" s="24" t="n"/>
      <c r="D77" s="24" t="n"/>
      <c r="E77" s="23" t="n"/>
      <c r="F77" s="23" t="n"/>
      <c r="G77" s="25" t="n"/>
      <c r="H77" s="25" t="n"/>
      <c r="I77" s="25" t="n"/>
      <c r="J77" s="72">
        <f>IF(OR($B77="",$H77=""),"",N($G77)*$H77)</f>
        <v/>
      </c>
      <c r="K77" s="72">
        <f>IF(OR($B77="",$I77=""),"",N($G77)*$I77)</f>
        <v/>
      </c>
      <c r="L77" s="27">
        <f>IF(OR($B77="",$H77="",$I77=""),"",$I77-$H77)</f>
        <v/>
      </c>
      <c r="M77" s="72">
        <f>IF($L77="","",$L77*N($G77))</f>
        <v/>
      </c>
      <c r="N77" s="73">
        <f>IF($L77="","",IF($H77&gt;0,ROUND($L77/$H77,4),"－"))</f>
        <v/>
      </c>
      <c r="O77" s="29">
        <f>IF($B77="","",IF($L77="","未入力",IF($L77=0,"一致",IF(OR(NOT(ISNUMBER($N77)),AND('設定'!$B$10&lt;&gt;"",ABS(N($N77))&gt;'設定'!$B$10),AND('設定'!$B$11&lt;&gt;"",ABS(ROUND($M77,4))&gt;'設定'!$B$11),AND('設定'!$B$10="",'設定'!$B$11="")),"要確認","許容内"))))</f>
        <v/>
      </c>
      <c r="P77" s="29">
        <f>IF($O77&lt;&gt;"要確認","",IF($Q77=0,"済",IF(COUNTIF('差異の原因'!$B$5:$B$204,$B77)=0,"未記録","一部")))</f>
        <v/>
      </c>
      <c r="Q77" s="27">
        <f>IF($L77="","",IF(AND($L77=0,COUNTIF('差異の原因'!$B$5:$B$204,$B77)=0),"",ROUND($L77-SUMIF('差異の原因'!$B$5:$B$204,$B77,'差異の原因'!$G$5:$G$204),6)))</f>
        <v/>
      </c>
      <c r="R77" s="30" t="n"/>
      <c r="S77" s="23" t="n"/>
      <c r="T77" s="29">
        <f>IF(OR($B77="",NOT(ISNUMBER($R77))),"",IF(IF(ISNUMBER($I77),$I77,N($H77))&lt;=0,"",IF($R77&lt;'設定'!$B$6,"期限切れ",IF($R77='設定'!$B$6,"当日",IF($R77-'設定'!$B$6&lt;=N('設定'!$B$14),"あと"&amp;($R77-'設定'!$B$6)&amp;"日","")))))</f>
        <v/>
      </c>
      <c r="U77" s="61" t="n"/>
      <c r="V77" s="31">
        <f>IF(AND($B77&lt;&gt;"",$E77&lt;&gt;"",$E77='数える用紙'!$C$2),ROW(),"")</f>
        <v/>
      </c>
      <c r="W77" s="74">
        <f>IF(AND($B77&lt;&gt;"",ISNUMBER($R77)),IF(AND($R77&lt;='設定'!$B$6+N('設定'!$B$14),IF(ISNUMBER($I77),$I77,N($H77))&gt;0),$R77+ROW()/100000,""),"")</f>
        <v/>
      </c>
    </row>
    <row r="78" ht="18" customHeight="1">
      <c r="A78" s="22" t="n">
        <v>74</v>
      </c>
      <c r="B78" s="23" t="n"/>
      <c r="C78" s="24" t="n"/>
      <c r="D78" s="24" t="n"/>
      <c r="E78" s="23" t="n"/>
      <c r="F78" s="23" t="n"/>
      <c r="G78" s="25" t="n"/>
      <c r="H78" s="25" t="n"/>
      <c r="I78" s="25" t="n"/>
      <c r="J78" s="72">
        <f>IF(OR($B78="",$H78=""),"",N($G78)*$H78)</f>
        <v/>
      </c>
      <c r="K78" s="72">
        <f>IF(OR($B78="",$I78=""),"",N($G78)*$I78)</f>
        <v/>
      </c>
      <c r="L78" s="27">
        <f>IF(OR($B78="",$H78="",$I78=""),"",$I78-$H78)</f>
        <v/>
      </c>
      <c r="M78" s="72">
        <f>IF($L78="","",$L78*N($G78))</f>
        <v/>
      </c>
      <c r="N78" s="73">
        <f>IF($L78="","",IF($H78&gt;0,ROUND($L78/$H78,4),"－"))</f>
        <v/>
      </c>
      <c r="O78" s="29">
        <f>IF($B78="","",IF($L78="","未入力",IF($L78=0,"一致",IF(OR(NOT(ISNUMBER($N78)),AND('設定'!$B$10&lt;&gt;"",ABS(N($N78))&gt;'設定'!$B$10),AND('設定'!$B$11&lt;&gt;"",ABS(ROUND($M78,4))&gt;'設定'!$B$11),AND('設定'!$B$10="",'設定'!$B$11="")),"要確認","許容内"))))</f>
        <v/>
      </c>
      <c r="P78" s="29">
        <f>IF($O78&lt;&gt;"要確認","",IF($Q78=0,"済",IF(COUNTIF('差異の原因'!$B$5:$B$204,$B78)=0,"未記録","一部")))</f>
        <v/>
      </c>
      <c r="Q78" s="27">
        <f>IF($L78="","",IF(AND($L78=0,COUNTIF('差異の原因'!$B$5:$B$204,$B78)=0),"",ROUND($L78-SUMIF('差異の原因'!$B$5:$B$204,$B78,'差異の原因'!$G$5:$G$204),6)))</f>
        <v/>
      </c>
      <c r="R78" s="30" t="n"/>
      <c r="S78" s="23" t="n"/>
      <c r="T78" s="29">
        <f>IF(OR($B78="",NOT(ISNUMBER($R78))),"",IF(IF(ISNUMBER($I78),$I78,N($H78))&lt;=0,"",IF($R78&lt;'設定'!$B$6,"期限切れ",IF($R78='設定'!$B$6,"当日",IF($R78-'設定'!$B$6&lt;=N('設定'!$B$14),"あと"&amp;($R78-'設定'!$B$6)&amp;"日","")))))</f>
        <v/>
      </c>
      <c r="U78" s="61" t="n"/>
      <c r="V78" s="31">
        <f>IF(AND($B78&lt;&gt;"",$E78&lt;&gt;"",$E78='数える用紙'!$C$2),ROW(),"")</f>
        <v/>
      </c>
      <c r="W78" s="74">
        <f>IF(AND($B78&lt;&gt;"",ISNUMBER($R78)),IF(AND($R78&lt;='設定'!$B$6+N('設定'!$B$14),IF(ISNUMBER($I78),$I78,N($H78))&gt;0),$R78+ROW()/100000,""),"")</f>
        <v/>
      </c>
    </row>
    <row r="79" ht="18" customHeight="1">
      <c r="A79" s="22" t="n">
        <v>75</v>
      </c>
      <c r="B79" s="23" t="n"/>
      <c r="C79" s="24" t="n"/>
      <c r="D79" s="24" t="n"/>
      <c r="E79" s="23" t="n"/>
      <c r="F79" s="23" t="n"/>
      <c r="G79" s="25" t="n"/>
      <c r="H79" s="25" t="n"/>
      <c r="I79" s="25" t="n"/>
      <c r="J79" s="72">
        <f>IF(OR($B79="",$H79=""),"",N($G79)*$H79)</f>
        <v/>
      </c>
      <c r="K79" s="72">
        <f>IF(OR($B79="",$I79=""),"",N($G79)*$I79)</f>
        <v/>
      </c>
      <c r="L79" s="27">
        <f>IF(OR($B79="",$H79="",$I79=""),"",$I79-$H79)</f>
        <v/>
      </c>
      <c r="M79" s="72">
        <f>IF($L79="","",$L79*N($G79))</f>
        <v/>
      </c>
      <c r="N79" s="73">
        <f>IF($L79="","",IF($H79&gt;0,ROUND($L79/$H79,4),"－"))</f>
        <v/>
      </c>
      <c r="O79" s="29">
        <f>IF($B79="","",IF($L79="","未入力",IF($L79=0,"一致",IF(OR(NOT(ISNUMBER($N79)),AND('設定'!$B$10&lt;&gt;"",ABS(N($N79))&gt;'設定'!$B$10),AND('設定'!$B$11&lt;&gt;"",ABS(ROUND($M79,4))&gt;'設定'!$B$11),AND('設定'!$B$10="",'設定'!$B$11="")),"要確認","許容内"))))</f>
        <v/>
      </c>
      <c r="P79" s="29">
        <f>IF($O79&lt;&gt;"要確認","",IF($Q79=0,"済",IF(COUNTIF('差異の原因'!$B$5:$B$204,$B79)=0,"未記録","一部")))</f>
        <v/>
      </c>
      <c r="Q79" s="27">
        <f>IF($L79="","",IF(AND($L79=0,COUNTIF('差異の原因'!$B$5:$B$204,$B79)=0),"",ROUND($L79-SUMIF('差異の原因'!$B$5:$B$204,$B79,'差異の原因'!$G$5:$G$204),6)))</f>
        <v/>
      </c>
      <c r="R79" s="30" t="n"/>
      <c r="S79" s="23" t="n"/>
      <c r="T79" s="29">
        <f>IF(OR($B79="",NOT(ISNUMBER($R79))),"",IF(IF(ISNUMBER($I79),$I79,N($H79))&lt;=0,"",IF($R79&lt;'設定'!$B$6,"期限切れ",IF($R79='設定'!$B$6,"当日",IF($R79-'設定'!$B$6&lt;=N('設定'!$B$14),"あと"&amp;($R79-'設定'!$B$6)&amp;"日","")))))</f>
        <v/>
      </c>
      <c r="U79" s="61" t="n"/>
      <c r="V79" s="31">
        <f>IF(AND($B79&lt;&gt;"",$E79&lt;&gt;"",$E79='数える用紙'!$C$2),ROW(),"")</f>
        <v/>
      </c>
      <c r="W79" s="74">
        <f>IF(AND($B79&lt;&gt;"",ISNUMBER($R79)),IF(AND($R79&lt;='設定'!$B$6+N('設定'!$B$14),IF(ISNUMBER($I79),$I79,N($H79))&gt;0),$R79+ROW()/100000,""),"")</f>
        <v/>
      </c>
    </row>
    <row r="80" ht="18" customHeight="1">
      <c r="A80" s="22" t="n">
        <v>76</v>
      </c>
      <c r="B80" s="23" t="n"/>
      <c r="C80" s="24" t="n"/>
      <c r="D80" s="24" t="n"/>
      <c r="E80" s="23" t="n"/>
      <c r="F80" s="23" t="n"/>
      <c r="G80" s="25" t="n"/>
      <c r="H80" s="25" t="n"/>
      <c r="I80" s="25" t="n"/>
      <c r="J80" s="72">
        <f>IF(OR($B80="",$H80=""),"",N($G80)*$H80)</f>
        <v/>
      </c>
      <c r="K80" s="72">
        <f>IF(OR($B80="",$I80=""),"",N($G80)*$I80)</f>
        <v/>
      </c>
      <c r="L80" s="27">
        <f>IF(OR($B80="",$H80="",$I80=""),"",$I80-$H80)</f>
        <v/>
      </c>
      <c r="M80" s="72">
        <f>IF($L80="","",$L80*N($G80))</f>
        <v/>
      </c>
      <c r="N80" s="73">
        <f>IF($L80="","",IF($H80&gt;0,ROUND($L80/$H80,4),"－"))</f>
        <v/>
      </c>
      <c r="O80" s="29">
        <f>IF($B80="","",IF($L80="","未入力",IF($L80=0,"一致",IF(OR(NOT(ISNUMBER($N80)),AND('設定'!$B$10&lt;&gt;"",ABS(N($N80))&gt;'設定'!$B$10),AND('設定'!$B$11&lt;&gt;"",ABS(ROUND($M80,4))&gt;'設定'!$B$11),AND('設定'!$B$10="",'設定'!$B$11="")),"要確認","許容内"))))</f>
        <v/>
      </c>
      <c r="P80" s="29">
        <f>IF($O80&lt;&gt;"要確認","",IF($Q80=0,"済",IF(COUNTIF('差異の原因'!$B$5:$B$204,$B80)=0,"未記録","一部")))</f>
        <v/>
      </c>
      <c r="Q80" s="27">
        <f>IF($L80="","",IF(AND($L80=0,COUNTIF('差異の原因'!$B$5:$B$204,$B80)=0),"",ROUND($L80-SUMIF('差異の原因'!$B$5:$B$204,$B80,'差異の原因'!$G$5:$G$204),6)))</f>
        <v/>
      </c>
      <c r="R80" s="30" t="n"/>
      <c r="S80" s="23" t="n"/>
      <c r="T80" s="29">
        <f>IF(OR($B80="",NOT(ISNUMBER($R80))),"",IF(IF(ISNUMBER($I80),$I80,N($H80))&lt;=0,"",IF($R80&lt;'設定'!$B$6,"期限切れ",IF($R80='設定'!$B$6,"当日",IF($R80-'設定'!$B$6&lt;=N('設定'!$B$14),"あと"&amp;($R80-'設定'!$B$6)&amp;"日","")))))</f>
        <v/>
      </c>
      <c r="U80" s="61" t="n"/>
      <c r="V80" s="31">
        <f>IF(AND($B80&lt;&gt;"",$E80&lt;&gt;"",$E80='数える用紙'!$C$2),ROW(),"")</f>
        <v/>
      </c>
      <c r="W80" s="74">
        <f>IF(AND($B80&lt;&gt;"",ISNUMBER($R80)),IF(AND($R80&lt;='設定'!$B$6+N('設定'!$B$14),IF(ISNUMBER($I80),$I80,N($H80))&gt;0),$R80+ROW()/100000,""),"")</f>
        <v/>
      </c>
    </row>
    <row r="81" ht="18" customHeight="1">
      <c r="A81" s="22" t="n">
        <v>77</v>
      </c>
      <c r="B81" s="23" t="n"/>
      <c r="C81" s="24" t="n"/>
      <c r="D81" s="24" t="n"/>
      <c r="E81" s="23" t="n"/>
      <c r="F81" s="23" t="n"/>
      <c r="G81" s="25" t="n"/>
      <c r="H81" s="25" t="n"/>
      <c r="I81" s="25" t="n"/>
      <c r="J81" s="72">
        <f>IF(OR($B81="",$H81=""),"",N($G81)*$H81)</f>
        <v/>
      </c>
      <c r="K81" s="72">
        <f>IF(OR($B81="",$I81=""),"",N($G81)*$I81)</f>
        <v/>
      </c>
      <c r="L81" s="27">
        <f>IF(OR($B81="",$H81="",$I81=""),"",$I81-$H81)</f>
        <v/>
      </c>
      <c r="M81" s="72">
        <f>IF($L81="","",$L81*N($G81))</f>
        <v/>
      </c>
      <c r="N81" s="73">
        <f>IF($L81="","",IF($H81&gt;0,ROUND($L81/$H81,4),"－"))</f>
        <v/>
      </c>
      <c r="O81" s="29">
        <f>IF($B81="","",IF($L81="","未入力",IF($L81=0,"一致",IF(OR(NOT(ISNUMBER($N81)),AND('設定'!$B$10&lt;&gt;"",ABS(N($N81))&gt;'設定'!$B$10),AND('設定'!$B$11&lt;&gt;"",ABS(ROUND($M81,4))&gt;'設定'!$B$11),AND('設定'!$B$10="",'設定'!$B$11="")),"要確認","許容内"))))</f>
        <v/>
      </c>
      <c r="P81" s="29">
        <f>IF($O81&lt;&gt;"要確認","",IF($Q81=0,"済",IF(COUNTIF('差異の原因'!$B$5:$B$204,$B81)=0,"未記録","一部")))</f>
        <v/>
      </c>
      <c r="Q81" s="27">
        <f>IF($L81="","",IF(AND($L81=0,COUNTIF('差異の原因'!$B$5:$B$204,$B81)=0),"",ROUND($L81-SUMIF('差異の原因'!$B$5:$B$204,$B81,'差異の原因'!$G$5:$G$204),6)))</f>
        <v/>
      </c>
      <c r="R81" s="30" t="n"/>
      <c r="S81" s="23" t="n"/>
      <c r="T81" s="29">
        <f>IF(OR($B81="",NOT(ISNUMBER($R81))),"",IF(IF(ISNUMBER($I81),$I81,N($H81))&lt;=0,"",IF($R81&lt;'設定'!$B$6,"期限切れ",IF($R81='設定'!$B$6,"当日",IF($R81-'設定'!$B$6&lt;=N('設定'!$B$14),"あと"&amp;($R81-'設定'!$B$6)&amp;"日","")))))</f>
        <v/>
      </c>
      <c r="U81" s="61" t="n"/>
      <c r="V81" s="31">
        <f>IF(AND($B81&lt;&gt;"",$E81&lt;&gt;"",$E81='数える用紙'!$C$2),ROW(),"")</f>
        <v/>
      </c>
      <c r="W81" s="74">
        <f>IF(AND($B81&lt;&gt;"",ISNUMBER($R81)),IF(AND($R81&lt;='設定'!$B$6+N('設定'!$B$14),IF(ISNUMBER($I81),$I81,N($H81))&gt;0),$R81+ROW()/100000,""),"")</f>
        <v/>
      </c>
    </row>
    <row r="82" ht="18" customHeight="1">
      <c r="A82" s="22" t="n">
        <v>78</v>
      </c>
      <c r="B82" s="23" t="n"/>
      <c r="C82" s="24" t="n"/>
      <c r="D82" s="24" t="n"/>
      <c r="E82" s="23" t="n"/>
      <c r="F82" s="23" t="n"/>
      <c r="G82" s="25" t="n"/>
      <c r="H82" s="25" t="n"/>
      <c r="I82" s="25" t="n"/>
      <c r="J82" s="72">
        <f>IF(OR($B82="",$H82=""),"",N($G82)*$H82)</f>
        <v/>
      </c>
      <c r="K82" s="72">
        <f>IF(OR($B82="",$I82=""),"",N($G82)*$I82)</f>
        <v/>
      </c>
      <c r="L82" s="27">
        <f>IF(OR($B82="",$H82="",$I82=""),"",$I82-$H82)</f>
        <v/>
      </c>
      <c r="M82" s="72">
        <f>IF($L82="","",$L82*N($G82))</f>
        <v/>
      </c>
      <c r="N82" s="73">
        <f>IF($L82="","",IF($H82&gt;0,ROUND($L82/$H82,4),"－"))</f>
        <v/>
      </c>
      <c r="O82" s="29">
        <f>IF($B82="","",IF($L82="","未入力",IF($L82=0,"一致",IF(OR(NOT(ISNUMBER($N82)),AND('設定'!$B$10&lt;&gt;"",ABS(N($N82))&gt;'設定'!$B$10),AND('設定'!$B$11&lt;&gt;"",ABS(ROUND($M82,4))&gt;'設定'!$B$11),AND('設定'!$B$10="",'設定'!$B$11="")),"要確認","許容内"))))</f>
        <v/>
      </c>
      <c r="P82" s="29">
        <f>IF($O82&lt;&gt;"要確認","",IF($Q82=0,"済",IF(COUNTIF('差異の原因'!$B$5:$B$204,$B82)=0,"未記録","一部")))</f>
        <v/>
      </c>
      <c r="Q82" s="27">
        <f>IF($L82="","",IF(AND($L82=0,COUNTIF('差異の原因'!$B$5:$B$204,$B82)=0),"",ROUND($L82-SUMIF('差異の原因'!$B$5:$B$204,$B82,'差異の原因'!$G$5:$G$204),6)))</f>
        <v/>
      </c>
      <c r="R82" s="30" t="n"/>
      <c r="S82" s="23" t="n"/>
      <c r="T82" s="29">
        <f>IF(OR($B82="",NOT(ISNUMBER($R82))),"",IF(IF(ISNUMBER($I82),$I82,N($H82))&lt;=0,"",IF($R82&lt;'設定'!$B$6,"期限切れ",IF($R82='設定'!$B$6,"当日",IF($R82-'設定'!$B$6&lt;=N('設定'!$B$14),"あと"&amp;($R82-'設定'!$B$6)&amp;"日","")))))</f>
        <v/>
      </c>
      <c r="U82" s="61" t="n"/>
      <c r="V82" s="31">
        <f>IF(AND($B82&lt;&gt;"",$E82&lt;&gt;"",$E82='数える用紙'!$C$2),ROW(),"")</f>
        <v/>
      </c>
      <c r="W82" s="74">
        <f>IF(AND($B82&lt;&gt;"",ISNUMBER($R82)),IF(AND($R82&lt;='設定'!$B$6+N('設定'!$B$14),IF(ISNUMBER($I82),$I82,N($H82))&gt;0),$R82+ROW()/100000,""),"")</f>
        <v/>
      </c>
    </row>
    <row r="83" ht="18" customHeight="1">
      <c r="A83" s="22" t="n">
        <v>79</v>
      </c>
      <c r="B83" s="23" t="n"/>
      <c r="C83" s="24" t="n"/>
      <c r="D83" s="24" t="n"/>
      <c r="E83" s="23" t="n"/>
      <c r="F83" s="23" t="n"/>
      <c r="G83" s="25" t="n"/>
      <c r="H83" s="25" t="n"/>
      <c r="I83" s="25" t="n"/>
      <c r="J83" s="72">
        <f>IF(OR($B83="",$H83=""),"",N($G83)*$H83)</f>
        <v/>
      </c>
      <c r="K83" s="72">
        <f>IF(OR($B83="",$I83=""),"",N($G83)*$I83)</f>
        <v/>
      </c>
      <c r="L83" s="27">
        <f>IF(OR($B83="",$H83="",$I83=""),"",$I83-$H83)</f>
        <v/>
      </c>
      <c r="M83" s="72">
        <f>IF($L83="","",$L83*N($G83))</f>
        <v/>
      </c>
      <c r="N83" s="73">
        <f>IF($L83="","",IF($H83&gt;0,ROUND($L83/$H83,4),"－"))</f>
        <v/>
      </c>
      <c r="O83" s="29">
        <f>IF($B83="","",IF($L83="","未入力",IF($L83=0,"一致",IF(OR(NOT(ISNUMBER($N83)),AND('設定'!$B$10&lt;&gt;"",ABS(N($N83))&gt;'設定'!$B$10),AND('設定'!$B$11&lt;&gt;"",ABS(ROUND($M83,4))&gt;'設定'!$B$11),AND('設定'!$B$10="",'設定'!$B$11="")),"要確認","許容内"))))</f>
        <v/>
      </c>
      <c r="P83" s="29">
        <f>IF($O83&lt;&gt;"要確認","",IF($Q83=0,"済",IF(COUNTIF('差異の原因'!$B$5:$B$204,$B83)=0,"未記録","一部")))</f>
        <v/>
      </c>
      <c r="Q83" s="27">
        <f>IF($L83="","",IF(AND($L83=0,COUNTIF('差異の原因'!$B$5:$B$204,$B83)=0),"",ROUND($L83-SUMIF('差異の原因'!$B$5:$B$204,$B83,'差異の原因'!$G$5:$G$204),6)))</f>
        <v/>
      </c>
      <c r="R83" s="30" t="n"/>
      <c r="S83" s="23" t="n"/>
      <c r="T83" s="29">
        <f>IF(OR($B83="",NOT(ISNUMBER($R83))),"",IF(IF(ISNUMBER($I83),$I83,N($H83))&lt;=0,"",IF($R83&lt;'設定'!$B$6,"期限切れ",IF($R83='設定'!$B$6,"当日",IF($R83-'設定'!$B$6&lt;=N('設定'!$B$14),"あと"&amp;($R83-'設定'!$B$6)&amp;"日","")))))</f>
        <v/>
      </c>
      <c r="U83" s="61" t="n"/>
      <c r="V83" s="31">
        <f>IF(AND($B83&lt;&gt;"",$E83&lt;&gt;"",$E83='数える用紙'!$C$2),ROW(),"")</f>
        <v/>
      </c>
      <c r="W83" s="74">
        <f>IF(AND($B83&lt;&gt;"",ISNUMBER($R83)),IF(AND($R83&lt;='設定'!$B$6+N('設定'!$B$14),IF(ISNUMBER($I83),$I83,N($H83))&gt;0),$R83+ROW()/100000,""),"")</f>
        <v/>
      </c>
    </row>
    <row r="84" ht="18" customHeight="1">
      <c r="A84" s="22" t="n">
        <v>80</v>
      </c>
      <c r="B84" s="23" t="n"/>
      <c r="C84" s="24" t="n"/>
      <c r="D84" s="24" t="n"/>
      <c r="E84" s="23" t="n"/>
      <c r="F84" s="23" t="n"/>
      <c r="G84" s="25" t="n"/>
      <c r="H84" s="25" t="n"/>
      <c r="I84" s="25" t="n"/>
      <c r="J84" s="72">
        <f>IF(OR($B84="",$H84=""),"",N($G84)*$H84)</f>
        <v/>
      </c>
      <c r="K84" s="72">
        <f>IF(OR($B84="",$I84=""),"",N($G84)*$I84)</f>
        <v/>
      </c>
      <c r="L84" s="27">
        <f>IF(OR($B84="",$H84="",$I84=""),"",$I84-$H84)</f>
        <v/>
      </c>
      <c r="M84" s="72">
        <f>IF($L84="","",$L84*N($G84))</f>
        <v/>
      </c>
      <c r="N84" s="73">
        <f>IF($L84="","",IF($H84&gt;0,ROUND($L84/$H84,4),"－"))</f>
        <v/>
      </c>
      <c r="O84" s="29">
        <f>IF($B84="","",IF($L84="","未入力",IF($L84=0,"一致",IF(OR(NOT(ISNUMBER($N84)),AND('設定'!$B$10&lt;&gt;"",ABS(N($N84))&gt;'設定'!$B$10),AND('設定'!$B$11&lt;&gt;"",ABS(ROUND($M84,4))&gt;'設定'!$B$11),AND('設定'!$B$10="",'設定'!$B$11="")),"要確認","許容内"))))</f>
        <v/>
      </c>
      <c r="P84" s="29">
        <f>IF($O84&lt;&gt;"要確認","",IF($Q84=0,"済",IF(COUNTIF('差異の原因'!$B$5:$B$204,$B84)=0,"未記録","一部")))</f>
        <v/>
      </c>
      <c r="Q84" s="27">
        <f>IF($L84="","",IF(AND($L84=0,COUNTIF('差異の原因'!$B$5:$B$204,$B84)=0),"",ROUND($L84-SUMIF('差異の原因'!$B$5:$B$204,$B84,'差異の原因'!$G$5:$G$204),6)))</f>
        <v/>
      </c>
      <c r="R84" s="30" t="n"/>
      <c r="S84" s="23" t="n"/>
      <c r="T84" s="29">
        <f>IF(OR($B84="",NOT(ISNUMBER($R84))),"",IF(IF(ISNUMBER($I84),$I84,N($H84))&lt;=0,"",IF($R84&lt;'設定'!$B$6,"期限切れ",IF($R84='設定'!$B$6,"当日",IF($R84-'設定'!$B$6&lt;=N('設定'!$B$14),"あと"&amp;($R84-'設定'!$B$6)&amp;"日","")))))</f>
        <v/>
      </c>
      <c r="U84" s="61" t="n"/>
      <c r="V84" s="31">
        <f>IF(AND($B84&lt;&gt;"",$E84&lt;&gt;"",$E84='数える用紙'!$C$2),ROW(),"")</f>
        <v/>
      </c>
      <c r="W84" s="74">
        <f>IF(AND($B84&lt;&gt;"",ISNUMBER($R84)),IF(AND($R84&lt;='設定'!$B$6+N('設定'!$B$14),IF(ISNUMBER($I84),$I84,N($H84))&gt;0),$R84+ROW()/100000,""),"")</f>
        <v/>
      </c>
    </row>
    <row r="85" ht="18" customHeight="1">
      <c r="A85" s="22" t="n">
        <v>81</v>
      </c>
      <c r="B85" s="23" t="n"/>
      <c r="C85" s="24" t="n"/>
      <c r="D85" s="24" t="n"/>
      <c r="E85" s="23" t="n"/>
      <c r="F85" s="23" t="n"/>
      <c r="G85" s="25" t="n"/>
      <c r="H85" s="25" t="n"/>
      <c r="I85" s="25" t="n"/>
      <c r="J85" s="72">
        <f>IF(OR($B85="",$H85=""),"",N($G85)*$H85)</f>
        <v/>
      </c>
      <c r="K85" s="72">
        <f>IF(OR($B85="",$I85=""),"",N($G85)*$I85)</f>
        <v/>
      </c>
      <c r="L85" s="27">
        <f>IF(OR($B85="",$H85="",$I85=""),"",$I85-$H85)</f>
        <v/>
      </c>
      <c r="M85" s="72">
        <f>IF($L85="","",$L85*N($G85))</f>
        <v/>
      </c>
      <c r="N85" s="73">
        <f>IF($L85="","",IF($H85&gt;0,ROUND($L85/$H85,4),"－"))</f>
        <v/>
      </c>
      <c r="O85" s="29">
        <f>IF($B85="","",IF($L85="","未入力",IF($L85=0,"一致",IF(OR(NOT(ISNUMBER($N85)),AND('設定'!$B$10&lt;&gt;"",ABS(N($N85))&gt;'設定'!$B$10),AND('設定'!$B$11&lt;&gt;"",ABS(ROUND($M85,4))&gt;'設定'!$B$11),AND('設定'!$B$10="",'設定'!$B$11="")),"要確認","許容内"))))</f>
        <v/>
      </c>
      <c r="P85" s="29">
        <f>IF($O85&lt;&gt;"要確認","",IF($Q85=0,"済",IF(COUNTIF('差異の原因'!$B$5:$B$204,$B85)=0,"未記録","一部")))</f>
        <v/>
      </c>
      <c r="Q85" s="27">
        <f>IF($L85="","",IF(AND($L85=0,COUNTIF('差異の原因'!$B$5:$B$204,$B85)=0),"",ROUND($L85-SUMIF('差異の原因'!$B$5:$B$204,$B85,'差異の原因'!$G$5:$G$204),6)))</f>
        <v/>
      </c>
      <c r="R85" s="30" t="n"/>
      <c r="S85" s="23" t="n"/>
      <c r="T85" s="29">
        <f>IF(OR($B85="",NOT(ISNUMBER($R85))),"",IF(IF(ISNUMBER($I85),$I85,N($H85))&lt;=0,"",IF($R85&lt;'設定'!$B$6,"期限切れ",IF($R85='設定'!$B$6,"当日",IF($R85-'設定'!$B$6&lt;=N('設定'!$B$14),"あと"&amp;($R85-'設定'!$B$6)&amp;"日","")))))</f>
        <v/>
      </c>
      <c r="U85" s="61" t="n"/>
      <c r="V85" s="31">
        <f>IF(AND($B85&lt;&gt;"",$E85&lt;&gt;"",$E85='数える用紙'!$C$2),ROW(),"")</f>
        <v/>
      </c>
      <c r="W85" s="74">
        <f>IF(AND($B85&lt;&gt;"",ISNUMBER($R85)),IF(AND($R85&lt;='設定'!$B$6+N('設定'!$B$14),IF(ISNUMBER($I85),$I85,N($H85))&gt;0),$R85+ROW()/100000,""),"")</f>
        <v/>
      </c>
    </row>
    <row r="86" ht="18" customHeight="1">
      <c r="A86" s="22" t="n">
        <v>82</v>
      </c>
      <c r="B86" s="23" t="n"/>
      <c r="C86" s="24" t="n"/>
      <c r="D86" s="24" t="n"/>
      <c r="E86" s="23" t="n"/>
      <c r="F86" s="23" t="n"/>
      <c r="G86" s="25" t="n"/>
      <c r="H86" s="25" t="n"/>
      <c r="I86" s="25" t="n"/>
      <c r="J86" s="72">
        <f>IF(OR($B86="",$H86=""),"",N($G86)*$H86)</f>
        <v/>
      </c>
      <c r="K86" s="72">
        <f>IF(OR($B86="",$I86=""),"",N($G86)*$I86)</f>
        <v/>
      </c>
      <c r="L86" s="27">
        <f>IF(OR($B86="",$H86="",$I86=""),"",$I86-$H86)</f>
        <v/>
      </c>
      <c r="M86" s="72">
        <f>IF($L86="","",$L86*N($G86))</f>
        <v/>
      </c>
      <c r="N86" s="73">
        <f>IF($L86="","",IF($H86&gt;0,ROUND($L86/$H86,4),"－"))</f>
        <v/>
      </c>
      <c r="O86" s="29">
        <f>IF($B86="","",IF($L86="","未入力",IF($L86=0,"一致",IF(OR(NOT(ISNUMBER($N86)),AND('設定'!$B$10&lt;&gt;"",ABS(N($N86))&gt;'設定'!$B$10),AND('設定'!$B$11&lt;&gt;"",ABS(ROUND($M86,4))&gt;'設定'!$B$11),AND('設定'!$B$10="",'設定'!$B$11="")),"要確認","許容内"))))</f>
        <v/>
      </c>
      <c r="P86" s="29">
        <f>IF($O86&lt;&gt;"要確認","",IF($Q86=0,"済",IF(COUNTIF('差異の原因'!$B$5:$B$204,$B86)=0,"未記録","一部")))</f>
        <v/>
      </c>
      <c r="Q86" s="27">
        <f>IF($L86="","",IF(AND($L86=0,COUNTIF('差異の原因'!$B$5:$B$204,$B86)=0),"",ROUND($L86-SUMIF('差異の原因'!$B$5:$B$204,$B86,'差異の原因'!$G$5:$G$204),6)))</f>
        <v/>
      </c>
      <c r="R86" s="30" t="n"/>
      <c r="S86" s="23" t="n"/>
      <c r="T86" s="29">
        <f>IF(OR($B86="",NOT(ISNUMBER($R86))),"",IF(IF(ISNUMBER($I86),$I86,N($H86))&lt;=0,"",IF($R86&lt;'設定'!$B$6,"期限切れ",IF($R86='設定'!$B$6,"当日",IF($R86-'設定'!$B$6&lt;=N('設定'!$B$14),"あと"&amp;($R86-'設定'!$B$6)&amp;"日","")))))</f>
        <v/>
      </c>
      <c r="U86" s="61" t="n"/>
      <c r="V86" s="31">
        <f>IF(AND($B86&lt;&gt;"",$E86&lt;&gt;"",$E86='数える用紙'!$C$2),ROW(),"")</f>
        <v/>
      </c>
      <c r="W86" s="74">
        <f>IF(AND($B86&lt;&gt;"",ISNUMBER($R86)),IF(AND($R86&lt;='設定'!$B$6+N('設定'!$B$14),IF(ISNUMBER($I86),$I86,N($H86))&gt;0),$R86+ROW()/100000,""),"")</f>
        <v/>
      </c>
    </row>
    <row r="87" ht="18" customHeight="1">
      <c r="A87" s="22" t="n">
        <v>83</v>
      </c>
      <c r="B87" s="23" t="n"/>
      <c r="C87" s="24" t="n"/>
      <c r="D87" s="24" t="n"/>
      <c r="E87" s="23" t="n"/>
      <c r="F87" s="23" t="n"/>
      <c r="G87" s="25" t="n"/>
      <c r="H87" s="25" t="n"/>
      <c r="I87" s="25" t="n"/>
      <c r="J87" s="72">
        <f>IF(OR($B87="",$H87=""),"",N($G87)*$H87)</f>
        <v/>
      </c>
      <c r="K87" s="72">
        <f>IF(OR($B87="",$I87=""),"",N($G87)*$I87)</f>
        <v/>
      </c>
      <c r="L87" s="27">
        <f>IF(OR($B87="",$H87="",$I87=""),"",$I87-$H87)</f>
        <v/>
      </c>
      <c r="M87" s="72">
        <f>IF($L87="","",$L87*N($G87))</f>
        <v/>
      </c>
      <c r="N87" s="73">
        <f>IF($L87="","",IF($H87&gt;0,ROUND($L87/$H87,4),"－"))</f>
        <v/>
      </c>
      <c r="O87" s="29">
        <f>IF($B87="","",IF($L87="","未入力",IF($L87=0,"一致",IF(OR(NOT(ISNUMBER($N87)),AND('設定'!$B$10&lt;&gt;"",ABS(N($N87))&gt;'設定'!$B$10),AND('設定'!$B$11&lt;&gt;"",ABS(ROUND($M87,4))&gt;'設定'!$B$11),AND('設定'!$B$10="",'設定'!$B$11="")),"要確認","許容内"))))</f>
        <v/>
      </c>
      <c r="P87" s="29">
        <f>IF($O87&lt;&gt;"要確認","",IF($Q87=0,"済",IF(COUNTIF('差異の原因'!$B$5:$B$204,$B87)=0,"未記録","一部")))</f>
        <v/>
      </c>
      <c r="Q87" s="27">
        <f>IF($L87="","",IF(AND($L87=0,COUNTIF('差異の原因'!$B$5:$B$204,$B87)=0),"",ROUND($L87-SUMIF('差異の原因'!$B$5:$B$204,$B87,'差異の原因'!$G$5:$G$204),6)))</f>
        <v/>
      </c>
      <c r="R87" s="30" t="n"/>
      <c r="S87" s="23" t="n"/>
      <c r="T87" s="29">
        <f>IF(OR($B87="",NOT(ISNUMBER($R87))),"",IF(IF(ISNUMBER($I87),$I87,N($H87))&lt;=0,"",IF($R87&lt;'設定'!$B$6,"期限切れ",IF($R87='設定'!$B$6,"当日",IF($R87-'設定'!$B$6&lt;=N('設定'!$B$14),"あと"&amp;($R87-'設定'!$B$6)&amp;"日","")))))</f>
        <v/>
      </c>
      <c r="U87" s="61" t="n"/>
      <c r="V87" s="31">
        <f>IF(AND($B87&lt;&gt;"",$E87&lt;&gt;"",$E87='数える用紙'!$C$2),ROW(),"")</f>
        <v/>
      </c>
      <c r="W87" s="74">
        <f>IF(AND($B87&lt;&gt;"",ISNUMBER($R87)),IF(AND($R87&lt;='設定'!$B$6+N('設定'!$B$14),IF(ISNUMBER($I87),$I87,N($H87))&gt;0),$R87+ROW()/100000,""),"")</f>
        <v/>
      </c>
    </row>
    <row r="88" ht="18" customHeight="1">
      <c r="A88" s="22" t="n">
        <v>84</v>
      </c>
      <c r="B88" s="23" t="n"/>
      <c r="C88" s="24" t="n"/>
      <c r="D88" s="24" t="n"/>
      <c r="E88" s="23" t="n"/>
      <c r="F88" s="23" t="n"/>
      <c r="G88" s="25" t="n"/>
      <c r="H88" s="25" t="n"/>
      <c r="I88" s="25" t="n"/>
      <c r="J88" s="72">
        <f>IF(OR($B88="",$H88=""),"",N($G88)*$H88)</f>
        <v/>
      </c>
      <c r="K88" s="72">
        <f>IF(OR($B88="",$I88=""),"",N($G88)*$I88)</f>
        <v/>
      </c>
      <c r="L88" s="27">
        <f>IF(OR($B88="",$H88="",$I88=""),"",$I88-$H88)</f>
        <v/>
      </c>
      <c r="M88" s="72">
        <f>IF($L88="","",$L88*N($G88))</f>
        <v/>
      </c>
      <c r="N88" s="73">
        <f>IF($L88="","",IF($H88&gt;0,ROUND($L88/$H88,4),"－"))</f>
        <v/>
      </c>
      <c r="O88" s="29">
        <f>IF($B88="","",IF($L88="","未入力",IF($L88=0,"一致",IF(OR(NOT(ISNUMBER($N88)),AND('設定'!$B$10&lt;&gt;"",ABS(N($N88))&gt;'設定'!$B$10),AND('設定'!$B$11&lt;&gt;"",ABS(ROUND($M88,4))&gt;'設定'!$B$11),AND('設定'!$B$10="",'設定'!$B$11="")),"要確認","許容内"))))</f>
        <v/>
      </c>
      <c r="P88" s="29">
        <f>IF($O88&lt;&gt;"要確認","",IF($Q88=0,"済",IF(COUNTIF('差異の原因'!$B$5:$B$204,$B88)=0,"未記録","一部")))</f>
        <v/>
      </c>
      <c r="Q88" s="27">
        <f>IF($L88="","",IF(AND($L88=0,COUNTIF('差異の原因'!$B$5:$B$204,$B88)=0),"",ROUND($L88-SUMIF('差異の原因'!$B$5:$B$204,$B88,'差異の原因'!$G$5:$G$204),6)))</f>
        <v/>
      </c>
      <c r="R88" s="30" t="n"/>
      <c r="S88" s="23" t="n"/>
      <c r="T88" s="29">
        <f>IF(OR($B88="",NOT(ISNUMBER($R88))),"",IF(IF(ISNUMBER($I88),$I88,N($H88))&lt;=0,"",IF($R88&lt;'設定'!$B$6,"期限切れ",IF($R88='設定'!$B$6,"当日",IF($R88-'設定'!$B$6&lt;=N('設定'!$B$14),"あと"&amp;($R88-'設定'!$B$6)&amp;"日","")))))</f>
        <v/>
      </c>
      <c r="U88" s="61" t="n"/>
      <c r="V88" s="31">
        <f>IF(AND($B88&lt;&gt;"",$E88&lt;&gt;"",$E88='数える用紙'!$C$2),ROW(),"")</f>
        <v/>
      </c>
      <c r="W88" s="74">
        <f>IF(AND($B88&lt;&gt;"",ISNUMBER($R88)),IF(AND($R88&lt;='設定'!$B$6+N('設定'!$B$14),IF(ISNUMBER($I88),$I88,N($H88))&gt;0),$R88+ROW()/100000,""),"")</f>
        <v/>
      </c>
    </row>
    <row r="89" ht="18" customHeight="1">
      <c r="A89" s="22" t="n">
        <v>85</v>
      </c>
      <c r="B89" s="23" t="n"/>
      <c r="C89" s="24" t="n"/>
      <c r="D89" s="24" t="n"/>
      <c r="E89" s="23" t="n"/>
      <c r="F89" s="23" t="n"/>
      <c r="G89" s="25" t="n"/>
      <c r="H89" s="25" t="n"/>
      <c r="I89" s="25" t="n"/>
      <c r="J89" s="72">
        <f>IF(OR($B89="",$H89=""),"",N($G89)*$H89)</f>
        <v/>
      </c>
      <c r="K89" s="72">
        <f>IF(OR($B89="",$I89=""),"",N($G89)*$I89)</f>
        <v/>
      </c>
      <c r="L89" s="27">
        <f>IF(OR($B89="",$H89="",$I89=""),"",$I89-$H89)</f>
        <v/>
      </c>
      <c r="M89" s="72">
        <f>IF($L89="","",$L89*N($G89))</f>
        <v/>
      </c>
      <c r="N89" s="73">
        <f>IF($L89="","",IF($H89&gt;0,ROUND($L89/$H89,4),"－"))</f>
        <v/>
      </c>
      <c r="O89" s="29">
        <f>IF($B89="","",IF($L89="","未入力",IF($L89=0,"一致",IF(OR(NOT(ISNUMBER($N89)),AND('設定'!$B$10&lt;&gt;"",ABS(N($N89))&gt;'設定'!$B$10),AND('設定'!$B$11&lt;&gt;"",ABS(ROUND($M89,4))&gt;'設定'!$B$11),AND('設定'!$B$10="",'設定'!$B$11="")),"要確認","許容内"))))</f>
        <v/>
      </c>
      <c r="P89" s="29">
        <f>IF($O89&lt;&gt;"要確認","",IF($Q89=0,"済",IF(COUNTIF('差異の原因'!$B$5:$B$204,$B89)=0,"未記録","一部")))</f>
        <v/>
      </c>
      <c r="Q89" s="27">
        <f>IF($L89="","",IF(AND($L89=0,COUNTIF('差異の原因'!$B$5:$B$204,$B89)=0),"",ROUND($L89-SUMIF('差異の原因'!$B$5:$B$204,$B89,'差異の原因'!$G$5:$G$204),6)))</f>
        <v/>
      </c>
      <c r="R89" s="30" t="n"/>
      <c r="S89" s="23" t="n"/>
      <c r="T89" s="29">
        <f>IF(OR($B89="",NOT(ISNUMBER($R89))),"",IF(IF(ISNUMBER($I89),$I89,N($H89))&lt;=0,"",IF($R89&lt;'設定'!$B$6,"期限切れ",IF($R89='設定'!$B$6,"当日",IF($R89-'設定'!$B$6&lt;=N('設定'!$B$14),"あと"&amp;($R89-'設定'!$B$6)&amp;"日","")))))</f>
        <v/>
      </c>
      <c r="U89" s="61" t="n"/>
      <c r="V89" s="31">
        <f>IF(AND($B89&lt;&gt;"",$E89&lt;&gt;"",$E89='数える用紙'!$C$2),ROW(),"")</f>
        <v/>
      </c>
      <c r="W89" s="74">
        <f>IF(AND($B89&lt;&gt;"",ISNUMBER($R89)),IF(AND($R89&lt;='設定'!$B$6+N('設定'!$B$14),IF(ISNUMBER($I89),$I89,N($H89))&gt;0),$R89+ROW()/100000,""),"")</f>
        <v/>
      </c>
    </row>
    <row r="90" ht="18" customHeight="1">
      <c r="A90" s="22" t="n">
        <v>86</v>
      </c>
      <c r="B90" s="23" t="n"/>
      <c r="C90" s="24" t="n"/>
      <c r="D90" s="24" t="n"/>
      <c r="E90" s="23" t="n"/>
      <c r="F90" s="23" t="n"/>
      <c r="G90" s="25" t="n"/>
      <c r="H90" s="25" t="n"/>
      <c r="I90" s="25" t="n"/>
      <c r="J90" s="72">
        <f>IF(OR($B90="",$H90=""),"",N($G90)*$H90)</f>
        <v/>
      </c>
      <c r="K90" s="72">
        <f>IF(OR($B90="",$I90=""),"",N($G90)*$I90)</f>
        <v/>
      </c>
      <c r="L90" s="27">
        <f>IF(OR($B90="",$H90="",$I90=""),"",$I90-$H90)</f>
        <v/>
      </c>
      <c r="M90" s="72">
        <f>IF($L90="","",$L90*N($G90))</f>
        <v/>
      </c>
      <c r="N90" s="73">
        <f>IF($L90="","",IF($H90&gt;0,ROUND($L90/$H90,4),"－"))</f>
        <v/>
      </c>
      <c r="O90" s="29">
        <f>IF($B90="","",IF($L90="","未入力",IF($L90=0,"一致",IF(OR(NOT(ISNUMBER($N90)),AND('設定'!$B$10&lt;&gt;"",ABS(N($N90))&gt;'設定'!$B$10),AND('設定'!$B$11&lt;&gt;"",ABS(ROUND($M90,4))&gt;'設定'!$B$11),AND('設定'!$B$10="",'設定'!$B$11="")),"要確認","許容内"))))</f>
        <v/>
      </c>
      <c r="P90" s="29">
        <f>IF($O90&lt;&gt;"要確認","",IF($Q90=0,"済",IF(COUNTIF('差異の原因'!$B$5:$B$204,$B90)=0,"未記録","一部")))</f>
        <v/>
      </c>
      <c r="Q90" s="27">
        <f>IF($L90="","",IF(AND($L90=0,COUNTIF('差異の原因'!$B$5:$B$204,$B90)=0),"",ROUND($L90-SUMIF('差異の原因'!$B$5:$B$204,$B90,'差異の原因'!$G$5:$G$204),6)))</f>
        <v/>
      </c>
      <c r="R90" s="30" t="n"/>
      <c r="S90" s="23" t="n"/>
      <c r="T90" s="29">
        <f>IF(OR($B90="",NOT(ISNUMBER($R90))),"",IF(IF(ISNUMBER($I90),$I90,N($H90))&lt;=0,"",IF($R90&lt;'設定'!$B$6,"期限切れ",IF($R90='設定'!$B$6,"当日",IF($R90-'設定'!$B$6&lt;=N('設定'!$B$14),"あと"&amp;($R90-'設定'!$B$6)&amp;"日","")))))</f>
        <v/>
      </c>
      <c r="U90" s="61" t="n"/>
      <c r="V90" s="31">
        <f>IF(AND($B90&lt;&gt;"",$E90&lt;&gt;"",$E90='数える用紙'!$C$2),ROW(),"")</f>
        <v/>
      </c>
      <c r="W90" s="74">
        <f>IF(AND($B90&lt;&gt;"",ISNUMBER($R90)),IF(AND($R90&lt;='設定'!$B$6+N('設定'!$B$14),IF(ISNUMBER($I90),$I90,N($H90))&gt;0),$R90+ROW()/100000,""),"")</f>
        <v/>
      </c>
    </row>
    <row r="91" ht="18" customHeight="1">
      <c r="A91" s="22" t="n">
        <v>87</v>
      </c>
      <c r="B91" s="23" t="n"/>
      <c r="C91" s="24" t="n"/>
      <c r="D91" s="24" t="n"/>
      <c r="E91" s="23" t="n"/>
      <c r="F91" s="23" t="n"/>
      <c r="G91" s="25" t="n"/>
      <c r="H91" s="25" t="n"/>
      <c r="I91" s="25" t="n"/>
      <c r="J91" s="72">
        <f>IF(OR($B91="",$H91=""),"",N($G91)*$H91)</f>
        <v/>
      </c>
      <c r="K91" s="72">
        <f>IF(OR($B91="",$I91=""),"",N($G91)*$I91)</f>
        <v/>
      </c>
      <c r="L91" s="27">
        <f>IF(OR($B91="",$H91="",$I91=""),"",$I91-$H91)</f>
        <v/>
      </c>
      <c r="M91" s="72">
        <f>IF($L91="","",$L91*N($G91))</f>
        <v/>
      </c>
      <c r="N91" s="73">
        <f>IF($L91="","",IF($H91&gt;0,ROUND($L91/$H91,4),"－"))</f>
        <v/>
      </c>
      <c r="O91" s="29">
        <f>IF($B91="","",IF($L91="","未入力",IF($L91=0,"一致",IF(OR(NOT(ISNUMBER($N91)),AND('設定'!$B$10&lt;&gt;"",ABS(N($N91))&gt;'設定'!$B$10),AND('設定'!$B$11&lt;&gt;"",ABS(ROUND($M91,4))&gt;'設定'!$B$11),AND('設定'!$B$10="",'設定'!$B$11="")),"要確認","許容内"))))</f>
        <v/>
      </c>
      <c r="P91" s="29">
        <f>IF($O91&lt;&gt;"要確認","",IF($Q91=0,"済",IF(COUNTIF('差異の原因'!$B$5:$B$204,$B91)=0,"未記録","一部")))</f>
        <v/>
      </c>
      <c r="Q91" s="27">
        <f>IF($L91="","",IF(AND($L91=0,COUNTIF('差異の原因'!$B$5:$B$204,$B91)=0),"",ROUND($L91-SUMIF('差異の原因'!$B$5:$B$204,$B91,'差異の原因'!$G$5:$G$204),6)))</f>
        <v/>
      </c>
      <c r="R91" s="30" t="n"/>
      <c r="S91" s="23" t="n"/>
      <c r="T91" s="29">
        <f>IF(OR($B91="",NOT(ISNUMBER($R91))),"",IF(IF(ISNUMBER($I91),$I91,N($H91))&lt;=0,"",IF($R91&lt;'設定'!$B$6,"期限切れ",IF($R91='設定'!$B$6,"当日",IF($R91-'設定'!$B$6&lt;=N('設定'!$B$14),"あと"&amp;($R91-'設定'!$B$6)&amp;"日","")))))</f>
        <v/>
      </c>
      <c r="U91" s="61" t="n"/>
      <c r="V91" s="31">
        <f>IF(AND($B91&lt;&gt;"",$E91&lt;&gt;"",$E91='数える用紙'!$C$2),ROW(),"")</f>
        <v/>
      </c>
      <c r="W91" s="74">
        <f>IF(AND($B91&lt;&gt;"",ISNUMBER($R91)),IF(AND($R91&lt;='設定'!$B$6+N('設定'!$B$14),IF(ISNUMBER($I91),$I91,N($H91))&gt;0),$R91+ROW()/100000,""),"")</f>
        <v/>
      </c>
    </row>
    <row r="92" ht="18" customHeight="1">
      <c r="A92" s="22" t="n">
        <v>88</v>
      </c>
      <c r="B92" s="23" t="n"/>
      <c r="C92" s="24" t="n"/>
      <c r="D92" s="24" t="n"/>
      <c r="E92" s="23" t="n"/>
      <c r="F92" s="23" t="n"/>
      <c r="G92" s="25" t="n"/>
      <c r="H92" s="25" t="n"/>
      <c r="I92" s="25" t="n"/>
      <c r="J92" s="72">
        <f>IF(OR($B92="",$H92=""),"",N($G92)*$H92)</f>
        <v/>
      </c>
      <c r="K92" s="72">
        <f>IF(OR($B92="",$I92=""),"",N($G92)*$I92)</f>
        <v/>
      </c>
      <c r="L92" s="27">
        <f>IF(OR($B92="",$H92="",$I92=""),"",$I92-$H92)</f>
        <v/>
      </c>
      <c r="M92" s="72">
        <f>IF($L92="","",$L92*N($G92))</f>
        <v/>
      </c>
      <c r="N92" s="73">
        <f>IF($L92="","",IF($H92&gt;0,ROUND($L92/$H92,4),"－"))</f>
        <v/>
      </c>
      <c r="O92" s="29">
        <f>IF($B92="","",IF($L92="","未入力",IF($L92=0,"一致",IF(OR(NOT(ISNUMBER($N92)),AND('設定'!$B$10&lt;&gt;"",ABS(N($N92))&gt;'設定'!$B$10),AND('設定'!$B$11&lt;&gt;"",ABS(ROUND($M92,4))&gt;'設定'!$B$11),AND('設定'!$B$10="",'設定'!$B$11="")),"要確認","許容内"))))</f>
        <v/>
      </c>
      <c r="P92" s="29">
        <f>IF($O92&lt;&gt;"要確認","",IF($Q92=0,"済",IF(COUNTIF('差異の原因'!$B$5:$B$204,$B92)=0,"未記録","一部")))</f>
        <v/>
      </c>
      <c r="Q92" s="27">
        <f>IF($L92="","",IF(AND($L92=0,COUNTIF('差異の原因'!$B$5:$B$204,$B92)=0),"",ROUND($L92-SUMIF('差異の原因'!$B$5:$B$204,$B92,'差異の原因'!$G$5:$G$204),6)))</f>
        <v/>
      </c>
      <c r="R92" s="30" t="n"/>
      <c r="S92" s="23" t="n"/>
      <c r="T92" s="29">
        <f>IF(OR($B92="",NOT(ISNUMBER($R92))),"",IF(IF(ISNUMBER($I92),$I92,N($H92))&lt;=0,"",IF($R92&lt;'設定'!$B$6,"期限切れ",IF($R92='設定'!$B$6,"当日",IF($R92-'設定'!$B$6&lt;=N('設定'!$B$14),"あと"&amp;($R92-'設定'!$B$6)&amp;"日","")))))</f>
        <v/>
      </c>
      <c r="U92" s="61" t="n"/>
      <c r="V92" s="31">
        <f>IF(AND($B92&lt;&gt;"",$E92&lt;&gt;"",$E92='数える用紙'!$C$2),ROW(),"")</f>
        <v/>
      </c>
      <c r="W92" s="74">
        <f>IF(AND($B92&lt;&gt;"",ISNUMBER($R92)),IF(AND($R92&lt;='設定'!$B$6+N('設定'!$B$14),IF(ISNUMBER($I92),$I92,N($H92))&gt;0),$R92+ROW()/100000,""),"")</f>
        <v/>
      </c>
    </row>
    <row r="93" ht="18" customHeight="1">
      <c r="A93" s="22" t="n">
        <v>89</v>
      </c>
      <c r="B93" s="23" t="n"/>
      <c r="C93" s="24" t="n"/>
      <c r="D93" s="24" t="n"/>
      <c r="E93" s="23" t="n"/>
      <c r="F93" s="23" t="n"/>
      <c r="G93" s="25" t="n"/>
      <c r="H93" s="25" t="n"/>
      <c r="I93" s="25" t="n"/>
      <c r="J93" s="72">
        <f>IF(OR($B93="",$H93=""),"",N($G93)*$H93)</f>
        <v/>
      </c>
      <c r="K93" s="72">
        <f>IF(OR($B93="",$I93=""),"",N($G93)*$I93)</f>
        <v/>
      </c>
      <c r="L93" s="27">
        <f>IF(OR($B93="",$H93="",$I93=""),"",$I93-$H93)</f>
        <v/>
      </c>
      <c r="M93" s="72">
        <f>IF($L93="","",$L93*N($G93))</f>
        <v/>
      </c>
      <c r="N93" s="73">
        <f>IF($L93="","",IF($H93&gt;0,ROUND($L93/$H93,4),"－"))</f>
        <v/>
      </c>
      <c r="O93" s="29">
        <f>IF($B93="","",IF($L93="","未入力",IF($L93=0,"一致",IF(OR(NOT(ISNUMBER($N93)),AND('設定'!$B$10&lt;&gt;"",ABS(N($N93))&gt;'設定'!$B$10),AND('設定'!$B$11&lt;&gt;"",ABS(ROUND($M93,4))&gt;'設定'!$B$11),AND('設定'!$B$10="",'設定'!$B$11="")),"要確認","許容内"))))</f>
        <v/>
      </c>
      <c r="P93" s="29">
        <f>IF($O93&lt;&gt;"要確認","",IF($Q93=0,"済",IF(COUNTIF('差異の原因'!$B$5:$B$204,$B93)=0,"未記録","一部")))</f>
        <v/>
      </c>
      <c r="Q93" s="27">
        <f>IF($L93="","",IF(AND($L93=0,COUNTIF('差異の原因'!$B$5:$B$204,$B93)=0),"",ROUND($L93-SUMIF('差異の原因'!$B$5:$B$204,$B93,'差異の原因'!$G$5:$G$204),6)))</f>
        <v/>
      </c>
      <c r="R93" s="30" t="n"/>
      <c r="S93" s="23" t="n"/>
      <c r="T93" s="29">
        <f>IF(OR($B93="",NOT(ISNUMBER($R93))),"",IF(IF(ISNUMBER($I93),$I93,N($H93))&lt;=0,"",IF($R93&lt;'設定'!$B$6,"期限切れ",IF($R93='設定'!$B$6,"当日",IF($R93-'設定'!$B$6&lt;=N('設定'!$B$14),"あと"&amp;($R93-'設定'!$B$6)&amp;"日","")))))</f>
        <v/>
      </c>
      <c r="U93" s="61" t="n"/>
      <c r="V93" s="31">
        <f>IF(AND($B93&lt;&gt;"",$E93&lt;&gt;"",$E93='数える用紙'!$C$2),ROW(),"")</f>
        <v/>
      </c>
      <c r="W93" s="74">
        <f>IF(AND($B93&lt;&gt;"",ISNUMBER($R93)),IF(AND($R93&lt;='設定'!$B$6+N('設定'!$B$14),IF(ISNUMBER($I93),$I93,N($H93))&gt;0),$R93+ROW()/100000,""),"")</f>
        <v/>
      </c>
    </row>
    <row r="94" ht="18" customHeight="1">
      <c r="A94" s="22" t="n">
        <v>90</v>
      </c>
      <c r="B94" s="23" t="n"/>
      <c r="C94" s="24" t="n"/>
      <c r="D94" s="24" t="n"/>
      <c r="E94" s="23" t="n"/>
      <c r="F94" s="23" t="n"/>
      <c r="G94" s="25" t="n"/>
      <c r="H94" s="25" t="n"/>
      <c r="I94" s="25" t="n"/>
      <c r="J94" s="72">
        <f>IF(OR($B94="",$H94=""),"",N($G94)*$H94)</f>
        <v/>
      </c>
      <c r="K94" s="72">
        <f>IF(OR($B94="",$I94=""),"",N($G94)*$I94)</f>
        <v/>
      </c>
      <c r="L94" s="27">
        <f>IF(OR($B94="",$H94="",$I94=""),"",$I94-$H94)</f>
        <v/>
      </c>
      <c r="M94" s="72">
        <f>IF($L94="","",$L94*N($G94))</f>
        <v/>
      </c>
      <c r="N94" s="73">
        <f>IF($L94="","",IF($H94&gt;0,ROUND($L94/$H94,4),"－"))</f>
        <v/>
      </c>
      <c r="O94" s="29">
        <f>IF($B94="","",IF($L94="","未入力",IF($L94=0,"一致",IF(OR(NOT(ISNUMBER($N94)),AND('設定'!$B$10&lt;&gt;"",ABS(N($N94))&gt;'設定'!$B$10),AND('設定'!$B$11&lt;&gt;"",ABS(ROUND($M94,4))&gt;'設定'!$B$11),AND('設定'!$B$10="",'設定'!$B$11="")),"要確認","許容内"))))</f>
        <v/>
      </c>
      <c r="P94" s="29">
        <f>IF($O94&lt;&gt;"要確認","",IF($Q94=0,"済",IF(COUNTIF('差異の原因'!$B$5:$B$204,$B94)=0,"未記録","一部")))</f>
        <v/>
      </c>
      <c r="Q94" s="27">
        <f>IF($L94="","",IF(AND($L94=0,COUNTIF('差異の原因'!$B$5:$B$204,$B94)=0),"",ROUND($L94-SUMIF('差異の原因'!$B$5:$B$204,$B94,'差異の原因'!$G$5:$G$204),6)))</f>
        <v/>
      </c>
      <c r="R94" s="30" t="n"/>
      <c r="S94" s="23" t="n"/>
      <c r="T94" s="29">
        <f>IF(OR($B94="",NOT(ISNUMBER($R94))),"",IF(IF(ISNUMBER($I94),$I94,N($H94))&lt;=0,"",IF($R94&lt;'設定'!$B$6,"期限切れ",IF($R94='設定'!$B$6,"当日",IF($R94-'設定'!$B$6&lt;=N('設定'!$B$14),"あと"&amp;($R94-'設定'!$B$6)&amp;"日","")))))</f>
        <v/>
      </c>
      <c r="U94" s="61" t="n"/>
      <c r="V94" s="31">
        <f>IF(AND($B94&lt;&gt;"",$E94&lt;&gt;"",$E94='数える用紙'!$C$2),ROW(),"")</f>
        <v/>
      </c>
      <c r="W94" s="74">
        <f>IF(AND($B94&lt;&gt;"",ISNUMBER($R94)),IF(AND($R94&lt;='設定'!$B$6+N('設定'!$B$14),IF(ISNUMBER($I94),$I94,N($H94))&gt;0),$R94+ROW()/100000,""),"")</f>
        <v/>
      </c>
    </row>
    <row r="95" ht="18" customHeight="1">
      <c r="A95" s="22" t="n">
        <v>91</v>
      </c>
      <c r="B95" s="23" t="n"/>
      <c r="C95" s="24" t="n"/>
      <c r="D95" s="24" t="n"/>
      <c r="E95" s="23" t="n"/>
      <c r="F95" s="23" t="n"/>
      <c r="G95" s="25" t="n"/>
      <c r="H95" s="25" t="n"/>
      <c r="I95" s="25" t="n"/>
      <c r="J95" s="72">
        <f>IF(OR($B95="",$H95=""),"",N($G95)*$H95)</f>
        <v/>
      </c>
      <c r="K95" s="72">
        <f>IF(OR($B95="",$I95=""),"",N($G95)*$I95)</f>
        <v/>
      </c>
      <c r="L95" s="27">
        <f>IF(OR($B95="",$H95="",$I95=""),"",$I95-$H95)</f>
        <v/>
      </c>
      <c r="M95" s="72">
        <f>IF($L95="","",$L95*N($G95))</f>
        <v/>
      </c>
      <c r="N95" s="73">
        <f>IF($L95="","",IF($H95&gt;0,ROUND($L95/$H95,4),"－"))</f>
        <v/>
      </c>
      <c r="O95" s="29">
        <f>IF($B95="","",IF($L95="","未入力",IF($L95=0,"一致",IF(OR(NOT(ISNUMBER($N95)),AND('設定'!$B$10&lt;&gt;"",ABS(N($N95))&gt;'設定'!$B$10),AND('設定'!$B$11&lt;&gt;"",ABS(ROUND($M95,4))&gt;'設定'!$B$11),AND('設定'!$B$10="",'設定'!$B$11="")),"要確認","許容内"))))</f>
        <v/>
      </c>
      <c r="P95" s="29">
        <f>IF($O95&lt;&gt;"要確認","",IF($Q95=0,"済",IF(COUNTIF('差異の原因'!$B$5:$B$204,$B95)=0,"未記録","一部")))</f>
        <v/>
      </c>
      <c r="Q95" s="27">
        <f>IF($L95="","",IF(AND($L95=0,COUNTIF('差異の原因'!$B$5:$B$204,$B95)=0),"",ROUND($L95-SUMIF('差異の原因'!$B$5:$B$204,$B95,'差異の原因'!$G$5:$G$204),6)))</f>
        <v/>
      </c>
      <c r="R95" s="30" t="n"/>
      <c r="S95" s="23" t="n"/>
      <c r="T95" s="29">
        <f>IF(OR($B95="",NOT(ISNUMBER($R95))),"",IF(IF(ISNUMBER($I95),$I95,N($H95))&lt;=0,"",IF($R95&lt;'設定'!$B$6,"期限切れ",IF($R95='設定'!$B$6,"当日",IF($R95-'設定'!$B$6&lt;=N('設定'!$B$14),"あと"&amp;($R95-'設定'!$B$6)&amp;"日","")))))</f>
        <v/>
      </c>
      <c r="U95" s="61" t="n"/>
      <c r="V95" s="31">
        <f>IF(AND($B95&lt;&gt;"",$E95&lt;&gt;"",$E95='数える用紙'!$C$2),ROW(),"")</f>
        <v/>
      </c>
      <c r="W95" s="74">
        <f>IF(AND($B95&lt;&gt;"",ISNUMBER($R95)),IF(AND($R95&lt;='設定'!$B$6+N('設定'!$B$14),IF(ISNUMBER($I95),$I95,N($H95))&gt;0),$R95+ROW()/100000,""),"")</f>
        <v/>
      </c>
    </row>
    <row r="96" ht="18" customHeight="1">
      <c r="A96" s="22" t="n">
        <v>92</v>
      </c>
      <c r="B96" s="23" t="n"/>
      <c r="C96" s="24" t="n"/>
      <c r="D96" s="24" t="n"/>
      <c r="E96" s="23" t="n"/>
      <c r="F96" s="23" t="n"/>
      <c r="G96" s="25" t="n"/>
      <c r="H96" s="25" t="n"/>
      <c r="I96" s="25" t="n"/>
      <c r="J96" s="72">
        <f>IF(OR($B96="",$H96=""),"",N($G96)*$H96)</f>
        <v/>
      </c>
      <c r="K96" s="72">
        <f>IF(OR($B96="",$I96=""),"",N($G96)*$I96)</f>
        <v/>
      </c>
      <c r="L96" s="27">
        <f>IF(OR($B96="",$H96="",$I96=""),"",$I96-$H96)</f>
        <v/>
      </c>
      <c r="M96" s="72">
        <f>IF($L96="","",$L96*N($G96))</f>
        <v/>
      </c>
      <c r="N96" s="73">
        <f>IF($L96="","",IF($H96&gt;0,ROUND($L96/$H96,4),"－"))</f>
        <v/>
      </c>
      <c r="O96" s="29">
        <f>IF($B96="","",IF($L96="","未入力",IF($L96=0,"一致",IF(OR(NOT(ISNUMBER($N96)),AND('設定'!$B$10&lt;&gt;"",ABS(N($N96))&gt;'設定'!$B$10),AND('設定'!$B$11&lt;&gt;"",ABS(ROUND($M96,4))&gt;'設定'!$B$11),AND('設定'!$B$10="",'設定'!$B$11="")),"要確認","許容内"))))</f>
        <v/>
      </c>
      <c r="P96" s="29">
        <f>IF($O96&lt;&gt;"要確認","",IF($Q96=0,"済",IF(COUNTIF('差異の原因'!$B$5:$B$204,$B96)=0,"未記録","一部")))</f>
        <v/>
      </c>
      <c r="Q96" s="27">
        <f>IF($L96="","",IF(AND($L96=0,COUNTIF('差異の原因'!$B$5:$B$204,$B96)=0),"",ROUND($L96-SUMIF('差異の原因'!$B$5:$B$204,$B96,'差異の原因'!$G$5:$G$204),6)))</f>
        <v/>
      </c>
      <c r="R96" s="30" t="n"/>
      <c r="S96" s="23" t="n"/>
      <c r="T96" s="29">
        <f>IF(OR($B96="",NOT(ISNUMBER($R96))),"",IF(IF(ISNUMBER($I96),$I96,N($H96))&lt;=0,"",IF($R96&lt;'設定'!$B$6,"期限切れ",IF($R96='設定'!$B$6,"当日",IF($R96-'設定'!$B$6&lt;=N('設定'!$B$14),"あと"&amp;($R96-'設定'!$B$6)&amp;"日","")))))</f>
        <v/>
      </c>
      <c r="U96" s="61" t="n"/>
      <c r="V96" s="31">
        <f>IF(AND($B96&lt;&gt;"",$E96&lt;&gt;"",$E96='数える用紙'!$C$2),ROW(),"")</f>
        <v/>
      </c>
      <c r="W96" s="74">
        <f>IF(AND($B96&lt;&gt;"",ISNUMBER($R96)),IF(AND($R96&lt;='設定'!$B$6+N('設定'!$B$14),IF(ISNUMBER($I96),$I96,N($H96))&gt;0),$R96+ROW()/100000,""),"")</f>
        <v/>
      </c>
    </row>
    <row r="97" ht="18" customHeight="1">
      <c r="A97" s="22" t="n">
        <v>93</v>
      </c>
      <c r="B97" s="23" t="n"/>
      <c r="C97" s="24" t="n"/>
      <c r="D97" s="24" t="n"/>
      <c r="E97" s="23" t="n"/>
      <c r="F97" s="23" t="n"/>
      <c r="G97" s="25" t="n"/>
      <c r="H97" s="25" t="n"/>
      <c r="I97" s="25" t="n"/>
      <c r="J97" s="72">
        <f>IF(OR($B97="",$H97=""),"",N($G97)*$H97)</f>
        <v/>
      </c>
      <c r="K97" s="72">
        <f>IF(OR($B97="",$I97=""),"",N($G97)*$I97)</f>
        <v/>
      </c>
      <c r="L97" s="27">
        <f>IF(OR($B97="",$H97="",$I97=""),"",$I97-$H97)</f>
        <v/>
      </c>
      <c r="M97" s="72">
        <f>IF($L97="","",$L97*N($G97))</f>
        <v/>
      </c>
      <c r="N97" s="73">
        <f>IF($L97="","",IF($H97&gt;0,ROUND($L97/$H97,4),"－"))</f>
        <v/>
      </c>
      <c r="O97" s="29">
        <f>IF($B97="","",IF($L97="","未入力",IF($L97=0,"一致",IF(OR(NOT(ISNUMBER($N97)),AND('設定'!$B$10&lt;&gt;"",ABS(N($N97))&gt;'設定'!$B$10),AND('設定'!$B$11&lt;&gt;"",ABS(ROUND($M97,4))&gt;'設定'!$B$11),AND('設定'!$B$10="",'設定'!$B$11="")),"要確認","許容内"))))</f>
        <v/>
      </c>
      <c r="P97" s="29">
        <f>IF($O97&lt;&gt;"要確認","",IF($Q97=0,"済",IF(COUNTIF('差異の原因'!$B$5:$B$204,$B97)=0,"未記録","一部")))</f>
        <v/>
      </c>
      <c r="Q97" s="27">
        <f>IF($L97="","",IF(AND($L97=0,COUNTIF('差異の原因'!$B$5:$B$204,$B97)=0),"",ROUND($L97-SUMIF('差異の原因'!$B$5:$B$204,$B97,'差異の原因'!$G$5:$G$204),6)))</f>
        <v/>
      </c>
      <c r="R97" s="30" t="n"/>
      <c r="S97" s="23" t="n"/>
      <c r="T97" s="29">
        <f>IF(OR($B97="",NOT(ISNUMBER($R97))),"",IF(IF(ISNUMBER($I97),$I97,N($H97))&lt;=0,"",IF($R97&lt;'設定'!$B$6,"期限切れ",IF($R97='設定'!$B$6,"当日",IF($R97-'設定'!$B$6&lt;=N('設定'!$B$14),"あと"&amp;($R97-'設定'!$B$6)&amp;"日","")))))</f>
        <v/>
      </c>
      <c r="U97" s="61" t="n"/>
      <c r="V97" s="31">
        <f>IF(AND($B97&lt;&gt;"",$E97&lt;&gt;"",$E97='数える用紙'!$C$2),ROW(),"")</f>
        <v/>
      </c>
      <c r="W97" s="74">
        <f>IF(AND($B97&lt;&gt;"",ISNUMBER($R97)),IF(AND($R97&lt;='設定'!$B$6+N('設定'!$B$14),IF(ISNUMBER($I97),$I97,N($H97))&gt;0),$R97+ROW()/100000,""),"")</f>
        <v/>
      </c>
    </row>
    <row r="98" ht="18" customHeight="1">
      <c r="A98" s="22" t="n">
        <v>94</v>
      </c>
      <c r="B98" s="23" t="n"/>
      <c r="C98" s="24" t="n"/>
      <c r="D98" s="24" t="n"/>
      <c r="E98" s="23" t="n"/>
      <c r="F98" s="23" t="n"/>
      <c r="G98" s="25" t="n"/>
      <c r="H98" s="25" t="n"/>
      <c r="I98" s="25" t="n"/>
      <c r="J98" s="72">
        <f>IF(OR($B98="",$H98=""),"",N($G98)*$H98)</f>
        <v/>
      </c>
      <c r="K98" s="72">
        <f>IF(OR($B98="",$I98=""),"",N($G98)*$I98)</f>
        <v/>
      </c>
      <c r="L98" s="27">
        <f>IF(OR($B98="",$H98="",$I98=""),"",$I98-$H98)</f>
        <v/>
      </c>
      <c r="M98" s="72">
        <f>IF($L98="","",$L98*N($G98))</f>
        <v/>
      </c>
      <c r="N98" s="73">
        <f>IF($L98="","",IF($H98&gt;0,ROUND($L98/$H98,4),"－"))</f>
        <v/>
      </c>
      <c r="O98" s="29">
        <f>IF($B98="","",IF($L98="","未入力",IF($L98=0,"一致",IF(OR(NOT(ISNUMBER($N98)),AND('設定'!$B$10&lt;&gt;"",ABS(N($N98))&gt;'設定'!$B$10),AND('設定'!$B$11&lt;&gt;"",ABS(ROUND($M98,4))&gt;'設定'!$B$11),AND('設定'!$B$10="",'設定'!$B$11="")),"要確認","許容内"))))</f>
        <v/>
      </c>
      <c r="P98" s="29">
        <f>IF($O98&lt;&gt;"要確認","",IF($Q98=0,"済",IF(COUNTIF('差異の原因'!$B$5:$B$204,$B98)=0,"未記録","一部")))</f>
        <v/>
      </c>
      <c r="Q98" s="27">
        <f>IF($L98="","",IF(AND($L98=0,COUNTIF('差異の原因'!$B$5:$B$204,$B98)=0),"",ROUND($L98-SUMIF('差異の原因'!$B$5:$B$204,$B98,'差異の原因'!$G$5:$G$204),6)))</f>
        <v/>
      </c>
      <c r="R98" s="30" t="n"/>
      <c r="S98" s="23" t="n"/>
      <c r="T98" s="29">
        <f>IF(OR($B98="",NOT(ISNUMBER($R98))),"",IF(IF(ISNUMBER($I98),$I98,N($H98))&lt;=0,"",IF($R98&lt;'設定'!$B$6,"期限切れ",IF($R98='設定'!$B$6,"当日",IF($R98-'設定'!$B$6&lt;=N('設定'!$B$14),"あと"&amp;($R98-'設定'!$B$6)&amp;"日","")))))</f>
        <v/>
      </c>
      <c r="U98" s="61" t="n"/>
      <c r="V98" s="31">
        <f>IF(AND($B98&lt;&gt;"",$E98&lt;&gt;"",$E98='数える用紙'!$C$2),ROW(),"")</f>
        <v/>
      </c>
      <c r="W98" s="74">
        <f>IF(AND($B98&lt;&gt;"",ISNUMBER($R98)),IF(AND($R98&lt;='設定'!$B$6+N('設定'!$B$14),IF(ISNUMBER($I98),$I98,N($H98))&gt;0),$R98+ROW()/100000,""),"")</f>
        <v/>
      </c>
    </row>
    <row r="99" ht="18" customHeight="1">
      <c r="A99" s="22" t="n">
        <v>95</v>
      </c>
      <c r="B99" s="23" t="n"/>
      <c r="C99" s="24" t="n"/>
      <c r="D99" s="24" t="n"/>
      <c r="E99" s="23" t="n"/>
      <c r="F99" s="23" t="n"/>
      <c r="G99" s="25" t="n"/>
      <c r="H99" s="25" t="n"/>
      <c r="I99" s="25" t="n"/>
      <c r="J99" s="72">
        <f>IF(OR($B99="",$H99=""),"",N($G99)*$H99)</f>
        <v/>
      </c>
      <c r="K99" s="72">
        <f>IF(OR($B99="",$I99=""),"",N($G99)*$I99)</f>
        <v/>
      </c>
      <c r="L99" s="27">
        <f>IF(OR($B99="",$H99="",$I99=""),"",$I99-$H99)</f>
        <v/>
      </c>
      <c r="M99" s="72">
        <f>IF($L99="","",$L99*N($G99))</f>
        <v/>
      </c>
      <c r="N99" s="73">
        <f>IF($L99="","",IF($H99&gt;0,ROUND($L99/$H99,4),"－"))</f>
        <v/>
      </c>
      <c r="O99" s="29">
        <f>IF($B99="","",IF($L99="","未入力",IF($L99=0,"一致",IF(OR(NOT(ISNUMBER($N99)),AND('設定'!$B$10&lt;&gt;"",ABS(N($N99))&gt;'設定'!$B$10),AND('設定'!$B$11&lt;&gt;"",ABS(ROUND($M99,4))&gt;'設定'!$B$11),AND('設定'!$B$10="",'設定'!$B$11="")),"要確認","許容内"))))</f>
        <v/>
      </c>
      <c r="P99" s="29">
        <f>IF($O99&lt;&gt;"要確認","",IF($Q99=0,"済",IF(COUNTIF('差異の原因'!$B$5:$B$204,$B99)=0,"未記録","一部")))</f>
        <v/>
      </c>
      <c r="Q99" s="27">
        <f>IF($L99="","",IF(AND($L99=0,COUNTIF('差異の原因'!$B$5:$B$204,$B99)=0),"",ROUND($L99-SUMIF('差異の原因'!$B$5:$B$204,$B99,'差異の原因'!$G$5:$G$204),6)))</f>
        <v/>
      </c>
      <c r="R99" s="30" t="n"/>
      <c r="S99" s="23" t="n"/>
      <c r="T99" s="29">
        <f>IF(OR($B99="",NOT(ISNUMBER($R99))),"",IF(IF(ISNUMBER($I99),$I99,N($H99))&lt;=0,"",IF($R99&lt;'設定'!$B$6,"期限切れ",IF($R99='設定'!$B$6,"当日",IF($R99-'設定'!$B$6&lt;=N('設定'!$B$14),"あと"&amp;($R99-'設定'!$B$6)&amp;"日","")))))</f>
        <v/>
      </c>
      <c r="U99" s="61" t="n"/>
      <c r="V99" s="31">
        <f>IF(AND($B99&lt;&gt;"",$E99&lt;&gt;"",$E99='数える用紙'!$C$2),ROW(),"")</f>
        <v/>
      </c>
      <c r="W99" s="74">
        <f>IF(AND($B99&lt;&gt;"",ISNUMBER($R99)),IF(AND($R99&lt;='設定'!$B$6+N('設定'!$B$14),IF(ISNUMBER($I99),$I99,N($H99))&gt;0),$R99+ROW()/100000,""),"")</f>
        <v/>
      </c>
    </row>
    <row r="100" ht="18" customHeight="1">
      <c r="A100" s="22" t="n">
        <v>96</v>
      </c>
      <c r="B100" s="23" t="n"/>
      <c r="C100" s="24" t="n"/>
      <c r="D100" s="24" t="n"/>
      <c r="E100" s="23" t="n"/>
      <c r="F100" s="23" t="n"/>
      <c r="G100" s="25" t="n"/>
      <c r="H100" s="25" t="n"/>
      <c r="I100" s="25" t="n"/>
      <c r="J100" s="72">
        <f>IF(OR($B100="",$H100=""),"",N($G100)*$H100)</f>
        <v/>
      </c>
      <c r="K100" s="72">
        <f>IF(OR($B100="",$I100=""),"",N($G100)*$I100)</f>
        <v/>
      </c>
      <c r="L100" s="27">
        <f>IF(OR($B100="",$H100="",$I100=""),"",$I100-$H100)</f>
        <v/>
      </c>
      <c r="M100" s="72">
        <f>IF($L100="","",$L100*N($G100))</f>
        <v/>
      </c>
      <c r="N100" s="73">
        <f>IF($L100="","",IF($H100&gt;0,ROUND($L100/$H100,4),"－"))</f>
        <v/>
      </c>
      <c r="O100" s="29">
        <f>IF($B100="","",IF($L100="","未入力",IF($L100=0,"一致",IF(OR(NOT(ISNUMBER($N100)),AND('設定'!$B$10&lt;&gt;"",ABS(N($N100))&gt;'設定'!$B$10),AND('設定'!$B$11&lt;&gt;"",ABS(ROUND($M100,4))&gt;'設定'!$B$11),AND('設定'!$B$10="",'設定'!$B$11="")),"要確認","許容内"))))</f>
        <v/>
      </c>
      <c r="P100" s="29">
        <f>IF($O100&lt;&gt;"要確認","",IF($Q100=0,"済",IF(COUNTIF('差異の原因'!$B$5:$B$204,$B100)=0,"未記録","一部")))</f>
        <v/>
      </c>
      <c r="Q100" s="27">
        <f>IF($L100="","",IF(AND($L100=0,COUNTIF('差異の原因'!$B$5:$B$204,$B100)=0),"",ROUND($L100-SUMIF('差異の原因'!$B$5:$B$204,$B100,'差異の原因'!$G$5:$G$204),6)))</f>
        <v/>
      </c>
      <c r="R100" s="30" t="n"/>
      <c r="S100" s="23" t="n"/>
      <c r="T100" s="29">
        <f>IF(OR($B100="",NOT(ISNUMBER($R100))),"",IF(IF(ISNUMBER($I100),$I100,N($H100))&lt;=0,"",IF($R100&lt;'設定'!$B$6,"期限切れ",IF($R100='設定'!$B$6,"当日",IF($R100-'設定'!$B$6&lt;=N('設定'!$B$14),"あと"&amp;($R100-'設定'!$B$6)&amp;"日","")))))</f>
        <v/>
      </c>
      <c r="U100" s="61" t="n"/>
      <c r="V100" s="31">
        <f>IF(AND($B100&lt;&gt;"",$E100&lt;&gt;"",$E100='数える用紙'!$C$2),ROW(),"")</f>
        <v/>
      </c>
      <c r="W100" s="74">
        <f>IF(AND($B100&lt;&gt;"",ISNUMBER($R100)),IF(AND($R100&lt;='設定'!$B$6+N('設定'!$B$14),IF(ISNUMBER($I100),$I100,N($H100))&gt;0),$R100+ROW()/100000,""),"")</f>
        <v/>
      </c>
    </row>
    <row r="101" ht="18" customHeight="1">
      <c r="A101" s="22" t="n">
        <v>97</v>
      </c>
      <c r="B101" s="23" t="n"/>
      <c r="C101" s="24" t="n"/>
      <c r="D101" s="24" t="n"/>
      <c r="E101" s="23" t="n"/>
      <c r="F101" s="23" t="n"/>
      <c r="G101" s="25" t="n"/>
      <c r="H101" s="25" t="n"/>
      <c r="I101" s="25" t="n"/>
      <c r="J101" s="72">
        <f>IF(OR($B101="",$H101=""),"",N($G101)*$H101)</f>
        <v/>
      </c>
      <c r="K101" s="72">
        <f>IF(OR($B101="",$I101=""),"",N($G101)*$I101)</f>
        <v/>
      </c>
      <c r="L101" s="27">
        <f>IF(OR($B101="",$H101="",$I101=""),"",$I101-$H101)</f>
        <v/>
      </c>
      <c r="M101" s="72">
        <f>IF($L101="","",$L101*N($G101))</f>
        <v/>
      </c>
      <c r="N101" s="73">
        <f>IF($L101="","",IF($H101&gt;0,ROUND($L101/$H101,4),"－"))</f>
        <v/>
      </c>
      <c r="O101" s="29">
        <f>IF($B101="","",IF($L101="","未入力",IF($L101=0,"一致",IF(OR(NOT(ISNUMBER($N101)),AND('設定'!$B$10&lt;&gt;"",ABS(N($N101))&gt;'設定'!$B$10),AND('設定'!$B$11&lt;&gt;"",ABS(ROUND($M101,4))&gt;'設定'!$B$11),AND('設定'!$B$10="",'設定'!$B$11="")),"要確認","許容内"))))</f>
        <v/>
      </c>
      <c r="P101" s="29">
        <f>IF($O101&lt;&gt;"要確認","",IF($Q101=0,"済",IF(COUNTIF('差異の原因'!$B$5:$B$204,$B101)=0,"未記録","一部")))</f>
        <v/>
      </c>
      <c r="Q101" s="27">
        <f>IF($L101="","",IF(AND($L101=0,COUNTIF('差異の原因'!$B$5:$B$204,$B101)=0),"",ROUND($L101-SUMIF('差異の原因'!$B$5:$B$204,$B101,'差異の原因'!$G$5:$G$204),6)))</f>
        <v/>
      </c>
      <c r="R101" s="30" t="n"/>
      <c r="S101" s="23" t="n"/>
      <c r="T101" s="29">
        <f>IF(OR($B101="",NOT(ISNUMBER($R101))),"",IF(IF(ISNUMBER($I101),$I101,N($H101))&lt;=0,"",IF($R101&lt;'設定'!$B$6,"期限切れ",IF($R101='設定'!$B$6,"当日",IF($R101-'設定'!$B$6&lt;=N('設定'!$B$14),"あと"&amp;($R101-'設定'!$B$6)&amp;"日","")))))</f>
        <v/>
      </c>
      <c r="U101" s="61" t="n"/>
      <c r="V101" s="31">
        <f>IF(AND($B101&lt;&gt;"",$E101&lt;&gt;"",$E101='数える用紙'!$C$2),ROW(),"")</f>
        <v/>
      </c>
      <c r="W101" s="74">
        <f>IF(AND($B101&lt;&gt;"",ISNUMBER($R101)),IF(AND($R101&lt;='設定'!$B$6+N('設定'!$B$14),IF(ISNUMBER($I101),$I101,N($H101))&gt;0),$R101+ROW()/100000,""),"")</f>
        <v/>
      </c>
    </row>
    <row r="102" ht="18" customHeight="1">
      <c r="A102" s="22" t="n">
        <v>98</v>
      </c>
      <c r="B102" s="23" t="n"/>
      <c r="C102" s="24" t="n"/>
      <c r="D102" s="24" t="n"/>
      <c r="E102" s="23" t="n"/>
      <c r="F102" s="23" t="n"/>
      <c r="G102" s="25" t="n"/>
      <c r="H102" s="25" t="n"/>
      <c r="I102" s="25" t="n"/>
      <c r="J102" s="72">
        <f>IF(OR($B102="",$H102=""),"",N($G102)*$H102)</f>
        <v/>
      </c>
      <c r="K102" s="72">
        <f>IF(OR($B102="",$I102=""),"",N($G102)*$I102)</f>
        <v/>
      </c>
      <c r="L102" s="27">
        <f>IF(OR($B102="",$H102="",$I102=""),"",$I102-$H102)</f>
        <v/>
      </c>
      <c r="M102" s="72">
        <f>IF($L102="","",$L102*N($G102))</f>
        <v/>
      </c>
      <c r="N102" s="73">
        <f>IF($L102="","",IF($H102&gt;0,ROUND($L102/$H102,4),"－"))</f>
        <v/>
      </c>
      <c r="O102" s="29">
        <f>IF($B102="","",IF($L102="","未入力",IF($L102=0,"一致",IF(OR(NOT(ISNUMBER($N102)),AND('設定'!$B$10&lt;&gt;"",ABS(N($N102))&gt;'設定'!$B$10),AND('設定'!$B$11&lt;&gt;"",ABS(ROUND($M102,4))&gt;'設定'!$B$11),AND('設定'!$B$10="",'設定'!$B$11="")),"要確認","許容内"))))</f>
        <v/>
      </c>
      <c r="P102" s="29">
        <f>IF($O102&lt;&gt;"要確認","",IF($Q102=0,"済",IF(COUNTIF('差異の原因'!$B$5:$B$204,$B102)=0,"未記録","一部")))</f>
        <v/>
      </c>
      <c r="Q102" s="27">
        <f>IF($L102="","",IF(AND($L102=0,COUNTIF('差異の原因'!$B$5:$B$204,$B102)=0),"",ROUND($L102-SUMIF('差異の原因'!$B$5:$B$204,$B102,'差異の原因'!$G$5:$G$204),6)))</f>
        <v/>
      </c>
      <c r="R102" s="30" t="n"/>
      <c r="S102" s="23" t="n"/>
      <c r="T102" s="29">
        <f>IF(OR($B102="",NOT(ISNUMBER($R102))),"",IF(IF(ISNUMBER($I102),$I102,N($H102))&lt;=0,"",IF($R102&lt;'設定'!$B$6,"期限切れ",IF($R102='設定'!$B$6,"当日",IF($R102-'設定'!$B$6&lt;=N('設定'!$B$14),"あと"&amp;($R102-'設定'!$B$6)&amp;"日","")))))</f>
        <v/>
      </c>
      <c r="U102" s="61" t="n"/>
      <c r="V102" s="31">
        <f>IF(AND($B102&lt;&gt;"",$E102&lt;&gt;"",$E102='数える用紙'!$C$2),ROW(),"")</f>
        <v/>
      </c>
      <c r="W102" s="74">
        <f>IF(AND($B102&lt;&gt;"",ISNUMBER($R102)),IF(AND($R102&lt;='設定'!$B$6+N('設定'!$B$14),IF(ISNUMBER($I102),$I102,N($H102))&gt;0),$R102+ROW()/100000,""),"")</f>
        <v/>
      </c>
    </row>
    <row r="103" ht="18" customHeight="1">
      <c r="A103" s="22" t="n">
        <v>99</v>
      </c>
      <c r="B103" s="23" t="n"/>
      <c r="C103" s="24" t="n"/>
      <c r="D103" s="24" t="n"/>
      <c r="E103" s="23" t="n"/>
      <c r="F103" s="23" t="n"/>
      <c r="G103" s="25" t="n"/>
      <c r="H103" s="25" t="n"/>
      <c r="I103" s="25" t="n"/>
      <c r="J103" s="72">
        <f>IF(OR($B103="",$H103=""),"",N($G103)*$H103)</f>
        <v/>
      </c>
      <c r="K103" s="72">
        <f>IF(OR($B103="",$I103=""),"",N($G103)*$I103)</f>
        <v/>
      </c>
      <c r="L103" s="27">
        <f>IF(OR($B103="",$H103="",$I103=""),"",$I103-$H103)</f>
        <v/>
      </c>
      <c r="M103" s="72">
        <f>IF($L103="","",$L103*N($G103))</f>
        <v/>
      </c>
      <c r="N103" s="73">
        <f>IF($L103="","",IF($H103&gt;0,ROUND($L103/$H103,4),"－"))</f>
        <v/>
      </c>
      <c r="O103" s="29">
        <f>IF($B103="","",IF($L103="","未入力",IF($L103=0,"一致",IF(OR(NOT(ISNUMBER($N103)),AND('設定'!$B$10&lt;&gt;"",ABS(N($N103))&gt;'設定'!$B$10),AND('設定'!$B$11&lt;&gt;"",ABS(ROUND($M103,4))&gt;'設定'!$B$11),AND('設定'!$B$10="",'設定'!$B$11="")),"要確認","許容内"))))</f>
        <v/>
      </c>
      <c r="P103" s="29">
        <f>IF($O103&lt;&gt;"要確認","",IF($Q103=0,"済",IF(COUNTIF('差異の原因'!$B$5:$B$204,$B103)=0,"未記録","一部")))</f>
        <v/>
      </c>
      <c r="Q103" s="27">
        <f>IF($L103="","",IF(AND($L103=0,COUNTIF('差異の原因'!$B$5:$B$204,$B103)=0),"",ROUND($L103-SUMIF('差異の原因'!$B$5:$B$204,$B103,'差異の原因'!$G$5:$G$204),6)))</f>
        <v/>
      </c>
      <c r="R103" s="30" t="n"/>
      <c r="S103" s="23" t="n"/>
      <c r="T103" s="29">
        <f>IF(OR($B103="",NOT(ISNUMBER($R103))),"",IF(IF(ISNUMBER($I103),$I103,N($H103))&lt;=0,"",IF($R103&lt;'設定'!$B$6,"期限切れ",IF($R103='設定'!$B$6,"当日",IF($R103-'設定'!$B$6&lt;=N('設定'!$B$14),"あと"&amp;($R103-'設定'!$B$6)&amp;"日","")))))</f>
        <v/>
      </c>
      <c r="U103" s="61" t="n"/>
      <c r="V103" s="31">
        <f>IF(AND($B103&lt;&gt;"",$E103&lt;&gt;"",$E103='数える用紙'!$C$2),ROW(),"")</f>
        <v/>
      </c>
      <c r="W103" s="74">
        <f>IF(AND($B103&lt;&gt;"",ISNUMBER($R103)),IF(AND($R103&lt;='設定'!$B$6+N('設定'!$B$14),IF(ISNUMBER($I103),$I103,N($H103))&gt;0),$R103+ROW()/100000,""),"")</f>
        <v/>
      </c>
    </row>
    <row r="104" ht="18" customHeight="1">
      <c r="A104" s="22" t="n">
        <v>100</v>
      </c>
      <c r="B104" s="23" t="n"/>
      <c r="C104" s="24" t="n"/>
      <c r="D104" s="24" t="n"/>
      <c r="E104" s="23" t="n"/>
      <c r="F104" s="23" t="n"/>
      <c r="G104" s="25" t="n"/>
      <c r="H104" s="25" t="n"/>
      <c r="I104" s="25" t="n"/>
      <c r="J104" s="72">
        <f>IF(OR($B104="",$H104=""),"",N($G104)*$H104)</f>
        <v/>
      </c>
      <c r="K104" s="72">
        <f>IF(OR($B104="",$I104=""),"",N($G104)*$I104)</f>
        <v/>
      </c>
      <c r="L104" s="27">
        <f>IF(OR($B104="",$H104="",$I104=""),"",$I104-$H104)</f>
        <v/>
      </c>
      <c r="M104" s="72">
        <f>IF($L104="","",$L104*N($G104))</f>
        <v/>
      </c>
      <c r="N104" s="73">
        <f>IF($L104="","",IF($H104&gt;0,ROUND($L104/$H104,4),"－"))</f>
        <v/>
      </c>
      <c r="O104" s="29">
        <f>IF($B104="","",IF($L104="","未入力",IF($L104=0,"一致",IF(OR(NOT(ISNUMBER($N104)),AND('設定'!$B$10&lt;&gt;"",ABS(N($N104))&gt;'設定'!$B$10),AND('設定'!$B$11&lt;&gt;"",ABS(ROUND($M104,4))&gt;'設定'!$B$11),AND('設定'!$B$10="",'設定'!$B$11="")),"要確認","許容内"))))</f>
        <v/>
      </c>
      <c r="P104" s="29">
        <f>IF($O104&lt;&gt;"要確認","",IF($Q104=0,"済",IF(COUNTIF('差異の原因'!$B$5:$B$204,$B104)=0,"未記録","一部")))</f>
        <v/>
      </c>
      <c r="Q104" s="27">
        <f>IF($L104="","",IF(AND($L104=0,COUNTIF('差異の原因'!$B$5:$B$204,$B104)=0),"",ROUND($L104-SUMIF('差異の原因'!$B$5:$B$204,$B104,'差異の原因'!$G$5:$G$204),6)))</f>
        <v/>
      </c>
      <c r="R104" s="30" t="n"/>
      <c r="S104" s="23" t="n"/>
      <c r="T104" s="29">
        <f>IF(OR($B104="",NOT(ISNUMBER($R104))),"",IF(IF(ISNUMBER($I104),$I104,N($H104))&lt;=0,"",IF($R104&lt;'設定'!$B$6,"期限切れ",IF($R104='設定'!$B$6,"当日",IF($R104-'設定'!$B$6&lt;=N('設定'!$B$14),"あと"&amp;($R104-'設定'!$B$6)&amp;"日","")))))</f>
        <v/>
      </c>
      <c r="U104" s="61" t="n"/>
      <c r="V104" s="31">
        <f>IF(AND($B104&lt;&gt;"",$E104&lt;&gt;"",$E104='数える用紙'!$C$2),ROW(),"")</f>
        <v/>
      </c>
      <c r="W104" s="74">
        <f>IF(AND($B104&lt;&gt;"",ISNUMBER($R104)),IF(AND($R104&lt;='設定'!$B$6+N('設定'!$B$14),IF(ISNUMBER($I104),$I104,N($H104))&gt;0),$R104+ROW()/100000,""),"")</f>
        <v/>
      </c>
    </row>
    <row r="105" ht="18" customHeight="1">
      <c r="A105" s="22" t="n">
        <v>101</v>
      </c>
      <c r="B105" s="23" t="n"/>
      <c r="C105" s="24" t="n"/>
      <c r="D105" s="24" t="n"/>
      <c r="E105" s="23" t="n"/>
      <c r="F105" s="23" t="n"/>
      <c r="G105" s="25" t="n"/>
      <c r="H105" s="25" t="n"/>
      <c r="I105" s="25" t="n"/>
      <c r="J105" s="72">
        <f>IF(OR($B105="",$H105=""),"",N($G105)*$H105)</f>
        <v/>
      </c>
      <c r="K105" s="72">
        <f>IF(OR($B105="",$I105=""),"",N($G105)*$I105)</f>
        <v/>
      </c>
      <c r="L105" s="27">
        <f>IF(OR($B105="",$H105="",$I105=""),"",$I105-$H105)</f>
        <v/>
      </c>
      <c r="M105" s="72">
        <f>IF($L105="","",$L105*N($G105))</f>
        <v/>
      </c>
      <c r="N105" s="73">
        <f>IF($L105="","",IF($H105&gt;0,ROUND($L105/$H105,4),"－"))</f>
        <v/>
      </c>
      <c r="O105" s="29">
        <f>IF($B105="","",IF($L105="","未入力",IF($L105=0,"一致",IF(OR(NOT(ISNUMBER($N105)),AND('設定'!$B$10&lt;&gt;"",ABS(N($N105))&gt;'設定'!$B$10),AND('設定'!$B$11&lt;&gt;"",ABS(ROUND($M105,4))&gt;'設定'!$B$11),AND('設定'!$B$10="",'設定'!$B$11="")),"要確認","許容内"))))</f>
        <v/>
      </c>
      <c r="P105" s="29">
        <f>IF($O105&lt;&gt;"要確認","",IF($Q105=0,"済",IF(COUNTIF('差異の原因'!$B$5:$B$204,$B105)=0,"未記録","一部")))</f>
        <v/>
      </c>
      <c r="Q105" s="27">
        <f>IF($L105="","",IF(AND($L105=0,COUNTIF('差異の原因'!$B$5:$B$204,$B105)=0),"",ROUND($L105-SUMIF('差異の原因'!$B$5:$B$204,$B105,'差異の原因'!$G$5:$G$204),6)))</f>
        <v/>
      </c>
      <c r="R105" s="30" t="n"/>
      <c r="S105" s="23" t="n"/>
      <c r="T105" s="29">
        <f>IF(OR($B105="",NOT(ISNUMBER($R105))),"",IF(IF(ISNUMBER($I105),$I105,N($H105))&lt;=0,"",IF($R105&lt;'設定'!$B$6,"期限切れ",IF($R105='設定'!$B$6,"当日",IF($R105-'設定'!$B$6&lt;=N('設定'!$B$14),"あと"&amp;($R105-'設定'!$B$6)&amp;"日","")))))</f>
        <v/>
      </c>
      <c r="U105" s="61" t="n"/>
      <c r="V105" s="31">
        <f>IF(AND($B105&lt;&gt;"",$E105&lt;&gt;"",$E105='数える用紙'!$C$2),ROW(),"")</f>
        <v/>
      </c>
      <c r="W105" s="74">
        <f>IF(AND($B105&lt;&gt;"",ISNUMBER($R105)),IF(AND($R105&lt;='設定'!$B$6+N('設定'!$B$14),IF(ISNUMBER($I105),$I105,N($H105))&gt;0),$R105+ROW()/100000,""),"")</f>
        <v/>
      </c>
    </row>
    <row r="106" ht="18" customHeight="1">
      <c r="A106" s="22" t="n">
        <v>102</v>
      </c>
      <c r="B106" s="23" t="n"/>
      <c r="C106" s="24" t="n"/>
      <c r="D106" s="24" t="n"/>
      <c r="E106" s="23" t="n"/>
      <c r="F106" s="23" t="n"/>
      <c r="G106" s="25" t="n"/>
      <c r="H106" s="25" t="n"/>
      <c r="I106" s="25" t="n"/>
      <c r="J106" s="72">
        <f>IF(OR($B106="",$H106=""),"",N($G106)*$H106)</f>
        <v/>
      </c>
      <c r="K106" s="72">
        <f>IF(OR($B106="",$I106=""),"",N($G106)*$I106)</f>
        <v/>
      </c>
      <c r="L106" s="27">
        <f>IF(OR($B106="",$H106="",$I106=""),"",$I106-$H106)</f>
        <v/>
      </c>
      <c r="M106" s="72">
        <f>IF($L106="","",$L106*N($G106))</f>
        <v/>
      </c>
      <c r="N106" s="73">
        <f>IF($L106="","",IF($H106&gt;0,ROUND($L106/$H106,4),"－"))</f>
        <v/>
      </c>
      <c r="O106" s="29">
        <f>IF($B106="","",IF($L106="","未入力",IF($L106=0,"一致",IF(OR(NOT(ISNUMBER($N106)),AND('設定'!$B$10&lt;&gt;"",ABS(N($N106))&gt;'設定'!$B$10),AND('設定'!$B$11&lt;&gt;"",ABS(ROUND($M106,4))&gt;'設定'!$B$11),AND('設定'!$B$10="",'設定'!$B$11="")),"要確認","許容内"))))</f>
        <v/>
      </c>
      <c r="P106" s="29">
        <f>IF($O106&lt;&gt;"要確認","",IF($Q106=0,"済",IF(COUNTIF('差異の原因'!$B$5:$B$204,$B106)=0,"未記録","一部")))</f>
        <v/>
      </c>
      <c r="Q106" s="27">
        <f>IF($L106="","",IF(AND($L106=0,COUNTIF('差異の原因'!$B$5:$B$204,$B106)=0),"",ROUND($L106-SUMIF('差異の原因'!$B$5:$B$204,$B106,'差異の原因'!$G$5:$G$204),6)))</f>
        <v/>
      </c>
      <c r="R106" s="30" t="n"/>
      <c r="S106" s="23" t="n"/>
      <c r="T106" s="29">
        <f>IF(OR($B106="",NOT(ISNUMBER($R106))),"",IF(IF(ISNUMBER($I106),$I106,N($H106))&lt;=0,"",IF($R106&lt;'設定'!$B$6,"期限切れ",IF($R106='設定'!$B$6,"当日",IF($R106-'設定'!$B$6&lt;=N('設定'!$B$14),"あと"&amp;($R106-'設定'!$B$6)&amp;"日","")))))</f>
        <v/>
      </c>
      <c r="U106" s="61" t="n"/>
      <c r="V106" s="31">
        <f>IF(AND($B106&lt;&gt;"",$E106&lt;&gt;"",$E106='数える用紙'!$C$2),ROW(),"")</f>
        <v/>
      </c>
      <c r="W106" s="74">
        <f>IF(AND($B106&lt;&gt;"",ISNUMBER($R106)),IF(AND($R106&lt;='設定'!$B$6+N('設定'!$B$14),IF(ISNUMBER($I106),$I106,N($H106))&gt;0),$R106+ROW()/100000,""),"")</f>
        <v/>
      </c>
    </row>
    <row r="107" ht="18" customHeight="1">
      <c r="A107" s="22" t="n">
        <v>103</v>
      </c>
      <c r="B107" s="23" t="n"/>
      <c r="C107" s="24" t="n"/>
      <c r="D107" s="24" t="n"/>
      <c r="E107" s="23" t="n"/>
      <c r="F107" s="23" t="n"/>
      <c r="G107" s="25" t="n"/>
      <c r="H107" s="25" t="n"/>
      <c r="I107" s="25" t="n"/>
      <c r="J107" s="72">
        <f>IF(OR($B107="",$H107=""),"",N($G107)*$H107)</f>
        <v/>
      </c>
      <c r="K107" s="72">
        <f>IF(OR($B107="",$I107=""),"",N($G107)*$I107)</f>
        <v/>
      </c>
      <c r="L107" s="27">
        <f>IF(OR($B107="",$H107="",$I107=""),"",$I107-$H107)</f>
        <v/>
      </c>
      <c r="M107" s="72">
        <f>IF($L107="","",$L107*N($G107))</f>
        <v/>
      </c>
      <c r="N107" s="73">
        <f>IF($L107="","",IF($H107&gt;0,ROUND($L107/$H107,4),"－"))</f>
        <v/>
      </c>
      <c r="O107" s="29">
        <f>IF($B107="","",IF($L107="","未入力",IF($L107=0,"一致",IF(OR(NOT(ISNUMBER($N107)),AND('設定'!$B$10&lt;&gt;"",ABS(N($N107))&gt;'設定'!$B$10),AND('設定'!$B$11&lt;&gt;"",ABS(ROUND($M107,4))&gt;'設定'!$B$11),AND('設定'!$B$10="",'設定'!$B$11="")),"要確認","許容内"))))</f>
        <v/>
      </c>
      <c r="P107" s="29">
        <f>IF($O107&lt;&gt;"要確認","",IF($Q107=0,"済",IF(COUNTIF('差異の原因'!$B$5:$B$204,$B107)=0,"未記録","一部")))</f>
        <v/>
      </c>
      <c r="Q107" s="27">
        <f>IF($L107="","",IF(AND($L107=0,COUNTIF('差異の原因'!$B$5:$B$204,$B107)=0),"",ROUND($L107-SUMIF('差異の原因'!$B$5:$B$204,$B107,'差異の原因'!$G$5:$G$204),6)))</f>
        <v/>
      </c>
      <c r="R107" s="30" t="n"/>
      <c r="S107" s="23" t="n"/>
      <c r="T107" s="29">
        <f>IF(OR($B107="",NOT(ISNUMBER($R107))),"",IF(IF(ISNUMBER($I107),$I107,N($H107))&lt;=0,"",IF($R107&lt;'設定'!$B$6,"期限切れ",IF($R107='設定'!$B$6,"当日",IF($R107-'設定'!$B$6&lt;=N('設定'!$B$14),"あと"&amp;($R107-'設定'!$B$6)&amp;"日","")))))</f>
        <v/>
      </c>
      <c r="U107" s="61" t="n"/>
      <c r="V107" s="31">
        <f>IF(AND($B107&lt;&gt;"",$E107&lt;&gt;"",$E107='数える用紙'!$C$2),ROW(),"")</f>
        <v/>
      </c>
      <c r="W107" s="74">
        <f>IF(AND($B107&lt;&gt;"",ISNUMBER($R107)),IF(AND($R107&lt;='設定'!$B$6+N('設定'!$B$14),IF(ISNUMBER($I107),$I107,N($H107))&gt;0),$R107+ROW()/100000,""),"")</f>
        <v/>
      </c>
    </row>
    <row r="108" ht="18" customHeight="1">
      <c r="A108" s="22" t="n">
        <v>104</v>
      </c>
      <c r="B108" s="23" t="n"/>
      <c r="C108" s="24" t="n"/>
      <c r="D108" s="24" t="n"/>
      <c r="E108" s="23" t="n"/>
      <c r="F108" s="23" t="n"/>
      <c r="G108" s="25" t="n"/>
      <c r="H108" s="25" t="n"/>
      <c r="I108" s="25" t="n"/>
      <c r="J108" s="72">
        <f>IF(OR($B108="",$H108=""),"",N($G108)*$H108)</f>
        <v/>
      </c>
      <c r="K108" s="72">
        <f>IF(OR($B108="",$I108=""),"",N($G108)*$I108)</f>
        <v/>
      </c>
      <c r="L108" s="27">
        <f>IF(OR($B108="",$H108="",$I108=""),"",$I108-$H108)</f>
        <v/>
      </c>
      <c r="M108" s="72">
        <f>IF($L108="","",$L108*N($G108))</f>
        <v/>
      </c>
      <c r="N108" s="73">
        <f>IF($L108="","",IF($H108&gt;0,ROUND($L108/$H108,4),"－"))</f>
        <v/>
      </c>
      <c r="O108" s="29">
        <f>IF($B108="","",IF($L108="","未入力",IF($L108=0,"一致",IF(OR(NOT(ISNUMBER($N108)),AND('設定'!$B$10&lt;&gt;"",ABS(N($N108))&gt;'設定'!$B$10),AND('設定'!$B$11&lt;&gt;"",ABS(ROUND($M108,4))&gt;'設定'!$B$11),AND('設定'!$B$10="",'設定'!$B$11="")),"要確認","許容内"))))</f>
        <v/>
      </c>
      <c r="P108" s="29">
        <f>IF($O108&lt;&gt;"要確認","",IF($Q108=0,"済",IF(COUNTIF('差異の原因'!$B$5:$B$204,$B108)=0,"未記録","一部")))</f>
        <v/>
      </c>
      <c r="Q108" s="27">
        <f>IF($L108="","",IF(AND($L108=0,COUNTIF('差異の原因'!$B$5:$B$204,$B108)=0),"",ROUND($L108-SUMIF('差異の原因'!$B$5:$B$204,$B108,'差異の原因'!$G$5:$G$204),6)))</f>
        <v/>
      </c>
      <c r="R108" s="30" t="n"/>
      <c r="S108" s="23" t="n"/>
      <c r="T108" s="29">
        <f>IF(OR($B108="",NOT(ISNUMBER($R108))),"",IF(IF(ISNUMBER($I108),$I108,N($H108))&lt;=0,"",IF($R108&lt;'設定'!$B$6,"期限切れ",IF($R108='設定'!$B$6,"当日",IF($R108-'設定'!$B$6&lt;=N('設定'!$B$14),"あと"&amp;($R108-'設定'!$B$6)&amp;"日","")))))</f>
        <v/>
      </c>
      <c r="U108" s="61" t="n"/>
      <c r="V108" s="31">
        <f>IF(AND($B108&lt;&gt;"",$E108&lt;&gt;"",$E108='数える用紙'!$C$2),ROW(),"")</f>
        <v/>
      </c>
      <c r="W108" s="74">
        <f>IF(AND($B108&lt;&gt;"",ISNUMBER($R108)),IF(AND($R108&lt;='設定'!$B$6+N('設定'!$B$14),IF(ISNUMBER($I108),$I108,N($H108))&gt;0),$R108+ROW()/100000,""),"")</f>
        <v/>
      </c>
    </row>
    <row r="109" ht="18" customHeight="1">
      <c r="A109" s="22" t="n">
        <v>105</v>
      </c>
      <c r="B109" s="23" t="n"/>
      <c r="C109" s="24" t="n"/>
      <c r="D109" s="24" t="n"/>
      <c r="E109" s="23" t="n"/>
      <c r="F109" s="23" t="n"/>
      <c r="G109" s="25" t="n"/>
      <c r="H109" s="25" t="n"/>
      <c r="I109" s="25" t="n"/>
      <c r="J109" s="72">
        <f>IF(OR($B109="",$H109=""),"",N($G109)*$H109)</f>
        <v/>
      </c>
      <c r="K109" s="72">
        <f>IF(OR($B109="",$I109=""),"",N($G109)*$I109)</f>
        <v/>
      </c>
      <c r="L109" s="27">
        <f>IF(OR($B109="",$H109="",$I109=""),"",$I109-$H109)</f>
        <v/>
      </c>
      <c r="M109" s="72">
        <f>IF($L109="","",$L109*N($G109))</f>
        <v/>
      </c>
      <c r="N109" s="73">
        <f>IF($L109="","",IF($H109&gt;0,ROUND($L109/$H109,4),"－"))</f>
        <v/>
      </c>
      <c r="O109" s="29">
        <f>IF($B109="","",IF($L109="","未入力",IF($L109=0,"一致",IF(OR(NOT(ISNUMBER($N109)),AND('設定'!$B$10&lt;&gt;"",ABS(N($N109))&gt;'設定'!$B$10),AND('設定'!$B$11&lt;&gt;"",ABS(ROUND($M109,4))&gt;'設定'!$B$11),AND('設定'!$B$10="",'設定'!$B$11="")),"要確認","許容内"))))</f>
        <v/>
      </c>
      <c r="P109" s="29">
        <f>IF($O109&lt;&gt;"要確認","",IF($Q109=0,"済",IF(COUNTIF('差異の原因'!$B$5:$B$204,$B109)=0,"未記録","一部")))</f>
        <v/>
      </c>
      <c r="Q109" s="27">
        <f>IF($L109="","",IF(AND($L109=0,COUNTIF('差異の原因'!$B$5:$B$204,$B109)=0),"",ROUND($L109-SUMIF('差異の原因'!$B$5:$B$204,$B109,'差異の原因'!$G$5:$G$204),6)))</f>
        <v/>
      </c>
      <c r="R109" s="30" t="n"/>
      <c r="S109" s="23" t="n"/>
      <c r="T109" s="29">
        <f>IF(OR($B109="",NOT(ISNUMBER($R109))),"",IF(IF(ISNUMBER($I109),$I109,N($H109))&lt;=0,"",IF($R109&lt;'設定'!$B$6,"期限切れ",IF($R109='設定'!$B$6,"当日",IF($R109-'設定'!$B$6&lt;=N('設定'!$B$14),"あと"&amp;($R109-'設定'!$B$6)&amp;"日","")))))</f>
        <v/>
      </c>
      <c r="U109" s="61" t="n"/>
      <c r="V109" s="31">
        <f>IF(AND($B109&lt;&gt;"",$E109&lt;&gt;"",$E109='数える用紙'!$C$2),ROW(),"")</f>
        <v/>
      </c>
      <c r="W109" s="74">
        <f>IF(AND($B109&lt;&gt;"",ISNUMBER($R109)),IF(AND($R109&lt;='設定'!$B$6+N('設定'!$B$14),IF(ISNUMBER($I109),$I109,N($H109))&gt;0),$R109+ROW()/100000,""),"")</f>
        <v/>
      </c>
    </row>
    <row r="110" ht="18" customHeight="1">
      <c r="A110" s="22" t="n">
        <v>106</v>
      </c>
      <c r="B110" s="23" t="n"/>
      <c r="C110" s="24" t="n"/>
      <c r="D110" s="24" t="n"/>
      <c r="E110" s="23" t="n"/>
      <c r="F110" s="23" t="n"/>
      <c r="G110" s="25" t="n"/>
      <c r="H110" s="25" t="n"/>
      <c r="I110" s="25" t="n"/>
      <c r="J110" s="72">
        <f>IF(OR($B110="",$H110=""),"",N($G110)*$H110)</f>
        <v/>
      </c>
      <c r="K110" s="72">
        <f>IF(OR($B110="",$I110=""),"",N($G110)*$I110)</f>
        <v/>
      </c>
      <c r="L110" s="27">
        <f>IF(OR($B110="",$H110="",$I110=""),"",$I110-$H110)</f>
        <v/>
      </c>
      <c r="M110" s="72">
        <f>IF($L110="","",$L110*N($G110))</f>
        <v/>
      </c>
      <c r="N110" s="73">
        <f>IF($L110="","",IF($H110&gt;0,ROUND($L110/$H110,4),"－"))</f>
        <v/>
      </c>
      <c r="O110" s="29">
        <f>IF($B110="","",IF($L110="","未入力",IF($L110=0,"一致",IF(OR(NOT(ISNUMBER($N110)),AND('設定'!$B$10&lt;&gt;"",ABS(N($N110))&gt;'設定'!$B$10),AND('設定'!$B$11&lt;&gt;"",ABS(ROUND($M110,4))&gt;'設定'!$B$11),AND('設定'!$B$10="",'設定'!$B$11="")),"要確認","許容内"))))</f>
        <v/>
      </c>
      <c r="P110" s="29">
        <f>IF($O110&lt;&gt;"要確認","",IF($Q110=0,"済",IF(COUNTIF('差異の原因'!$B$5:$B$204,$B110)=0,"未記録","一部")))</f>
        <v/>
      </c>
      <c r="Q110" s="27">
        <f>IF($L110="","",IF(AND($L110=0,COUNTIF('差異の原因'!$B$5:$B$204,$B110)=0),"",ROUND($L110-SUMIF('差異の原因'!$B$5:$B$204,$B110,'差異の原因'!$G$5:$G$204),6)))</f>
        <v/>
      </c>
      <c r="R110" s="30" t="n"/>
      <c r="S110" s="23" t="n"/>
      <c r="T110" s="29">
        <f>IF(OR($B110="",NOT(ISNUMBER($R110))),"",IF(IF(ISNUMBER($I110),$I110,N($H110))&lt;=0,"",IF($R110&lt;'設定'!$B$6,"期限切れ",IF($R110='設定'!$B$6,"当日",IF($R110-'設定'!$B$6&lt;=N('設定'!$B$14),"あと"&amp;($R110-'設定'!$B$6)&amp;"日","")))))</f>
        <v/>
      </c>
      <c r="U110" s="61" t="n"/>
      <c r="V110" s="31">
        <f>IF(AND($B110&lt;&gt;"",$E110&lt;&gt;"",$E110='数える用紙'!$C$2),ROW(),"")</f>
        <v/>
      </c>
      <c r="W110" s="74">
        <f>IF(AND($B110&lt;&gt;"",ISNUMBER($R110)),IF(AND($R110&lt;='設定'!$B$6+N('設定'!$B$14),IF(ISNUMBER($I110),$I110,N($H110))&gt;0),$R110+ROW()/100000,""),"")</f>
        <v/>
      </c>
    </row>
    <row r="111" ht="18" customHeight="1">
      <c r="A111" s="22" t="n">
        <v>107</v>
      </c>
      <c r="B111" s="23" t="n"/>
      <c r="C111" s="24" t="n"/>
      <c r="D111" s="24" t="n"/>
      <c r="E111" s="23" t="n"/>
      <c r="F111" s="23" t="n"/>
      <c r="G111" s="25" t="n"/>
      <c r="H111" s="25" t="n"/>
      <c r="I111" s="25" t="n"/>
      <c r="J111" s="72">
        <f>IF(OR($B111="",$H111=""),"",N($G111)*$H111)</f>
        <v/>
      </c>
      <c r="K111" s="72">
        <f>IF(OR($B111="",$I111=""),"",N($G111)*$I111)</f>
        <v/>
      </c>
      <c r="L111" s="27">
        <f>IF(OR($B111="",$H111="",$I111=""),"",$I111-$H111)</f>
        <v/>
      </c>
      <c r="M111" s="72">
        <f>IF($L111="","",$L111*N($G111))</f>
        <v/>
      </c>
      <c r="N111" s="73">
        <f>IF($L111="","",IF($H111&gt;0,ROUND($L111/$H111,4),"－"))</f>
        <v/>
      </c>
      <c r="O111" s="29">
        <f>IF($B111="","",IF($L111="","未入力",IF($L111=0,"一致",IF(OR(NOT(ISNUMBER($N111)),AND('設定'!$B$10&lt;&gt;"",ABS(N($N111))&gt;'設定'!$B$10),AND('設定'!$B$11&lt;&gt;"",ABS(ROUND($M111,4))&gt;'設定'!$B$11),AND('設定'!$B$10="",'設定'!$B$11="")),"要確認","許容内"))))</f>
        <v/>
      </c>
      <c r="P111" s="29">
        <f>IF($O111&lt;&gt;"要確認","",IF($Q111=0,"済",IF(COUNTIF('差異の原因'!$B$5:$B$204,$B111)=0,"未記録","一部")))</f>
        <v/>
      </c>
      <c r="Q111" s="27">
        <f>IF($L111="","",IF(AND($L111=0,COUNTIF('差異の原因'!$B$5:$B$204,$B111)=0),"",ROUND($L111-SUMIF('差異の原因'!$B$5:$B$204,$B111,'差異の原因'!$G$5:$G$204),6)))</f>
        <v/>
      </c>
      <c r="R111" s="30" t="n"/>
      <c r="S111" s="23" t="n"/>
      <c r="T111" s="29">
        <f>IF(OR($B111="",NOT(ISNUMBER($R111))),"",IF(IF(ISNUMBER($I111),$I111,N($H111))&lt;=0,"",IF($R111&lt;'設定'!$B$6,"期限切れ",IF($R111='設定'!$B$6,"当日",IF($R111-'設定'!$B$6&lt;=N('設定'!$B$14),"あと"&amp;($R111-'設定'!$B$6)&amp;"日","")))))</f>
        <v/>
      </c>
      <c r="U111" s="61" t="n"/>
      <c r="V111" s="31">
        <f>IF(AND($B111&lt;&gt;"",$E111&lt;&gt;"",$E111='数える用紙'!$C$2),ROW(),"")</f>
        <v/>
      </c>
      <c r="W111" s="74">
        <f>IF(AND($B111&lt;&gt;"",ISNUMBER($R111)),IF(AND($R111&lt;='設定'!$B$6+N('設定'!$B$14),IF(ISNUMBER($I111),$I111,N($H111))&gt;0),$R111+ROW()/100000,""),"")</f>
        <v/>
      </c>
    </row>
    <row r="112" ht="18" customHeight="1">
      <c r="A112" s="22" t="n">
        <v>108</v>
      </c>
      <c r="B112" s="23" t="n"/>
      <c r="C112" s="24" t="n"/>
      <c r="D112" s="24" t="n"/>
      <c r="E112" s="23" t="n"/>
      <c r="F112" s="23" t="n"/>
      <c r="G112" s="25" t="n"/>
      <c r="H112" s="25" t="n"/>
      <c r="I112" s="25" t="n"/>
      <c r="J112" s="72">
        <f>IF(OR($B112="",$H112=""),"",N($G112)*$H112)</f>
        <v/>
      </c>
      <c r="K112" s="72">
        <f>IF(OR($B112="",$I112=""),"",N($G112)*$I112)</f>
        <v/>
      </c>
      <c r="L112" s="27">
        <f>IF(OR($B112="",$H112="",$I112=""),"",$I112-$H112)</f>
        <v/>
      </c>
      <c r="M112" s="72">
        <f>IF($L112="","",$L112*N($G112))</f>
        <v/>
      </c>
      <c r="N112" s="73">
        <f>IF($L112="","",IF($H112&gt;0,ROUND($L112/$H112,4),"－"))</f>
        <v/>
      </c>
      <c r="O112" s="29">
        <f>IF($B112="","",IF($L112="","未入力",IF($L112=0,"一致",IF(OR(NOT(ISNUMBER($N112)),AND('設定'!$B$10&lt;&gt;"",ABS(N($N112))&gt;'設定'!$B$10),AND('設定'!$B$11&lt;&gt;"",ABS(ROUND($M112,4))&gt;'設定'!$B$11),AND('設定'!$B$10="",'設定'!$B$11="")),"要確認","許容内"))))</f>
        <v/>
      </c>
      <c r="P112" s="29">
        <f>IF($O112&lt;&gt;"要確認","",IF($Q112=0,"済",IF(COUNTIF('差異の原因'!$B$5:$B$204,$B112)=0,"未記録","一部")))</f>
        <v/>
      </c>
      <c r="Q112" s="27">
        <f>IF($L112="","",IF(AND($L112=0,COUNTIF('差異の原因'!$B$5:$B$204,$B112)=0),"",ROUND($L112-SUMIF('差異の原因'!$B$5:$B$204,$B112,'差異の原因'!$G$5:$G$204),6)))</f>
        <v/>
      </c>
      <c r="R112" s="30" t="n"/>
      <c r="S112" s="23" t="n"/>
      <c r="T112" s="29">
        <f>IF(OR($B112="",NOT(ISNUMBER($R112))),"",IF(IF(ISNUMBER($I112),$I112,N($H112))&lt;=0,"",IF($R112&lt;'設定'!$B$6,"期限切れ",IF($R112='設定'!$B$6,"当日",IF($R112-'設定'!$B$6&lt;=N('設定'!$B$14),"あと"&amp;($R112-'設定'!$B$6)&amp;"日","")))))</f>
        <v/>
      </c>
      <c r="U112" s="61" t="n"/>
      <c r="V112" s="31">
        <f>IF(AND($B112&lt;&gt;"",$E112&lt;&gt;"",$E112='数える用紙'!$C$2),ROW(),"")</f>
        <v/>
      </c>
      <c r="W112" s="74">
        <f>IF(AND($B112&lt;&gt;"",ISNUMBER($R112)),IF(AND($R112&lt;='設定'!$B$6+N('設定'!$B$14),IF(ISNUMBER($I112),$I112,N($H112))&gt;0),$R112+ROW()/100000,""),"")</f>
        <v/>
      </c>
    </row>
    <row r="113" ht="18" customHeight="1">
      <c r="A113" s="22" t="n">
        <v>109</v>
      </c>
      <c r="B113" s="23" t="n"/>
      <c r="C113" s="24" t="n"/>
      <c r="D113" s="24" t="n"/>
      <c r="E113" s="23" t="n"/>
      <c r="F113" s="23" t="n"/>
      <c r="G113" s="25" t="n"/>
      <c r="H113" s="25" t="n"/>
      <c r="I113" s="25" t="n"/>
      <c r="J113" s="72">
        <f>IF(OR($B113="",$H113=""),"",N($G113)*$H113)</f>
        <v/>
      </c>
      <c r="K113" s="72">
        <f>IF(OR($B113="",$I113=""),"",N($G113)*$I113)</f>
        <v/>
      </c>
      <c r="L113" s="27">
        <f>IF(OR($B113="",$H113="",$I113=""),"",$I113-$H113)</f>
        <v/>
      </c>
      <c r="M113" s="72">
        <f>IF($L113="","",$L113*N($G113))</f>
        <v/>
      </c>
      <c r="N113" s="73">
        <f>IF($L113="","",IF($H113&gt;0,ROUND($L113/$H113,4),"－"))</f>
        <v/>
      </c>
      <c r="O113" s="29">
        <f>IF($B113="","",IF($L113="","未入力",IF($L113=0,"一致",IF(OR(NOT(ISNUMBER($N113)),AND('設定'!$B$10&lt;&gt;"",ABS(N($N113))&gt;'設定'!$B$10),AND('設定'!$B$11&lt;&gt;"",ABS(ROUND($M113,4))&gt;'設定'!$B$11),AND('設定'!$B$10="",'設定'!$B$11="")),"要確認","許容内"))))</f>
        <v/>
      </c>
      <c r="P113" s="29">
        <f>IF($O113&lt;&gt;"要確認","",IF($Q113=0,"済",IF(COUNTIF('差異の原因'!$B$5:$B$204,$B113)=0,"未記録","一部")))</f>
        <v/>
      </c>
      <c r="Q113" s="27">
        <f>IF($L113="","",IF(AND($L113=0,COUNTIF('差異の原因'!$B$5:$B$204,$B113)=0),"",ROUND($L113-SUMIF('差異の原因'!$B$5:$B$204,$B113,'差異の原因'!$G$5:$G$204),6)))</f>
        <v/>
      </c>
      <c r="R113" s="30" t="n"/>
      <c r="S113" s="23" t="n"/>
      <c r="T113" s="29">
        <f>IF(OR($B113="",NOT(ISNUMBER($R113))),"",IF(IF(ISNUMBER($I113),$I113,N($H113))&lt;=0,"",IF($R113&lt;'設定'!$B$6,"期限切れ",IF($R113='設定'!$B$6,"当日",IF($R113-'設定'!$B$6&lt;=N('設定'!$B$14),"あと"&amp;($R113-'設定'!$B$6)&amp;"日","")))))</f>
        <v/>
      </c>
      <c r="U113" s="61" t="n"/>
      <c r="V113" s="31">
        <f>IF(AND($B113&lt;&gt;"",$E113&lt;&gt;"",$E113='数える用紙'!$C$2),ROW(),"")</f>
        <v/>
      </c>
      <c r="W113" s="74">
        <f>IF(AND($B113&lt;&gt;"",ISNUMBER($R113)),IF(AND($R113&lt;='設定'!$B$6+N('設定'!$B$14),IF(ISNUMBER($I113),$I113,N($H113))&gt;0),$R113+ROW()/100000,""),"")</f>
        <v/>
      </c>
    </row>
    <row r="114" ht="18" customHeight="1">
      <c r="A114" s="22" t="n">
        <v>110</v>
      </c>
      <c r="B114" s="23" t="n"/>
      <c r="C114" s="24" t="n"/>
      <c r="D114" s="24" t="n"/>
      <c r="E114" s="23" t="n"/>
      <c r="F114" s="23" t="n"/>
      <c r="G114" s="25" t="n"/>
      <c r="H114" s="25" t="n"/>
      <c r="I114" s="25" t="n"/>
      <c r="J114" s="72">
        <f>IF(OR($B114="",$H114=""),"",N($G114)*$H114)</f>
        <v/>
      </c>
      <c r="K114" s="72">
        <f>IF(OR($B114="",$I114=""),"",N($G114)*$I114)</f>
        <v/>
      </c>
      <c r="L114" s="27">
        <f>IF(OR($B114="",$H114="",$I114=""),"",$I114-$H114)</f>
        <v/>
      </c>
      <c r="M114" s="72">
        <f>IF($L114="","",$L114*N($G114))</f>
        <v/>
      </c>
      <c r="N114" s="73">
        <f>IF($L114="","",IF($H114&gt;0,ROUND($L114/$H114,4),"－"))</f>
        <v/>
      </c>
      <c r="O114" s="29">
        <f>IF($B114="","",IF($L114="","未入力",IF($L114=0,"一致",IF(OR(NOT(ISNUMBER($N114)),AND('設定'!$B$10&lt;&gt;"",ABS(N($N114))&gt;'設定'!$B$10),AND('設定'!$B$11&lt;&gt;"",ABS(ROUND($M114,4))&gt;'設定'!$B$11),AND('設定'!$B$10="",'設定'!$B$11="")),"要確認","許容内"))))</f>
        <v/>
      </c>
      <c r="P114" s="29">
        <f>IF($O114&lt;&gt;"要確認","",IF($Q114=0,"済",IF(COUNTIF('差異の原因'!$B$5:$B$204,$B114)=0,"未記録","一部")))</f>
        <v/>
      </c>
      <c r="Q114" s="27">
        <f>IF($L114="","",IF(AND($L114=0,COUNTIF('差異の原因'!$B$5:$B$204,$B114)=0),"",ROUND($L114-SUMIF('差異の原因'!$B$5:$B$204,$B114,'差異の原因'!$G$5:$G$204),6)))</f>
        <v/>
      </c>
      <c r="R114" s="30" t="n"/>
      <c r="S114" s="23" t="n"/>
      <c r="T114" s="29">
        <f>IF(OR($B114="",NOT(ISNUMBER($R114))),"",IF(IF(ISNUMBER($I114),$I114,N($H114))&lt;=0,"",IF($R114&lt;'設定'!$B$6,"期限切れ",IF($R114='設定'!$B$6,"当日",IF($R114-'設定'!$B$6&lt;=N('設定'!$B$14),"あと"&amp;($R114-'設定'!$B$6)&amp;"日","")))))</f>
        <v/>
      </c>
      <c r="U114" s="61" t="n"/>
      <c r="V114" s="31">
        <f>IF(AND($B114&lt;&gt;"",$E114&lt;&gt;"",$E114='数える用紙'!$C$2),ROW(),"")</f>
        <v/>
      </c>
      <c r="W114" s="74">
        <f>IF(AND($B114&lt;&gt;"",ISNUMBER($R114)),IF(AND($R114&lt;='設定'!$B$6+N('設定'!$B$14),IF(ISNUMBER($I114),$I114,N($H114))&gt;0),$R114+ROW()/100000,""),"")</f>
        <v/>
      </c>
    </row>
    <row r="115" ht="18" customHeight="1">
      <c r="A115" s="22" t="n">
        <v>111</v>
      </c>
      <c r="B115" s="23" t="n"/>
      <c r="C115" s="24" t="n"/>
      <c r="D115" s="24" t="n"/>
      <c r="E115" s="23" t="n"/>
      <c r="F115" s="23" t="n"/>
      <c r="G115" s="25" t="n"/>
      <c r="H115" s="25" t="n"/>
      <c r="I115" s="25" t="n"/>
      <c r="J115" s="72">
        <f>IF(OR($B115="",$H115=""),"",N($G115)*$H115)</f>
        <v/>
      </c>
      <c r="K115" s="72">
        <f>IF(OR($B115="",$I115=""),"",N($G115)*$I115)</f>
        <v/>
      </c>
      <c r="L115" s="27">
        <f>IF(OR($B115="",$H115="",$I115=""),"",$I115-$H115)</f>
        <v/>
      </c>
      <c r="M115" s="72">
        <f>IF($L115="","",$L115*N($G115))</f>
        <v/>
      </c>
      <c r="N115" s="73">
        <f>IF($L115="","",IF($H115&gt;0,ROUND($L115/$H115,4),"－"))</f>
        <v/>
      </c>
      <c r="O115" s="29">
        <f>IF($B115="","",IF($L115="","未入力",IF($L115=0,"一致",IF(OR(NOT(ISNUMBER($N115)),AND('設定'!$B$10&lt;&gt;"",ABS(N($N115))&gt;'設定'!$B$10),AND('設定'!$B$11&lt;&gt;"",ABS(ROUND($M115,4))&gt;'設定'!$B$11),AND('設定'!$B$10="",'設定'!$B$11="")),"要確認","許容内"))))</f>
        <v/>
      </c>
      <c r="P115" s="29">
        <f>IF($O115&lt;&gt;"要確認","",IF($Q115=0,"済",IF(COUNTIF('差異の原因'!$B$5:$B$204,$B115)=0,"未記録","一部")))</f>
        <v/>
      </c>
      <c r="Q115" s="27">
        <f>IF($L115="","",IF(AND($L115=0,COUNTIF('差異の原因'!$B$5:$B$204,$B115)=0),"",ROUND($L115-SUMIF('差異の原因'!$B$5:$B$204,$B115,'差異の原因'!$G$5:$G$204),6)))</f>
        <v/>
      </c>
      <c r="R115" s="30" t="n"/>
      <c r="S115" s="23" t="n"/>
      <c r="T115" s="29">
        <f>IF(OR($B115="",NOT(ISNUMBER($R115))),"",IF(IF(ISNUMBER($I115),$I115,N($H115))&lt;=0,"",IF($R115&lt;'設定'!$B$6,"期限切れ",IF($R115='設定'!$B$6,"当日",IF($R115-'設定'!$B$6&lt;=N('設定'!$B$14),"あと"&amp;($R115-'設定'!$B$6)&amp;"日","")))))</f>
        <v/>
      </c>
      <c r="U115" s="61" t="n"/>
      <c r="V115" s="31">
        <f>IF(AND($B115&lt;&gt;"",$E115&lt;&gt;"",$E115='数える用紙'!$C$2),ROW(),"")</f>
        <v/>
      </c>
      <c r="W115" s="74">
        <f>IF(AND($B115&lt;&gt;"",ISNUMBER($R115)),IF(AND($R115&lt;='設定'!$B$6+N('設定'!$B$14),IF(ISNUMBER($I115),$I115,N($H115))&gt;0),$R115+ROW()/100000,""),"")</f>
        <v/>
      </c>
    </row>
    <row r="116" ht="18" customHeight="1">
      <c r="A116" s="22" t="n">
        <v>112</v>
      </c>
      <c r="B116" s="23" t="n"/>
      <c r="C116" s="24" t="n"/>
      <c r="D116" s="24" t="n"/>
      <c r="E116" s="23" t="n"/>
      <c r="F116" s="23" t="n"/>
      <c r="G116" s="25" t="n"/>
      <c r="H116" s="25" t="n"/>
      <c r="I116" s="25" t="n"/>
      <c r="J116" s="72">
        <f>IF(OR($B116="",$H116=""),"",N($G116)*$H116)</f>
        <v/>
      </c>
      <c r="K116" s="72">
        <f>IF(OR($B116="",$I116=""),"",N($G116)*$I116)</f>
        <v/>
      </c>
      <c r="L116" s="27">
        <f>IF(OR($B116="",$H116="",$I116=""),"",$I116-$H116)</f>
        <v/>
      </c>
      <c r="M116" s="72">
        <f>IF($L116="","",$L116*N($G116))</f>
        <v/>
      </c>
      <c r="N116" s="73">
        <f>IF($L116="","",IF($H116&gt;0,ROUND($L116/$H116,4),"－"))</f>
        <v/>
      </c>
      <c r="O116" s="29">
        <f>IF($B116="","",IF($L116="","未入力",IF($L116=0,"一致",IF(OR(NOT(ISNUMBER($N116)),AND('設定'!$B$10&lt;&gt;"",ABS(N($N116))&gt;'設定'!$B$10),AND('設定'!$B$11&lt;&gt;"",ABS(ROUND($M116,4))&gt;'設定'!$B$11),AND('設定'!$B$10="",'設定'!$B$11="")),"要確認","許容内"))))</f>
        <v/>
      </c>
      <c r="P116" s="29">
        <f>IF($O116&lt;&gt;"要確認","",IF($Q116=0,"済",IF(COUNTIF('差異の原因'!$B$5:$B$204,$B116)=0,"未記録","一部")))</f>
        <v/>
      </c>
      <c r="Q116" s="27">
        <f>IF($L116="","",IF(AND($L116=0,COUNTIF('差異の原因'!$B$5:$B$204,$B116)=0),"",ROUND($L116-SUMIF('差異の原因'!$B$5:$B$204,$B116,'差異の原因'!$G$5:$G$204),6)))</f>
        <v/>
      </c>
      <c r="R116" s="30" t="n"/>
      <c r="S116" s="23" t="n"/>
      <c r="T116" s="29">
        <f>IF(OR($B116="",NOT(ISNUMBER($R116))),"",IF(IF(ISNUMBER($I116),$I116,N($H116))&lt;=0,"",IF($R116&lt;'設定'!$B$6,"期限切れ",IF($R116='設定'!$B$6,"当日",IF($R116-'設定'!$B$6&lt;=N('設定'!$B$14),"あと"&amp;($R116-'設定'!$B$6)&amp;"日","")))))</f>
        <v/>
      </c>
      <c r="U116" s="61" t="n"/>
      <c r="V116" s="31">
        <f>IF(AND($B116&lt;&gt;"",$E116&lt;&gt;"",$E116='数える用紙'!$C$2),ROW(),"")</f>
        <v/>
      </c>
      <c r="W116" s="74">
        <f>IF(AND($B116&lt;&gt;"",ISNUMBER($R116)),IF(AND($R116&lt;='設定'!$B$6+N('設定'!$B$14),IF(ISNUMBER($I116),$I116,N($H116))&gt;0),$R116+ROW()/100000,""),"")</f>
        <v/>
      </c>
    </row>
    <row r="117" ht="18" customHeight="1">
      <c r="A117" s="22" t="n">
        <v>113</v>
      </c>
      <c r="B117" s="23" t="n"/>
      <c r="C117" s="24" t="n"/>
      <c r="D117" s="24" t="n"/>
      <c r="E117" s="23" t="n"/>
      <c r="F117" s="23" t="n"/>
      <c r="G117" s="25" t="n"/>
      <c r="H117" s="25" t="n"/>
      <c r="I117" s="25" t="n"/>
      <c r="J117" s="72">
        <f>IF(OR($B117="",$H117=""),"",N($G117)*$H117)</f>
        <v/>
      </c>
      <c r="K117" s="72">
        <f>IF(OR($B117="",$I117=""),"",N($G117)*$I117)</f>
        <v/>
      </c>
      <c r="L117" s="27">
        <f>IF(OR($B117="",$H117="",$I117=""),"",$I117-$H117)</f>
        <v/>
      </c>
      <c r="M117" s="72">
        <f>IF($L117="","",$L117*N($G117))</f>
        <v/>
      </c>
      <c r="N117" s="73">
        <f>IF($L117="","",IF($H117&gt;0,ROUND($L117/$H117,4),"－"))</f>
        <v/>
      </c>
      <c r="O117" s="29">
        <f>IF($B117="","",IF($L117="","未入力",IF($L117=0,"一致",IF(OR(NOT(ISNUMBER($N117)),AND('設定'!$B$10&lt;&gt;"",ABS(N($N117))&gt;'設定'!$B$10),AND('設定'!$B$11&lt;&gt;"",ABS(ROUND($M117,4))&gt;'設定'!$B$11),AND('設定'!$B$10="",'設定'!$B$11="")),"要確認","許容内"))))</f>
        <v/>
      </c>
      <c r="P117" s="29">
        <f>IF($O117&lt;&gt;"要確認","",IF($Q117=0,"済",IF(COUNTIF('差異の原因'!$B$5:$B$204,$B117)=0,"未記録","一部")))</f>
        <v/>
      </c>
      <c r="Q117" s="27">
        <f>IF($L117="","",IF(AND($L117=0,COUNTIF('差異の原因'!$B$5:$B$204,$B117)=0),"",ROUND($L117-SUMIF('差異の原因'!$B$5:$B$204,$B117,'差異の原因'!$G$5:$G$204),6)))</f>
        <v/>
      </c>
      <c r="R117" s="30" t="n"/>
      <c r="S117" s="23" t="n"/>
      <c r="T117" s="29">
        <f>IF(OR($B117="",NOT(ISNUMBER($R117))),"",IF(IF(ISNUMBER($I117),$I117,N($H117))&lt;=0,"",IF($R117&lt;'設定'!$B$6,"期限切れ",IF($R117='設定'!$B$6,"当日",IF($R117-'設定'!$B$6&lt;=N('設定'!$B$14),"あと"&amp;($R117-'設定'!$B$6)&amp;"日","")))))</f>
        <v/>
      </c>
      <c r="U117" s="61" t="n"/>
      <c r="V117" s="31">
        <f>IF(AND($B117&lt;&gt;"",$E117&lt;&gt;"",$E117='数える用紙'!$C$2),ROW(),"")</f>
        <v/>
      </c>
      <c r="W117" s="74">
        <f>IF(AND($B117&lt;&gt;"",ISNUMBER($R117)),IF(AND($R117&lt;='設定'!$B$6+N('設定'!$B$14),IF(ISNUMBER($I117),$I117,N($H117))&gt;0),$R117+ROW()/100000,""),"")</f>
        <v/>
      </c>
    </row>
    <row r="118" ht="18" customHeight="1">
      <c r="A118" s="22" t="n">
        <v>114</v>
      </c>
      <c r="B118" s="23" t="n"/>
      <c r="C118" s="24" t="n"/>
      <c r="D118" s="24" t="n"/>
      <c r="E118" s="23" t="n"/>
      <c r="F118" s="23" t="n"/>
      <c r="G118" s="25" t="n"/>
      <c r="H118" s="25" t="n"/>
      <c r="I118" s="25" t="n"/>
      <c r="J118" s="72">
        <f>IF(OR($B118="",$H118=""),"",N($G118)*$H118)</f>
        <v/>
      </c>
      <c r="K118" s="72">
        <f>IF(OR($B118="",$I118=""),"",N($G118)*$I118)</f>
        <v/>
      </c>
      <c r="L118" s="27">
        <f>IF(OR($B118="",$H118="",$I118=""),"",$I118-$H118)</f>
        <v/>
      </c>
      <c r="M118" s="72">
        <f>IF($L118="","",$L118*N($G118))</f>
        <v/>
      </c>
      <c r="N118" s="73">
        <f>IF($L118="","",IF($H118&gt;0,ROUND($L118/$H118,4),"－"))</f>
        <v/>
      </c>
      <c r="O118" s="29">
        <f>IF($B118="","",IF($L118="","未入力",IF($L118=0,"一致",IF(OR(NOT(ISNUMBER($N118)),AND('設定'!$B$10&lt;&gt;"",ABS(N($N118))&gt;'設定'!$B$10),AND('設定'!$B$11&lt;&gt;"",ABS(ROUND($M118,4))&gt;'設定'!$B$11),AND('設定'!$B$10="",'設定'!$B$11="")),"要確認","許容内"))))</f>
        <v/>
      </c>
      <c r="P118" s="29">
        <f>IF($O118&lt;&gt;"要確認","",IF($Q118=0,"済",IF(COUNTIF('差異の原因'!$B$5:$B$204,$B118)=0,"未記録","一部")))</f>
        <v/>
      </c>
      <c r="Q118" s="27">
        <f>IF($L118="","",IF(AND($L118=0,COUNTIF('差異の原因'!$B$5:$B$204,$B118)=0),"",ROUND($L118-SUMIF('差異の原因'!$B$5:$B$204,$B118,'差異の原因'!$G$5:$G$204),6)))</f>
        <v/>
      </c>
      <c r="R118" s="30" t="n"/>
      <c r="S118" s="23" t="n"/>
      <c r="T118" s="29">
        <f>IF(OR($B118="",NOT(ISNUMBER($R118))),"",IF(IF(ISNUMBER($I118),$I118,N($H118))&lt;=0,"",IF($R118&lt;'設定'!$B$6,"期限切れ",IF($R118='設定'!$B$6,"当日",IF($R118-'設定'!$B$6&lt;=N('設定'!$B$14),"あと"&amp;($R118-'設定'!$B$6)&amp;"日","")))))</f>
        <v/>
      </c>
      <c r="U118" s="61" t="n"/>
      <c r="V118" s="31">
        <f>IF(AND($B118&lt;&gt;"",$E118&lt;&gt;"",$E118='数える用紙'!$C$2),ROW(),"")</f>
        <v/>
      </c>
      <c r="W118" s="74">
        <f>IF(AND($B118&lt;&gt;"",ISNUMBER($R118)),IF(AND($R118&lt;='設定'!$B$6+N('設定'!$B$14),IF(ISNUMBER($I118),$I118,N($H118))&gt;0),$R118+ROW()/100000,""),"")</f>
        <v/>
      </c>
    </row>
    <row r="119" ht="18" customHeight="1">
      <c r="A119" s="22" t="n">
        <v>115</v>
      </c>
      <c r="B119" s="23" t="n"/>
      <c r="C119" s="24" t="n"/>
      <c r="D119" s="24" t="n"/>
      <c r="E119" s="23" t="n"/>
      <c r="F119" s="23" t="n"/>
      <c r="G119" s="25" t="n"/>
      <c r="H119" s="25" t="n"/>
      <c r="I119" s="25" t="n"/>
      <c r="J119" s="72">
        <f>IF(OR($B119="",$H119=""),"",N($G119)*$H119)</f>
        <v/>
      </c>
      <c r="K119" s="72">
        <f>IF(OR($B119="",$I119=""),"",N($G119)*$I119)</f>
        <v/>
      </c>
      <c r="L119" s="27">
        <f>IF(OR($B119="",$H119="",$I119=""),"",$I119-$H119)</f>
        <v/>
      </c>
      <c r="M119" s="72">
        <f>IF($L119="","",$L119*N($G119))</f>
        <v/>
      </c>
      <c r="N119" s="73">
        <f>IF($L119="","",IF($H119&gt;0,ROUND($L119/$H119,4),"－"))</f>
        <v/>
      </c>
      <c r="O119" s="29">
        <f>IF($B119="","",IF($L119="","未入力",IF($L119=0,"一致",IF(OR(NOT(ISNUMBER($N119)),AND('設定'!$B$10&lt;&gt;"",ABS(N($N119))&gt;'設定'!$B$10),AND('設定'!$B$11&lt;&gt;"",ABS(ROUND($M119,4))&gt;'設定'!$B$11),AND('設定'!$B$10="",'設定'!$B$11="")),"要確認","許容内"))))</f>
        <v/>
      </c>
      <c r="P119" s="29">
        <f>IF($O119&lt;&gt;"要確認","",IF($Q119=0,"済",IF(COUNTIF('差異の原因'!$B$5:$B$204,$B119)=0,"未記録","一部")))</f>
        <v/>
      </c>
      <c r="Q119" s="27">
        <f>IF($L119="","",IF(AND($L119=0,COUNTIF('差異の原因'!$B$5:$B$204,$B119)=0),"",ROUND($L119-SUMIF('差異の原因'!$B$5:$B$204,$B119,'差異の原因'!$G$5:$G$204),6)))</f>
        <v/>
      </c>
      <c r="R119" s="30" t="n"/>
      <c r="S119" s="23" t="n"/>
      <c r="T119" s="29">
        <f>IF(OR($B119="",NOT(ISNUMBER($R119))),"",IF(IF(ISNUMBER($I119),$I119,N($H119))&lt;=0,"",IF($R119&lt;'設定'!$B$6,"期限切れ",IF($R119='設定'!$B$6,"当日",IF($R119-'設定'!$B$6&lt;=N('設定'!$B$14),"あと"&amp;($R119-'設定'!$B$6)&amp;"日","")))))</f>
        <v/>
      </c>
      <c r="U119" s="61" t="n"/>
      <c r="V119" s="31">
        <f>IF(AND($B119&lt;&gt;"",$E119&lt;&gt;"",$E119='数える用紙'!$C$2),ROW(),"")</f>
        <v/>
      </c>
      <c r="W119" s="74">
        <f>IF(AND($B119&lt;&gt;"",ISNUMBER($R119)),IF(AND($R119&lt;='設定'!$B$6+N('設定'!$B$14),IF(ISNUMBER($I119),$I119,N($H119))&gt;0),$R119+ROW()/100000,""),"")</f>
        <v/>
      </c>
    </row>
    <row r="120" ht="18" customHeight="1">
      <c r="A120" s="22" t="n">
        <v>116</v>
      </c>
      <c r="B120" s="23" t="n"/>
      <c r="C120" s="24" t="n"/>
      <c r="D120" s="24" t="n"/>
      <c r="E120" s="23" t="n"/>
      <c r="F120" s="23" t="n"/>
      <c r="G120" s="25" t="n"/>
      <c r="H120" s="25" t="n"/>
      <c r="I120" s="25" t="n"/>
      <c r="J120" s="72">
        <f>IF(OR($B120="",$H120=""),"",N($G120)*$H120)</f>
        <v/>
      </c>
      <c r="K120" s="72">
        <f>IF(OR($B120="",$I120=""),"",N($G120)*$I120)</f>
        <v/>
      </c>
      <c r="L120" s="27">
        <f>IF(OR($B120="",$H120="",$I120=""),"",$I120-$H120)</f>
        <v/>
      </c>
      <c r="M120" s="72">
        <f>IF($L120="","",$L120*N($G120))</f>
        <v/>
      </c>
      <c r="N120" s="73">
        <f>IF($L120="","",IF($H120&gt;0,ROUND($L120/$H120,4),"－"))</f>
        <v/>
      </c>
      <c r="O120" s="29">
        <f>IF($B120="","",IF($L120="","未入力",IF($L120=0,"一致",IF(OR(NOT(ISNUMBER($N120)),AND('設定'!$B$10&lt;&gt;"",ABS(N($N120))&gt;'設定'!$B$10),AND('設定'!$B$11&lt;&gt;"",ABS(ROUND($M120,4))&gt;'設定'!$B$11),AND('設定'!$B$10="",'設定'!$B$11="")),"要確認","許容内"))))</f>
        <v/>
      </c>
      <c r="P120" s="29">
        <f>IF($O120&lt;&gt;"要確認","",IF($Q120=0,"済",IF(COUNTIF('差異の原因'!$B$5:$B$204,$B120)=0,"未記録","一部")))</f>
        <v/>
      </c>
      <c r="Q120" s="27">
        <f>IF($L120="","",IF(AND($L120=0,COUNTIF('差異の原因'!$B$5:$B$204,$B120)=0),"",ROUND($L120-SUMIF('差異の原因'!$B$5:$B$204,$B120,'差異の原因'!$G$5:$G$204),6)))</f>
        <v/>
      </c>
      <c r="R120" s="30" t="n"/>
      <c r="S120" s="23" t="n"/>
      <c r="T120" s="29">
        <f>IF(OR($B120="",NOT(ISNUMBER($R120))),"",IF(IF(ISNUMBER($I120),$I120,N($H120))&lt;=0,"",IF($R120&lt;'設定'!$B$6,"期限切れ",IF($R120='設定'!$B$6,"当日",IF($R120-'設定'!$B$6&lt;=N('設定'!$B$14),"あと"&amp;($R120-'設定'!$B$6)&amp;"日","")))))</f>
        <v/>
      </c>
      <c r="U120" s="61" t="n"/>
      <c r="V120" s="31">
        <f>IF(AND($B120&lt;&gt;"",$E120&lt;&gt;"",$E120='数える用紙'!$C$2),ROW(),"")</f>
        <v/>
      </c>
      <c r="W120" s="74">
        <f>IF(AND($B120&lt;&gt;"",ISNUMBER($R120)),IF(AND($R120&lt;='設定'!$B$6+N('設定'!$B$14),IF(ISNUMBER($I120),$I120,N($H120))&gt;0),$R120+ROW()/100000,""),"")</f>
        <v/>
      </c>
    </row>
    <row r="121" ht="18" customHeight="1">
      <c r="A121" s="22" t="n">
        <v>117</v>
      </c>
      <c r="B121" s="23" t="n"/>
      <c r="C121" s="24" t="n"/>
      <c r="D121" s="24" t="n"/>
      <c r="E121" s="23" t="n"/>
      <c r="F121" s="23" t="n"/>
      <c r="G121" s="25" t="n"/>
      <c r="H121" s="25" t="n"/>
      <c r="I121" s="25" t="n"/>
      <c r="J121" s="72">
        <f>IF(OR($B121="",$H121=""),"",N($G121)*$H121)</f>
        <v/>
      </c>
      <c r="K121" s="72">
        <f>IF(OR($B121="",$I121=""),"",N($G121)*$I121)</f>
        <v/>
      </c>
      <c r="L121" s="27">
        <f>IF(OR($B121="",$H121="",$I121=""),"",$I121-$H121)</f>
        <v/>
      </c>
      <c r="M121" s="72">
        <f>IF($L121="","",$L121*N($G121))</f>
        <v/>
      </c>
      <c r="N121" s="73">
        <f>IF($L121="","",IF($H121&gt;0,ROUND($L121/$H121,4),"－"))</f>
        <v/>
      </c>
      <c r="O121" s="29">
        <f>IF($B121="","",IF($L121="","未入力",IF($L121=0,"一致",IF(OR(NOT(ISNUMBER($N121)),AND('設定'!$B$10&lt;&gt;"",ABS(N($N121))&gt;'設定'!$B$10),AND('設定'!$B$11&lt;&gt;"",ABS(ROUND($M121,4))&gt;'設定'!$B$11),AND('設定'!$B$10="",'設定'!$B$11="")),"要確認","許容内"))))</f>
        <v/>
      </c>
      <c r="P121" s="29">
        <f>IF($O121&lt;&gt;"要確認","",IF($Q121=0,"済",IF(COUNTIF('差異の原因'!$B$5:$B$204,$B121)=0,"未記録","一部")))</f>
        <v/>
      </c>
      <c r="Q121" s="27">
        <f>IF($L121="","",IF(AND($L121=0,COUNTIF('差異の原因'!$B$5:$B$204,$B121)=0),"",ROUND($L121-SUMIF('差異の原因'!$B$5:$B$204,$B121,'差異の原因'!$G$5:$G$204),6)))</f>
        <v/>
      </c>
      <c r="R121" s="30" t="n"/>
      <c r="S121" s="23" t="n"/>
      <c r="T121" s="29">
        <f>IF(OR($B121="",NOT(ISNUMBER($R121))),"",IF(IF(ISNUMBER($I121),$I121,N($H121))&lt;=0,"",IF($R121&lt;'設定'!$B$6,"期限切れ",IF($R121='設定'!$B$6,"当日",IF($R121-'設定'!$B$6&lt;=N('設定'!$B$14),"あと"&amp;($R121-'設定'!$B$6)&amp;"日","")))))</f>
        <v/>
      </c>
      <c r="U121" s="61" t="n"/>
      <c r="V121" s="31">
        <f>IF(AND($B121&lt;&gt;"",$E121&lt;&gt;"",$E121='数える用紙'!$C$2),ROW(),"")</f>
        <v/>
      </c>
      <c r="W121" s="74">
        <f>IF(AND($B121&lt;&gt;"",ISNUMBER($R121)),IF(AND($R121&lt;='設定'!$B$6+N('設定'!$B$14),IF(ISNUMBER($I121),$I121,N($H121))&gt;0),$R121+ROW()/100000,""),"")</f>
        <v/>
      </c>
    </row>
    <row r="122" ht="18" customHeight="1">
      <c r="A122" s="22" t="n">
        <v>118</v>
      </c>
      <c r="B122" s="23" t="n"/>
      <c r="C122" s="24" t="n"/>
      <c r="D122" s="24" t="n"/>
      <c r="E122" s="23" t="n"/>
      <c r="F122" s="23" t="n"/>
      <c r="G122" s="25" t="n"/>
      <c r="H122" s="25" t="n"/>
      <c r="I122" s="25" t="n"/>
      <c r="J122" s="72">
        <f>IF(OR($B122="",$H122=""),"",N($G122)*$H122)</f>
        <v/>
      </c>
      <c r="K122" s="72">
        <f>IF(OR($B122="",$I122=""),"",N($G122)*$I122)</f>
        <v/>
      </c>
      <c r="L122" s="27">
        <f>IF(OR($B122="",$H122="",$I122=""),"",$I122-$H122)</f>
        <v/>
      </c>
      <c r="M122" s="72">
        <f>IF($L122="","",$L122*N($G122))</f>
        <v/>
      </c>
      <c r="N122" s="73">
        <f>IF($L122="","",IF($H122&gt;0,ROUND($L122/$H122,4),"－"))</f>
        <v/>
      </c>
      <c r="O122" s="29">
        <f>IF($B122="","",IF($L122="","未入力",IF($L122=0,"一致",IF(OR(NOT(ISNUMBER($N122)),AND('設定'!$B$10&lt;&gt;"",ABS(N($N122))&gt;'設定'!$B$10),AND('設定'!$B$11&lt;&gt;"",ABS(ROUND($M122,4))&gt;'設定'!$B$11),AND('設定'!$B$10="",'設定'!$B$11="")),"要確認","許容内"))))</f>
        <v/>
      </c>
      <c r="P122" s="29">
        <f>IF($O122&lt;&gt;"要確認","",IF($Q122=0,"済",IF(COUNTIF('差異の原因'!$B$5:$B$204,$B122)=0,"未記録","一部")))</f>
        <v/>
      </c>
      <c r="Q122" s="27">
        <f>IF($L122="","",IF(AND($L122=0,COUNTIF('差異の原因'!$B$5:$B$204,$B122)=0),"",ROUND($L122-SUMIF('差異の原因'!$B$5:$B$204,$B122,'差異の原因'!$G$5:$G$204),6)))</f>
        <v/>
      </c>
      <c r="R122" s="30" t="n"/>
      <c r="S122" s="23" t="n"/>
      <c r="T122" s="29">
        <f>IF(OR($B122="",NOT(ISNUMBER($R122))),"",IF(IF(ISNUMBER($I122),$I122,N($H122))&lt;=0,"",IF($R122&lt;'設定'!$B$6,"期限切れ",IF($R122='設定'!$B$6,"当日",IF($R122-'設定'!$B$6&lt;=N('設定'!$B$14),"あと"&amp;($R122-'設定'!$B$6)&amp;"日","")))))</f>
        <v/>
      </c>
      <c r="U122" s="61" t="n"/>
      <c r="V122" s="31">
        <f>IF(AND($B122&lt;&gt;"",$E122&lt;&gt;"",$E122='数える用紙'!$C$2),ROW(),"")</f>
        <v/>
      </c>
      <c r="W122" s="74">
        <f>IF(AND($B122&lt;&gt;"",ISNUMBER($R122)),IF(AND($R122&lt;='設定'!$B$6+N('設定'!$B$14),IF(ISNUMBER($I122),$I122,N($H122))&gt;0),$R122+ROW()/100000,""),"")</f>
        <v/>
      </c>
    </row>
    <row r="123" ht="18" customHeight="1">
      <c r="A123" s="22" t="n">
        <v>119</v>
      </c>
      <c r="B123" s="23" t="n"/>
      <c r="C123" s="24" t="n"/>
      <c r="D123" s="24" t="n"/>
      <c r="E123" s="23" t="n"/>
      <c r="F123" s="23" t="n"/>
      <c r="G123" s="25" t="n"/>
      <c r="H123" s="25" t="n"/>
      <c r="I123" s="25" t="n"/>
      <c r="J123" s="72">
        <f>IF(OR($B123="",$H123=""),"",N($G123)*$H123)</f>
        <v/>
      </c>
      <c r="K123" s="72">
        <f>IF(OR($B123="",$I123=""),"",N($G123)*$I123)</f>
        <v/>
      </c>
      <c r="L123" s="27">
        <f>IF(OR($B123="",$H123="",$I123=""),"",$I123-$H123)</f>
        <v/>
      </c>
      <c r="M123" s="72">
        <f>IF($L123="","",$L123*N($G123))</f>
        <v/>
      </c>
      <c r="N123" s="73">
        <f>IF($L123="","",IF($H123&gt;0,ROUND($L123/$H123,4),"－"))</f>
        <v/>
      </c>
      <c r="O123" s="29">
        <f>IF($B123="","",IF($L123="","未入力",IF($L123=0,"一致",IF(OR(NOT(ISNUMBER($N123)),AND('設定'!$B$10&lt;&gt;"",ABS(N($N123))&gt;'設定'!$B$10),AND('設定'!$B$11&lt;&gt;"",ABS(ROUND($M123,4))&gt;'設定'!$B$11),AND('設定'!$B$10="",'設定'!$B$11="")),"要確認","許容内"))))</f>
        <v/>
      </c>
      <c r="P123" s="29">
        <f>IF($O123&lt;&gt;"要確認","",IF($Q123=0,"済",IF(COUNTIF('差異の原因'!$B$5:$B$204,$B123)=0,"未記録","一部")))</f>
        <v/>
      </c>
      <c r="Q123" s="27">
        <f>IF($L123="","",IF(AND($L123=0,COUNTIF('差異の原因'!$B$5:$B$204,$B123)=0),"",ROUND($L123-SUMIF('差異の原因'!$B$5:$B$204,$B123,'差異の原因'!$G$5:$G$204),6)))</f>
        <v/>
      </c>
      <c r="R123" s="30" t="n"/>
      <c r="S123" s="23" t="n"/>
      <c r="T123" s="29">
        <f>IF(OR($B123="",NOT(ISNUMBER($R123))),"",IF(IF(ISNUMBER($I123),$I123,N($H123))&lt;=0,"",IF($R123&lt;'設定'!$B$6,"期限切れ",IF($R123='設定'!$B$6,"当日",IF($R123-'設定'!$B$6&lt;=N('設定'!$B$14),"あと"&amp;($R123-'設定'!$B$6)&amp;"日","")))))</f>
        <v/>
      </c>
      <c r="U123" s="61" t="n"/>
      <c r="V123" s="31">
        <f>IF(AND($B123&lt;&gt;"",$E123&lt;&gt;"",$E123='数える用紙'!$C$2),ROW(),"")</f>
        <v/>
      </c>
      <c r="W123" s="74">
        <f>IF(AND($B123&lt;&gt;"",ISNUMBER($R123)),IF(AND($R123&lt;='設定'!$B$6+N('設定'!$B$14),IF(ISNUMBER($I123),$I123,N($H123))&gt;0),$R123+ROW()/100000,""),"")</f>
        <v/>
      </c>
    </row>
    <row r="124" ht="18" customHeight="1">
      <c r="A124" s="22" t="n">
        <v>120</v>
      </c>
      <c r="B124" s="23" t="n"/>
      <c r="C124" s="24" t="n"/>
      <c r="D124" s="24" t="n"/>
      <c r="E124" s="23" t="n"/>
      <c r="F124" s="23" t="n"/>
      <c r="G124" s="25" t="n"/>
      <c r="H124" s="25" t="n"/>
      <c r="I124" s="25" t="n"/>
      <c r="J124" s="72">
        <f>IF(OR($B124="",$H124=""),"",N($G124)*$H124)</f>
        <v/>
      </c>
      <c r="K124" s="72">
        <f>IF(OR($B124="",$I124=""),"",N($G124)*$I124)</f>
        <v/>
      </c>
      <c r="L124" s="27">
        <f>IF(OR($B124="",$H124="",$I124=""),"",$I124-$H124)</f>
        <v/>
      </c>
      <c r="M124" s="72">
        <f>IF($L124="","",$L124*N($G124))</f>
        <v/>
      </c>
      <c r="N124" s="73">
        <f>IF($L124="","",IF($H124&gt;0,ROUND($L124/$H124,4),"－"))</f>
        <v/>
      </c>
      <c r="O124" s="29">
        <f>IF($B124="","",IF($L124="","未入力",IF($L124=0,"一致",IF(OR(NOT(ISNUMBER($N124)),AND('設定'!$B$10&lt;&gt;"",ABS(N($N124))&gt;'設定'!$B$10),AND('設定'!$B$11&lt;&gt;"",ABS(ROUND($M124,4))&gt;'設定'!$B$11),AND('設定'!$B$10="",'設定'!$B$11="")),"要確認","許容内"))))</f>
        <v/>
      </c>
      <c r="P124" s="29">
        <f>IF($O124&lt;&gt;"要確認","",IF($Q124=0,"済",IF(COUNTIF('差異の原因'!$B$5:$B$204,$B124)=0,"未記録","一部")))</f>
        <v/>
      </c>
      <c r="Q124" s="27">
        <f>IF($L124="","",IF(AND($L124=0,COUNTIF('差異の原因'!$B$5:$B$204,$B124)=0),"",ROUND($L124-SUMIF('差異の原因'!$B$5:$B$204,$B124,'差異の原因'!$G$5:$G$204),6)))</f>
        <v/>
      </c>
      <c r="R124" s="30" t="n"/>
      <c r="S124" s="23" t="n"/>
      <c r="T124" s="29">
        <f>IF(OR($B124="",NOT(ISNUMBER($R124))),"",IF(IF(ISNUMBER($I124),$I124,N($H124))&lt;=0,"",IF($R124&lt;'設定'!$B$6,"期限切れ",IF($R124='設定'!$B$6,"当日",IF($R124-'設定'!$B$6&lt;=N('設定'!$B$14),"あと"&amp;($R124-'設定'!$B$6)&amp;"日","")))))</f>
        <v/>
      </c>
      <c r="U124" s="61" t="n"/>
      <c r="V124" s="31">
        <f>IF(AND($B124&lt;&gt;"",$E124&lt;&gt;"",$E124='数える用紙'!$C$2),ROW(),"")</f>
        <v/>
      </c>
      <c r="W124" s="74">
        <f>IF(AND($B124&lt;&gt;"",ISNUMBER($R124)),IF(AND($R124&lt;='設定'!$B$6+N('設定'!$B$14),IF(ISNUMBER($I124),$I124,N($H124))&gt;0),$R124+ROW()/100000,""),"")</f>
        <v/>
      </c>
    </row>
    <row r="125" ht="18" customHeight="1">
      <c r="A125" s="22" t="n">
        <v>121</v>
      </c>
      <c r="B125" s="23" t="n"/>
      <c r="C125" s="24" t="n"/>
      <c r="D125" s="24" t="n"/>
      <c r="E125" s="23" t="n"/>
      <c r="F125" s="23" t="n"/>
      <c r="G125" s="25" t="n"/>
      <c r="H125" s="25" t="n"/>
      <c r="I125" s="25" t="n"/>
      <c r="J125" s="72">
        <f>IF(OR($B125="",$H125=""),"",N($G125)*$H125)</f>
        <v/>
      </c>
      <c r="K125" s="72">
        <f>IF(OR($B125="",$I125=""),"",N($G125)*$I125)</f>
        <v/>
      </c>
      <c r="L125" s="27">
        <f>IF(OR($B125="",$H125="",$I125=""),"",$I125-$H125)</f>
        <v/>
      </c>
      <c r="M125" s="72">
        <f>IF($L125="","",$L125*N($G125))</f>
        <v/>
      </c>
      <c r="N125" s="73">
        <f>IF($L125="","",IF($H125&gt;0,ROUND($L125/$H125,4),"－"))</f>
        <v/>
      </c>
      <c r="O125" s="29">
        <f>IF($B125="","",IF($L125="","未入力",IF($L125=0,"一致",IF(OR(NOT(ISNUMBER($N125)),AND('設定'!$B$10&lt;&gt;"",ABS(N($N125))&gt;'設定'!$B$10),AND('設定'!$B$11&lt;&gt;"",ABS(ROUND($M125,4))&gt;'設定'!$B$11),AND('設定'!$B$10="",'設定'!$B$11="")),"要確認","許容内"))))</f>
        <v/>
      </c>
      <c r="P125" s="29">
        <f>IF($O125&lt;&gt;"要確認","",IF($Q125=0,"済",IF(COUNTIF('差異の原因'!$B$5:$B$204,$B125)=0,"未記録","一部")))</f>
        <v/>
      </c>
      <c r="Q125" s="27">
        <f>IF($L125="","",IF(AND($L125=0,COUNTIF('差異の原因'!$B$5:$B$204,$B125)=0),"",ROUND($L125-SUMIF('差異の原因'!$B$5:$B$204,$B125,'差異の原因'!$G$5:$G$204),6)))</f>
        <v/>
      </c>
      <c r="R125" s="30" t="n"/>
      <c r="S125" s="23" t="n"/>
      <c r="T125" s="29">
        <f>IF(OR($B125="",NOT(ISNUMBER($R125))),"",IF(IF(ISNUMBER($I125),$I125,N($H125))&lt;=0,"",IF($R125&lt;'設定'!$B$6,"期限切れ",IF($R125='設定'!$B$6,"当日",IF($R125-'設定'!$B$6&lt;=N('設定'!$B$14),"あと"&amp;($R125-'設定'!$B$6)&amp;"日","")))))</f>
        <v/>
      </c>
      <c r="U125" s="61" t="n"/>
      <c r="V125" s="31">
        <f>IF(AND($B125&lt;&gt;"",$E125&lt;&gt;"",$E125='数える用紙'!$C$2),ROW(),"")</f>
        <v/>
      </c>
      <c r="W125" s="74">
        <f>IF(AND($B125&lt;&gt;"",ISNUMBER($R125)),IF(AND($R125&lt;='設定'!$B$6+N('設定'!$B$14),IF(ISNUMBER($I125),$I125,N($H125))&gt;0),$R125+ROW()/100000,""),"")</f>
        <v/>
      </c>
    </row>
    <row r="126" ht="18" customHeight="1">
      <c r="A126" s="22" t="n">
        <v>122</v>
      </c>
      <c r="B126" s="23" t="n"/>
      <c r="C126" s="24" t="n"/>
      <c r="D126" s="24" t="n"/>
      <c r="E126" s="23" t="n"/>
      <c r="F126" s="23" t="n"/>
      <c r="G126" s="25" t="n"/>
      <c r="H126" s="25" t="n"/>
      <c r="I126" s="25" t="n"/>
      <c r="J126" s="72">
        <f>IF(OR($B126="",$H126=""),"",N($G126)*$H126)</f>
        <v/>
      </c>
      <c r="K126" s="72">
        <f>IF(OR($B126="",$I126=""),"",N($G126)*$I126)</f>
        <v/>
      </c>
      <c r="L126" s="27">
        <f>IF(OR($B126="",$H126="",$I126=""),"",$I126-$H126)</f>
        <v/>
      </c>
      <c r="M126" s="72">
        <f>IF($L126="","",$L126*N($G126))</f>
        <v/>
      </c>
      <c r="N126" s="73">
        <f>IF($L126="","",IF($H126&gt;0,ROUND($L126/$H126,4),"－"))</f>
        <v/>
      </c>
      <c r="O126" s="29">
        <f>IF($B126="","",IF($L126="","未入力",IF($L126=0,"一致",IF(OR(NOT(ISNUMBER($N126)),AND('設定'!$B$10&lt;&gt;"",ABS(N($N126))&gt;'設定'!$B$10),AND('設定'!$B$11&lt;&gt;"",ABS(ROUND($M126,4))&gt;'設定'!$B$11),AND('設定'!$B$10="",'設定'!$B$11="")),"要確認","許容内"))))</f>
        <v/>
      </c>
      <c r="P126" s="29">
        <f>IF($O126&lt;&gt;"要確認","",IF($Q126=0,"済",IF(COUNTIF('差異の原因'!$B$5:$B$204,$B126)=0,"未記録","一部")))</f>
        <v/>
      </c>
      <c r="Q126" s="27">
        <f>IF($L126="","",IF(AND($L126=0,COUNTIF('差異の原因'!$B$5:$B$204,$B126)=0),"",ROUND($L126-SUMIF('差異の原因'!$B$5:$B$204,$B126,'差異の原因'!$G$5:$G$204),6)))</f>
        <v/>
      </c>
      <c r="R126" s="30" t="n"/>
      <c r="S126" s="23" t="n"/>
      <c r="T126" s="29">
        <f>IF(OR($B126="",NOT(ISNUMBER($R126))),"",IF(IF(ISNUMBER($I126),$I126,N($H126))&lt;=0,"",IF($R126&lt;'設定'!$B$6,"期限切れ",IF($R126='設定'!$B$6,"当日",IF($R126-'設定'!$B$6&lt;=N('設定'!$B$14),"あと"&amp;($R126-'設定'!$B$6)&amp;"日","")))))</f>
        <v/>
      </c>
      <c r="U126" s="61" t="n"/>
      <c r="V126" s="31">
        <f>IF(AND($B126&lt;&gt;"",$E126&lt;&gt;"",$E126='数える用紙'!$C$2),ROW(),"")</f>
        <v/>
      </c>
      <c r="W126" s="74">
        <f>IF(AND($B126&lt;&gt;"",ISNUMBER($R126)),IF(AND($R126&lt;='設定'!$B$6+N('設定'!$B$14),IF(ISNUMBER($I126),$I126,N($H126))&gt;0),$R126+ROW()/100000,""),"")</f>
        <v/>
      </c>
    </row>
    <row r="127" ht="18" customHeight="1">
      <c r="A127" s="22" t="n">
        <v>123</v>
      </c>
      <c r="B127" s="23" t="n"/>
      <c r="C127" s="24" t="n"/>
      <c r="D127" s="24" t="n"/>
      <c r="E127" s="23" t="n"/>
      <c r="F127" s="23" t="n"/>
      <c r="G127" s="25" t="n"/>
      <c r="H127" s="25" t="n"/>
      <c r="I127" s="25" t="n"/>
      <c r="J127" s="72">
        <f>IF(OR($B127="",$H127=""),"",N($G127)*$H127)</f>
        <v/>
      </c>
      <c r="K127" s="72">
        <f>IF(OR($B127="",$I127=""),"",N($G127)*$I127)</f>
        <v/>
      </c>
      <c r="L127" s="27">
        <f>IF(OR($B127="",$H127="",$I127=""),"",$I127-$H127)</f>
        <v/>
      </c>
      <c r="M127" s="72">
        <f>IF($L127="","",$L127*N($G127))</f>
        <v/>
      </c>
      <c r="N127" s="73">
        <f>IF($L127="","",IF($H127&gt;0,ROUND($L127/$H127,4),"－"))</f>
        <v/>
      </c>
      <c r="O127" s="29">
        <f>IF($B127="","",IF($L127="","未入力",IF($L127=0,"一致",IF(OR(NOT(ISNUMBER($N127)),AND('設定'!$B$10&lt;&gt;"",ABS(N($N127))&gt;'設定'!$B$10),AND('設定'!$B$11&lt;&gt;"",ABS(ROUND($M127,4))&gt;'設定'!$B$11),AND('設定'!$B$10="",'設定'!$B$11="")),"要確認","許容内"))))</f>
        <v/>
      </c>
      <c r="P127" s="29">
        <f>IF($O127&lt;&gt;"要確認","",IF($Q127=0,"済",IF(COUNTIF('差異の原因'!$B$5:$B$204,$B127)=0,"未記録","一部")))</f>
        <v/>
      </c>
      <c r="Q127" s="27">
        <f>IF($L127="","",IF(AND($L127=0,COUNTIF('差異の原因'!$B$5:$B$204,$B127)=0),"",ROUND($L127-SUMIF('差異の原因'!$B$5:$B$204,$B127,'差異の原因'!$G$5:$G$204),6)))</f>
        <v/>
      </c>
      <c r="R127" s="30" t="n"/>
      <c r="S127" s="23" t="n"/>
      <c r="T127" s="29">
        <f>IF(OR($B127="",NOT(ISNUMBER($R127))),"",IF(IF(ISNUMBER($I127),$I127,N($H127))&lt;=0,"",IF($R127&lt;'設定'!$B$6,"期限切れ",IF($R127='設定'!$B$6,"当日",IF($R127-'設定'!$B$6&lt;=N('設定'!$B$14),"あと"&amp;($R127-'設定'!$B$6)&amp;"日","")))))</f>
        <v/>
      </c>
      <c r="U127" s="61" t="n"/>
      <c r="V127" s="31">
        <f>IF(AND($B127&lt;&gt;"",$E127&lt;&gt;"",$E127='数える用紙'!$C$2),ROW(),"")</f>
        <v/>
      </c>
      <c r="W127" s="74">
        <f>IF(AND($B127&lt;&gt;"",ISNUMBER($R127)),IF(AND($R127&lt;='設定'!$B$6+N('設定'!$B$14),IF(ISNUMBER($I127),$I127,N($H127))&gt;0),$R127+ROW()/100000,""),"")</f>
        <v/>
      </c>
    </row>
    <row r="128" ht="18" customHeight="1">
      <c r="A128" s="22" t="n">
        <v>124</v>
      </c>
      <c r="B128" s="23" t="n"/>
      <c r="C128" s="24" t="n"/>
      <c r="D128" s="24" t="n"/>
      <c r="E128" s="23" t="n"/>
      <c r="F128" s="23" t="n"/>
      <c r="G128" s="25" t="n"/>
      <c r="H128" s="25" t="n"/>
      <c r="I128" s="25" t="n"/>
      <c r="J128" s="72">
        <f>IF(OR($B128="",$H128=""),"",N($G128)*$H128)</f>
        <v/>
      </c>
      <c r="K128" s="72">
        <f>IF(OR($B128="",$I128=""),"",N($G128)*$I128)</f>
        <v/>
      </c>
      <c r="L128" s="27">
        <f>IF(OR($B128="",$H128="",$I128=""),"",$I128-$H128)</f>
        <v/>
      </c>
      <c r="M128" s="72">
        <f>IF($L128="","",$L128*N($G128))</f>
        <v/>
      </c>
      <c r="N128" s="73">
        <f>IF($L128="","",IF($H128&gt;0,ROUND($L128/$H128,4),"－"))</f>
        <v/>
      </c>
      <c r="O128" s="29">
        <f>IF($B128="","",IF($L128="","未入力",IF($L128=0,"一致",IF(OR(NOT(ISNUMBER($N128)),AND('設定'!$B$10&lt;&gt;"",ABS(N($N128))&gt;'設定'!$B$10),AND('設定'!$B$11&lt;&gt;"",ABS(ROUND($M128,4))&gt;'設定'!$B$11),AND('設定'!$B$10="",'設定'!$B$11="")),"要確認","許容内"))))</f>
        <v/>
      </c>
      <c r="P128" s="29">
        <f>IF($O128&lt;&gt;"要確認","",IF($Q128=0,"済",IF(COUNTIF('差異の原因'!$B$5:$B$204,$B128)=0,"未記録","一部")))</f>
        <v/>
      </c>
      <c r="Q128" s="27">
        <f>IF($L128="","",IF(AND($L128=0,COUNTIF('差異の原因'!$B$5:$B$204,$B128)=0),"",ROUND($L128-SUMIF('差異の原因'!$B$5:$B$204,$B128,'差異の原因'!$G$5:$G$204),6)))</f>
        <v/>
      </c>
      <c r="R128" s="30" t="n"/>
      <c r="S128" s="23" t="n"/>
      <c r="T128" s="29">
        <f>IF(OR($B128="",NOT(ISNUMBER($R128))),"",IF(IF(ISNUMBER($I128),$I128,N($H128))&lt;=0,"",IF($R128&lt;'設定'!$B$6,"期限切れ",IF($R128='設定'!$B$6,"当日",IF($R128-'設定'!$B$6&lt;=N('設定'!$B$14),"あと"&amp;($R128-'設定'!$B$6)&amp;"日","")))))</f>
        <v/>
      </c>
      <c r="U128" s="61" t="n"/>
      <c r="V128" s="31">
        <f>IF(AND($B128&lt;&gt;"",$E128&lt;&gt;"",$E128='数える用紙'!$C$2),ROW(),"")</f>
        <v/>
      </c>
      <c r="W128" s="74">
        <f>IF(AND($B128&lt;&gt;"",ISNUMBER($R128)),IF(AND($R128&lt;='設定'!$B$6+N('設定'!$B$14),IF(ISNUMBER($I128),$I128,N($H128))&gt;0),$R128+ROW()/100000,""),"")</f>
        <v/>
      </c>
    </row>
    <row r="129" ht="18" customHeight="1">
      <c r="A129" s="22" t="n">
        <v>125</v>
      </c>
      <c r="B129" s="23" t="n"/>
      <c r="C129" s="24" t="n"/>
      <c r="D129" s="24" t="n"/>
      <c r="E129" s="23" t="n"/>
      <c r="F129" s="23" t="n"/>
      <c r="G129" s="25" t="n"/>
      <c r="H129" s="25" t="n"/>
      <c r="I129" s="25" t="n"/>
      <c r="J129" s="72">
        <f>IF(OR($B129="",$H129=""),"",N($G129)*$H129)</f>
        <v/>
      </c>
      <c r="K129" s="72">
        <f>IF(OR($B129="",$I129=""),"",N($G129)*$I129)</f>
        <v/>
      </c>
      <c r="L129" s="27">
        <f>IF(OR($B129="",$H129="",$I129=""),"",$I129-$H129)</f>
        <v/>
      </c>
      <c r="M129" s="72">
        <f>IF($L129="","",$L129*N($G129))</f>
        <v/>
      </c>
      <c r="N129" s="73">
        <f>IF($L129="","",IF($H129&gt;0,ROUND($L129/$H129,4),"－"))</f>
        <v/>
      </c>
      <c r="O129" s="29">
        <f>IF($B129="","",IF($L129="","未入力",IF($L129=0,"一致",IF(OR(NOT(ISNUMBER($N129)),AND('設定'!$B$10&lt;&gt;"",ABS(N($N129))&gt;'設定'!$B$10),AND('設定'!$B$11&lt;&gt;"",ABS(ROUND($M129,4))&gt;'設定'!$B$11),AND('設定'!$B$10="",'設定'!$B$11="")),"要確認","許容内"))))</f>
        <v/>
      </c>
      <c r="P129" s="29">
        <f>IF($O129&lt;&gt;"要確認","",IF($Q129=0,"済",IF(COUNTIF('差異の原因'!$B$5:$B$204,$B129)=0,"未記録","一部")))</f>
        <v/>
      </c>
      <c r="Q129" s="27">
        <f>IF($L129="","",IF(AND($L129=0,COUNTIF('差異の原因'!$B$5:$B$204,$B129)=0),"",ROUND($L129-SUMIF('差異の原因'!$B$5:$B$204,$B129,'差異の原因'!$G$5:$G$204),6)))</f>
        <v/>
      </c>
      <c r="R129" s="30" t="n"/>
      <c r="S129" s="23" t="n"/>
      <c r="T129" s="29">
        <f>IF(OR($B129="",NOT(ISNUMBER($R129))),"",IF(IF(ISNUMBER($I129),$I129,N($H129))&lt;=0,"",IF($R129&lt;'設定'!$B$6,"期限切れ",IF($R129='設定'!$B$6,"当日",IF($R129-'設定'!$B$6&lt;=N('設定'!$B$14),"あと"&amp;($R129-'設定'!$B$6)&amp;"日","")))))</f>
        <v/>
      </c>
      <c r="U129" s="61" t="n"/>
      <c r="V129" s="31">
        <f>IF(AND($B129&lt;&gt;"",$E129&lt;&gt;"",$E129='数える用紙'!$C$2),ROW(),"")</f>
        <v/>
      </c>
      <c r="W129" s="74">
        <f>IF(AND($B129&lt;&gt;"",ISNUMBER($R129)),IF(AND($R129&lt;='設定'!$B$6+N('設定'!$B$14),IF(ISNUMBER($I129),$I129,N($H129))&gt;0),$R129+ROW()/100000,""),"")</f>
        <v/>
      </c>
    </row>
    <row r="130" ht="18" customHeight="1">
      <c r="A130" s="22" t="n">
        <v>126</v>
      </c>
      <c r="B130" s="23" t="n"/>
      <c r="C130" s="24" t="n"/>
      <c r="D130" s="24" t="n"/>
      <c r="E130" s="23" t="n"/>
      <c r="F130" s="23" t="n"/>
      <c r="G130" s="25" t="n"/>
      <c r="H130" s="25" t="n"/>
      <c r="I130" s="25" t="n"/>
      <c r="J130" s="72">
        <f>IF(OR($B130="",$H130=""),"",N($G130)*$H130)</f>
        <v/>
      </c>
      <c r="K130" s="72">
        <f>IF(OR($B130="",$I130=""),"",N($G130)*$I130)</f>
        <v/>
      </c>
      <c r="L130" s="27">
        <f>IF(OR($B130="",$H130="",$I130=""),"",$I130-$H130)</f>
        <v/>
      </c>
      <c r="M130" s="72">
        <f>IF($L130="","",$L130*N($G130))</f>
        <v/>
      </c>
      <c r="N130" s="73">
        <f>IF($L130="","",IF($H130&gt;0,ROUND($L130/$H130,4),"－"))</f>
        <v/>
      </c>
      <c r="O130" s="29">
        <f>IF($B130="","",IF($L130="","未入力",IF($L130=0,"一致",IF(OR(NOT(ISNUMBER($N130)),AND('設定'!$B$10&lt;&gt;"",ABS(N($N130))&gt;'設定'!$B$10),AND('設定'!$B$11&lt;&gt;"",ABS(ROUND($M130,4))&gt;'設定'!$B$11),AND('設定'!$B$10="",'設定'!$B$11="")),"要確認","許容内"))))</f>
        <v/>
      </c>
      <c r="P130" s="29">
        <f>IF($O130&lt;&gt;"要確認","",IF($Q130=0,"済",IF(COUNTIF('差異の原因'!$B$5:$B$204,$B130)=0,"未記録","一部")))</f>
        <v/>
      </c>
      <c r="Q130" s="27">
        <f>IF($L130="","",IF(AND($L130=0,COUNTIF('差異の原因'!$B$5:$B$204,$B130)=0),"",ROUND($L130-SUMIF('差異の原因'!$B$5:$B$204,$B130,'差異の原因'!$G$5:$G$204),6)))</f>
        <v/>
      </c>
      <c r="R130" s="30" t="n"/>
      <c r="S130" s="23" t="n"/>
      <c r="T130" s="29">
        <f>IF(OR($B130="",NOT(ISNUMBER($R130))),"",IF(IF(ISNUMBER($I130),$I130,N($H130))&lt;=0,"",IF($R130&lt;'設定'!$B$6,"期限切れ",IF($R130='設定'!$B$6,"当日",IF($R130-'設定'!$B$6&lt;=N('設定'!$B$14),"あと"&amp;($R130-'設定'!$B$6)&amp;"日","")))))</f>
        <v/>
      </c>
      <c r="U130" s="61" t="n"/>
      <c r="V130" s="31">
        <f>IF(AND($B130&lt;&gt;"",$E130&lt;&gt;"",$E130='数える用紙'!$C$2),ROW(),"")</f>
        <v/>
      </c>
      <c r="W130" s="74">
        <f>IF(AND($B130&lt;&gt;"",ISNUMBER($R130)),IF(AND($R130&lt;='設定'!$B$6+N('設定'!$B$14),IF(ISNUMBER($I130),$I130,N($H130))&gt;0),$R130+ROW()/100000,""),"")</f>
        <v/>
      </c>
    </row>
    <row r="131" ht="18" customHeight="1">
      <c r="A131" s="22" t="n">
        <v>127</v>
      </c>
      <c r="B131" s="23" t="n"/>
      <c r="C131" s="24" t="n"/>
      <c r="D131" s="24" t="n"/>
      <c r="E131" s="23" t="n"/>
      <c r="F131" s="23" t="n"/>
      <c r="G131" s="25" t="n"/>
      <c r="H131" s="25" t="n"/>
      <c r="I131" s="25" t="n"/>
      <c r="J131" s="72">
        <f>IF(OR($B131="",$H131=""),"",N($G131)*$H131)</f>
        <v/>
      </c>
      <c r="K131" s="72">
        <f>IF(OR($B131="",$I131=""),"",N($G131)*$I131)</f>
        <v/>
      </c>
      <c r="L131" s="27">
        <f>IF(OR($B131="",$H131="",$I131=""),"",$I131-$H131)</f>
        <v/>
      </c>
      <c r="M131" s="72">
        <f>IF($L131="","",$L131*N($G131))</f>
        <v/>
      </c>
      <c r="N131" s="73">
        <f>IF($L131="","",IF($H131&gt;0,ROUND($L131/$H131,4),"－"))</f>
        <v/>
      </c>
      <c r="O131" s="29">
        <f>IF($B131="","",IF($L131="","未入力",IF($L131=0,"一致",IF(OR(NOT(ISNUMBER($N131)),AND('設定'!$B$10&lt;&gt;"",ABS(N($N131))&gt;'設定'!$B$10),AND('設定'!$B$11&lt;&gt;"",ABS(ROUND($M131,4))&gt;'設定'!$B$11),AND('設定'!$B$10="",'設定'!$B$11="")),"要確認","許容内"))))</f>
        <v/>
      </c>
      <c r="P131" s="29">
        <f>IF($O131&lt;&gt;"要確認","",IF($Q131=0,"済",IF(COUNTIF('差異の原因'!$B$5:$B$204,$B131)=0,"未記録","一部")))</f>
        <v/>
      </c>
      <c r="Q131" s="27">
        <f>IF($L131="","",IF(AND($L131=0,COUNTIF('差異の原因'!$B$5:$B$204,$B131)=0),"",ROUND($L131-SUMIF('差異の原因'!$B$5:$B$204,$B131,'差異の原因'!$G$5:$G$204),6)))</f>
        <v/>
      </c>
      <c r="R131" s="30" t="n"/>
      <c r="S131" s="23" t="n"/>
      <c r="T131" s="29">
        <f>IF(OR($B131="",NOT(ISNUMBER($R131))),"",IF(IF(ISNUMBER($I131),$I131,N($H131))&lt;=0,"",IF($R131&lt;'設定'!$B$6,"期限切れ",IF($R131='設定'!$B$6,"当日",IF($R131-'設定'!$B$6&lt;=N('設定'!$B$14),"あと"&amp;($R131-'設定'!$B$6)&amp;"日","")))))</f>
        <v/>
      </c>
      <c r="U131" s="61" t="n"/>
      <c r="V131" s="31">
        <f>IF(AND($B131&lt;&gt;"",$E131&lt;&gt;"",$E131='数える用紙'!$C$2),ROW(),"")</f>
        <v/>
      </c>
      <c r="W131" s="74">
        <f>IF(AND($B131&lt;&gt;"",ISNUMBER($R131)),IF(AND($R131&lt;='設定'!$B$6+N('設定'!$B$14),IF(ISNUMBER($I131),$I131,N($H131))&gt;0),$R131+ROW()/100000,""),"")</f>
        <v/>
      </c>
    </row>
    <row r="132" ht="18" customHeight="1">
      <c r="A132" s="22" t="n">
        <v>128</v>
      </c>
      <c r="B132" s="23" t="n"/>
      <c r="C132" s="24" t="n"/>
      <c r="D132" s="24" t="n"/>
      <c r="E132" s="23" t="n"/>
      <c r="F132" s="23" t="n"/>
      <c r="G132" s="25" t="n"/>
      <c r="H132" s="25" t="n"/>
      <c r="I132" s="25" t="n"/>
      <c r="J132" s="72">
        <f>IF(OR($B132="",$H132=""),"",N($G132)*$H132)</f>
        <v/>
      </c>
      <c r="K132" s="72">
        <f>IF(OR($B132="",$I132=""),"",N($G132)*$I132)</f>
        <v/>
      </c>
      <c r="L132" s="27">
        <f>IF(OR($B132="",$H132="",$I132=""),"",$I132-$H132)</f>
        <v/>
      </c>
      <c r="M132" s="72">
        <f>IF($L132="","",$L132*N($G132))</f>
        <v/>
      </c>
      <c r="N132" s="73">
        <f>IF($L132="","",IF($H132&gt;0,ROUND($L132/$H132,4),"－"))</f>
        <v/>
      </c>
      <c r="O132" s="29">
        <f>IF($B132="","",IF($L132="","未入力",IF($L132=0,"一致",IF(OR(NOT(ISNUMBER($N132)),AND('設定'!$B$10&lt;&gt;"",ABS(N($N132))&gt;'設定'!$B$10),AND('設定'!$B$11&lt;&gt;"",ABS(ROUND($M132,4))&gt;'設定'!$B$11),AND('設定'!$B$10="",'設定'!$B$11="")),"要確認","許容内"))))</f>
        <v/>
      </c>
      <c r="P132" s="29">
        <f>IF($O132&lt;&gt;"要確認","",IF($Q132=0,"済",IF(COUNTIF('差異の原因'!$B$5:$B$204,$B132)=0,"未記録","一部")))</f>
        <v/>
      </c>
      <c r="Q132" s="27">
        <f>IF($L132="","",IF(AND($L132=0,COUNTIF('差異の原因'!$B$5:$B$204,$B132)=0),"",ROUND($L132-SUMIF('差異の原因'!$B$5:$B$204,$B132,'差異の原因'!$G$5:$G$204),6)))</f>
        <v/>
      </c>
      <c r="R132" s="30" t="n"/>
      <c r="S132" s="23" t="n"/>
      <c r="T132" s="29">
        <f>IF(OR($B132="",NOT(ISNUMBER($R132))),"",IF(IF(ISNUMBER($I132),$I132,N($H132))&lt;=0,"",IF($R132&lt;'設定'!$B$6,"期限切れ",IF($R132='設定'!$B$6,"当日",IF($R132-'設定'!$B$6&lt;=N('設定'!$B$14),"あと"&amp;($R132-'設定'!$B$6)&amp;"日","")))))</f>
        <v/>
      </c>
      <c r="U132" s="61" t="n"/>
      <c r="V132" s="31">
        <f>IF(AND($B132&lt;&gt;"",$E132&lt;&gt;"",$E132='数える用紙'!$C$2),ROW(),"")</f>
        <v/>
      </c>
      <c r="W132" s="74">
        <f>IF(AND($B132&lt;&gt;"",ISNUMBER($R132)),IF(AND($R132&lt;='設定'!$B$6+N('設定'!$B$14),IF(ISNUMBER($I132),$I132,N($H132))&gt;0),$R132+ROW()/100000,""),"")</f>
        <v/>
      </c>
    </row>
    <row r="133" ht="18" customHeight="1">
      <c r="A133" s="22" t="n">
        <v>129</v>
      </c>
      <c r="B133" s="23" t="n"/>
      <c r="C133" s="24" t="n"/>
      <c r="D133" s="24" t="n"/>
      <c r="E133" s="23" t="n"/>
      <c r="F133" s="23" t="n"/>
      <c r="G133" s="25" t="n"/>
      <c r="H133" s="25" t="n"/>
      <c r="I133" s="25" t="n"/>
      <c r="J133" s="72">
        <f>IF(OR($B133="",$H133=""),"",N($G133)*$H133)</f>
        <v/>
      </c>
      <c r="K133" s="72">
        <f>IF(OR($B133="",$I133=""),"",N($G133)*$I133)</f>
        <v/>
      </c>
      <c r="L133" s="27">
        <f>IF(OR($B133="",$H133="",$I133=""),"",$I133-$H133)</f>
        <v/>
      </c>
      <c r="M133" s="72">
        <f>IF($L133="","",$L133*N($G133))</f>
        <v/>
      </c>
      <c r="N133" s="73">
        <f>IF($L133="","",IF($H133&gt;0,ROUND($L133/$H133,4),"－"))</f>
        <v/>
      </c>
      <c r="O133" s="29">
        <f>IF($B133="","",IF($L133="","未入力",IF($L133=0,"一致",IF(OR(NOT(ISNUMBER($N133)),AND('設定'!$B$10&lt;&gt;"",ABS(N($N133))&gt;'設定'!$B$10),AND('設定'!$B$11&lt;&gt;"",ABS(ROUND($M133,4))&gt;'設定'!$B$11),AND('設定'!$B$10="",'設定'!$B$11="")),"要確認","許容内"))))</f>
        <v/>
      </c>
      <c r="P133" s="29">
        <f>IF($O133&lt;&gt;"要確認","",IF($Q133=0,"済",IF(COUNTIF('差異の原因'!$B$5:$B$204,$B133)=0,"未記録","一部")))</f>
        <v/>
      </c>
      <c r="Q133" s="27">
        <f>IF($L133="","",IF(AND($L133=0,COUNTIF('差異の原因'!$B$5:$B$204,$B133)=0),"",ROUND($L133-SUMIF('差異の原因'!$B$5:$B$204,$B133,'差異の原因'!$G$5:$G$204),6)))</f>
        <v/>
      </c>
      <c r="R133" s="30" t="n"/>
      <c r="S133" s="23" t="n"/>
      <c r="T133" s="29">
        <f>IF(OR($B133="",NOT(ISNUMBER($R133))),"",IF(IF(ISNUMBER($I133),$I133,N($H133))&lt;=0,"",IF($R133&lt;'設定'!$B$6,"期限切れ",IF($R133='設定'!$B$6,"当日",IF($R133-'設定'!$B$6&lt;=N('設定'!$B$14),"あと"&amp;($R133-'設定'!$B$6)&amp;"日","")))))</f>
        <v/>
      </c>
      <c r="U133" s="61" t="n"/>
      <c r="V133" s="31">
        <f>IF(AND($B133&lt;&gt;"",$E133&lt;&gt;"",$E133='数える用紙'!$C$2),ROW(),"")</f>
        <v/>
      </c>
      <c r="W133" s="74">
        <f>IF(AND($B133&lt;&gt;"",ISNUMBER($R133)),IF(AND($R133&lt;='設定'!$B$6+N('設定'!$B$14),IF(ISNUMBER($I133),$I133,N($H133))&gt;0),$R133+ROW()/100000,""),"")</f>
        <v/>
      </c>
    </row>
    <row r="134" ht="18" customHeight="1">
      <c r="A134" s="22" t="n">
        <v>130</v>
      </c>
      <c r="B134" s="23" t="n"/>
      <c r="C134" s="24" t="n"/>
      <c r="D134" s="24" t="n"/>
      <c r="E134" s="23" t="n"/>
      <c r="F134" s="23" t="n"/>
      <c r="G134" s="25" t="n"/>
      <c r="H134" s="25" t="n"/>
      <c r="I134" s="25" t="n"/>
      <c r="J134" s="72">
        <f>IF(OR($B134="",$H134=""),"",N($G134)*$H134)</f>
        <v/>
      </c>
      <c r="K134" s="72">
        <f>IF(OR($B134="",$I134=""),"",N($G134)*$I134)</f>
        <v/>
      </c>
      <c r="L134" s="27">
        <f>IF(OR($B134="",$H134="",$I134=""),"",$I134-$H134)</f>
        <v/>
      </c>
      <c r="M134" s="72">
        <f>IF($L134="","",$L134*N($G134))</f>
        <v/>
      </c>
      <c r="N134" s="73">
        <f>IF($L134="","",IF($H134&gt;0,ROUND($L134/$H134,4),"－"))</f>
        <v/>
      </c>
      <c r="O134" s="29">
        <f>IF($B134="","",IF($L134="","未入力",IF($L134=0,"一致",IF(OR(NOT(ISNUMBER($N134)),AND('設定'!$B$10&lt;&gt;"",ABS(N($N134))&gt;'設定'!$B$10),AND('設定'!$B$11&lt;&gt;"",ABS(ROUND($M134,4))&gt;'設定'!$B$11),AND('設定'!$B$10="",'設定'!$B$11="")),"要確認","許容内"))))</f>
        <v/>
      </c>
      <c r="P134" s="29">
        <f>IF($O134&lt;&gt;"要確認","",IF($Q134=0,"済",IF(COUNTIF('差異の原因'!$B$5:$B$204,$B134)=0,"未記録","一部")))</f>
        <v/>
      </c>
      <c r="Q134" s="27">
        <f>IF($L134="","",IF(AND($L134=0,COUNTIF('差異の原因'!$B$5:$B$204,$B134)=0),"",ROUND($L134-SUMIF('差異の原因'!$B$5:$B$204,$B134,'差異の原因'!$G$5:$G$204),6)))</f>
        <v/>
      </c>
      <c r="R134" s="30" t="n"/>
      <c r="S134" s="23" t="n"/>
      <c r="T134" s="29">
        <f>IF(OR($B134="",NOT(ISNUMBER($R134))),"",IF(IF(ISNUMBER($I134),$I134,N($H134))&lt;=0,"",IF($R134&lt;'設定'!$B$6,"期限切れ",IF($R134='設定'!$B$6,"当日",IF($R134-'設定'!$B$6&lt;=N('設定'!$B$14),"あと"&amp;($R134-'設定'!$B$6)&amp;"日","")))))</f>
        <v/>
      </c>
      <c r="U134" s="61" t="n"/>
      <c r="V134" s="31">
        <f>IF(AND($B134&lt;&gt;"",$E134&lt;&gt;"",$E134='数える用紙'!$C$2),ROW(),"")</f>
        <v/>
      </c>
      <c r="W134" s="74">
        <f>IF(AND($B134&lt;&gt;"",ISNUMBER($R134)),IF(AND($R134&lt;='設定'!$B$6+N('設定'!$B$14),IF(ISNUMBER($I134),$I134,N($H134))&gt;0),$R134+ROW()/100000,""),"")</f>
        <v/>
      </c>
    </row>
    <row r="135" ht="18" customHeight="1">
      <c r="A135" s="22" t="n">
        <v>131</v>
      </c>
      <c r="B135" s="23" t="n"/>
      <c r="C135" s="24" t="n"/>
      <c r="D135" s="24" t="n"/>
      <c r="E135" s="23" t="n"/>
      <c r="F135" s="23" t="n"/>
      <c r="G135" s="25" t="n"/>
      <c r="H135" s="25" t="n"/>
      <c r="I135" s="25" t="n"/>
      <c r="J135" s="72">
        <f>IF(OR($B135="",$H135=""),"",N($G135)*$H135)</f>
        <v/>
      </c>
      <c r="K135" s="72">
        <f>IF(OR($B135="",$I135=""),"",N($G135)*$I135)</f>
        <v/>
      </c>
      <c r="L135" s="27">
        <f>IF(OR($B135="",$H135="",$I135=""),"",$I135-$H135)</f>
        <v/>
      </c>
      <c r="M135" s="72">
        <f>IF($L135="","",$L135*N($G135))</f>
        <v/>
      </c>
      <c r="N135" s="73">
        <f>IF($L135="","",IF($H135&gt;0,ROUND($L135/$H135,4),"－"))</f>
        <v/>
      </c>
      <c r="O135" s="29">
        <f>IF($B135="","",IF($L135="","未入力",IF($L135=0,"一致",IF(OR(NOT(ISNUMBER($N135)),AND('設定'!$B$10&lt;&gt;"",ABS(N($N135))&gt;'設定'!$B$10),AND('設定'!$B$11&lt;&gt;"",ABS(ROUND($M135,4))&gt;'設定'!$B$11),AND('設定'!$B$10="",'設定'!$B$11="")),"要確認","許容内"))))</f>
        <v/>
      </c>
      <c r="P135" s="29">
        <f>IF($O135&lt;&gt;"要確認","",IF($Q135=0,"済",IF(COUNTIF('差異の原因'!$B$5:$B$204,$B135)=0,"未記録","一部")))</f>
        <v/>
      </c>
      <c r="Q135" s="27">
        <f>IF($L135="","",IF(AND($L135=0,COUNTIF('差異の原因'!$B$5:$B$204,$B135)=0),"",ROUND($L135-SUMIF('差異の原因'!$B$5:$B$204,$B135,'差異の原因'!$G$5:$G$204),6)))</f>
        <v/>
      </c>
      <c r="R135" s="30" t="n"/>
      <c r="S135" s="23" t="n"/>
      <c r="T135" s="29">
        <f>IF(OR($B135="",NOT(ISNUMBER($R135))),"",IF(IF(ISNUMBER($I135),$I135,N($H135))&lt;=0,"",IF($R135&lt;'設定'!$B$6,"期限切れ",IF($R135='設定'!$B$6,"当日",IF($R135-'設定'!$B$6&lt;=N('設定'!$B$14),"あと"&amp;($R135-'設定'!$B$6)&amp;"日","")))))</f>
        <v/>
      </c>
      <c r="U135" s="61" t="n"/>
      <c r="V135" s="31">
        <f>IF(AND($B135&lt;&gt;"",$E135&lt;&gt;"",$E135='数える用紙'!$C$2),ROW(),"")</f>
        <v/>
      </c>
      <c r="W135" s="74">
        <f>IF(AND($B135&lt;&gt;"",ISNUMBER($R135)),IF(AND($R135&lt;='設定'!$B$6+N('設定'!$B$14),IF(ISNUMBER($I135),$I135,N($H135))&gt;0),$R135+ROW()/100000,""),"")</f>
        <v/>
      </c>
    </row>
    <row r="136" ht="18" customHeight="1">
      <c r="A136" s="22" t="n">
        <v>132</v>
      </c>
      <c r="B136" s="23" t="n"/>
      <c r="C136" s="24" t="n"/>
      <c r="D136" s="24" t="n"/>
      <c r="E136" s="23" t="n"/>
      <c r="F136" s="23" t="n"/>
      <c r="G136" s="25" t="n"/>
      <c r="H136" s="25" t="n"/>
      <c r="I136" s="25" t="n"/>
      <c r="J136" s="72">
        <f>IF(OR($B136="",$H136=""),"",N($G136)*$H136)</f>
        <v/>
      </c>
      <c r="K136" s="72">
        <f>IF(OR($B136="",$I136=""),"",N($G136)*$I136)</f>
        <v/>
      </c>
      <c r="L136" s="27">
        <f>IF(OR($B136="",$H136="",$I136=""),"",$I136-$H136)</f>
        <v/>
      </c>
      <c r="M136" s="72">
        <f>IF($L136="","",$L136*N($G136))</f>
        <v/>
      </c>
      <c r="N136" s="73">
        <f>IF($L136="","",IF($H136&gt;0,ROUND($L136/$H136,4),"－"))</f>
        <v/>
      </c>
      <c r="O136" s="29">
        <f>IF($B136="","",IF($L136="","未入力",IF($L136=0,"一致",IF(OR(NOT(ISNUMBER($N136)),AND('設定'!$B$10&lt;&gt;"",ABS(N($N136))&gt;'設定'!$B$10),AND('設定'!$B$11&lt;&gt;"",ABS(ROUND($M136,4))&gt;'設定'!$B$11),AND('設定'!$B$10="",'設定'!$B$11="")),"要確認","許容内"))))</f>
        <v/>
      </c>
      <c r="P136" s="29">
        <f>IF($O136&lt;&gt;"要確認","",IF($Q136=0,"済",IF(COUNTIF('差異の原因'!$B$5:$B$204,$B136)=0,"未記録","一部")))</f>
        <v/>
      </c>
      <c r="Q136" s="27">
        <f>IF($L136="","",IF(AND($L136=0,COUNTIF('差異の原因'!$B$5:$B$204,$B136)=0),"",ROUND($L136-SUMIF('差異の原因'!$B$5:$B$204,$B136,'差異の原因'!$G$5:$G$204),6)))</f>
        <v/>
      </c>
      <c r="R136" s="30" t="n"/>
      <c r="S136" s="23" t="n"/>
      <c r="T136" s="29">
        <f>IF(OR($B136="",NOT(ISNUMBER($R136))),"",IF(IF(ISNUMBER($I136),$I136,N($H136))&lt;=0,"",IF($R136&lt;'設定'!$B$6,"期限切れ",IF($R136='設定'!$B$6,"当日",IF($R136-'設定'!$B$6&lt;=N('設定'!$B$14),"あと"&amp;($R136-'設定'!$B$6)&amp;"日","")))))</f>
        <v/>
      </c>
      <c r="U136" s="61" t="n"/>
      <c r="V136" s="31">
        <f>IF(AND($B136&lt;&gt;"",$E136&lt;&gt;"",$E136='数える用紙'!$C$2),ROW(),"")</f>
        <v/>
      </c>
      <c r="W136" s="74">
        <f>IF(AND($B136&lt;&gt;"",ISNUMBER($R136)),IF(AND($R136&lt;='設定'!$B$6+N('設定'!$B$14),IF(ISNUMBER($I136),$I136,N($H136))&gt;0),$R136+ROW()/100000,""),"")</f>
        <v/>
      </c>
    </row>
    <row r="137" ht="18" customHeight="1">
      <c r="A137" s="22" t="n">
        <v>133</v>
      </c>
      <c r="B137" s="23" t="n"/>
      <c r="C137" s="24" t="n"/>
      <c r="D137" s="24" t="n"/>
      <c r="E137" s="23" t="n"/>
      <c r="F137" s="23" t="n"/>
      <c r="G137" s="25" t="n"/>
      <c r="H137" s="25" t="n"/>
      <c r="I137" s="25" t="n"/>
      <c r="J137" s="72">
        <f>IF(OR($B137="",$H137=""),"",N($G137)*$H137)</f>
        <v/>
      </c>
      <c r="K137" s="72">
        <f>IF(OR($B137="",$I137=""),"",N($G137)*$I137)</f>
        <v/>
      </c>
      <c r="L137" s="27">
        <f>IF(OR($B137="",$H137="",$I137=""),"",$I137-$H137)</f>
        <v/>
      </c>
      <c r="M137" s="72">
        <f>IF($L137="","",$L137*N($G137))</f>
        <v/>
      </c>
      <c r="N137" s="73">
        <f>IF($L137="","",IF($H137&gt;0,ROUND($L137/$H137,4),"－"))</f>
        <v/>
      </c>
      <c r="O137" s="29">
        <f>IF($B137="","",IF($L137="","未入力",IF($L137=0,"一致",IF(OR(NOT(ISNUMBER($N137)),AND('設定'!$B$10&lt;&gt;"",ABS(N($N137))&gt;'設定'!$B$10),AND('設定'!$B$11&lt;&gt;"",ABS(ROUND($M137,4))&gt;'設定'!$B$11),AND('設定'!$B$10="",'設定'!$B$11="")),"要確認","許容内"))))</f>
        <v/>
      </c>
      <c r="P137" s="29">
        <f>IF($O137&lt;&gt;"要確認","",IF($Q137=0,"済",IF(COUNTIF('差異の原因'!$B$5:$B$204,$B137)=0,"未記録","一部")))</f>
        <v/>
      </c>
      <c r="Q137" s="27">
        <f>IF($L137="","",IF(AND($L137=0,COUNTIF('差異の原因'!$B$5:$B$204,$B137)=0),"",ROUND($L137-SUMIF('差異の原因'!$B$5:$B$204,$B137,'差異の原因'!$G$5:$G$204),6)))</f>
        <v/>
      </c>
      <c r="R137" s="30" t="n"/>
      <c r="S137" s="23" t="n"/>
      <c r="T137" s="29">
        <f>IF(OR($B137="",NOT(ISNUMBER($R137))),"",IF(IF(ISNUMBER($I137),$I137,N($H137))&lt;=0,"",IF($R137&lt;'設定'!$B$6,"期限切れ",IF($R137='設定'!$B$6,"当日",IF($R137-'設定'!$B$6&lt;=N('設定'!$B$14),"あと"&amp;($R137-'設定'!$B$6)&amp;"日","")))))</f>
        <v/>
      </c>
      <c r="U137" s="61" t="n"/>
      <c r="V137" s="31">
        <f>IF(AND($B137&lt;&gt;"",$E137&lt;&gt;"",$E137='数える用紙'!$C$2),ROW(),"")</f>
        <v/>
      </c>
      <c r="W137" s="74">
        <f>IF(AND($B137&lt;&gt;"",ISNUMBER($R137)),IF(AND($R137&lt;='設定'!$B$6+N('設定'!$B$14),IF(ISNUMBER($I137),$I137,N($H137))&gt;0),$R137+ROW()/100000,""),"")</f>
        <v/>
      </c>
    </row>
    <row r="138" ht="18" customHeight="1">
      <c r="A138" s="22" t="n">
        <v>134</v>
      </c>
      <c r="B138" s="23" t="n"/>
      <c r="C138" s="24" t="n"/>
      <c r="D138" s="24" t="n"/>
      <c r="E138" s="23" t="n"/>
      <c r="F138" s="23" t="n"/>
      <c r="G138" s="25" t="n"/>
      <c r="H138" s="25" t="n"/>
      <c r="I138" s="25" t="n"/>
      <c r="J138" s="72">
        <f>IF(OR($B138="",$H138=""),"",N($G138)*$H138)</f>
        <v/>
      </c>
      <c r="K138" s="72">
        <f>IF(OR($B138="",$I138=""),"",N($G138)*$I138)</f>
        <v/>
      </c>
      <c r="L138" s="27">
        <f>IF(OR($B138="",$H138="",$I138=""),"",$I138-$H138)</f>
        <v/>
      </c>
      <c r="M138" s="72">
        <f>IF($L138="","",$L138*N($G138))</f>
        <v/>
      </c>
      <c r="N138" s="73">
        <f>IF($L138="","",IF($H138&gt;0,ROUND($L138/$H138,4),"－"))</f>
        <v/>
      </c>
      <c r="O138" s="29">
        <f>IF($B138="","",IF($L138="","未入力",IF($L138=0,"一致",IF(OR(NOT(ISNUMBER($N138)),AND('設定'!$B$10&lt;&gt;"",ABS(N($N138))&gt;'設定'!$B$10),AND('設定'!$B$11&lt;&gt;"",ABS(ROUND($M138,4))&gt;'設定'!$B$11),AND('設定'!$B$10="",'設定'!$B$11="")),"要確認","許容内"))))</f>
        <v/>
      </c>
      <c r="P138" s="29">
        <f>IF($O138&lt;&gt;"要確認","",IF($Q138=0,"済",IF(COUNTIF('差異の原因'!$B$5:$B$204,$B138)=0,"未記録","一部")))</f>
        <v/>
      </c>
      <c r="Q138" s="27">
        <f>IF($L138="","",IF(AND($L138=0,COUNTIF('差異の原因'!$B$5:$B$204,$B138)=0),"",ROUND($L138-SUMIF('差異の原因'!$B$5:$B$204,$B138,'差異の原因'!$G$5:$G$204),6)))</f>
        <v/>
      </c>
      <c r="R138" s="30" t="n"/>
      <c r="S138" s="23" t="n"/>
      <c r="T138" s="29">
        <f>IF(OR($B138="",NOT(ISNUMBER($R138))),"",IF(IF(ISNUMBER($I138),$I138,N($H138))&lt;=0,"",IF($R138&lt;'設定'!$B$6,"期限切れ",IF($R138='設定'!$B$6,"当日",IF($R138-'設定'!$B$6&lt;=N('設定'!$B$14),"あと"&amp;($R138-'設定'!$B$6)&amp;"日","")))))</f>
        <v/>
      </c>
      <c r="U138" s="61" t="n"/>
      <c r="V138" s="31">
        <f>IF(AND($B138&lt;&gt;"",$E138&lt;&gt;"",$E138='数える用紙'!$C$2),ROW(),"")</f>
        <v/>
      </c>
      <c r="W138" s="74">
        <f>IF(AND($B138&lt;&gt;"",ISNUMBER($R138)),IF(AND($R138&lt;='設定'!$B$6+N('設定'!$B$14),IF(ISNUMBER($I138),$I138,N($H138))&gt;0),$R138+ROW()/100000,""),"")</f>
        <v/>
      </c>
    </row>
    <row r="139" ht="18" customHeight="1">
      <c r="A139" s="22" t="n">
        <v>135</v>
      </c>
      <c r="B139" s="23" t="n"/>
      <c r="C139" s="24" t="n"/>
      <c r="D139" s="24" t="n"/>
      <c r="E139" s="23" t="n"/>
      <c r="F139" s="23" t="n"/>
      <c r="G139" s="25" t="n"/>
      <c r="H139" s="25" t="n"/>
      <c r="I139" s="25" t="n"/>
      <c r="J139" s="72">
        <f>IF(OR($B139="",$H139=""),"",N($G139)*$H139)</f>
        <v/>
      </c>
      <c r="K139" s="72">
        <f>IF(OR($B139="",$I139=""),"",N($G139)*$I139)</f>
        <v/>
      </c>
      <c r="L139" s="27">
        <f>IF(OR($B139="",$H139="",$I139=""),"",$I139-$H139)</f>
        <v/>
      </c>
      <c r="M139" s="72">
        <f>IF($L139="","",$L139*N($G139))</f>
        <v/>
      </c>
      <c r="N139" s="73">
        <f>IF($L139="","",IF($H139&gt;0,ROUND($L139/$H139,4),"－"))</f>
        <v/>
      </c>
      <c r="O139" s="29">
        <f>IF($B139="","",IF($L139="","未入力",IF($L139=0,"一致",IF(OR(NOT(ISNUMBER($N139)),AND('設定'!$B$10&lt;&gt;"",ABS(N($N139))&gt;'設定'!$B$10),AND('設定'!$B$11&lt;&gt;"",ABS(ROUND($M139,4))&gt;'設定'!$B$11),AND('設定'!$B$10="",'設定'!$B$11="")),"要確認","許容内"))))</f>
        <v/>
      </c>
      <c r="P139" s="29">
        <f>IF($O139&lt;&gt;"要確認","",IF($Q139=0,"済",IF(COUNTIF('差異の原因'!$B$5:$B$204,$B139)=0,"未記録","一部")))</f>
        <v/>
      </c>
      <c r="Q139" s="27">
        <f>IF($L139="","",IF(AND($L139=0,COUNTIF('差異の原因'!$B$5:$B$204,$B139)=0),"",ROUND($L139-SUMIF('差異の原因'!$B$5:$B$204,$B139,'差異の原因'!$G$5:$G$204),6)))</f>
        <v/>
      </c>
      <c r="R139" s="30" t="n"/>
      <c r="S139" s="23" t="n"/>
      <c r="T139" s="29">
        <f>IF(OR($B139="",NOT(ISNUMBER($R139))),"",IF(IF(ISNUMBER($I139),$I139,N($H139))&lt;=0,"",IF($R139&lt;'設定'!$B$6,"期限切れ",IF($R139='設定'!$B$6,"当日",IF($R139-'設定'!$B$6&lt;=N('設定'!$B$14),"あと"&amp;($R139-'設定'!$B$6)&amp;"日","")))))</f>
        <v/>
      </c>
      <c r="U139" s="61" t="n"/>
      <c r="V139" s="31">
        <f>IF(AND($B139&lt;&gt;"",$E139&lt;&gt;"",$E139='数える用紙'!$C$2),ROW(),"")</f>
        <v/>
      </c>
      <c r="W139" s="74">
        <f>IF(AND($B139&lt;&gt;"",ISNUMBER($R139)),IF(AND($R139&lt;='設定'!$B$6+N('設定'!$B$14),IF(ISNUMBER($I139),$I139,N($H139))&gt;0),$R139+ROW()/100000,""),"")</f>
        <v/>
      </c>
    </row>
    <row r="140" ht="18" customHeight="1">
      <c r="A140" s="22" t="n">
        <v>136</v>
      </c>
      <c r="B140" s="23" t="n"/>
      <c r="C140" s="24" t="n"/>
      <c r="D140" s="24" t="n"/>
      <c r="E140" s="23" t="n"/>
      <c r="F140" s="23" t="n"/>
      <c r="G140" s="25" t="n"/>
      <c r="H140" s="25" t="n"/>
      <c r="I140" s="25" t="n"/>
      <c r="J140" s="72">
        <f>IF(OR($B140="",$H140=""),"",N($G140)*$H140)</f>
        <v/>
      </c>
      <c r="K140" s="72">
        <f>IF(OR($B140="",$I140=""),"",N($G140)*$I140)</f>
        <v/>
      </c>
      <c r="L140" s="27">
        <f>IF(OR($B140="",$H140="",$I140=""),"",$I140-$H140)</f>
        <v/>
      </c>
      <c r="M140" s="72">
        <f>IF($L140="","",$L140*N($G140))</f>
        <v/>
      </c>
      <c r="N140" s="73">
        <f>IF($L140="","",IF($H140&gt;0,ROUND($L140/$H140,4),"－"))</f>
        <v/>
      </c>
      <c r="O140" s="29">
        <f>IF($B140="","",IF($L140="","未入力",IF($L140=0,"一致",IF(OR(NOT(ISNUMBER($N140)),AND('設定'!$B$10&lt;&gt;"",ABS(N($N140))&gt;'設定'!$B$10),AND('設定'!$B$11&lt;&gt;"",ABS(ROUND($M140,4))&gt;'設定'!$B$11),AND('設定'!$B$10="",'設定'!$B$11="")),"要確認","許容内"))))</f>
        <v/>
      </c>
      <c r="P140" s="29">
        <f>IF($O140&lt;&gt;"要確認","",IF($Q140=0,"済",IF(COUNTIF('差異の原因'!$B$5:$B$204,$B140)=0,"未記録","一部")))</f>
        <v/>
      </c>
      <c r="Q140" s="27">
        <f>IF($L140="","",IF(AND($L140=0,COUNTIF('差異の原因'!$B$5:$B$204,$B140)=0),"",ROUND($L140-SUMIF('差異の原因'!$B$5:$B$204,$B140,'差異の原因'!$G$5:$G$204),6)))</f>
        <v/>
      </c>
      <c r="R140" s="30" t="n"/>
      <c r="S140" s="23" t="n"/>
      <c r="T140" s="29">
        <f>IF(OR($B140="",NOT(ISNUMBER($R140))),"",IF(IF(ISNUMBER($I140),$I140,N($H140))&lt;=0,"",IF($R140&lt;'設定'!$B$6,"期限切れ",IF($R140='設定'!$B$6,"当日",IF($R140-'設定'!$B$6&lt;=N('設定'!$B$14),"あと"&amp;($R140-'設定'!$B$6)&amp;"日","")))))</f>
        <v/>
      </c>
      <c r="U140" s="61" t="n"/>
      <c r="V140" s="31">
        <f>IF(AND($B140&lt;&gt;"",$E140&lt;&gt;"",$E140='数える用紙'!$C$2),ROW(),"")</f>
        <v/>
      </c>
      <c r="W140" s="74">
        <f>IF(AND($B140&lt;&gt;"",ISNUMBER($R140)),IF(AND($R140&lt;='設定'!$B$6+N('設定'!$B$14),IF(ISNUMBER($I140),$I140,N($H140))&gt;0),$R140+ROW()/100000,""),"")</f>
        <v/>
      </c>
    </row>
    <row r="141" ht="18" customHeight="1">
      <c r="A141" s="22" t="n">
        <v>137</v>
      </c>
      <c r="B141" s="23" t="n"/>
      <c r="C141" s="24" t="n"/>
      <c r="D141" s="24" t="n"/>
      <c r="E141" s="23" t="n"/>
      <c r="F141" s="23" t="n"/>
      <c r="G141" s="25" t="n"/>
      <c r="H141" s="25" t="n"/>
      <c r="I141" s="25" t="n"/>
      <c r="J141" s="72">
        <f>IF(OR($B141="",$H141=""),"",N($G141)*$H141)</f>
        <v/>
      </c>
      <c r="K141" s="72">
        <f>IF(OR($B141="",$I141=""),"",N($G141)*$I141)</f>
        <v/>
      </c>
      <c r="L141" s="27">
        <f>IF(OR($B141="",$H141="",$I141=""),"",$I141-$H141)</f>
        <v/>
      </c>
      <c r="M141" s="72">
        <f>IF($L141="","",$L141*N($G141))</f>
        <v/>
      </c>
      <c r="N141" s="73">
        <f>IF($L141="","",IF($H141&gt;0,ROUND($L141/$H141,4),"－"))</f>
        <v/>
      </c>
      <c r="O141" s="29">
        <f>IF($B141="","",IF($L141="","未入力",IF($L141=0,"一致",IF(OR(NOT(ISNUMBER($N141)),AND('設定'!$B$10&lt;&gt;"",ABS(N($N141))&gt;'設定'!$B$10),AND('設定'!$B$11&lt;&gt;"",ABS(ROUND($M141,4))&gt;'設定'!$B$11),AND('設定'!$B$10="",'設定'!$B$11="")),"要確認","許容内"))))</f>
        <v/>
      </c>
      <c r="P141" s="29">
        <f>IF($O141&lt;&gt;"要確認","",IF($Q141=0,"済",IF(COUNTIF('差異の原因'!$B$5:$B$204,$B141)=0,"未記録","一部")))</f>
        <v/>
      </c>
      <c r="Q141" s="27">
        <f>IF($L141="","",IF(AND($L141=0,COUNTIF('差異の原因'!$B$5:$B$204,$B141)=0),"",ROUND($L141-SUMIF('差異の原因'!$B$5:$B$204,$B141,'差異の原因'!$G$5:$G$204),6)))</f>
        <v/>
      </c>
      <c r="R141" s="30" t="n"/>
      <c r="S141" s="23" t="n"/>
      <c r="T141" s="29">
        <f>IF(OR($B141="",NOT(ISNUMBER($R141))),"",IF(IF(ISNUMBER($I141),$I141,N($H141))&lt;=0,"",IF($R141&lt;'設定'!$B$6,"期限切れ",IF($R141='設定'!$B$6,"当日",IF($R141-'設定'!$B$6&lt;=N('設定'!$B$14),"あと"&amp;($R141-'設定'!$B$6)&amp;"日","")))))</f>
        <v/>
      </c>
      <c r="U141" s="61" t="n"/>
      <c r="V141" s="31">
        <f>IF(AND($B141&lt;&gt;"",$E141&lt;&gt;"",$E141='数える用紙'!$C$2),ROW(),"")</f>
        <v/>
      </c>
      <c r="W141" s="74">
        <f>IF(AND($B141&lt;&gt;"",ISNUMBER($R141)),IF(AND($R141&lt;='設定'!$B$6+N('設定'!$B$14),IF(ISNUMBER($I141),$I141,N($H141))&gt;0),$R141+ROW()/100000,""),"")</f>
        <v/>
      </c>
    </row>
    <row r="142" ht="18" customHeight="1">
      <c r="A142" s="22" t="n">
        <v>138</v>
      </c>
      <c r="B142" s="23" t="n"/>
      <c r="C142" s="24" t="n"/>
      <c r="D142" s="24" t="n"/>
      <c r="E142" s="23" t="n"/>
      <c r="F142" s="23" t="n"/>
      <c r="G142" s="25" t="n"/>
      <c r="H142" s="25" t="n"/>
      <c r="I142" s="25" t="n"/>
      <c r="J142" s="72">
        <f>IF(OR($B142="",$H142=""),"",N($G142)*$H142)</f>
        <v/>
      </c>
      <c r="K142" s="72">
        <f>IF(OR($B142="",$I142=""),"",N($G142)*$I142)</f>
        <v/>
      </c>
      <c r="L142" s="27">
        <f>IF(OR($B142="",$H142="",$I142=""),"",$I142-$H142)</f>
        <v/>
      </c>
      <c r="M142" s="72">
        <f>IF($L142="","",$L142*N($G142))</f>
        <v/>
      </c>
      <c r="N142" s="73">
        <f>IF($L142="","",IF($H142&gt;0,ROUND($L142/$H142,4),"－"))</f>
        <v/>
      </c>
      <c r="O142" s="29">
        <f>IF($B142="","",IF($L142="","未入力",IF($L142=0,"一致",IF(OR(NOT(ISNUMBER($N142)),AND('設定'!$B$10&lt;&gt;"",ABS(N($N142))&gt;'設定'!$B$10),AND('設定'!$B$11&lt;&gt;"",ABS(ROUND($M142,4))&gt;'設定'!$B$11),AND('設定'!$B$10="",'設定'!$B$11="")),"要確認","許容内"))))</f>
        <v/>
      </c>
      <c r="P142" s="29">
        <f>IF($O142&lt;&gt;"要確認","",IF($Q142=0,"済",IF(COUNTIF('差異の原因'!$B$5:$B$204,$B142)=0,"未記録","一部")))</f>
        <v/>
      </c>
      <c r="Q142" s="27">
        <f>IF($L142="","",IF(AND($L142=0,COUNTIF('差異の原因'!$B$5:$B$204,$B142)=0),"",ROUND($L142-SUMIF('差異の原因'!$B$5:$B$204,$B142,'差異の原因'!$G$5:$G$204),6)))</f>
        <v/>
      </c>
      <c r="R142" s="30" t="n"/>
      <c r="S142" s="23" t="n"/>
      <c r="T142" s="29">
        <f>IF(OR($B142="",NOT(ISNUMBER($R142))),"",IF(IF(ISNUMBER($I142),$I142,N($H142))&lt;=0,"",IF($R142&lt;'設定'!$B$6,"期限切れ",IF($R142='設定'!$B$6,"当日",IF($R142-'設定'!$B$6&lt;=N('設定'!$B$14),"あと"&amp;($R142-'設定'!$B$6)&amp;"日","")))))</f>
        <v/>
      </c>
      <c r="U142" s="61" t="n"/>
      <c r="V142" s="31">
        <f>IF(AND($B142&lt;&gt;"",$E142&lt;&gt;"",$E142='数える用紙'!$C$2),ROW(),"")</f>
        <v/>
      </c>
      <c r="W142" s="74">
        <f>IF(AND($B142&lt;&gt;"",ISNUMBER($R142)),IF(AND($R142&lt;='設定'!$B$6+N('設定'!$B$14),IF(ISNUMBER($I142),$I142,N($H142))&gt;0),$R142+ROW()/100000,""),"")</f>
        <v/>
      </c>
    </row>
    <row r="143" ht="18" customHeight="1">
      <c r="A143" s="22" t="n">
        <v>139</v>
      </c>
      <c r="B143" s="23" t="n"/>
      <c r="C143" s="24" t="n"/>
      <c r="D143" s="24" t="n"/>
      <c r="E143" s="23" t="n"/>
      <c r="F143" s="23" t="n"/>
      <c r="G143" s="25" t="n"/>
      <c r="H143" s="25" t="n"/>
      <c r="I143" s="25" t="n"/>
      <c r="J143" s="72">
        <f>IF(OR($B143="",$H143=""),"",N($G143)*$H143)</f>
        <v/>
      </c>
      <c r="K143" s="72">
        <f>IF(OR($B143="",$I143=""),"",N($G143)*$I143)</f>
        <v/>
      </c>
      <c r="L143" s="27">
        <f>IF(OR($B143="",$H143="",$I143=""),"",$I143-$H143)</f>
        <v/>
      </c>
      <c r="M143" s="72">
        <f>IF($L143="","",$L143*N($G143))</f>
        <v/>
      </c>
      <c r="N143" s="73">
        <f>IF($L143="","",IF($H143&gt;0,ROUND($L143/$H143,4),"－"))</f>
        <v/>
      </c>
      <c r="O143" s="29">
        <f>IF($B143="","",IF($L143="","未入力",IF($L143=0,"一致",IF(OR(NOT(ISNUMBER($N143)),AND('設定'!$B$10&lt;&gt;"",ABS(N($N143))&gt;'設定'!$B$10),AND('設定'!$B$11&lt;&gt;"",ABS(ROUND($M143,4))&gt;'設定'!$B$11),AND('設定'!$B$10="",'設定'!$B$11="")),"要確認","許容内"))))</f>
        <v/>
      </c>
      <c r="P143" s="29">
        <f>IF($O143&lt;&gt;"要確認","",IF($Q143=0,"済",IF(COUNTIF('差異の原因'!$B$5:$B$204,$B143)=0,"未記録","一部")))</f>
        <v/>
      </c>
      <c r="Q143" s="27">
        <f>IF($L143="","",IF(AND($L143=0,COUNTIF('差異の原因'!$B$5:$B$204,$B143)=0),"",ROUND($L143-SUMIF('差異の原因'!$B$5:$B$204,$B143,'差異の原因'!$G$5:$G$204),6)))</f>
        <v/>
      </c>
      <c r="R143" s="30" t="n"/>
      <c r="S143" s="23" t="n"/>
      <c r="T143" s="29">
        <f>IF(OR($B143="",NOT(ISNUMBER($R143))),"",IF(IF(ISNUMBER($I143),$I143,N($H143))&lt;=0,"",IF($R143&lt;'設定'!$B$6,"期限切れ",IF($R143='設定'!$B$6,"当日",IF($R143-'設定'!$B$6&lt;=N('設定'!$B$14),"あと"&amp;($R143-'設定'!$B$6)&amp;"日","")))))</f>
        <v/>
      </c>
      <c r="U143" s="61" t="n"/>
      <c r="V143" s="31">
        <f>IF(AND($B143&lt;&gt;"",$E143&lt;&gt;"",$E143='数える用紙'!$C$2),ROW(),"")</f>
        <v/>
      </c>
      <c r="W143" s="74">
        <f>IF(AND($B143&lt;&gt;"",ISNUMBER($R143)),IF(AND($R143&lt;='設定'!$B$6+N('設定'!$B$14),IF(ISNUMBER($I143),$I143,N($H143))&gt;0),$R143+ROW()/100000,""),"")</f>
        <v/>
      </c>
    </row>
    <row r="144" ht="18" customHeight="1">
      <c r="A144" s="22" t="n">
        <v>140</v>
      </c>
      <c r="B144" s="23" t="n"/>
      <c r="C144" s="24" t="n"/>
      <c r="D144" s="24" t="n"/>
      <c r="E144" s="23" t="n"/>
      <c r="F144" s="23" t="n"/>
      <c r="G144" s="25" t="n"/>
      <c r="H144" s="25" t="n"/>
      <c r="I144" s="25" t="n"/>
      <c r="J144" s="72">
        <f>IF(OR($B144="",$H144=""),"",N($G144)*$H144)</f>
        <v/>
      </c>
      <c r="K144" s="72">
        <f>IF(OR($B144="",$I144=""),"",N($G144)*$I144)</f>
        <v/>
      </c>
      <c r="L144" s="27">
        <f>IF(OR($B144="",$H144="",$I144=""),"",$I144-$H144)</f>
        <v/>
      </c>
      <c r="M144" s="72">
        <f>IF($L144="","",$L144*N($G144))</f>
        <v/>
      </c>
      <c r="N144" s="73">
        <f>IF($L144="","",IF($H144&gt;0,ROUND($L144/$H144,4),"－"))</f>
        <v/>
      </c>
      <c r="O144" s="29">
        <f>IF($B144="","",IF($L144="","未入力",IF($L144=0,"一致",IF(OR(NOT(ISNUMBER($N144)),AND('設定'!$B$10&lt;&gt;"",ABS(N($N144))&gt;'設定'!$B$10),AND('設定'!$B$11&lt;&gt;"",ABS(ROUND($M144,4))&gt;'設定'!$B$11),AND('設定'!$B$10="",'設定'!$B$11="")),"要確認","許容内"))))</f>
        <v/>
      </c>
      <c r="P144" s="29">
        <f>IF($O144&lt;&gt;"要確認","",IF($Q144=0,"済",IF(COUNTIF('差異の原因'!$B$5:$B$204,$B144)=0,"未記録","一部")))</f>
        <v/>
      </c>
      <c r="Q144" s="27">
        <f>IF($L144="","",IF(AND($L144=0,COUNTIF('差異の原因'!$B$5:$B$204,$B144)=0),"",ROUND($L144-SUMIF('差異の原因'!$B$5:$B$204,$B144,'差異の原因'!$G$5:$G$204),6)))</f>
        <v/>
      </c>
      <c r="R144" s="30" t="n"/>
      <c r="S144" s="23" t="n"/>
      <c r="T144" s="29">
        <f>IF(OR($B144="",NOT(ISNUMBER($R144))),"",IF(IF(ISNUMBER($I144),$I144,N($H144))&lt;=0,"",IF($R144&lt;'設定'!$B$6,"期限切れ",IF($R144='設定'!$B$6,"当日",IF($R144-'設定'!$B$6&lt;=N('設定'!$B$14),"あと"&amp;($R144-'設定'!$B$6)&amp;"日","")))))</f>
        <v/>
      </c>
      <c r="U144" s="61" t="n"/>
      <c r="V144" s="31">
        <f>IF(AND($B144&lt;&gt;"",$E144&lt;&gt;"",$E144='数える用紙'!$C$2),ROW(),"")</f>
        <v/>
      </c>
      <c r="W144" s="74">
        <f>IF(AND($B144&lt;&gt;"",ISNUMBER($R144)),IF(AND($R144&lt;='設定'!$B$6+N('設定'!$B$14),IF(ISNUMBER($I144),$I144,N($H144))&gt;0),$R144+ROW()/100000,""),"")</f>
        <v/>
      </c>
    </row>
    <row r="145" ht="18" customHeight="1">
      <c r="A145" s="22" t="n">
        <v>141</v>
      </c>
      <c r="B145" s="23" t="n"/>
      <c r="C145" s="24" t="n"/>
      <c r="D145" s="24" t="n"/>
      <c r="E145" s="23" t="n"/>
      <c r="F145" s="23" t="n"/>
      <c r="G145" s="25" t="n"/>
      <c r="H145" s="25" t="n"/>
      <c r="I145" s="25" t="n"/>
      <c r="J145" s="72">
        <f>IF(OR($B145="",$H145=""),"",N($G145)*$H145)</f>
        <v/>
      </c>
      <c r="K145" s="72">
        <f>IF(OR($B145="",$I145=""),"",N($G145)*$I145)</f>
        <v/>
      </c>
      <c r="L145" s="27">
        <f>IF(OR($B145="",$H145="",$I145=""),"",$I145-$H145)</f>
        <v/>
      </c>
      <c r="M145" s="72">
        <f>IF($L145="","",$L145*N($G145))</f>
        <v/>
      </c>
      <c r="N145" s="73">
        <f>IF($L145="","",IF($H145&gt;0,ROUND($L145/$H145,4),"－"))</f>
        <v/>
      </c>
      <c r="O145" s="29">
        <f>IF($B145="","",IF($L145="","未入力",IF($L145=0,"一致",IF(OR(NOT(ISNUMBER($N145)),AND('設定'!$B$10&lt;&gt;"",ABS(N($N145))&gt;'設定'!$B$10),AND('設定'!$B$11&lt;&gt;"",ABS(ROUND($M145,4))&gt;'設定'!$B$11),AND('設定'!$B$10="",'設定'!$B$11="")),"要確認","許容内"))))</f>
        <v/>
      </c>
      <c r="P145" s="29">
        <f>IF($O145&lt;&gt;"要確認","",IF($Q145=0,"済",IF(COUNTIF('差異の原因'!$B$5:$B$204,$B145)=0,"未記録","一部")))</f>
        <v/>
      </c>
      <c r="Q145" s="27">
        <f>IF($L145="","",IF(AND($L145=0,COUNTIF('差異の原因'!$B$5:$B$204,$B145)=0),"",ROUND($L145-SUMIF('差異の原因'!$B$5:$B$204,$B145,'差異の原因'!$G$5:$G$204),6)))</f>
        <v/>
      </c>
      <c r="R145" s="30" t="n"/>
      <c r="S145" s="23" t="n"/>
      <c r="T145" s="29">
        <f>IF(OR($B145="",NOT(ISNUMBER($R145))),"",IF(IF(ISNUMBER($I145),$I145,N($H145))&lt;=0,"",IF($R145&lt;'設定'!$B$6,"期限切れ",IF($R145='設定'!$B$6,"当日",IF($R145-'設定'!$B$6&lt;=N('設定'!$B$14),"あと"&amp;($R145-'設定'!$B$6)&amp;"日","")))))</f>
        <v/>
      </c>
      <c r="U145" s="61" t="n"/>
      <c r="V145" s="31">
        <f>IF(AND($B145&lt;&gt;"",$E145&lt;&gt;"",$E145='数える用紙'!$C$2),ROW(),"")</f>
        <v/>
      </c>
      <c r="W145" s="74">
        <f>IF(AND($B145&lt;&gt;"",ISNUMBER($R145)),IF(AND($R145&lt;='設定'!$B$6+N('設定'!$B$14),IF(ISNUMBER($I145),$I145,N($H145))&gt;0),$R145+ROW()/100000,""),"")</f>
        <v/>
      </c>
    </row>
    <row r="146" ht="18" customHeight="1">
      <c r="A146" s="22" t="n">
        <v>142</v>
      </c>
      <c r="B146" s="23" t="n"/>
      <c r="C146" s="24" t="n"/>
      <c r="D146" s="24" t="n"/>
      <c r="E146" s="23" t="n"/>
      <c r="F146" s="23" t="n"/>
      <c r="G146" s="25" t="n"/>
      <c r="H146" s="25" t="n"/>
      <c r="I146" s="25" t="n"/>
      <c r="J146" s="72">
        <f>IF(OR($B146="",$H146=""),"",N($G146)*$H146)</f>
        <v/>
      </c>
      <c r="K146" s="72">
        <f>IF(OR($B146="",$I146=""),"",N($G146)*$I146)</f>
        <v/>
      </c>
      <c r="L146" s="27">
        <f>IF(OR($B146="",$H146="",$I146=""),"",$I146-$H146)</f>
        <v/>
      </c>
      <c r="M146" s="72">
        <f>IF($L146="","",$L146*N($G146))</f>
        <v/>
      </c>
      <c r="N146" s="73">
        <f>IF($L146="","",IF($H146&gt;0,ROUND($L146/$H146,4),"－"))</f>
        <v/>
      </c>
      <c r="O146" s="29">
        <f>IF($B146="","",IF($L146="","未入力",IF($L146=0,"一致",IF(OR(NOT(ISNUMBER($N146)),AND('設定'!$B$10&lt;&gt;"",ABS(N($N146))&gt;'設定'!$B$10),AND('設定'!$B$11&lt;&gt;"",ABS(ROUND($M146,4))&gt;'設定'!$B$11),AND('設定'!$B$10="",'設定'!$B$11="")),"要確認","許容内"))))</f>
        <v/>
      </c>
      <c r="P146" s="29">
        <f>IF($O146&lt;&gt;"要確認","",IF($Q146=0,"済",IF(COUNTIF('差異の原因'!$B$5:$B$204,$B146)=0,"未記録","一部")))</f>
        <v/>
      </c>
      <c r="Q146" s="27">
        <f>IF($L146="","",IF(AND($L146=0,COUNTIF('差異の原因'!$B$5:$B$204,$B146)=0),"",ROUND($L146-SUMIF('差異の原因'!$B$5:$B$204,$B146,'差異の原因'!$G$5:$G$204),6)))</f>
        <v/>
      </c>
      <c r="R146" s="30" t="n"/>
      <c r="S146" s="23" t="n"/>
      <c r="T146" s="29">
        <f>IF(OR($B146="",NOT(ISNUMBER($R146))),"",IF(IF(ISNUMBER($I146),$I146,N($H146))&lt;=0,"",IF($R146&lt;'設定'!$B$6,"期限切れ",IF($R146='設定'!$B$6,"当日",IF($R146-'設定'!$B$6&lt;=N('設定'!$B$14),"あと"&amp;($R146-'設定'!$B$6)&amp;"日","")))))</f>
        <v/>
      </c>
      <c r="U146" s="61" t="n"/>
      <c r="V146" s="31">
        <f>IF(AND($B146&lt;&gt;"",$E146&lt;&gt;"",$E146='数える用紙'!$C$2),ROW(),"")</f>
        <v/>
      </c>
      <c r="W146" s="74">
        <f>IF(AND($B146&lt;&gt;"",ISNUMBER($R146)),IF(AND($R146&lt;='設定'!$B$6+N('設定'!$B$14),IF(ISNUMBER($I146),$I146,N($H146))&gt;0),$R146+ROW()/100000,""),"")</f>
        <v/>
      </c>
    </row>
    <row r="147" ht="18" customHeight="1">
      <c r="A147" s="22" t="n">
        <v>143</v>
      </c>
      <c r="B147" s="23" t="n"/>
      <c r="C147" s="24" t="n"/>
      <c r="D147" s="24" t="n"/>
      <c r="E147" s="23" t="n"/>
      <c r="F147" s="23" t="n"/>
      <c r="G147" s="25" t="n"/>
      <c r="H147" s="25" t="n"/>
      <c r="I147" s="25" t="n"/>
      <c r="J147" s="72">
        <f>IF(OR($B147="",$H147=""),"",N($G147)*$H147)</f>
        <v/>
      </c>
      <c r="K147" s="72">
        <f>IF(OR($B147="",$I147=""),"",N($G147)*$I147)</f>
        <v/>
      </c>
      <c r="L147" s="27">
        <f>IF(OR($B147="",$H147="",$I147=""),"",$I147-$H147)</f>
        <v/>
      </c>
      <c r="M147" s="72">
        <f>IF($L147="","",$L147*N($G147))</f>
        <v/>
      </c>
      <c r="N147" s="73">
        <f>IF($L147="","",IF($H147&gt;0,ROUND($L147/$H147,4),"－"))</f>
        <v/>
      </c>
      <c r="O147" s="29">
        <f>IF($B147="","",IF($L147="","未入力",IF($L147=0,"一致",IF(OR(NOT(ISNUMBER($N147)),AND('設定'!$B$10&lt;&gt;"",ABS(N($N147))&gt;'設定'!$B$10),AND('設定'!$B$11&lt;&gt;"",ABS(ROUND($M147,4))&gt;'設定'!$B$11),AND('設定'!$B$10="",'設定'!$B$11="")),"要確認","許容内"))))</f>
        <v/>
      </c>
      <c r="P147" s="29">
        <f>IF($O147&lt;&gt;"要確認","",IF($Q147=0,"済",IF(COUNTIF('差異の原因'!$B$5:$B$204,$B147)=0,"未記録","一部")))</f>
        <v/>
      </c>
      <c r="Q147" s="27">
        <f>IF($L147="","",IF(AND($L147=0,COUNTIF('差異の原因'!$B$5:$B$204,$B147)=0),"",ROUND($L147-SUMIF('差異の原因'!$B$5:$B$204,$B147,'差異の原因'!$G$5:$G$204),6)))</f>
        <v/>
      </c>
      <c r="R147" s="30" t="n"/>
      <c r="S147" s="23" t="n"/>
      <c r="T147" s="29">
        <f>IF(OR($B147="",NOT(ISNUMBER($R147))),"",IF(IF(ISNUMBER($I147),$I147,N($H147))&lt;=0,"",IF($R147&lt;'設定'!$B$6,"期限切れ",IF($R147='設定'!$B$6,"当日",IF($R147-'設定'!$B$6&lt;=N('設定'!$B$14),"あと"&amp;($R147-'設定'!$B$6)&amp;"日","")))))</f>
        <v/>
      </c>
      <c r="U147" s="61" t="n"/>
      <c r="V147" s="31">
        <f>IF(AND($B147&lt;&gt;"",$E147&lt;&gt;"",$E147='数える用紙'!$C$2),ROW(),"")</f>
        <v/>
      </c>
      <c r="W147" s="74">
        <f>IF(AND($B147&lt;&gt;"",ISNUMBER($R147)),IF(AND($R147&lt;='設定'!$B$6+N('設定'!$B$14),IF(ISNUMBER($I147),$I147,N($H147))&gt;0),$R147+ROW()/100000,""),"")</f>
        <v/>
      </c>
    </row>
    <row r="148" ht="18" customHeight="1">
      <c r="A148" s="22" t="n">
        <v>144</v>
      </c>
      <c r="B148" s="23" t="n"/>
      <c r="C148" s="24" t="n"/>
      <c r="D148" s="24" t="n"/>
      <c r="E148" s="23" t="n"/>
      <c r="F148" s="23" t="n"/>
      <c r="G148" s="25" t="n"/>
      <c r="H148" s="25" t="n"/>
      <c r="I148" s="25" t="n"/>
      <c r="J148" s="72">
        <f>IF(OR($B148="",$H148=""),"",N($G148)*$H148)</f>
        <v/>
      </c>
      <c r="K148" s="72">
        <f>IF(OR($B148="",$I148=""),"",N($G148)*$I148)</f>
        <v/>
      </c>
      <c r="L148" s="27">
        <f>IF(OR($B148="",$H148="",$I148=""),"",$I148-$H148)</f>
        <v/>
      </c>
      <c r="M148" s="72">
        <f>IF($L148="","",$L148*N($G148))</f>
        <v/>
      </c>
      <c r="N148" s="73">
        <f>IF($L148="","",IF($H148&gt;0,ROUND($L148/$H148,4),"－"))</f>
        <v/>
      </c>
      <c r="O148" s="29">
        <f>IF($B148="","",IF($L148="","未入力",IF($L148=0,"一致",IF(OR(NOT(ISNUMBER($N148)),AND('設定'!$B$10&lt;&gt;"",ABS(N($N148))&gt;'設定'!$B$10),AND('設定'!$B$11&lt;&gt;"",ABS(ROUND($M148,4))&gt;'設定'!$B$11),AND('設定'!$B$10="",'設定'!$B$11="")),"要確認","許容内"))))</f>
        <v/>
      </c>
      <c r="P148" s="29">
        <f>IF($O148&lt;&gt;"要確認","",IF($Q148=0,"済",IF(COUNTIF('差異の原因'!$B$5:$B$204,$B148)=0,"未記録","一部")))</f>
        <v/>
      </c>
      <c r="Q148" s="27">
        <f>IF($L148="","",IF(AND($L148=0,COUNTIF('差異の原因'!$B$5:$B$204,$B148)=0),"",ROUND($L148-SUMIF('差異の原因'!$B$5:$B$204,$B148,'差異の原因'!$G$5:$G$204),6)))</f>
        <v/>
      </c>
      <c r="R148" s="30" t="n"/>
      <c r="S148" s="23" t="n"/>
      <c r="T148" s="29">
        <f>IF(OR($B148="",NOT(ISNUMBER($R148))),"",IF(IF(ISNUMBER($I148),$I148,N($H148))&lt;=0,"",IF($R148&lt;'設定'!$B$6,"期限切れ",IF($R148='設定'!$B$6,"当日",IF($R148-'設定'!$B$6&lt;=N('設定'!$B$14),"あと"&amp;($R148-'設定'!$B$6)&amp;"日","")))))</f>
        <v/>
      </c>
      <c r="U148" s="61" t="n"/>
      <c r="V148" s="31">
        <f>IF(AND($B148&lt;&gt;"",$E148&lt;&gt;"",$E148='数える用紙'!$C$2),ROW(),"")</f>
        <v/>
      </c>
      <c r="W148" s="74">
        <f>IF(AND($B148&lt;&gt;"",ISNUMBER($R148)),IF(AND($R148&lt;='設定'!$B$6+N('設定'!$B$14),IF(ISNUMBER($I148),$I148,N($H148))&gt;0),$R148+ROW()/100000,""),"")</f>
        <v/>
      </c>
    </row>
    <row r="149" ht="18" customHeight="1">
      <c r="A149" s="22" t="n">
        <v>145</v>
      </c>
      <c r="B149" s="23" t="n"/>
      <c r="C149" s="24" t="n"/>
      <c r="D149" s="24" t="n"/>
      <c r="E149" s="23" t="n"/>
      <c r="F149" s="23" t="n"/>
      <c r="G149" s="25" t="n"/>
      <c r="H149" s="25" t="n"/>
      <c r="I149" s="25" t="n"/>
      <c r="J149" s="72">
        <f>IF(OR($B149="",$H149=""),"",N($G149)*$H149)</f>
        <v/>
      </c>
      <c r="K149" s="72">
        <f>IF(OR($B149="",$I149=""),"",N($G149)*$I149)</f>
        <v/>
      </c>
      <c r="L149" s="27">
        <f>IF(OR($B149="",$H149="",$I149=""),"",$I149-$H149)</f>
        <v/>
      </c>
      <c r="M149" s="72">
        <f>IF($L149="","",$L149*N($G149))</f>
        <v/>
      </c>
      <c r="N149" s="73">
        <f>IF($L149="","",IF($H149&gt;0,ROUND($L149/$H149,4),"－"))</f>
        <v/>
      </c>
      <c r="O149" s="29">
        <f>IF($B149="","",IF($L149="","未入力",IF($L149=0,"一致",IF(OR(NOT(ISNUMBER($N149)),AND('設定'!$B$10&lt;&gt;"",ABS(N($N149))&gt;'設定'!$B$10),AND('設定'!$B$11&lt;&gt;"",ABS(ROUND($M149,4))&gt;'設定'!$B$11),AND('設定'!$B$10="",'設定'!$B$11="")),"要確認","許容内"))))</f>
        <v/>
      </c>
      <c r="P149" s="29">
        <f>IF($O149&lt;&gt;"要確認","",IF($Q149=0,"済",IF(COUNTIF('差異の原因'!$B$5:$B$204,$B149)=0,"未記録","一部")))</f>
        <v/>
      </c>
      <c r="Q149" s="27">
        <f>IF($L149="","",IF(AND($L149=0,COUNTIF('差異の原因'!$B$5:$B$204,$B149)=0),"",ROUND($L149-SUMIF('差異の原因'!$B$5:$B$204,$B149,'差異の原因'!$G$5:$G$204),6)))</f>
        <v/>
      </c>
      <c r="R149" s="30" t="n"/>
      <c r="S149" s="23" t="n"/>
      <c r="T149" s="29">
        <f>IF(OR($B149="",NOT(ISNUMBER($R149))),"",IF(IF(ISNUMBER($I149),$I149,N($H149))&lt;=0,"",IF($R149&lt;'設定'!$B$6,"期限切れ",IF($R149='設定'!$B$6,"当日",IF($R149-'設定'!$B$6&lt;=N('設定'!$B$14),"あと"&amp;($R149-'設定'!$B$6)&amp;"日","")))))</f>
        <v/>
      </c>
      <c r="U149" s="61" t="n"/>
      <c r="V149" s="31">
        <f>IF(AND($B149&lt;&gt;"",$E149&lt;&gt;"",$E149='数える用紙'!$C$2),ROW(),"")</f>
        <v/>
      </c>
      <c r="W149" s="74">
        <f>IF(AND($B149&lt;&gt;"",ISNUMBER($R149)),IF(AND($R149&lt;='設定'!$B$6+N('設定'!$B$14),IF(ISNUMBER($I149),$I149,N($H149))&gt;0),$R149+ROW()/100000,""),"")</f>
        <v/>
      </c>
    </row>
    <row r="150" ht="18" customHeight="1">
      <c r="A150" s="22" t="n">
        <v>146</v>
      </c>
      <c r="B150" s="23" t="n"/>
      <c r="C150" s="24" t="n"/>
      <c r="D150" s="24" t="n"/>
      <c r="E150" s="23" t="n"/>
      <c r="F150" s="23" t="n"/>
      <c r="G150" s="25" t="n"/>
      <c r="H150" s="25" t="n"/>
      <c r="I150" s="25" t="n"/>
      <c r="J150" s="72">
        <f>IF(OR($B150="",$H150=""),"",N($G150)*$H150)</f>
        <v/>
      </c>
      <c r="K150" s="72">
        <f>IF(OR($B150="",$I150=""),"",N($G150)*$I150)</f>
        <v/>
      </c>
      <c r="L150" s="27">
        <f>IF(OR($B150="",$H150="",$I150=""),"",$I150-$H150)</f>
        <v/>
      </c>
      <c r="M150" s="72">
        <f>IF($L150="","",$L150*N($G150))</f>
        <v/>
      </c>
      <c r="N150" s="73">
        <f>IF($L150="","",IF($H150&gt;0,ROUND($L150/$H150,4),"－"))</f>
        <v/>
      </c>
      <c r="O150" s="29">
        <f>IF($B150="","",IF($L150="","未入力",IF($L150=0,"一致",IF(OR(NOT(ISNUMBER($N150)),AND('設定'!$B$10&lt;&gt;"",ABS(N($N150))&gt;'設定'!$B$10),AND('設定'!$B$11&lt;&gt;"",ABS(ROUND($M150,4))&gt;'設定'!$B$11),AND('設定'!$B$10="",'設定'!$B$11="")),"要確認","許容内"))))</f>
        <v/>
      </c>
      <c r="P150" s="29">
        <f>IF($O150&lt;&gt;"要確認","",IF($Q150=0,"済",IF(COUNTIF('差異の原因'!$B$5:$B$204,$B150)=0,"未記録","一部")))</f>
        <v/>
      </c>
      <c r="Q150" s="27">
        <f>IF($L150="","",IF(AND($L150=0,COUNTIF('差異の原因'!$B$5:$B$204,$B150)=0),"",ROUND($L150-SUMIF('差異の原因'!$B$5:$B$204,$B150,'差異の原因'!$G$5:$G$204),6)))</f>
        <v/>
      </c>
      <c r="R150" s="30" t="n"/>
      <c r="S150" s="23" t="n"/>
      <c r="T150" s="29">
        <f>IF(OR($B150="",NOT(ISNUMBER($R150))),"",IF(IF(ISNUMBER($I150),$I150,N($H150))&lt;=0,"",IF($R150&lt;'設定'!$B$6,"期限切れ",IF($R150='設定'!$B$6,"当日",IF($R150-'設定'!$B$6&lt;=N('設定'!$B$14),"あと"&amp;($R150-'設定'!$B$6)&amp;"日","")))))</f>
        <v/>
      </c>
      <c r="U150" s="61" t="n"/>
      <c r="V150" s="31">
        <f>IF(AND($B150&lt;&gt;"",$E150&lt;&gt;"",$E150='数える用紙'!$C$2),ROW(),"")</f>
        <v/>
      </c>
      <c r="W150" s="74">
        <f>IF(AND($B150&lt;&gt;"",ISNUMBER($R150)),IF(AND($R150&lt;='設定'!$B$6+N('設定'!$B$14),IF(ISNUMBER($I150),$I150,N($H150))&gt;0),$R150+ROW()/100000,""),"")</f>
        <v/>
      </c>
    </row>
    <row r="151" ht="18" customHeight="1">
      <c r="A151" s="22" t="n">
        <v>147</v>
      </c>
      <c r="B151" s="23" t="n"/>
      <c r="C151" s="24" t="n"/>
      <c r="D151" s="24" t="n"/>
      <c r="E151" s="23" t="n"/>
      <c r="F151" s="23" t="n"/>
      <c r="G151" s="25" t="n"/>
      <c r="H151" s="25" t="n"/>
      <c r="I151" s="25" t="n"/>
      <c r="J151" s="72">
        <f>IF(OR($B151="",$H151=""),"",N($G151)*$H151)</f>
        <v/>
      </c>
      <c r="K151" s="72">
        <f>IF(OR($B151="",$I151=""),"",N($G151)*$I151)</f>
        <v/>
      </c>
      <c r="L151" s="27">
        <f>IF(OR($B151="",$H151="",$I151=""),"",$I151-$H151)</f>
        <v/>
      </c>
      <c r="M151" s="72">
        <f>IF($L151="","",$L151*N($G151))</f>
        <v/>
      </c>
      <c r="N151" s="73">
        <f>IF($L151="","",IF($H151&gt;0,ROUND($L151/$H151,4),"－"))</f>
        <v/>
      </c>
      <c r="O151" s="29">
        <f>IF($B151="","",IF($L151="","未入力",IF($L151=0,"一致",IF(OR(NOT(ISNUMBER($N151)),AND('設定'!$B$10&lt;&gt;"",ABS(N($N151))&gt;'設定'!$B$10),AND('設定'!$B$11&lt;&gt;"",ABS(ROUND($M151,4))&gt;'設定'!$B$11),AND('設定'!$B$10="",'設定'!$B$11="")),"要確認","許容内"))))</f>
        <v/>
      </c>
      <c r="P151" s="29">
        <f>IF($O151&lt;&gt;"要確認","",IF($Q151=0,"済",IF(COUNTIF('差異の原因'!$B$5:$B$204,$B151)=0,"未記録","一部")))</f>
        <v/>
      </c>
      <c r="Q151" s="27">
        <f>IF($L151="","",IF(AND($L151=0,COUNTIF('差異の原因'!$B$5:$B$204,$B151)=0),"",ROUND($L151-SUMIF('差異の原因'!$B$5:$B$204,$B151,'差異の原因'!$G$5:$G$204),6)))</f>
        <v/>
      </c>
      <c r="R151" s="30" t="n"/>
      <c r="S151" s="23" t="n"/>
      <c r="T151" s="29">
        <f>IF(OR($B151="",NOT(ISNUMBER($R151))),"",IF(IF(ISNUMBER($I151),$I151,N($H151))&lt;=0,"",IF($R151&lt;'設定'!$B$6,"期限切れ",IF($R151='設定'!$B$6,"当日",IF($R151-'設定'!$B$6&lt;=N('設定'!$B$14),"あと"&amp;($R151-'設定'!$B$6)&amp;"日","")))))</f>
        <v/>
      </c>
      <c r="U151" s="61" t="n"/>
      <c r="V151" s="31">
        <f>IF(AND($B151&lt;&gt;"",$E151&lt;&gt;"",$E151='数える用紙'!$C$2),ROW(),"")</f>
        <v/>
      </c>
      <c r="W151" s="74">
        <f>IF(AND($B151&lt;&gt;"",ISNUMBER($R151)),IF(AND($R151&lt;='設定'!$B$6+N('設定'!$B$14),IF(ISNUMBER($I151),$I151,N($H151))&gt;0),$R151+ROW()/100000,""),"")</f>
        <v/>
      </c>
    </row>
    <row r="152" ht="18" customHeight="1">
      <c r="A152" s="22" t="n">
        <v>148</v>
      </c>
      <c r="B152" s="23" t="n"/>
      <c r="C152" s="24" t="n"/>
      <c r="D152" s="24" t="n"/>
      <c r="E152" s="23" t="n"/>
      <c r="F152" s="23" t="n"/>
      <c r="G152" s="25" t="n"/>
      <c r="H152" s="25" t="n"/>
      <c r="I152" s="25" t="n"/>
      <c r="J152" s="72">
        <f>IF(OR($B152="",$H152=""),"",N($G152)*$H152)</f>
        <v/>
      </c>
      <c r="K152" s="72">
        <f>IF(OR($B152="",$I152=""),"",N($G152)*$I152)</f>
        <v/>
      </c>
      <c r="L152" s="27">
        <f>IF(OR($B152="",$H152="",$I152=""),"",$I152-$H152)</f>
        <v/>
      </c>
      <c r="M152" s="72">
        <f>IF($L152="","",$L152*N($G152))</f>
        <v/>
      </c>
      <c r="N152" s="73">
        <f>IF($L152="","",IF($H152&gt;0,ROUND($L152/$H152,4),"－"))</f>
        <v/>
      </c>
      <c r="O152" s="29">
        <f>IF($B152="","",IF($L152="","未入力",IF($L152=0,"一致",IF(OR(NOT(ISNUMBER($N152)),AND('設定'!$B$10&lt;&gt;"",ABS(N($N152))&gt;'設定'!$B$10),AND('設定'!$B$11&lt;&gt;"",ABS(ROUND($M152,4))&gt;'設定'!$B$11),AND('設定'!$B$10="",'設定'!$B$11="")),"要確認","許容内"))))</f>
        <v/>
      </c>
      <c r="P152" s="29">
        <f>IF($O152&lt;&gt;"要確認","",IF($Q152=0,"済",IF(COUNTIF('差異の原因'!$B$5:$B$204,$B152)=0,"未記録","一部")))</f>
        <v/>
      </c>
      <c r="Q152" s="27">
        <f>IF($L152="","",IF(AND($L152=0,COUNTIF('差異の原因'!$B$5:$B$204,$B152)=0),"",ROUND($L152-SUMIF('差異の原因'!$B$5:$B$204,$B152,'差異の原因'!$G$5:$G$204),6)))</f>
        <v/>
      </c>
      <c r="R152" s="30" t="n"/>
      <c r="S152" s="23" t="n"/>
      <c r="T152" s="29">
        <f>IF(OR($B152="",NOT(ISNUMBER($R152))),"",IF(IF(ISNUMBER($I152),$I152,N($H152))&lt;=0,"",IF($R152&lt;'設定'!$B$6,"期限切れ",IF($R152='設定'!$B$6,"当日",IF($R152-'設定'!$B$6&lt;=N('設定'!$B$14),"あと"&amp;($R152-'設定'!$B$6)&amp;"日","")))))</f>
        <v/>
      </c>
      <c r="U152" s="61" t="n"/>
      <c r="V152" s="31">
        <f>IF(AND($B152&lt;&gt;"",$E152&lt;&gt;"",$E152='数える用紙'!$C$2),ROW(),"")</f>
        <v/>
      </c>
      <c r="W152" s="74">
        <f>IF(AND($B152&lt;&gt;"",ISNUMBER($R152)),IF(AND($R152&lt;='設定'!$B$6+N('設定'!$B$14),IF(ISNUMBER($I152),$I152,N($H152))&gt;0),$R152+ROW()/100000,""),"")</f>
        <v/>
      </c>
    </row>
    <row r="153" ht="18" customHeight="1">
      <c r="A153" s="22" t="n">
        <v>149</v>
      </c>
      <c r="B153" s="23" t="n"/>
      <c r="C153" s="24" t="n"/>
      <c r="D153" s="24" t="n"/>
      <c r="E153" s="23" t="n"/>
      <c r="F153" s="23" t="n"/>
      <c r="G153" s="25" t="n"/>
      <c r="H153" s="25" t="n"/>
      <c r="I153" s="25" t="n"/>
      <c r="J153" s="72">
        <f>IF(OR($B153="",$H153=""),"",N($G153)*$H153)</f>
        <v/>
      </c>
      <c r="K153" s="72">
        <f>IF(OR($B153="",$I153=""),"",N($G153)*$I153)</f>
        <v/>
      </c>
      <c r="L153" s="27">
        <f>IF(OR($B153="",$H153="",$I153=""),"",$I153-$H153)</f>
        <v/>
      </c>
      <c r="M153" s="72">
        <f>IF($L153="","",$L153*N($G153))</f>
        <v/>
      </c>
      <c r="N153" s="73">
        <f>IF($L153="","",IF($H153&gt;0,ROUND($L153/$H153,4),"－"))</f>
        <v/>
      </c>
      <c r="O153" s="29">
        <f>IF($B153="","",IF($L153="","未入力",IF($L153=0,"一致",IF(OR(NOT(ISNUMBER($N153)),AND('設定'!$B$10&lt;&gt;"",ABS(N($N153))&gt;'設定'!$B$10),AND('設定'!$B$11&lt;&gt;"",ABS(ROUND($M153,4))&gt;'設定'!$B$11),AND('設定'!$B$10="",'設定'!$B$11="")),"要確認","許容内"))))</f>
        <v/>
      </c>
      <c r="P153" s="29">
        <f>IF($O153&lt;&gt;"要確認","",IF($Q153=0,"済",IF(COUNTIF('差異の原因'!$B$5:$B$204,$B153)=0,"未記録","一部")))</f>
        <v/>
      </c>
      <c r="Q153" s="27">
        <f>IF($L153="","",IF(AND($L153=0,COUNTIF('差異の原因'!$B$5:$B$204,$B153)=0),"",ROUND($L153-SUMIF('差異の原因'!$B$5:$B$204,$B153,'差異の原因'!$G$5:$G$204),6)))</f>
        <v/>
      </c>
      <c r="R153" s="30" t="n"/>
      <c r="S153" s="23" t="n"/>
      <c r="T153" s="29">
        <f>IF(OR($B153="",NOT(ISNUMBER($R153))),"",IF(IF(ISNUMBER($I153),$I153,N($H153))&lt;=0,"",IF($R153&lt;'設定'!$B$6,"期限切れ",IF($R153='設定'!$B$6,"当日",IF($R153-'設定'!$B$6&lt;=N('設定'!$B$14),"あと"&amp;($R153-'設定'!$B$6)&amp;"日","")))))</f>
        <v/>
      </c>
      <c r="U153" s="61" t="n"/>
      <c r="V153" s="31">
        <f>IF(AND($B153&lt;&gt;"",$E153&lt;&gt;"",$E153='数える用紙'!$C$2),ROW(),"")</f>
        <v/>
      </c>
      <c r="W153" s="74">
        <f>IF(AND($B153&lt;&gt;"",ISNUMBER($R153)),IF(AND($R153&lt;='設定'!$B$6+N('設定'!$B$14),IF(ISNUMBER($I153),$I153,N($H153))&gt;0),$R153+ROW()/100000,""),"")</f>
        <v/>
      </c>
    </row>
    <row r="154" ht="18" customHeight="1">
      <c r="A154" s="22" t="n">
        <v>150</v>
      </c>
      <c r="B154" s="23" t="n"/>
      <c r="C154" s="24" t="n"/>
      <c r="D154" s="24" t="n"/>
      <c r="E154" s="23" t="n"/>
      <c r="F154" s="23" t="n"/>
      <c r="G154" s="25" t="n"/>
      <c r="H154" s="25" t="n"/>
      <c r="I154" s="25" t="n"/>
      <c r="J154" s="72">
        <f>IF(OR($B154="",$H154=""),"",N($G154)*$H154)</f>
        <v/>
      </c>
      <c r="K154" s="72">
        <f>IF(OR($B154="",$I154=""),"",N($G154)*$I154)</f>
        <v/>
      </c>
      <c r="L154" s="27">
        <f>IF(OR($B154="",$H154="",$I154=""),"",$I154-$H154)</f>
        <v/>
      </c>
      <c r="M154" s="72">
        <f>IF($L154="","",$L154*N($G154))</f>
        <v/>
      </c>
      <c r="N154" s="73">
        <f>IF($L154="","",IF($H154&gt;0,ROUND($L154/$H154,4),"－"))</f>
        <v/>
      </c>
      <c r="O154" s="29">
        <f>IF($B154="","",IF($L154="","未入力",IF($L154=0,"一致",IF(OR(NOT(ISNUMBER($N154)),AND('設定'!$B$10&lt;&gt;"",ABS(N($N154))&gt;'設定'!$B$10),AND('設定'!$B$11&lt;&gt;"",ABS(ROUND($M154,4))&gt;'設定'!$B$11),AND('設定'!$B$10="",'設定'!$B$11="")),"要確認","許容内"))))</f>
        <v/>
      </c>
      <c r="P154" s="29">
        <f>IF($O154&lt;&gt;"要確認","",IF($Q154=0,"済",IF(COUNTIF('差異の原因'!$B$5:$B$204,$B154)=0,"未記録","一部")))</f>
        <v/>
      </c>
      <c r="Q154" s="27">
        <f>IF($L154="","",IF(AND($L154=0,COUNTIF('差異の原因'!$B$5:$B$204,$B154)=0),"",ROUND($L154-SUMIF('差異の原因'!$B$5:$B$204,$B154,'差異の原因'!$G$5:$G$204),6)))</f>
        <v/>
      </c>
      <c r="R154" s="30" t="n"/>
      <c r="S154" s="23" t="n"/>
      <c r="T154" s="29">
        <f>IF(OR($B154="",NOT(ISNUMBER($R154))),"",IF(IF(ISNUMBER($I154),$I154,N($H154))&lt;=0,"",IF($R154&lt;'設定'!$B$6,"期限切れ",IF($R154='設定'!$B$6,"当日",IF($R154-'設定'!$B$6&lt;=N('設定'!$B$14),"あと"&amp;($R154-'設定'!$B$6)&amp;"日","")))))</f>
        <v/>
      </c>
      <c r="U154" s="61" t="n"/>
      <c r="V154" s="31">
        <f>IF(AND($B154&lt;&gt;"",$E154&lt;&gt;"",$E154='数える用紙'!$C$2),ROW(),"")</f>
        <v/>
      </c>
      <c r="W154" s="74">
        <f>IF(AND($B154&lt;&gt;"",ISNUMBER($R154)),IF(AND($R154&lt;='設定'!$B$6+N('設定'!$B$14),IF(ISNUMBER($I154),$I154,N($H154))&gt;0),$R154+ROW()/100000,""),"")</f>
        <v/>
      </c>
    </row>
    <row r="155" ht="18" customHeight="1">
      <c r="A155" s="22" t="n">
        <v>151</v>
      </c>
      <c r="B155" s="23" t="n"/>
      <c r="C155" s="24" t="n"/>
      <c r="D155" s="24" t="n"/>
      <c r="E155" s="23" t="n"/>
      <c r="F155" s="23" t="n"/>
      <c r="G155" s="25" t="n"/>
      <c r="H155" s="25" t="n"/>
      <c r="I155" s="25" t="n"/>
      <c r="J155" s="72">
        <f>IF(OR($B155="",$H155=""),"",N($G155)*$H155)</f>
        <v/>
      </c>
      <c r="K155" s="72">
        <f>IF(OR($B155="",$I155=""),"",N($G155)*$I155)</f>
        <v/>
      </c>
      <c r="L155" s="27">
        <f>IF(OR($B155="",$H155="",$I155=""),"",$I155-$H155)</f>
        <v/>
      </c>
      <c r="M155" s="72">
        <f>IF($L155="","",$L155*N($G155))</f>
        <v/>
      </c>
      <c r="N155" s="73">
        <f>IF($L155="","",IF($H155&gt;0,ROUND($L155/$H155,4),"－"))</f>
        <v/>
      </c>
      <c r="O155" s="29">
        <f>IF($B155="","",IF($L155="","未入力",IF($L155=0,"一致",IF(OR(NOT(ISNUMBER($N155)),AND('設定'!$B$10&lt;&gt;"",ABS(N($N155))&gt;'設定'!$B$10),AND('設定'!$B$11&lt;&gt;"",ABS(ROUND($M155,4))&gt;'設定'!$B$11),AND('設定'!$B$10="",'設定'!$B$11="")),"要確認","許容内"))))</f>
        <v/>
      </c>
      <c r="P155" s="29">
        <f>IF($O155&lt;&gt;"要確認","",IF($Q155=0,"済",IF(COUNTIF('差異の原因'!$B$5:$B$204,$B155)=0,"未記録","一部")))</f>
        <v/>
      </c>
      <c r="Q155" s="27">
        <f>IF($L155="","",IF(AND($L155=0,COUNTIF('差異の原因'!$B$5:$B$204,$B155)=0),"",ROUND($L155-SUMIF('差異の原因'!$B$5:$B$204,$B155,'差異の原因'!$G$5:$G$204),6)))</f>
        <v/>
      </c>
      <c r="R155" s="30" t="n"/>
      <c r="S155" s="23" t="n"/>
      <c r="T155" s="29">
        <f>IF(OR($B155="",NOT(ISNUMBER($R155))),"",IF(IF(ISNUMBER($I155),$I155,N($H155))&lt;=0,"",IF($R155&lt;'設定'!$B$6,"期限切れ",IF($R155='設定'!$B$6,"当日",IF($R155-'設定'!$B$6&lt;=N('設定'!$B$14),"あと"&amp;($R155-'設定'!$B$6)&amp;"日","")))))</f>
        <v/>
      </c>
      <c r="U155" s="61" t="n"/>
      <c r="V155" s="31">
        <f>IF(AND($B155&lt;&gt;"",$E155&lt;&gt;"",$E155='数える用紙'!$C$2),ROW(),"")</f>
        <v/>
      </c>
      <c r="W155" s="74">
        <f>IF(AND($B155&lt;&gt;"",ISNUMBER($R155)),IF(AND($R155&lt;='設定'!$B$6+N('設定'!$B$14),IF(ISNUMBER($I155),$I155,N($H155))&gt;0),$R155+ROW()/100000,""),"")</f>
        <v/>
      </c>
    </row>
    <row r="156" ht="18" customHeight="1">
      <c r="A156" s="22" t="n">
        <v>152</v>
      </c>
      <c r="B156" s="23" t="n"/>
      <c r="C156" s="24" t="n"/>
      <c r="D156" s="24" t="n"/>
      <c r="E156" s="23" t="n"/>
      <c r="F156" s="23" t="n"/>
      <c r="G156" s="25" t="n"/>
      <c r="H156" s="25" t="n"/>
      <c r="I156" s="25" t="n"/>
      <c r="J156" s="72">
        <f>IF(OR($B156="",$H156=""),"",N($G156)*$H156)</f>
        <v/>
      </c>
      <c r="K156" s="72">
        <f>IF(OR($B156="",$I156=""),"",N($G156)*$I156)</f>
        <v/>
      </c>
      <c r="L156" s="27">
        <f>IF(OR($B156="",$H156="",$I156=""),"",$I156-$H156)</f>
        <v/>
      </c>
      <c r="M156" s="72">
        <f>IF($L156="","",$L156*N($G156))</f>
        <v/>
      </c>
      <c r="N156" s="73">
        <f>IF($L156="","",IF($H156&gt;0,ROUND($L156/$H156,4),"－"))</f>
        <v/>
      </c>
      <c r="O156" s="29">
        <f>IF($B156="","",IF($L156="","未入力",IF($L156=0,"一致",IF(OR(NOT(ISNUMBER($N156)),AND('設定'!$B$10&lt;&gt;"",ABS(N($N156))&gt;'設定'!$B$10),AND('設定'!$B$11&lt;&gt;"",ABS(ROUND($M156,4))&gt;'設定'!$B$11),AND('設定'!$B$10="",'設定'!$B$11="")),"要確認","許容内"))))</f>
        <v/>
      </c>
      <c r="P156" s="29">
        <f>IF($O156&lt;&gt;"要確認","",IF($Q156=0,"済",IF(COUNTIF('差異の原因'!$B$5:$B$204,$B156)=0,"未記録","一部")))</f>
        <v/>
      </c>
      <c r="Q156" s="27">
        <f>IF($L156="","",IF(AND($L156=0,COUNTIF('差異の原因'!$B$5:$B$204,$B156)=0),"",ROUND($L156-SUMIF('差異の原因'!$B$5:$B$204,$B156,'差異の原因'!$G$5:$G$204),6)))</f>
        <v/>
      </c>
      <c r="R156" s="30" t="n"/>
      <c r="S156" s="23" t="n"/>
      <c r="T156" s="29">
        <f>IF(OR($B156="",NOT(ISNUMBER($R156))),"",IF(IF(ISNUMBER($I156),$I156,N($H156))&lt;=0,"",IF($R156&lt;'設定'!$B$6,"期限切れ",IF($R156='設定'!$B$6,"当日",IF($R156-'設定'!$B$6&lt;=N('設定'!$B$14),"あと"&amp;($R156-'設定'!$B$6)&amp;"日","")))))</f>
        <v/>
      </c>
      <c r="U156" s="61" t="n"/>
      <c r="V156" s="31">
        <f>IF(AND($B156&lt;&gt;"",$E156&lt;&gt;"",$E156='数える用紙'!$C$2),ROW(),"")</f>
        <v/>
      </c>
      <c r="W156" s="74">
        <f>IF(AND($B156&lt;&gt;"",ISNUMBER($R156)),IF(AND($R156&lt;='設定'!$B$6+N('設定'!$B$14),IF(ISNUMBER($I156),$I156,N($H156))&gt;0),$R156+ROW()/100000,""),"")</f>
        <v/>
      </c>
    </row>
    <row r="157" ht="18" customHeight="1">
      <c r="A157" s="22" t="n">
        <v>153</v>
      </c>
      <c r="B157" s="23" t="n"/>
      <c r="C157" s="24" t="n"/>
      <c r="D157" s="24" t="n"/>
      <c r="E157" s="23" t="n"/>
      <c r="F157" s="23" t="n"/>
      <c r="G157" s="25" t="n"/>
      <c r="H157" s="25" t="n"/>
      <c r="I157" s="25" t="n"/>
      <c r="J157" s="72">
        <f>IF(OR($B157="",$H157=""),"",N($G157)*$H157)</f>
        <v/>
      </c>
      <c r="K157" s="72">
        <f>IF(OR($B157="",$I157=""),"",N($G157)*$I157)</f>
        <v/>
      </c>
      <c r="L157" s="27">
        <f>IF(OR($B157="",$H157="",$I157=""),"",$I157-$H157)</f>
        <v/>
      </c>
      <c r="M157" s="72">
        <f>IF($L157="","",$L157*N($G157))</f>
        <v/>
      </c>
      <c r="N157" s="73">
        <f>IF($L157="","",IF($H157&gt;0,ROUND($L157/$H157,4),"－"))</f>
        <v/>
      </c>
      <c r="O157" s="29">
        <f>IF($B157="","",IF($L157="","未入力",IF($L157=0,"一致",IF(OR(NOT(ISNUMBER($N157)),AND('設定'!$B$10&lt;&gt;"",ABS(N($N157))&gt;'設定'!$B$10),AND('設定'!$B$11&lt;&gt;"",ABS(ROUND($M157,4))&gt;'設定'!$B$11),AND('設定'!$B$10="",'設定'!$B$11="")),"要確認","許容内"))))</f>
        <v/>
      </c>
      <c r="P157" s="29">
        <f>IF($O157&lt;&gt;"要確認","",IF($Q157=0,"済",IF(COUNTIF('差異の原因'!$B$5:$B$204,$B157)=0,"未記録","一部")))</f>
        <v/>
      </c>
      <c r="Q157" s="27">
        <f>IF($L157="","",IF(AND($L157=0,COUNTIF('差異の原因'!$B$5:$B$204,$B157)=0),"",ROUND($L157-SUMIF('差異の原因'!$B$5:$B$204,$B157,'差異の原因'!$G$5:$G$204),6)))</f>
        <v/>
      </c>
      <c r="R157" s="30" t="n"/>
      <c r="S157" s="23" t="n"/>
      <c r="T157" s="29">
        <f>IF(OR($B157="",NOT(ISNUMBER($R157))),"",IF(IF(ISNUMBER($I157),$I157,N($H157))&lt;=0,"",IF($R157&lt;'設定'!$B$6,"期限切れ",IF($R157='設定'!$B$6,"当日",IF($R157-'設定'!$B$6&lt;=N('設定'!$B$14),"あと"&amp;($R157-'設定'!$B$6)&amp;"日","")))))</f>
        <v/>
      </c>
      <c r="U157" s="61" t="n"/>
      <c r="V157" s="31">
        <f>IF(AND($B157&lt;&gt;"",$E157&lt;&gt;"",$E157='数える用紙'!$C$2),ROW(),"")</f>
        <v/>
      </c>
      <c r="W157" s="74">
        <f>IF(AND($B157&lt;&gt;"",ISNUMBER($R157)),IF(AND($R157&lt;='設定'!$B$6+N('設定'!$B$14),IF(ISNUMBER($I157),$I157,N($H157))&gt;0),$R157+ROW()/100000,""),"")</f>
        <v/>
      </c>
    </row>
    <row r="158" ht="18" customHeight="1">
      <c r="A158" s="22" t="n">
        <v>154</v>
      </c>
      <c r="B158" s="23" t="n"/>
      <c r="C158" s="24" t="n"/>
      <c r="D158" s="24" t="n"/>
      <c r="E158" s="23" t="n"/>
      <c r="F158" s="23" t="n"/>
      <c r="G158" s="25" t="n"/>
      <c r="H158" s="25" t="n"/>
      <c r="I158" s="25" t="n"/>
      <c r="J158" s="72">
        <f>IF(OR($B158="",$H158=""),"",N($G158)*$H158)</f>
        <v/>
      </c>
      <c r="K158" s="72">
        <f>IF(OR($B158="",$I158=""),"",N($G158)*$I158)</f>
        <v/>
      </c>
      <c r="L158" s="27">
        <f>IF(OR($B158="",$H158="",$I158=""),"",$I158-$H158)</f>
        <v/>
      </c>
      <c r="M158" s="72">
        <f>IF($L158="","",$L158*N($G158))</f>
        <v/>
      </c>
      <c r="N158" s="73">
        <f>IF($L158="","",IF($H158&gt;0,ROUND($L158/$H158,4),"－"))</f>
        <v/>
      </c>
      <c r="O158" s="29">
        <f>IF($B158="","",IF($L158="","未入力",IF($L158=0,"一致",IF(OR(NOT(ISNUMBER($N158)),AND('設定'!$B$10&lt;&gt;"",ABS(N($N158))&gt;'設定'!$B$10),AND('設定'!$B$11&lt;&gt;"",ABS(ROUND($M158,4))&gt;'設定'!$B$11),AND('設定'!$B$10="",'設定'!$B$11="")),"要確認","許容内"))))</f>
        <v/>
      </c>
      <c r="P158" s="29">
        <f>IF($O158&lt;&gt;"要確認","",IF($Q158=0,"済",IF(COUNTIF('差異の原因'!$B$5:$B$204,$B158)=0,"未記録","一部")))</f>
        <v/>
      </c>
      <c r="Q158" s="27">
        <f>IF($L158="","",IF(AND($L158=0,COUNTIF('差異の原因'!$B$5:$B$204,$B158)=0),"",ROUND($L158-SUMIF('差異の原因'!$B$5:$B$204,$B158,'差異の原因'!$G$5:$G$204),6)))</f>
        <v/>
      </c>
      <c r="R158" s="30" t="n"/>
      <c r="S158" s="23" t="n"/>
      <c r="T158" s="29">
        <f>IF(OR($B158="",NOT(ISNUMBER($R158))),"",IF(IF(ISNUMBER($I158),$I158,N($H158))&lt;=0,"",IF($R158&lt;'設定'!$B$6,"期限切れ",IF($R158='設定'!$B$6,"当日",IF($R158-'設定'!$B$6&lt;=N('設定'!$B$14),"あと"&amp;($R158-'設定'!$B$6)&amp;"日","")))))</f>
        <v/>
      </c>
      <c r="U158" s="61" t="n"/>
      <c r="V158" s="31">
        <f>IF(AND($B158&lt;&gt;"",$E158&lt;&gt;"",$E158='数える用紙'!$C$2),ROW(),"")</f>
        <v/>
      </c>
      <c r="W158" s="74">
        <f>IF(AND($B158&lt;&gt;"",ISNUMBER($R158)),IF(AND($R158&lt;='設定'!$B$6+N('設定'!$B$14),IF(ISNUMBER($I158),$I158,N($H158))&gt;0),$R158+ROW()/100000,""),"")</f>
        <v/>
      </c>
    </row>
    <row r="159" ht="18" customHeight="1">
      <c r="A159" s="22" t="n">
        <v>155</v>
      </c>
      <c r="B159" s="23" t="n"/>
      <c r="C159" s="24" t="n"/>
      <c r="D159" s="24" t="n"/>
      <c r="E159" s="23" t="n"/>
      <c r="F159" s="23" t="n"/>
      <c r="G159" s="25" t="n"/>
      <c r="H159" s="25" t="n"/>
      <c r="I159" s="25" t="n"/>
      <c r="J159" s="72">
        <f>IF(OR($B159="",$H159=""),"",N($G159)*$H159)</f>
        <v/>
      </c>
      <c r="K159" s="72">
        <f>IF(OR($B159="",$I159=""),"",N($G159)*$I159)</f>
        <v/>
      </c>
      <c r="L159" s="27">
        <f>IF(OR($B159="",$H159="",$I159=""),"",$I159-$H159)</f>
        <v/>
      </c>
      <c r="M159" s="72">
        <f>IF($L159="","",$L159*N($G159))</f>
        <v/>
      </c>
      <c r="N159" s="73">
        <f>IF($L159="","",IF($H159&gt;0,ROUND($L159/$H159,4),"－"))</f>
        <v/>
      </c>
      <c r="O159" s="29">
        <f>IF($B159="","",IF($L159="","未入力",IF($L159=0,"一致",IF(OR(NOT(ISNUMBER($N159)),AND('設定'!$B$10&lt;&gt;"",ABS(N($N159))&gt;'設定'!$B$10),AND('設定'!$B$11&lt;&gt;"",ABS(ROUND($M159,4))&gt;'設定'!$B$11),AND('設定'!$B$10="",'設定'!$B$11="")),"要確認","許容内"))))</f>
        <v/>
      </c>
      <c r="P159" s="29">
        <f>IF($O159&lt;&gt;"要確認","",IF($Q159=0,"済",IF(COUNTIF('差異の原因'!$B$5:$B$204,$B159)=0,"未記録","一部")))</f>
        <v/>
      </c>
      <c r="Q159" s="27">
        <f>IF($L159="","",IF(AND($L159=0,COUNTIF('差異の原因'!$B$5:$B$204,$B159)=0),"",ROUND($L159-SUMIF('差異の原因'!$B$5:$B$204,$B159,'差異の原因'!$G$5:$G$204),6)))</f>
        <v/>
      </c>
      <c r="R159" s="30" t="n"/>
      <c r="S159" s="23" t="n"/>
      <c r="T159" s="29">
        <f>IF(OR($B159="",NOT(ISNUMBER($R159))),"",IF(IF(ISNUMBER($I159),$I159,N($H159))&lt;=0,"",IF($R159&lt;'設定'!$B$6,"期限切れ",IF($R159='設定'!$B$6,"当日",IF($R159-'設定'!$B$6&lt;=N('設定'!$B$14),"あと"&amp;($R159-'設定'!$B$6)&amp;"日","")))))</f>
        <v/>
      </c>
      <c r="U159" s="61" t="n"/>
      <c r="V159" s="31">
        <f>IF(AND($B159&lt;&gt;"",$E159&lt;&gt;"",$E159='数える用紙'!$C$2),ROW(),"")</f>
        <v/>
      </c>
      <c r="W159" s="74">
        <f>IF(AND($B159&lt;&gt;"",ISNUMBER($R159)),IF(AND($R159&lt;='設定'!$B$6+N('設定'!$B$14),IF(ISNUMBER($I159),$I159,N($H159))&gt;0),$R159+ROW()/100000,""),"")</f>
        <v/>
      </c>
    </row>
    <row r="160" ht="18" customHeight="1">
      <c r="A160" s="22" t="n">
        <v>156</v>
      </c>
      <c r="B160" s="23" t="n"/>
      <c r="C160" s="24" t="n"/>
      <c r="D160" s="24" t="n"/>
      <c r="E160" s="23" t="n"/>
      <c r="F160" s="23" t="n"/>
      <c r="G160" s="25" t="n"/>
      <c r="H160" s="25" t="n"/>
      <c r="I160" s="25" t="n"/>
      <c r="J160" s="72">
        <f>IF(OR($B160="",$H160=""),"",N($G160)*$H160)</f>
        <v/>
      </c>
      <c r="K160" s="72">
        <f>IF(OR($B160="",$I160=""),"",N($G160)*$I160)</f>
        <v/>
      </c>
      <c r="L160" s="27">
        <f>IF(OR($B160="",$H160="",$I160=""),"",$I160-$H160)</f>
        <v/>
      </c>
      <c r="M160" s="72">
        <f>IF($L160="","",$L160*N($G160))</f>
        <v/>
      </c>
      <c r="N160" s="73">
        <f>IF($L160="","",IF($H160&gt;0,ROUND($L160/$H160,4),"－"))</f>
        <v/>
      </c>
      <c r="O160" s="29">
        <f>IF($B160="","",IF($L160="","未入力",IF($L160=0,"一致",IF(OR(NOT(ISNUMBER($N160)),AND('設定'!$B$10&lt;&gt;"",ABS(N($N160))&gt;'設定'!$B$10),AND('設定'!$B$11&lt;&gt;"",ABS(ROUND($M160,4))&gt;'設定'!$B$11),AND('設定'!$B$10="",'設定'!$B$11="")),"要確認","許容内"))))</f>
        <v/>
      </c>
      <c r="P160" s="29">
        <f>IF($O160&lt;&gt;"要確認","",IF($Q160=0,"済",IF(COUNTIF('差異の原因'!$B$5:$B$204,$B160)=0,"未記録","一部")))</f>
        <v/>
      </c>
      <c r="Q160" s="27">
        <f>IF($L160="","",IF(AND($L160=0,COUNTIF('差異の原因'!$B$5:$B$204,$B160)=0),"",ROUND($L160-SUMIF('差異の原因'!$B$5:$B$204,$B160,'差異の原因'!$G$5:$G$204),6)))</f>
        <v/>
      </c>
      <c r="R160" s="30" t="n"/>
      <c r="S160" s="23" t="n"/>
      <c r="T160" s="29">
        <f>IF(OR($B160="",NOT(ISNUMBER($R160))),"",IF(IF(ISNUMBER($I160),$I160,N($H160))&lt;=0,"",IF($R160&lt;'設定'!$B$6,"期限切れ",IF($R160='設定'!$B$6,"当日",IF($R160-'設定'!$B$6&lt;=N('設定'!$B$14),"あと"&amp;($R160-'設定'!$B$6)&amp;"日","")))))</f>
        <v/>
      </c>
      <c r="U160" s="61" t="n"/>
      <c r="V160" s="31">
        <f>IF(AND($B160&lt;&gt;"",$E160&lt;&gt;"",$E160='数える用紙'!$C$2),ROW(),"")</f>
        <v/>
      </c>
      <c r="W160" s="74">
        <f>IF(AND($B160&lt;&gt;"",ISNUMBER($R160)),IF(AND($R160&lt;='設定'!$B$6+N('設定'!$B$14),IF(ISNUMBER($I160),$I160,N($H160))&gt;0),$R160+ROW()/100000,""),"")</f>
        <v/>
      </c>
    </row>
    <row r="161" ht="18" customHeight="1">
      <c r="A161" s="22" t="n">
        <v>157</v>
      </c>
      <c r="B161" s="23" t="n"/>
      <c r="C161" s="24" t="n"/>
      <c r="D161" s="24" t="n"/>
      <c r="E161" s="23" t="n"/>
      <c r="F161" s="23" t="n"/>
      <c r="G161" s="25" t="n"/>
      <c r="H161" s="25" t="n"/>
      <c r="I161" s="25" t="n"/>
      <c r="J161" s="72">
        <f>IF(OR($B161="",$H161=""),"",N($G161)*$H161)</f>
        <v/>
      </c>
      <c r="K161" s="72">
        <f>IF(OR($B161="",$I161=""),"",N($G161)*$I161)</f>
        <v/>
      </c>
      <c r="L161" s="27">
        <f>IF(OR($B161="",$H161="",$I161=""),"",$I161-$H161)</f>
        <v/>
      </c>
      <c r="M161" s="72">
        <f>IF($L161="","",$L161*N($G161))</f>
        <v/>
      </c>
      <c r="N161" s="73">
        <f>IF($L161="","",IF($H161&gt;0,ROUND($L161/$H161,4),"－"))</f>
        <v/>
      </c>
      <c r="O161" s="29">
        <f>IF($B161="","",IF($L161="","未入力",IF($L161=0,"一致",IF(OR(NOT(ISNUMBER($N161)),AND('設定'!$B$10&lt;&gt;"",ABS(N($N161))&gt;'設定'!$B$10),AND('設定'!$B$11&lt;&gt;"",ABS(ROUND($M161,4))&gt;'設定'!$B$11),AND('設定'!$B$10="",'設定'!$B$11="")),"要確認","許容内"))))</f>
        <v/>
      </c>
      <c r="P161" s="29">
        <f>IF($O161&lt;&gt;"要確認","",IF($Q161=0,"済",IF(COUNTIF('差異の原因'!$B$5:$B$204,$B161)=0,"未記録","一部")))</f>
        <v/>
      </c>
      <c r="Q161" s="27">
        <f>IF($L161="","",IF(AND($L161=0,COUNTIF('差異の原因'!$B$5:$B$204,$B161)=0),"",ROUND($L161-SUMIF('差異の原因'!$B$5:$B$204,$B161,'差異の原因'!$G$5:$G$204),6)))</f>
        <v/>
      </c>
      <c r="R161" s="30" t="n"/>
      <c r="S161" s="23" t="n"/>
      <c r="T161" s="29">
        <f>IF(OR($B161="",NOT(ISNUMBER($R161))),"",IF(IF(ISNUMBER($I161),$I161,N($H161))&lt;=0,"",IF($R161&lt;'設定'!$B$6,"期限切れ",IF($R161='設定'!$B$6,"当日",IF($R161-'設定'!$B$6&lt;=N('設定'!$B$14),"あと"&amp;($R161-'設定'!$B$6)&amp;"日","")))))</f>
        <v/>
      </c>
      <c r="U161" s="61" t="n"/>
      <c r="V161" s="31">
        <f>IF(AND($B161&lt;&gt;"",$E161&lt;&gt;"",$E161='数える用紙'!$C$2),ROW(),"")</f>
        <v/>
      </c>
      <c r="W161" s="74">
        <f>IF(AND($B161&lt;&gt;"",ISNUMBER($R161)),IF(AND($R161&lt;='設定'!$B$6+N('設定'!$B$14),IF(ISNUMBER($I161),$I161,N($H161))&gt;0),$R161+ROW()/100000,""),"")</f>
        <v/>
      </c>
    </row>
    <row r="162" ht="18" customHeight="1">
      <c r="A162" s="22" t="n">
        <v>158</v>
      </c>
      <c r="B162" s="23" t="n"/>
      <c r="C162" s="24" t="n"/>
      <c r="D162" s="24" t="n"/>
      <c r="E162" s="23" t="n"/>
      <c r="F162" s="23" t="n"/>
      <c r="G162" s="25" t="n"/>
      <c r="H162" s="25" t="n"/>
      <c r="I162" s="25" t="n"/>
      <c r="J162" s="72">
        <f>IF(OR($B162="",$H162=""),"",N($G162)*$H162)</f>
        <v/>
      </c>
      <c r="K162" s="72">
        <f>IF(OR($B162="",$I162=""),"",N($G162)*$I162)</f>
        <v/>
      </c>
      <c r="L162" s="27">
        <f>IF(OR($B162="",$H162="",$I162=""),"",$I162-$H162)</f>
        <v/>
      </c>
      <c r="M162" s="72">
        <f>IF($L162="","",$L162*N($G162))</f>
        <v/>
      </c>
      <c r="N162" s="73">
        <f>IF($L162="","",IF($H162&gt;0,ROUND($L162/$H162,4),"－"))</f>
        <v/>
      </c>
      <c r="O162" s="29">
        <f>IF($B162="","",IF($L162="","未入力",IF($L162=0,"一致",IF(OR(NOT(ISNUMBER($N162)),AND('設定'!$B$10&lt;&gt;"",ABS(N($N162))&gt;'設定'!$B$10),AND('設定'!$B$11&lt;&gt;"",ABS(ROUND($M162,4))&gt;'設定'!$B$11),AND('設定'!$B$10="",'設定'!$B$11="")),"要確認","許容内"))))</f>
        <v/>
      </c>
      <c r="P162" s="29">
        <f>IF($O162&lt;&gt;"要確認","",IF($Q162=0,"済",IF(COUNTIF('差異の原因'!$B$5:$B$204,$B162)=0,"未記録","一部")))</f>
        <v/>
      </c>
      <c r="Q162" s="27">
        <f>IF($L162="","",IF(AND($L162=0,COUNTIF('差異の原因'!$B$5:$B$204,$B162)=0),"",ROUND($L162-SUMIF('差異の原因'!$B$5:$B$204,$B162,'差異の原因'!$G$5:$G$204),6)))</f>
        <v/>
      </c>
      <c r="R162" s="30" t="n"/>
      <c r="S162" s="23" t="n"/>
      <c r="T162" s="29">
        <f>IF(OR($B162="",NOT(ISNUMBER($R162))),"",IF(IF(ISNUMBER($I162),$I162,N($H162))&lt;=0,"",IF($R162&lt;'設定'!$B$6,"期限切れ",IF($R162='設定'!$B$6,"当日",IF($R162-'設定'!$B$6&lt;=N('設定'!$B$14),"あと"&amp;($R162-'設定'!$B$6)&amp;"日","")))))</f>
        <v/>
      </c>
      <c r="U162" s="61" t="n"/>
      <c r="V162" s="31">
        <f>IF(AND($B162&lt;&gt;"",$E162&lt;&gt;"",$E162='数える用紙'!$C$2),ROW(),"")</f>
        <v/>
      </c>
      <c r="W162" s="74">
        <f>IF(AND($B162&lt;&gt;"",ISNUMBER($R162)),IF(AND($R162&lt;='設定'!$B$6+N('設定'!$B$14),IF(ISNUMBER($I162),$I162,N($H162))&gt;0),$R162+ROW()/100000,""),"")</f>
        <v/>
      </c>
    </row>
    <row r="163" ht="18" customHeight="1">
      <c r="A163" s="22" t="n">
        <v>159</v>
      </c>
      <c r="B163" s="23" t="n"/>
      <c r="C163" s="24" t="n"/>
      <c r="D163" s="24" t="n"/>
      <c r="E163" s="23" t="n"/>
      <c r="F163" s="23" t="n"/>
      <c r="G163" s="25" t="n"/>
      <c r="H163" s="25" t="n"/>
      <c r="I163" s="25" t="n"/>
      <c r="J163" s="72">
        <f>IF(OR($B163="",$H163=""),"",N($G163)*$H163)</f>
        <v/>
      </c>
      <c r="K163" s="72">
        <f>IF(OR($B163="",$I163=""),"",N($G163)*$I163)</f>
        <v/>
      </c>
      <c r="L163" s="27">
        <f>IF(OR($B163="",$H163="",$I163=""),"",$I163-$H163)</f>
        <v/>
      </c>
      <c r="M163" s="72">
        <f>IF($L163="","",$L163*N($G163))</f>
        <v/>
      </c>
      <c r="N163" s="73">
        <f>IF($L163="","",IF($H163&gt;0,ROUND($L163/$H163,4),"－"))</f>
        <v/>
      </c>
      <c r="O163" s="29">
        <f>IF($B163="","",IF($L163="","未入力",IF($L163=0,"一致",IF(OR(NOT(ISNUMBER($N163)),AND('設定'!$B$10&lt;&gt;"",ABS(N($N163))&gt;'設定'!$B$10),AND('設定'!$B$11&lt;&gt;"",ABS(ROUND($M163,4))&gt;'設定'!$B$11),AND('設定'!$B$10="",'設定'!$B$11="")),"要確認","許容内"))))</f>
        <v/>
      </c>
      <c r="P163" s="29">
        <f>IF($O163&lt;&gt;"要確認","",IF($Q163=0,"済",IF(COUNTIF('差異の原因'!$B$5:$B$204,$B163)=0,"未記録","一部")))</f>
        <v/>
      </c>
      <c r="Q163" s="27">
        <f>IF($L163="","",IF(AND($L163=0,COUNTIF('差異の原因'!$B$5:$B$204,$B163)=0),"",ROUND($L163-SUMIF('差異の原因'!$B$5:$B$204,$B163,'差異の原因'!$G$5:$G$204),6)))</f>
        <v/>
      </c>
      <c r="R163" s="30" t="n"/>
      <c r="S163" s="23" t="n"/>
      <c r="T163" s="29">
        <f>IF(OR($B163="",NOT(ISNUMBER($R163))),"",IF(IF(ISNUMBER($I163),$I163,N($H163))&lt;=0,"",IF($R163&lt;'設定'!$B$6,"期限切れ",IF($R163='設定'!$B$6,"当日",IF($R163-'設定'!$B$6&lt;=N('設定'!$B$14),"あと"&amp;($R163-'設定'!$B$6)&amp;"日","")))))</f>
        <v/>
      </c>
      <c r="U163" s="61" t="n"/>
      <c r="V163" s="31">
        <f>IF(AND($B163&lt;&gt;"",$E163&lt;&gt;"",$E163='数える用紙'!$C$2),ROW(),"")</f>
        <v/>
      </c>
      <c r="W163" s="74">
        <f>IF(AND($B163&lt;&gt;"",ISNUMBER($R163)),IF(AND($R163&lt;='設定'!$B$6+N('設定'!$B$14),IF(ISNUMBER($I163),$I163,N($H163))&gt;0),$R163+ROW()/100000,""),"")</f>
        <v/>
      </c>
    </row>
    <row r="164" ht="18" customHeight="1">
      <c r="A164" s="22" t="n">
        <v>160</v>
      </c>
      <c r="B164" s="23" t="n"/>
      <c r="C164" s="24" t="n"/>
      <c r="D164" s="24" t="n"/>
      <c r="E164" s="23" t="n"/>
      <c r="F164" s="23" t="n"/>
      <c r="G164" s="25" t="n"/>
      <c r="H164" s="25" t="n"/>
      <c r="I164" s="25" t="n"/>
      <c r="J164" s="72">
        <f>IF(OR($B164="",$H164=""),"",N($G164)*$H164)</f>
        <v/>
      </c>
      <c r="K164" s="72">
        <f>IF(OR($B164="",$I164=""),"",N($G164)*$I164)</f>
        <v/>
      </c>
      <c r="L164" s="27">
        <f>IF(OR($B164="",$H164="",$I164=""),"",$I164-$H164)</f>
        <v/>
      </c>
      <c r="M164" s="72">
        <f>IF($L164="","",$L164*N($G164))</f>
        <v/>
      </c>
      <c r="N164" s="73">
        <f>IF($L164="","",IF($H164&gt;0,ROUND($L164/$H164,4),"－"))</f>
        <v/>
      </c>
      <c r="O164" s="29">
        <f>IF($B164="","",IF($L164="","未入力",IF($L164=0,"一致",IF(OR(NOT(ISNUMBER($N164)),AND('設定'!$B$10&lt;&gt;"",ABS(N($N164))&gt;'設定'!$B$10),AND('設定'!$B$11&lt;&gt;"",ABS(ROUND($M164,4))&gt;'設定'!$B$11),AND('設定'!$B$10="",'設定'!$B$11="")),"要確認","許容内"))))</f>
        <v/>
      </c>
      <c r="P164" s="29">
        <f>IF($O164&lt;&gt;"要確認","",IF($Q164=0,"済",IF(COUNTIF('差異の原因'!$B$5:$B$204,$B164)=0,"未記録","一部")))</f>
        <v/>
      </c>
      <c r="Q164" s="27">
        <f>IF($L164="","",IF(AND($L164=0,COUNTIF('差異の原因'!$B$5:$B$204,$B164)=0),"",ROUND($L164-SUMIF('差異の原因'!$B$5:$B$204,$B164,'差異の原因'!$G$5:$G$204),6)))</f>
        <v/>
      </c>
      <c r="R164" s="30" t="n"/>
      <c r="S164" s="23" t="n"/>
      <c r="T164" s="29">
        <f>IF(OR($B164="",NOT(ISNUMBER($R164))),"",IF(IF(ISNUMBER($I164),$I164,N($H164))&lt;=0,"",IF($R164&lt;'設定'!$B$6,"期限切れ",IF($R164='設定'!$B$6,"当日",IF($R164-'設定'!$B$6&lt;=N('設定'!$B$14),"あと"&amp;($R164-'設定'!$B$6)&amp;"日","")))))</f>
        <v/>
      </c>
      <c r="U164" s="61" t="n"/>
      <c r="V164" s="31">
        <f>IF(AND($B164&lt;&gt;"",$E164&lt;&gt;"",$E164='数える用紙'!$C$2),ROW(),"")</f>
        <v/>
      </c>
      <c r="W164" s="74">
        <f>IF(AND($B164&lt;&gt;"",ISNUMBER($R164)),IF(AND($R164&lt;='設定'!$B$6+N('設定'!$B$14),IF(ISNUMBER($I164),$I164,N($H164))&gt;0),$R164+ROW()/100000,""),"")</f>
        <v/>
      </c>
    </row>
    <row r="165" ht="18" customHeight="1">
      <c r="A165" s="22" t="n">
        <v>161</v>
      </c>
      <c r="B165" s="23" t="n"/>
      <c r="C165" s="24" t="n"/>
      <c r="D165" s="24" t="n"/>
      <c r="E165" s="23" t="n"/>
      <c r="F165" s="23" t="n"/>
      <c r="G165" s="25" t="n"/>
      <c r="H165" s="25" t="n"/>
      <c r="I165" s="25" t="n"/>
      <c r="J165" s="72">
        <f>IF(OR($B165="",$H165=""),"",N($G165)*$H165)</f>
        <v/>
      </c>
      <c r="K165" s="72">
        <f>IF(OR($B165="",$I165=""),"",N($G165)*$I165)</f>
        <v/>
      </c>
      <c r="L165" s="27">
        <f>IF(OR($B165="",$H165="",$I165=""),"",$I165-$H165)</f>
        <v/>
      </c>
      <c r="M165" s="72">
        <f>IF($L165="","",$L165*N($G165))</f>
        <v/>
      </c>
      <c r="N165" s="73">
        <f>IF($L165="","",IF($H165&gt;0,ROUND($L165/$H165,4),"－"))</f>
        <v/>
      </c>
      <c r="O165" s="29">
        <f>IF($B165="","",IF($L165="","未入力",IF($L165=0,"一致",IF(OR(NOT(ISNUMBER($N165)),AND('設定'!$B$10&lt;&gt;"",ABS(N($N165))&gt;'設定'!$B$10),AND('設定'!$B$11&lt;&gt;"",ABS(ROUND($M165,4))&gt;'設定'!$B$11),AND('設定'!$B$10="",'設定'!$B$11="")),"要確認","許容内"))))</f>
        <v/>
      </c>
      <c r="P165" s="29">
        <f>IF($O165&lt;&gt;"要確認","",IF($Q165=0,"済",IF(COUNTIF('差異の原因'!$B$5:$B$204,$B165)=0,"未記録","一部")))</f>
        <v/>
      </c>
      <c r="Q165" s="27">
        <f>IF($L165="","",IF(AND($L165=0,COUNTIF('差異の原因'!$B$5:$B$204,$B165)=0),"",ROUND($L165-SUMIF('差異の原因'!$B$5:$B$204,$B165,'差異の原因'!$G$5:$G$204),6)))</f>
        <v/>
      </c>
      <c r="R165" s="30" t="n"/>
      <c r="S165" s="23" t="n"/>
      <c r="T165" s="29">
        <f>IF(OR($B165="",NOT(ISNUMBER($R165))),"",IF(IF(ISNUMBER($I165),$I165,N($H165))&lt;=0,"",IF($R165&lt;'設定'!$B$6,"期限切れ",IF($R165='設定'!$B$6,"当日",IF($R165-'設定'!$B$6&lt;=N('設定'!$B$14),"あと"&amp;($R165-'設定'!$B$6)&amp;"日","")))))</f>
        <v/>
      </c>
      <c r="U165" s="61" t="n"/>
      <c r="V165" s="31">
        <f>IF(AND($B165&lt;&gt;"",$E165&lt;&gt;"",$E165='数える用紙'!$C$2),ROW(),"")</f>
        <v/>
      </c>
      <c r="W165" s="74">
        <f>IF(AND($B165&lt;&gt;"",ISNUMBER($R165)),IF(AND($R165&lt;='設定'!$B$6+N('設定'!$B$14),IF(ISNUMBER($I165),$I165,N($H165))&gt;0),$R165+ROW()/100000,""),"")</f>
        <v/>
      </c>
    </row>
    <row r="166" ht="18" customHeight="1">
      <c r="A166" s="22" t="n">
        <v>162</v>
      </c>
      <c r="B166" s="23" t="n"/>
      <c r="C166" s="24" t="n"/>
      <c r="D166" s="24" t="n"/>
      <c r="E166" s="23" t="n"/>
      <c r="F166" s="23" t="n"/>
      <c r="G166" s="25" t="n"/>
      <c r="H166" s="25" t="n"/>
      <c r="I166" s="25" t="n"/>
      <c r="J166" s="72">
        <f>IF(OR($B166="",$H166=""),"",N($G166)*$H166)</f>
        <v/>
      </c>
      <c r="K166" s="72">
        <f>IF(OR($B166="",$I166=""),"",N($G166)*$I166)</f>
        <v/>
      </c>
      <c r="L166" s="27">
        <f>IF(OR($B166="",$H166="",$I166=""),"",$I166-$H166)</f>
        <v/>
      </c>
      <c r="M166" s="72">
        <f>IF($L166="","",$L166*N($G166))</f>
        <v/>
      </c>
      <c r="N166" s="73">
        <f>IF($L166="","",IF($H166&gt;0,ROUND($L166/$H166,4),"－"))</f>
        <v/>
      </c>
      <c r="O166" s="29">
        <f>IF($B166="","",IF($L166="","未入力",IF($L166=0,"一致",IF(OR(NOT(ISNUMBER($N166)),AND('設定'!$B$10&lt;&gt;"",ABS(N($N166))&gt;'設定'!$B$10),AND('設定'!$B$11&lt;&gt;"",ABS(ROUND($M166,4))&gt;'設定'!$B$11),AND('設定'!$B$10="",'設定'!$B$11="")),"要確認","許容内"))))</f>
        <v/>
      </c>
      <c r="P166" s="29">
        <f>IF($O166&lt;&gt;"要確認","",IF($Q166=0,"済",IF(COUNTIF('差異の原因'!$B$5:$B$204,$B166)=0,"未記録","一部")))</f>
        <v/>
      </c>
      <c r="Q166" s="27">
        <f>IF($L166="","",IF(AND($L166=0,COUNTIF('差異の原因'!$B$5:$B$204,$B166)=0),"",ROUND($L166-SUMIF('差異の原因'!$B$5:$B$204,$B166,'差異の原因'!$G$5:$G$204),6)))</f>
        <v/>
      </c>
      <c r="R166" s="30" t="n"/>
      <c r="S166" s="23" t="n"/>
      <c r="T166" s="29">
        <f>IF(OR($B166="",NOT(ISNUMBER($R166))),"",IF(IF(ISNUMBER($I166),$I166,N($H166))&lt;=0,"",IF($R166&lt;'設定'!$B$6,"期限切れ",IF($R166='設定'!$B$6,"当日",IF($R166-'設定'!$B$6&lt;=N('設定'!$B$14),"あと"&amp;($R166-'設定'!$B$6)&amp;"日","")))))</f>
        <v/>
      </c>
      <c r="U166" s="61" t="n"/>
      <c r="V166" s="31">
        <f>IF(AND($B166&lt;&gt;"",$E166&lt;&gt;"",$E166='数える用紙'!$C$2),ROW(),"")</f>
        <v/>
      </c>
      <c r="W166" s="74">
        <f>IF(AND($B166&lt;&gt;"",ISNUMBER($R166)),IF(AND($R166&lt;='設定'!$B$6+N('設定'!$B$14),IF(ISNUMBER($I166),$I166,N($H166))&gt;0),$R166+ROW()/100000,""),"")</f>
        <v/>
      </c>
    </row>
    <row r="167" ht="18" customHeight="1">
      <c r="A167" s="22" t="n">
        <v>163</v>
      </c>
      <c r="B167" s="23" t="n"/>
      <c r="C167" s="24" t="n"/>
      <c r="D167" s="24" t="n"/>
      <c r="E167" s="23" t="n"/>
      <c r="F167" s="23" t="n"/>
      <c r="G167" s="25" t="n"/>
      <c r="H167" s="25" t="n"/>
      <c r="I167" s="25" t="n"/>
      <c r="J167" s="72">
        <f>IF(OR($B167="",$H167=""),"",N($G167)*$H167)</f>
        <v/>
      </c>
      <c r="K167" s="72">
        <f>IF(OR($B167="",$I167=""),"",N($G167)*$I167)</f>
        <v/>
      </c>
      <c r="L167" s="27">
        <f>IF(OR($B167="",$H167="",$I167=""),"",$I167-$H167)</f>
        <v/>
      </c>
      <c r="M167" s="72">
        <f>IF($L167="","",$L167*N($G167))</f>
        <v/>
      </c>
      <c r="N167" s="73">
        <f>IF($L167="","",IF($H167&gt;0,ROUND($L167/$H167,4),"－"))</f>
        <v/>
      </c>
      <c r="O167" s="29">
        <f>IF($B167="","",IF($L167="","未入力",IF($L167=0,"一致",IF(OR(NOT(ISNUMBER($N167)),AND('設定'!$B$10&lt;&gt;"",ABS(N($N167))&gt;'設定'!$B$10),AND('設定'!$B$11&lt;&gt;"",ABS(ROUND($M167,4))&gt;'設定'!$B$11),AND('設定'!$B$10="",'設定'!$B$11="")),"要確認","許容内"))))</f>
        <v/>
      </c>
      <c r="P167" s="29">
        <f>IF($O167&lt;&gt;"要確認","",IF($Q167=0,"済",IF(COUNTIF('差異の原因'!$B$5:$B$204,$B167)=0,"未記録","一部")))</f>
        <v/>
      </c>
      <c r="Q167" s="27">
        <f>IF($L167="","",IF(AND($L167=0,COUNTIF('差異の原因'!$B$5:$B$204,$B167)=0),"",ROUND($L167-SUMIF('差異の原因'!$B$5:$B$204,$B167,'差異の原因'!$G$5:$G$204),6)))</f>
        <v/>
      </c>
      <c r="R167" s="30" t="n"/>
      <c r="S167" s="23" t="n"/>
      <c r="T167" s="29">
        <f>IF(OR($B167="",NOT(ISNUMBER($R167))),"",IF(IF(ISNUMBER($I167),$I167,N($H167))&lt;=0,"",IF($R167&lt;'設定'!$B$6,"期限切れ",IF($R167='設定'!$B$6,"当日",IF($R167-'設定'!$B$6&lt;=N('設定'!$B$14),"あと"&amp;($R167-'設定'!$B$6)&amp;"日","")))))</f>
        <v/>
      </c>
      <c r="U167" s="61" t="n"/>
      <c r="V167" s="31">
        <f>IF(AND($B167&lt;&gt;"",$E167&lt;&gt;"",$E167='数える用紙'!$C$2),ROW(),"")</f>
        <v/>
      </c>
      <c r="W167" s="74">
        <f>IF(AND($B167&lt;&gt;"",ISNUMBER($R167)),IF(AND($R167&lt;='設定'!$B$6+N('設定'!$B$14),IF(ISNUMBER($I167),$I167,N($H167))&gt;0),$R167+ROW()/100000,""),"")</f>
        <v/>
      </c>
    </row>
    <row r="168" ht="18" customHeight="1">
      <c r="A168" s="22" t="n">
        <v>164</v>
      </c>
      <c r="B168" s="23" t="n"/>
      <c r="C168" s="24" t="n"/>
      <c r="D168" s="24" t="n"/>
      <c r="E168" s="23" t="n"/>
      <c r="F168" s="23" t="n"/>
      <c r="G168" s="25" t="n"/>
      <c r="H168" s="25" t="n"/>
      <c r="I168" s="25" t="n"/>
      <c r="J168" s="72">
        <f>IF(OR($B168="",$H168=""),"",N($G168)*$H168)</f>
        <v/>
      </c>
      <c r="K168" s="72">
        <f>IF(OR($B168="",$I168=""),"",N($G168)*$I168)</f>
        <v/>
      </c>
      <c r="L168" s="27">
        <f>IF(OR($B168="",$H168="",$I168=""),"",$I168-$H168)</f>
        <v/>
      </c>
      <c r="M168" s="72">
        <f>IF($L168="","",$L168*N($G168))</f>
        <v/>
      </c>
      <c r="N168" s="73">
        <f>IF($L168="","",IF($H168&gt;0,ROUND($L168/$H168,4),"－"))</f>
        <v/>
      </c>
      <c r="O168" s="29">
        <f>IF($B168="","",IF($L168="","未入力",IF($L168=0,"一致",IF(OR(NOT(ISNUMBER($N168)),AND('設定'!$B$10&lt;&gt;"",ABS(N($N168))&gt;'設定'!$B$10),AND('設定'!$B$11&lt;&gt;"",ABS(ROUND($M168,4))&gt;'設定'!$B$11),AND('設定'!$B$10="",'設定'!$B$11="")),"要確認","許容内"))))</f>
        <v/>
      </c>
      <c r="P168" s="29">
        <f>IF($O168&lt;&gt;"要確認","",IF($Q168=0,"済",IF(COUNTIF('差異の原因'!$B$5:$B$204,$B168)=0,"未記録","一部")))</f>
        <v/>
      </c>
      <c r="Q168" s="27">
        <f>IF($L168="","",IF(AND($L168=0,COUNTIF('差異の原因'!$B$5:$B$204,$B168)=0),"",ROUND($L168-SUMIF('差異の原因'!$B$5:$B$204,$B168,'差異の原因'!$G$5:$G$204),6)))</f>
        <v/>
      </c>
      <c r="R168" s="30" t="n"/>
      <c r="S168" s="23" t="n"/>
      <c r="T168" s="29">
        <f>IF(OR($B168="",NOT(ISNUMBER($R168))),"",IF(IF(ISNUMBER($I168),$I168,N($H168))&lt;=0,"",IF($R168&lt;'設定'!$B$6,"期限切れ",IF($R168='設定'!$B$6,"当日",IF($R168-'設定'!$B$6&lt;=N('設定'!$B$14),"あと"&amp;($R168-'設定'!$B$6)&amp;"日","")))))</f>
        <v/>
      </c>
      <c r="U168" s="61" t="n"/>
      <c r="V168" s="31">
        <f>IF(AND($B168&lt;&gt;"",$E168&lt;&gt;"",$E168='数える用紙'!$C$2),ROW(),"")</f>
        <v/>
      </c>
      <c r="W168" s="74">
        <f>IF(AND($B168&lt;&gt;"",ISNUMBER($R168)),IF(AND($R168&lt;='設定'!$B$6+N('設定'!$B$14),IF(ISNUMBER($I168),$I168,N($H168))&gt;0),$R168+ROW()/100000,""),"")</f>
        <v/>
      </c>
    </row>
    <row r="169" ht="18" customHeight="1">
      <c r="A169" s="22" t="n">
        <v>165</v>
      </c>
      <c r="B169" s="23" t="n"/>
      <c r="C169" s="24" t="n"/>
      <c r="D169" s="24" t="n"/>
      <c r="E169" s="23" t="n"/>
      <c r="F169" s="23" t="n"/>
      <c r="G169" s="25" t="n"/>
      <c r="H169" s="25" t="n"/>
      <c r="I169" s="25" t="n"/>
      <c r="J169" s="72">
        <f>IF(OR($B169="",$H169=""),"",N($G169)*$H169)</f>
        <v/>
      </c>
      <c r="K169" s="72">
        <f>IF(OR($B169="",$I169=""),"",N($G169)*$I169)</f>
        <v/>
      </c>
      <c r="L169" s="27">
        <f>IF(OR($B169="",$H169="",$I169=""),"",$I169-$H169)</f>
        <v/>
      </c>
      <c r="M169" s="72">
        <f>IF($L169="","",$L169*N($G169))</f>
        <v/>
      </c>
      <c r="N169" s="73">
        <f>IF($L169="","",IF($H169&gt;0,ROUND($L169/$H169,4),"－"))</f>
        <v/>
      </c>
      <c r="O169" s="29">
        <f>IF($B169="","",IF($L169="","未入力",IF($L169=0,"一致",IF(OR(NOT(ISNUMBER($N169)),AND('設定'!$B$10&lt;&gt;"",ABS(N($N169))&gt;'設定'!$B$10),AND('設定'!$B$11&lt;&gt;"",ABS(ROUND($M169,4))&gt;'設定'!$B$11),AND('設定'!$B$10="",'設定'!$B$11="")),"要確認","許容内"))))</f>
        <v/>
      </c>
      <c r="P169" s="29">
        <f>IF($O169&lt;&gt;"要確認","",IF($Q169=0,"済",IF(COUNTIF('差異の原因'!$B$5:$B$204,$B169)=0,"未記録","一部")))</f>
        <v/>
      </c>
      <c r="Q169" s="27">
        <f>IF($L169="","",IF(AND($L169=0,COUNTIF('差異の原因'!$B$5:$B$204,$B169)=0),"",ROUND($L169-SUMIF('差異の原因'!$B$5:$B$204,$B169,'差異の原因'!$G$5:$G$204),6)))</f>
        <v/>
      </c>
      <c r="R169" s="30" t="n"/>
      <c r="S169" s="23" t="n"/>
      <c r="T169" s="29">
        <f>IF(OR($B169="",NOT(ISNUMBER($R169))),"",IF(IF(ISNUMBER($I169),$I169,N($H169))&lt;=0,"",IF($R169&lt;'設定'!$B$6,"期限切れ",IF($R169='設定'!$B$6,"当日",IF($R169-'設定'!$B$6&lt;=N('設定'!$B$14),"あと"&amp;($R169-'設定'!$B$6)&amp;"日","")))))</f>
        <v/>
      </c>
      <c r="U169" s="61" t="n"/>
      <c r="V169" s="31">
        <f>IF(AND($B169&lt;&gt;"",$E169&lt;&gt;"",$E169='数える用紙'!$C$2),ROW(),"")</f>
        <v/>
      </c>
      <c r="W169" s="74">
        <f>IF(AND($B169&lt;&gt;"",ISNUMBER($R169)),IF(AND($R169&lt;='設定'!$B$6+N('設定'!$B$14),IF(ISNUMBER($I169),$I169,N($H169))&gt;0),$R169+ROW()/100000,""),"")</f>
        <v/>
      </c>
    </row>
    <row r="170" ht="18" customHeight="1">
      <c r="A170" s="22" t="n">
        <v>166</v>
      </c>
      <c r="B170" s="23" t="n"/>
      <c r="C170" s="24" t="n"/>
      <c r="D170" s="24" t="n"/>
      <c r="E170" s="23" t="n"/>
      <c r="F170" s="23" t="n"/>
      <c r="G170" s="25" t="n"/>
      <c r="H170" s="25" t="n"/>
      <c r="I170" s="25" t="n"/>
      <c r="J170" s="72">
        <f>IF(OR($B170="",$H170=""),"",N($G170)*$H170)</f>
        <v/>
      </c>
      <c r="K170" s="72">
        <f>IF(OR($B170="",$I170=""),"",N($G170)*$I170)</f>
        <v/>
      </c>
      <c r="L170" s="27">
        <f>IF(OR($B170="",$H170="",$I170=""),"",$I170-$H170)</f>
        <v/>
      </c>
      <c r="M170" s="72">
        <f>IF($L170="","",$L170*N($G170))</f>
        <v/>
      </c>
      <c r="N170" s="73">
        <f>IF($L170="","",IF($H170&gt;0,ROUND($L170/$H170,4),"－"))</f>
        <v/>
      </c>
      <c r="O170" s="29">
        <f>IF($B170="","",IF($L170="","未入力",IF($L170=0,"一致",IF(OR(NOT(ISNUMBER($N170)),AND('設定'!$B$10&lt;&gt;"",ABS(N($N170))&gt;'設定'!$B$10),AND('設定'!$B$11&lt;&gt;"",ABS(ROUND($M170,4))&gt;'設定'!$B$11),AND('設定'!$B$10="",'設定'!$B$11="")),"要確認","許容内"))))</f>
        <v/>
      </c>
      <c r="P170" s="29">
        <f>IF($O170&lt;&gt;"要確認","",IF($Q170=0,"済",IF(COUNTIF('差異の原因'!$B$5:$B$204,$B170)=0,"未記録","一部")))</f>
        <v/>
      </c>
      <c r="Q170" s="27">
        <f>IF($L170="","",IF(AND($L170=0,COUNTIF('差異の原因'!$B$5:$B$204,$B170)=0),"",ROUND($L170-SUMIF('差異の原因'!$B$5:$B$204,$B170,'差異の原因'!$G$5:$G$204),6)))</f>
        <v/>
      </c>
      <c r="R170" s="30" t="n"/>
      <c r="S170" s="23" t="n"/>
      <c r="T170" s="29">
        <f>IF(OR($B170="",NOT(ISNUMBER($R170))),"",IF(IF(ISNUMBER($I170),$I170,N($H170))&lt;=0,"",IF($R170&lt;'設定'!$B$6,"期限切れ",IF($R170='設定'!$B$6,"当日",IF($R170-'設定'!$B$6&lt;=N('設定'!$B$14),"あと"&amp;($R170-'設定'!$B$6)&amp;"日","")))))</f>
        <v/>
      </c>
      <c r="U170" s="61" t="n"/>
      <c r="V170" s="31">
        <f>IF(AND($B170&lt;&gt;"",$E170&lt;&gt;"",$E170='数える用紙'!$C$2),ROW(),"")</f>
        <v/>
      </c>
      <c r="W170" s="74">
        <f>IF(AND($B170&lt;&gt;"",ISNUMBER($R170)),IF(AND($R170&lt;='設定'!$B$6+N('設定'!$B$14),IF(ISNUMBER($I170),$I170,N($H170))&gt;0),$R170+ROW()/100000,""),"")</f>
        <v/>
      </c>
    </row>
    <row r="171" ht="18" customHeight="1">
      <c r="A171" s="22" t="n">
        <v>167</v>
      </c>
      <c r="B171" s="23" t="n"/>
      <c r="C171" s="24" t="n"/>
      <c r="D171" s="24" t="n"/>
      <c r="E171" s="23" t="n"/>
      <c r="F171" s="23" t="n"/>
      <c r="G171" s="25" t="n"/>
      <c r="H171" s="25" t="n"/>
      <c r="I171" s="25" t="n"/>
      <c r="J171" s="72">
        <f>IF(OR($B171="",$H171=""),"",N($G171)*$H171)</f>
        <v/>
      </c>
      <c r="K171" s="72">
        <f>IF(OR($B171="",$I171=""),"",N($G171)*$I171)</f>
        <v/>
      </c>
      <c r="L171" s="27">
        <f>IF(OR($B171="",$H171="",$I171=""),"",$I171-$H171)</f>
        <v/>
      </c>
      <c r="M171" s="72">
        <f>IF($L171="","",$L171*N($G171))</f>
        <v/>
      </c>
      <c r="N171" s="73">
        <f>IF($L171="","",IF($H171&gt;0,ROUND($L171/$H171,4),"－"))</f>
        <v/>
      </c>
      <c r="O171" s="29">
        <f>IF($B171="","",IF($L171="","未入力",IF($L171=0,"一致",IF(OR(NOT(ISNUMBER($N171)),AND('設定'!$B$10&lt;&gt;"",ABS(N($N171))&gt;'設定'!$B$10),AND('設定'!$B$11&lt;&gt;"",ABS(ROUND($M171,4))&gt;'設定'!$B$11),AND('設定'!$B$10="",'設定'!$B$11="")),"要確認","許容内"))))</f>
        <v/>
      </c>
      <c r="P171" s="29">
        <f>IF($O171&lt;&gt;"要確認","",IF($Q171=0,"済",IF(COUNTIF('差異の原因'!$B$5:$B$204,$B171)=0,"未記録","一部")))</f>
        <v/>
      </c>
      <c r="Q171" s="27">
        <f>IF($L171="","",IF(AND($L171=0,COUNTIF('差異の原因'!$B$5:$B$204,$B171)=0),"",ROUND($L171-SUMIF('差異の原因'!$B$5:$B$204,$B171,'差異の原因'!$G$5:$G$204),6)))</f>
        <v/>
      </c>
      <c r="R171" s="30" t="n"/>
      <c r="S171" s="23" t="n"/>
      <c r="T171" s="29">
        <f>IF(OR($B171="",NOT(ISNUMBER($R171))),"",IF(IF(ISNUMBER($I171),$I171,N($H171))&lt;=0,"",IF($R171&lt;'設定'!$B$6,"期限切れ",IF($R171='設定'!$B$6,"当日",IF($R171-'設定'!$B$6&lt;=N('設定'!$B$14),"あと"&amp;($R171-'設定'!$B$6)&amp;"日","")))))</f>
        <v/>
      </c>
      <c r="U171" s="61" t="n"/>
      <c r="V171" s="31">
        <f>IF(AND($B171&lt;&gt;"",$E171&lt;&gt;"",$E171='数える用紙'!$C$2),ROW(),"")</f>
        <v/>
      </c>
      <c r="W171" s="74">
        <f>IF(AND($B171&lt;&gt;"",ISNUMBER($R171)),IF(AND($R171&lt;='設定'!$B$6+N('設定'!$B$14),IF(ISNUMBER($I171),$I171,N($H171))&gt;0),$R171+ROW()/100000,""),"")</f>
        <v/>
      </c>
    </row>
    <row r="172" ht="18" customHeight="1">
      <c r="A172" s="22" t="n">
        <v>168</v>
      </c>
      <c r="B172" s="23" t="n"/>
      <c r="C172" s="24" t="n"/>
      <c r="D172" s="24" t="n"/>
      <c r="E172" s="23" t="n"/>
      <c r="F172" s="23" t="n"/>
      <c r="G172" s="25" t="n"/>
      <c r="H172" s="25" t="n"/>
      <c r="I172" s="25" t="n"/>
      <c r="J172" s="72">
        <f>IF(OR($B172="",$H172=""),"",N($G172)*$H172)</f>
        <v/>
      </c>
      <c r="K172" s="72">
        <f>IF(OR($B172="",$I172=""),"",N($G172)*$I172)</f>
        <v/>
      </c>
      <c r="L172" s="27">
        <f>IF(OR($B172="",$H172="",$I172=""),"",$I172-$H172)</f>
        <v/>
      </c>
      <c r="M172" s="72">
        <f>IF($L172="","",$L172*N($G172))</f>
        <v/>
      </c>
      <c r="N172" s="73">
        <f>IF($L172="","",IF($H172&gt;0,ROUND($L172/$H172,4),"－"))</f>
        <v/>
      </c>
      <c r="O172" s="29">
        <f>IF($B172="","",IF($L172="","未入力",IF($L172=0,"一致",IF(OR(NOT(ISNUMBER($N172)),AND('設定'!$B$10&lt;&gt;"",ABS(N($N172))&gt;'設定'!$B$10),AND('設定'!$B$11&lt;&gt;"",ABS(ROUND($M172,4))&gt;'設定'!$B$11),AND('設定'!$B$10="",'設定'!$B$11="")),"要確認","許容内"))))</f>
        <v/>
      </c>
      <c r="P172" s="29">
        <f>IF($O172&lt;&gt;"要確認","",IF($Q172=0,"済",IF(COUNTIF('差異の原因'!$B$5:$B$204,$B172)=0,"未記録","一部")))</f>
        <v/>
      </c>
      <c r="Q172" s="27">
        <f>IF($L172="","",IF(AND($L172=0,COUNTIF('差異の原因'!$B$5:$B$204,$B172)=0),"",ROUND($L172-SUMIF('差異の原因'!$B$5:$B$204,$B172,'差異の原因'!$G$5:$G$204),6)))</f>
        <v/>
      </c>
      <c r="R172" s="30" t="n"/>
      <c r="S172" s="23" t="n"/>
      <c r="T172" s="29">
        <f>IF(OR($B172="",NOT(ISNUMBER($R172))),"",IF(IF(ISNUMBER($I172),$I172,N($H172))&lt;=0,"",IF($R172&lt;'設定'!$B$6,"期限切れ",IF($R172='設定'!$B$6,"当日",IF($R172-'設定'!$B$6&lt;=N('設定'!$B$14),"あと"&amp;($R172-'設定'!$B$6)&amp;"日","")))))</f>
        <v/>
      </c>
      <c r="U172" s="61" t="n"/>
      <c r="V172" s="31">
        <f>IF(AND($B172&lt;&gt;"",$E172&lt;&gt;"",$E172='数える用紙'!$C$2),ROW(),"")</f>
        <v/>
      </c>
      <c r="W172" s="74">
        <f>IF(AND($B172&lt;&gt;"",ISNUMBER($R172)),IF(AND($R172&lt;='設定'!$B$6+N('設定'!$B$14),IF(ISNUMBER($I172),$I172,N($H172))&gt;0),$R172+ROW()/100000,""),"")</f>
        <v/>
      </c>
    </row>
    <row r="173" ht="18" customHeight="1">
      <c r="A173" s="22" t="n">
        <v>169</v>
      </c>
      <c r="B173" s="23" t="n"/>
      <c r="C173" s="24" t="n"/>
      <c r="D173" s="24" t="n"/>
      <c r="E173" s="23" t="n"/>
      <c r="F173" s="23" t="n"/>
      <c r="G173" s="25" t="n"/>
      <c r="H173" s="25" t="n"/>
      <c r="I173" s="25" t="n"/>
      <c r="J173" s="72">
        <f>IF(OR($B173="",$H173=""),"",N($G173)*$H173)</f>
        <v/>
      </c>
      <c r="K173" s="72">
        <f>IF(OR($B173="",$I173=""),"",N($G173)*$I173)</f>
        <v/>
      </c>
      <c r="L173" s="27">
        <f>IF(OR($B173="",$H173="",$I173=""),"",$I173-$H173)</f>
        <v/>
      </c>
      <c r="M173" s="72">
        <f>IF($L173="","",$L173*N($G173))</f>
        <v/>
      </c>
      <c r="N173" s="73">
        <f>IF($L173="","",IF($H173&gt;0,ROUND($L173/$H173,4),"－"))</f>
        <v/>
      </c>
      <c r="O173" s="29">
        <f>IF($B173="","",IF($L173="","未入力",IF($L173=0,"一致",IF(OR(NOT(ISNUMBER($N173)),AND('設定'!$B$10&lt;&gt;"",ABS(N($N173))&gt;'設定'!$B$10),AND('設定'!$B$11&lt;&gt;"",ABS(ROUND($M173,4))&gt;'設定'!$B$11),AND('設定'!$B$10="",'設定'!$B$11="")),"要確認","許容内"))))</f>
        <v/>
      </c>
      <c r="P173" s="29">
        <f>IF($O173&lt;&gt;"要確認","",IF($Q173=0,"済",IF(COUNTIF('差異の原因'!$B$5:$B$204,$B173)=0,"未記録","一部")))</f>
        <v/>
      </c>
      <c r="Q173" s="27">
        <f>IF($L173="","",IF(AND($L173=0,COUNTIF('差異の原因'!$B$5:$B$204,$B173)=0),"",ROUND($L173-SUMIF('差異の原因'!$B$5:$B$204,$B173,'差異の原因'!$G$5:$G$204),6)))</f>
        <v/>
      </c>
      <c r="R173" s="30" t="n"/>
      <c r="S173" s="23" t="n"/>
      <c r="T173" s="29">
        <f>IF(OR($B173="",NOT(ISNUMBER($R173))),"",IF(IF(ISNUMBER($I173),$I173,N($H173))&lt;=0,"",IF($R173&lt;'設定'!$B$6,"期限切れ",IF($R173='設定'!$B$6,"当日",IF($R173-'設定'!$B$6&lt;=N('設定'!$B$14),"あと"&amp;($R173-'設定'!$B$6)&amp;"日","")))))</f>
        <v/>
      </c>
      <c r="U173" s="61" t="n"/>
      <c r="V173" s="31">
        <f>IF(AND($B173&lt;&gt;"",$E173&lt;&gt;"",$E173='数える用紙'!$C$2),ROW(),"")</f>
        <v/>
      </c>
      <c r="W173" s="74">
        <f>IF(AND($B173&lt;&gt;"",ISNUMBER($R173)),IF(AND($R173&lt;='設定'!$B$6+N('設定'!$B$14),IF(ISNUMBER($I173),$I173,N($H173))&gt;0),$R173+ROW()/100000,""),"")</f>
        <v/>
      </c>
    </row>
    <row r="174" ht="18" customHeight="1">
      <c r="A174" s="22" t="n">
        <v>170</v>
      </c>
      <c r="B174" s="23" t="n"/>
      <c r="C174" s="24" t="n"/>
      <c r="D174" s="24" t="n"/>
      <c r="E174" s="23" t="n"/>
      <c r="F174" s="23" t="n"/>
      <c r="G174" s="25" t="n"/>
      <c r="H174" s="25" t="n"/>
      <c r="I174" s="25" t="n"/>
      <c r="J174" s="72">
        <f>IF(OR($B174="",$H174=""),"",N($G174)*$H174)</f>
        <v/>
      </c>
      <c r="K174" s="72">
        <f>IF(OR($B174="",$I174=""),"",N($G174)*$I174)</f>
        <v/>
      </c>
      <c r="L174" s="27">
        <f>IF(OR($B174="",$H174="",$I174=""),"",$I174-$H174)</f>
        <v/>
      </c>
      <c r="M174" s="72">
        <f>IF($L174="","",$L174*N($G174))</f>
        <v/>
      </c>
      <c r="N174" s="73">
        <f>IF($L174="","",IF($H174&gt;0,ROUND($L174/$H174,4),"－"))</f>
        <v/>
      </c>
      <c r="O174" s="29">
        <f>IF($B174="","",IF($L174="","未入力",IF($L174=0,"一致",IF(OR(NOT(ISNUMBER($N174)),AND('設定'!$B$10&lt;&gt;"",ABS(N($N174))&gt;'設定'!$B$10),AND('設定'!$B$11&lt;&gt;"",ABS(ROUND($M174,4))&gt;'設定'!$B$11),AND('設定'!$B$10="",'設定'!$B$11="")),"要確認","許容内"))))</f>
        <v/>
      </c>
      <c r="P174" s="29">
        <f>IF($O174&lt;&gt;"要確認","",IF($Q174=0,"済",IF(COUNTIF('差異の原因'!$B$5:$B$204,$B174)=0,"未記録","一部")))</f>
        <v/>
      </c>
      <c r="Q174" s="27">
        <f>IF($L174="","",IF(AND($L174=0,COUNTIF('差異の原因'!$B$5:$B$204,$B174)=0),"",ROUND($L174-SUMIF('差異の原因'!$B$5:$B$204,$B174,'差異の原因'!$G$5:$G$204),6)))</f>
        <v/>
      </c>
      <c r="R174" s="30" t="n"/>
      <c r="S174" s="23" t="n"/>
      <c r="T174" s="29">
        <f>IF(OR($B174="",NOT(ISNUMBER($R174))),"",IF(IF(ISNUMBER($I174),$I174,N($H174))&lt;=0,"",IF($R174&lt;'設定'!$B$6,"期限切れ",IF($R174='設定'!$B$6,"当日",IF($R174-'設定'!$B$6&lt;=N('設定'!$B$14),"あと"&amp;($R174-'設定'!$B$6)&amp;"日","")))))</f>
        <v/>
      </c>
      <c r="U174" s="61" t="n"/>
      <c r="V174" s="31">
        <f>IF(AND($B174&lt;&gt;"",$E174&lt;&gt;"",$E174='数える用紙'!$C$2),ROW(),"")</f>
        <v/>
      </c>
      <c r="W174" s="74">
        <f>IF(AND($B174&lt;&gt;"",ISNUMBER($R174)),IF(AND($R174&lt;='設定'!$B$6+N('設定'!$B$14),IF(ISNUMBER($I174),$I174,N($H174))&gt;0),$R174+ROW()/100000,""),"")</f>
        <v/>
      </c>
    </row>
    <row r="175" ht="18" customHeight="1">
      <c r="A175" s="22" t="n">
        <v>171</v>
      </c>
      <c r="B175" s="23" t="n"/>
      <c r="C175" s="24" t="n"/>
      <c r="D175" s="24" t="n"/>
      <c r="E175" s="23" t="n"/>
      <c r="F175" s="23" t="n"/>
      <c r="G175" s="25" t="n"/>
      <c r="H175" s="25" t="n"/>
      <c r="I175" s="25" t="n"/>
      <c r="J175" s="72">
        <f>IF(OR($B175="",$H175=""),"",N($G175)*$H175)</f>
        <v/>
      </c>
      <c r="K175" s="72">
        <f>IF(OR($B175="",$I175=""),"",N($G175)*$I175)</f>
        <v/>
      </c>
      <c r="L175" s="27">
        <f>IF(OR($B175="",$H175="",$I175=""),"",$I175-$H175)</f>
        <v/>
      </c>
      <c r="M175" s="72">
        <f>IF($L175="","",$L175*N($G175))</f>
        <v/>
      </c>
      <c r="N175" s="73">
        <f>IF($L175="","",IF($H175&gt;0,ROUND($L175/$H175,4),"－"))</f>
        <v/>
      </c>
      <c r="O175" s="29">
        <f>IF($B175="","",IF($L175="","未入力",IF($L175=0,"一致",IF(OR(NOT(ISNUMBER($N175)),AND('設定'!$B$10&lt;&gt;"",ABS(N($N175))&gt;'設定'!$B$10),AND('設定'!$B$11&lt;&gt;"",ABS(ROUND($M175,4))&gt;'設定'!$B$11),AND('設定'!$B$10="",'設定'!$B$11="")),"要確認","許容内"))))</f>
        <v/>
      </c>
      <c r="P175" s="29">
        <f>IF($O175&lt;&gt;"要確認","",IF($Q175=0,"済",IF(COUNTIF('差異の原因'!$B$5:$B$204,$B175)=0,"未記録","一部")))</f>
        <v/>
      </c>
      <c r="Q175" s="27">
        <f>IF($L175="","",IF(AND($L175=0,COUNTIF('差異の原因'!$B$5:$B$204,$B175)=0),"",ROUND($L175-SUMIF('差異の原因'!$B$5:$B$204,$B175,'差異の原因'!$G$5:$G$204),6)))</f>
        <v/>
      </c>
      <c r="R175" s="30" t="n"/>
      <c r="S175" s="23" t="n"/>
      <c r="T175" s="29">
        <f>IF(OR($B175="",NOT(ISNUMBER($R175))),"",IF(IF(ISNUMBER($I175),$I175,N($H175))&lt;=0,"",IF($R175&lt;'設定'!$B$6,"期限切れ",IF($R175='設定'!$B$6,"当日",IF($R175-'設定'!$B$6&lt;=N('設定'!$B$14),"あと"&amp;($R175-'設定'!$B$6)&amp;"日","")))))</f>
        <v/>
      </c>
      <c r="U175" s="61" t="n"/>
      <c r="V175" s="31">
        <f>IF(AND($B175&lt;&gt;"",$E175&lt;&gt;"",$E175='数える用紙'!$C$2),ROW(),"")</f>
        <v/>
      </c>
      <c r="W175" s="74">
        <f>IF(AND($B175&lt;&gt;"",ISNUMBER($R175)),IF(AND($R175&lt;='設定'!$B$6+N('設定'!$B$14),IF(ISNUMBER($I175),$I175,N($H175))&gt;0),$R175+ROW()/100000,""),"")</f>
        <v/>
      </c>
    </row>
    <row r="176" ht="18" customHeight="1">
      <c r="A176" s="22" t="n">
        <v>172</v>
      </c>
      <c r="B176" s="23" t="n"/>
      <c r="C176" s="24" t="n"/>
      <c r="D176" s="24" t="n"/>
      <c r="E176" s="23" t="n"/>
      <c r="F176" s="23" t="n"/>
      <c r="G176" s="25" t="n"/>
      <c r="H176" s="25" t="n"/>
      <c r="I176" s="25" t="n"/>
      <c r="J176" s="72">
        <f>IF(OR($B176="",$H176=""),"",N($G176)*$H176)</f>
        <v/>
      </c>
      <c r="K176" s="72">
        <f>IF(OR($B176="",$I176=""),"",N($G176)*$I176)</f>
        <v/>
      </c>
      <c r="L176" s="27">
        <f>IF(OR($B176="",$H176="",$I176=""),"",$I176-$H176)</f>
        <v/>
      </c>
      <c r="M176" s="72">
        <f>IF($L176="","",$L176*N($G176))</f>
        <v/>
      </c>
      <c r="N176" s="73">
        <f>IF($L176="","",IF($H176&gt;0,ROUND($L176/$H176,4),"－"))</f>
        <v/>
      </c>
      <c r="O176" s="29">
        <f>IF($B176="","",IF($L176="","未入力",IF($L176=0,"一致",IF(OR(NOT(ISNUMBER($N176)),AND('設定'!$B$10&lt;&gt;"",ABS(N($N176))&gt;'設定'!$B$10),AND('設定'!$B$11&lt;&gt;"",ABS(ROUND($M176,4))&gt;'設定'!$B$11),AND('設定'!$B$10="",'設定'!$B$11="")),"要確認","許容内"))))</f>
        <v/>
      </c>
      <c r="P176" s="29">
        <f>IF($O176&lt;&gt;"要確認","",IF($Q176=0,"済",IF(COUNTIF('差異の原因'!$B$5:$B$204,$B176)=0,"未記録","一部")))</f>
        <v/>
      </c>
      <c r="Q176" s="27">
        <f>IF($L176="","",IF(AND($L176=0,COUNTIF('差異の原因'!$B$5:$B$204,$B176)=0),"",ROUND($L176-SUMIF('差異の原因'!$B$5:$B$204,$B176,'差異の原因'!$G$5:$G$204),6)))</f>
        <v/>
      </c>
      <c r="R176" s="30" t="n"/>
      <c r="S176" s="23" t="n"/>
      <c r="T176" s="29">
        <f>IF(OR($B176="",NOT(ISNUMBER($R176))),"",IF(IF(ISNUMBER($I176),$I176,N($H176))&lt;=0,"",IF($R176&lt;'設定'!$B$6,"期限切れ",IF($R176='設定'!$B$6,"当日",IF($R176-'設定'!$B$6&lt;=N('設定'!$B$14),"あと"&amp;($R176-'設定'!$B$6)&amp;"日","")))))</f>
        <v/>
      </c>
      <c r="U176" s="61" t="n"/>
      <c r="V176" s="31">
        <f>IF(AND($B176&lt;&gt;"",$E176&lt;&gt;"",$E176='数える用紙'!$C$2),ROW(),"")</f>
        <v/>
      </c>
      <c r="W176" s="74">
        <f>IF(AND($B176&lt;&gt;"",ISNUMBER($R176)),IF(AND($R176&lt;='設定'!$B$6+N('設定'!$B$14),IF(ISNUMBER($I176),$I176,N($H176))&gt;0),$R176+ROW()/100000,""),"")</f>
        <v/>
      </c>
    </row>
    <row r="177" ht="18" customHeight="1">
      <c r="A177" s="22" t="n">
        <v>173</v>
      </c>
      <c r="B177" s="23" t="n"/>
      <c r="C177" s="24" t="n"/>
      <c r="D177" s="24" t="n"/>
      <c r="E177" s="23" t="n"/>
      <c r="F177" s="23" t="n"/>
      <c r="G177" s="25" t="n"/>
      <c r="H177" s="25" t="n"/>
      <c r="I177" s="25" t="n"/>
      <c r="J177" s="72">
        <f>IF(OR($B177="",$H177=""),"",N($G177)*$H177)</f>
        <v/>
      </c>
      <c r="K177" s="72">
        <f>IF(OR($B177="",$I177=""),"",N($G177)*$I177)</f>
        <v/>
      </c>
      <c r="L177" s="27">
        <f>IF(OR($B177="",$H177="",$I177=""),"",$I177-$H177)</f>
        <v/>
      </c>
      <c r="M177" s="72">
        <f>IF($L177="","",$L177*N($G177))</f>
        <v/>
      </c>
      <c r="N177" s="73">
        <f>IF($L177="","",IF($H177&gt;0,ROUND($L177/$H177,4),"－"))</f>
        <v/>
      </c>
      <c r="O177" s="29">
        <f>IF($B177="","",IF($L177="","未入力",IF($L177=0,"一致",IF(OR(NOT(ISNUMBER($N177)),AND('設定'!$B$10&lt;&gt;"",ABS(N($N177))&gt;'設定'!$B$10),AND('設定'!$B$11&lt;&gt;"",ABS(ROUND($M177,4))&gt;'設定'!$B$11),AND('設定'!$B$10="",'設定'!$B$11="")),"要確認","許容内"))))</f>
        <v/>
      </c>
      <c r="P177" s="29">
        <f>IF($O177&lt;&gt;"要確認","",IF($Q177=0,"済",IF(COUNTIF('差異の原因'!$B$5:$B$204,$B177)=0,"未記録","一部")))</f>
        <v/>
      </c>
      <c r="Q177" s="27">
        <f>IF($L177="","",IF(AND($L177=0,COUNTIF('差異の原因'!$B$5:$B$204,$B177)=0),"",ROUND($L177-SUMIF('差異の原因'!$B$5:$B$204,$B177,'差異の原因'!$G$5:$G$204),6)))</f>
        <v/>
      </c>
      <c r="R177" s="30" t="n"/>
      <c r="S177" s="23" t="n"/>
      <c r="T177" s="29">
        <f>IF(OR($B177="",NOT(ISNUMBER($R177))),"",IF(IF(ISNUMBER($I177),$I177,N($H177))&lt;=0,"",IF($R177&lt;'設定'!$B$6,"期限切れ",IF($R177='設定'!$B$6,"当日",IF($R177-'設定'!$B$6&lt;=N('設定'!$B$14),"あと"&amp;($R177-'設定'!$B$6)&amp;"日","")))))</f>
        <v/>
      </c>
      <c r="U177" s="61" t="n"/>
      <c r="V177" s="31">
        <f>IF(AND($B177&lt;&gt;"",$E177&lt;&gt;"",$E177='数える用紙'!$C$2),ROW(),"")</f>
        <v/>
      </c>
      <c r="W177" s="74">
        <f>IF(AND($B177&lt;&gt;"",ISNUMBER($R177)),IF(AND($R177&lt;='設定'!$B$6+N('設定'!$B$14),IF(ISNUMBER($I177),$I177,N($H177))&gt;0),$R177+ROW()/100000,""),"")</f>
        <v/>
      </c>
    </row>
    <row r="178" ht="18" customHeight="1">
      <c r="A178" s="22" t="n">
        <v>174</v>
      </c>
      <c r="B178" s="23" t="n"/>
      <c r="C178" s="24" t="n"/>
      <c r="D178" s="24" t="n"/>
      <c r="E178" s="23" t="n"/>
      <c r="F178" s="23" t="n"/>
      <c r="G178" s="25" t="n"/>
      <c r="H178" s="25" t="n"/>
      <c r="I178" s="25" t="n"/>
      <c r="J178" s="72">
        <f>IF(OR($B178="",$H178=""),"",N($G178)*$H178)</f>
        <v/>
      </c>
      <c r="K178" s="72">
        <f>IF(OR($B178="",$I178=""),"",N($G178)*$I178)</f>
        <v/>
      </c>
      <c r="L178" s="27">
        <f>IF(OR($B178="",$H178="",$I178=""),"",$I178-$H178)</f>
        <v/>
      </c>
      <c r="M178" s="72">
        <f>IF($L178="","",$L178*N($G178))</f>
        <v/>
      </c>
      <c r="N178" s="73">
        <f>IF($L178="","",IF($H178&gt;0,ROUND($L178/$H178,4),"－"))</f>
        <v/>
      </c>
      <c r="O178" s="29">
        <f>IF($B178="","",IF($L178="","未入力",IF($L178=0,"一致",IF(OR(NOT(ISNUMBER($N178)),AND('設定'!$B$10&lt;&gt;"",ABS(N($N178))&gt;'設定'!$B$10),AND('設定'!$B$11&lt;&gt;"",ABS(ROUND($M178,4))&gt;'設定'!$B$11),AND('設定'!$B$10="",'設定'!$B$11="")),"要確認","許容内"))))</f>
        <v/>
      </c>
      <c r="P178" s="29">
        <f>IF($O178&lt;&gt;"要確認","",IF($Q178=0,"済",IF(COUNTIF('差異の原因'!$B$5:$B$204,$B178)=0,"未記録","一部")))</f>
        <v/>
      </c>
      <c r="Q178" s="27">
        <f>IF($L178="","",IF(AND($L178=0,COUNTIF('差異の原因'!$B$5:$B$204,$B178)=0),"",ROUND($L178-SUMIF('差異の原因'!$B$5:$B$204,$B178,'差異の原因'!$G$5:$G$204),6)))</f>
        <v/>
      </c>
      <c r="R178" s="30" t="n"/>
      <c r="S178" s="23" t="n"/>
      <c r="T178" s="29">
        <f>IF(OR($B178="",NOT(ISNUMBER($R178))),"",IF(IF(ISNUMBER($I178),$I178,N($H178))&lt;=0,"",IF($R178&lt;'設定'!$B$6,"期限切れ",IF($R178='設定'!$B$6,"当日",IF($R178-'設定'!$B$6&lt;=N('設定'!$B$14),"あと"&amp;($R178-'設定'!$B$6)&amp;"日","")))))</f>
        <v/>
      </c>
      <c r="U178" s="61" t="n"/>
      <c r="V178" s="31">
        <f>IF(AND($B178&lt;&gt;"",$E178&lt;&gt;"",$E178='数える用紙'!$C$2),ROW(),"")</f>
        <v/>
      </c>
      <c r="W178" s="74">
        <f>IF(AND($B178&lt;&gt;"",ISNUMBER($R178)),IF(AND($R178&lt;='設定'!$B$6+N('設定'!$B$14),IF(ISNUMBER($I178),$I178,N($H178))&gt;0),$R178+ROW()/100000,""),"")</f>
        <v/>
      </c>
    </row>
    <row r="179" ht="18" customHeight="1">
      <c r="A179" s="22" t="n">
        <v>175</v>
      </c>
      <c r="B179" s="23" t="n"/>
      <c r="C179" s="24" t="n"/>
      <c r="D179" s="24" t="n"/>
      <c r="E179" s="23" t="n"/>
      <c r="F179" s="23" t="n"/>
      <c r="G179" s="25" t="n"/>
      <c r="H179" s="25" t="n"/>
      <c r="I179" s="25" t="n"/>
      <c r="J179" s="72">
        <f>IF(OR($B179="",$H179=""),"",N($G179)*$H179)</f>
        <v/>
      </c>
      <c r="K179" s="72">
        <f>IF(OR($B179="",$I179=""),"",N($G179)*$I179)</f>
        <v/>
      </c>
      <c r="L179" s="27">
        <f>IF(OR($B179="",$H179="",$I179=""),"",$I179-$H179)</f>
        <v/>
      </c>
      <c r="M179" s="72">
        <f>IF($L179="","",$L179*N($G179))</f>
        <v/>
      </c>
      <c r="N179" s="73">
        <f>IF($L179="","",IF($H179&gt;0,ROUND($L179/$H179,4),"－"))</f>
        <v/>
      </c>
      <c r="O179" s="29">
        <f>IF($B179="","",IF($L179="","未入力",IF($L179=0,"一致",IF(OR(NOT(ISNUMBER($N179)),AND('設定'!$B$10&lt;&gt;"",ABS(N($N179))&gt;'設定'!$B$10),AND('設定'!$B$11&lt;&gt;"",ABS(ROUND($M179,4))&gt;'設定'!$B$11),AND('設定'!$B$10="",'設定'!$B$11="")),"要確認","許容内"))))</f>
        <v/>
      </c>
      <c r="P179" s="29">
        <f>IF($O179&lt;&gt;"要確認","",IF($Q179=0,"済",IF(COUNTIF('差異の原因'!$B$5:$B$204,$B179)=0,"未記録","一部")))</f>
        <v/>
      </c>
      <c r="Q179" s="27">
        <f>IF($L179="","",IF(AND($L179=0,COUNTIF('差異の原因'!$B$5:$B$204,$B179)=0),"",ROUND($L179-SUMIF('差異の原因'!$B$5:$B$204,$B179,'差異の原因'!$G$5:$G$204),6)))</f>
        <v/>
      </c>
      <c r="R179" s="30" t="n"/>
      <c r="S179" s="23" t="n"/>
      <c r="T179" s="29">
        <f>IF(OR($B179="",NOT(ISNUMBER($R179))),"",IF(IF(ISNUMBER($I179),$I179,N($H179))&lt;=0,"",IF($R179&lt;'設定'!$B$6,"期限切れ",IF($R179='設定'!$B$6,"当日",IF($R179-'設定'!$B$6&lt;=N('設定'!$B$14),"あと"&amp;($R179-'設定'!$B$6)&amp;"日","")))))</f>
        <v/>
      </c>
      <c r="U179" s="61" t="n"/>
      <c r="V179" s="31">
        <f>IF(AND($B179&lt;&gt;"",$E179&lt;&gt;"",$E179='数える用紙'!$C$2),ROW(),"")</f>
        <v/>
      </c>
      <c r="W179" s="74">
        <f>IF(AND($B179&lt;&gt;"",ISNUMBER($R179)),IF(AND($R179&lt;='設定'!$B$6+N('設定'!$B$14),IF(ISNUMBER($I179),$I179,N($H179))&gt;0),$R179+ROW()/100000,""),"")</f>
        <v/>
      </c>
    </row>
    <row r="180" ht="18" customHeight="1">
      <c r="A180" s="22" t="n">
        <v>176</v>
      </c>
      <c r="B180" s="23" t="n"/>
      <c r="C180" s="24" t="n"/>
      <c r="D180" s="24" t="n"/>
      <c r="E180" s="23" t="n"/>
      <c r="F180" s="23" t="n"/>
      <c r="G180" s="25" t="n"/>
      <c r="H180" s="25" t="n"/>
      <c r="I180" s="25" t="n"/>
      <c r="J180" s="72">
        <f>IF(OR($B180="",$H180=""),"",N($G180)*$H180)</f>
        <v/>
      </c>
      <c r="K180" s="72">
        <f>IF(OR($B180="",$I180=""),"",N($G180)*$I180)</f>
        <v/>
      </c>
      <c r="L180" s="27">
        <f>IF(OR($B180="",$H180="",$I180=""),"",$I180-$H180)</f>
        <v/>
      </c>
      <c r="M180" s="72">
        <f>IF($L180="","",$L180*N($G180))</f>
        <v/>
      </c>
      <c r="N180" s="73">
        <f>IF($L180="","",IF($H180&gt;0,ROUND($L180/$H180,4),"－"))</f>
        <v/>
      </c>
      <c r="O180" s="29">
        <f>IF($B180="","",IF($L180="","未入力",IF($L180=0,"一致",IF(OR(NOT(ISNUMBER($N180)),AND('設定'!$B$10&lt;&gt;"",ABS(N($N180))&gt;'設定'!$B$10),AND('設定'!$B$11&lt;&gt;"",ABS(ROUND($M180,4))&gt;'設定'!$B$11),AND('設定'!$B$10="",'設定'!$B$11="")),"要確認","許容内"))))</f>
        <v/>
      </c>
      <c r="P180" s="29">
        <f>IF($O180&lt;&gt;"要確認","",IF($Q180=0,"済",IF(COUNTIF('差異の原因'!$B$5:$B$204,$B180)=0,"未記録","一部")))</f>
        <v/>
      </c>
      <c r="Q180" s="27">
        <f>IF($L180="","",IF(AND($L180=0,COUNTIF('差異の原因'!$B$5:$B$204,$B180)=0),"",ROUND($L180-SUMIF('差異の原因'!$B$5:$B$204,$B180,'差異の原因'!$G$5:$G$204),6)))</f>
        <v/>
      </c>
      <c r="R180" s="30" t="n"/>
      <c r="S180" s="23" t="n"/>
      <c r="T180" s="29">
        <f>IF(OR($B180="",NOT(ISNUMBER($R180))),"",IF(IF(ISNUMBER($I180),$I180,N($H180))&lt;=0,"",IF($R180&lt;'設定'!$B$6,"期限切れ",IF($R180='設定'!$B$6,"当日",IF($R180-'設定'!$B$6&lt;=N('設定'!$B$14),"あと"&amp;($R180-'設定'!$B$6)&amp;"日","")))))</f>
        <v/>
      </c>
      <c r="U180" s="61" t="n"/>
      <c r="V180" s="31">
        <f>IF(AND($B180&lt;&gt;"",$E180&lt;&gt;"",$E180='数える用紙'!$C$2),ROW(),"")</f>
        <v/>
      </c>
      <c r="W180" s="74">
        <f>IF(AND($B180&lt;&gt;"",ISNUMBER($R180)),IF(AND($R180&lt;='設定'!$B$6+N('設定'!$B$14),IF(ISNUMBER($I180),$I180,N($H180))&gt;0),$R180+ROW()/100000,""),"")</f>
        <v/>
      </c>
    </row>
    <row r="181" ht="18" customHeight="1">
      <c r="A181" s="22" t="n">
        <v>177</v>
      </c>
      <c r="B181" s="23" t="n"/>
      <c r="C181" s="24" t="n"/>
      <c r="D181" s="24" t="n"/>
      <c r="E181" s="23" t="n"/>
      <c r="F181" s="23" t="n"/>
      <c r="G181" s="25" t="n"/>
      <c r="H181" s="25" t="n"/>
      <c r="I181" s="25" t="n"/>
      <c r="J181" s="72">
        <f>IF(OR($B181="",$H181=""),"",N($G181)*$H181)</f>
        <v/>
      </c>
      <c r="K181" s="72">
        <f>IF(OR($B181="",$I181=""),"",N($G181)*$I181)</f>
        <v/>
      </c>
      <c r="L181" s="27">
        <f>IF(OR($B181="",$H181="",$I181=""),"",$I181-$H181)</f>
        <v/>
      </c>
      <c r="M181" s="72">
        <f>IF($L181="","",$L181*N($G181))</f>
        <v/>
      </c>
      <c r="N181" s="73">
        <f>IF($L181="","",IF($H181&gt;0,ROUND($L181/$H181,4),"－"))</f>
        <v/>
      </c>
      <c r="O181" s="29">
        <f>IF($B181="","",IF($L181="","未入力",IF($L181=0,"一致",IF(OR(NOT(ISNUMBER($N181)),AND('設定'!$B$10&lt;&gt;"",ABS(N($N181))&gt;'設定'!$B$10),AND('設定'!$B$11&lt;&gt;"",ABS(ROUND($M181,4))&gt;'設定'!$B$11),AND('設定'!$B$10="",'設定'!$B$11="")),"要確認","許容内"))))</f>
        <v/>
      </c>
      <c r="P181" s="29">
        <f>IF($O181&lt;&gt;"要確認","",IF($Q181=0,"済",IF(COUNTIF('差異の原因'!$B$5:$B$204,$B181)=0,"未記録","一部")))</f>
        <v/>
      </c>
      <c r="Q181" s="27">
        <f>IF($L181="","",IF(AND($L181=0,COUNTIF('差異の原因'!$B$5:$B$204,$B181)=0),"",ROUND($L181-SUMIF('差異の原因'!$B$5:$B$204,$B181,'差異の原因'!$G$5:$G$204),6)))</f>
        <v/>
      </c>
      <c r="R181" s="30" t="n"/>
      <c r="S181" s="23" t="n"/>
      <c r="T181" s="29">
        <f>IF(OR($B181="",NOT(ISNUMBER($R181))),"",IF(IF(ISNUMBER($I181),$I181,N($H181))&lt;=0,"",IF($R181&lt;'設定'!$B$6,"期限切れ",IF($R181='設定'!$B$6,"当日",IF($R181-'設定'!$B$6&lt;=N('設定'!$B$14),"あと"&amp;($R181-'設定'!$B$6)&amp;"日","")))))</f>
        <v/>
      </c>
      <c r="U181" s="61" t="n"/>
      <c r="V181" s="31">
        <f>IF(AND($B181&lt;&gt;"",$E181&lt;&gt;"",$E181='数える用紙'!$C$2),ROW(),"")</f>
        <v/>
      </c>
      <c r="W181" s="74">
        <f>IF(AND($B181&lt;&gt;"",ISNUMBER($R181)),IF(AND($R181&lt;='設定'!$B$6+N('設定'!$B$14),IF(ISNUMBER($I181),$I181,N($H181))&gt;0),$R181+ROW()/100000,""),"")</f>
        <v/>
      </c>
    </row>
    <row r="182" ht="18" customHeight="1">
      <c r="A182" s="22" t="n">
        <v>178</v>
      </c>
      <c r="B182" s="23" t="n"/>
      <c r="C182" s="24" t="n"/>
      <c r="D182" s="24" t="n"/>
      <c r="E182" s="23" t="n"/>
      <c r="F182" s="23" t="n"/>
      <c r="G182" s="25" t="n"/>
      <c r="H182" s="25" t="n"/>
      <c r="I182" s="25" t="n"/>
      <c r="J182" s="72">
        <f>IF(OR($B182="",$H182=""),"",N($G182)*$H182)</f>
        <v/>
      </c>
      <c r="K182" s="72">
        <f>IF(OR($B182="",$I182=""),"",N($G182)*$I182)</f>
        <v/>
      </c>
      <c r="L182" s="27">
        <f>IF(OR($B182="",$H182="",$I182=""),"",$I182-$H182)</f>
        <v/>
      </c>
      <c r="M182" s="72">
        <f>IF($L182="","",$L182*N($G182))</f>
        <v/>
      </c>
      <c r="N182" s="73">
        <f>IF($L182="","",IF($H182&gt;0,ROUND($L182/$H182,4),"－"))</f>
        <v/>
      </c>
      <c r="O182" s="29">
        <f>IF($B182="","",IF($L182="","未入力",IF($L182=0,"一致",IF(OR(NOT(ISNUMBER($N182)),AND('設定'!$B$10&lt;&gt;"",ABS(N($N182))&gt;'設定'!$B$10),AND('設定'!$B$11&lt;&gt;"",ABS(ROUND($M182,4))&gt;'設定'!$B$11),AND('設定'!$B$10="",'設定'!$B$11="")),"要確認","許容内"))))</f>
        <v/>
      </c>
      <c r="P182" s="29">
        <f>IF($O182&lt;&gt;"要確認","",IF($Q182=0,"済",IF(COUNTIF('差異の原因'!$B$5:$B$204,$B182)=0,"未記録","一部")))</f>
        <v/>
      </c>
      <c r="Q182" s="27">
        <f>IF($L182="","",IF(AND($L182=0,COUNTIF('差異の原因'!$B$5:$B$204,$B182)=0),"",ROUND($L182-SUMIF('差異の原因'!$B$5:$B$204,$B182,'差異の原因'!$G$5:$G$204),6)))</f>
        <v/>
      </c>
      <c r="R182" s="30" t="n"/>
      <c r="S182" s="23" t="n"/>
      <c r="T182" s="29">
        <f>IF(OR($B182="",NOT(ISNUMBER($R182))),"",IF(IF(ISNUMBER($I182),$I182,N($H182))&lt;=0,"",IF($R182&lt;'設定'!$B$6,"期限切れ",IF($R182='設定'!$B$6,"当日",IF($R182-'設定'!$B$6&lt;=N('設定'!$B$14),"あと"&amp;($R182-'設定'!$B$6)&amp;"日","")))))</f>
        <v/>
      </c>
      <c r="U182" s="61" t="n"/>
      <c r="V182" s="31">
        <f>IF(AND($B182&lt;&gt;"",$E182&lt;&gt;"",$E182='数える用紙'!$C$2),ROW(),"")</f>
        <v/>
      </c>
      <c r="W182" s="74">
        <f>IF(AND($B182&lt;&gt;"",ISNUMBER($R182)),IF(AND($R182&lt;='設定'!$B$6+N('設定'!$B$14),IF(ISNUMBER($I182),$I182,N($H182))&gt;0),$R182+ROW()/100000,""),"")</f>
        <v/>
      </c>
    </row>
    <row r="183" ht="18" customHeight="1">
      <c r="A183" s="22" t="n">
        <v>179</v>
      </c>
      <c r="B183" s="23" t="n"/>
      <c r="C183" s="24" t="n"/>
      <c r="D183" s="24" t="n"/>
      <c r="E183" s="23" t="n"/>
      <c r="F183" s="23" t="n"/>
      <c r="G183" s="25" t="n"/>
      <c r="H183" s="25" t="n"/>
      <c r="I183" s="25" t="n"/>
      <c r="J183" s="72">
        <f>IF(OR($B183="",$H183=""),"",N($G183)*$H183)</f>
        <v/>
      </c>
      <c r="K183" s="72">
        <f>IF(OR($B183="",$I183=""),"",N($G183)*$I183)</f>
        <v/>
      </c>
      <c r="L183" s="27">
        <f>IF(OR($B183="",$H183="",$I183=""),"",$I183-$H183)</f>
        <v/>
      </c>
      <c r="M183" s="72">
        <f>IF($L183="","",$L183*N($G183))</f>
        <v/>
      </c>
      <c r="N183" s="73">
        <f>IF($L183="","",IF($H183&gt;0,ROUND($L183/$H183,4),"－"))</f>
        <v/>
      </c>
      <c r="O183" s="29">
        <f>IF($B183="","",IF($L183="","未入力",IF($L183=0,"一致",IF(OR(NOT(ISNUMBER($N183)),AND('設定'!$B$10&lt;&gt;"",ABS(N($N183))&gt;'設定'!$B$10),AND('設定'!$B$11&lt;&gt;"",ABS(ROUND($M183,4))&gt;'設定'!$B$11),AND('設定'!$B$10="",'設定'!$B$11="")),"要確認","許容内"))))</f>
        <v/>
      </c>
      <c r="P183" s="29">
        <f>IF($O183&lt;&gt;"要確認","",IF($Q183=0,"済",IF(COUNTIF('差異の原因'!$B$5:$B$204,$B183)=0,"未記録","一部")))</f>
        <v/>
      </c>
      <c r="Q183" s="27">
        <f>IF($L183="","",IF(AND($L183=0,COUNTIF('差異の原因'!$B$5:$B$204,$B183)=0),"",ROUND($L183-SUMIF('差異の原因'!$B$5:$B$204,$B183,'差異の原因'!$G$5:$G$204),6)))</f>
        <v/>
      </c>
      <c r="R183" s="30" t="n"/>
      <c r="S183" s="23" t="n"/>
      <c r="T183" s="29">
        <f>IF(OR($B183="",NOT(ISNUMBER($R183))),"",IF(IF(ISNUMBER($I183),$I183,N($H183))&lt;=0,"",IF($R183&lt;'設定'!$B$6,"期限切れ",IF($R183='設定'!$B$6,"当日",IF($R183-'設定'!$B$6&lt;=N('設定'!$B$14),"あと"&amp;($R183-'設定'!$B$6)&amp;"日","")))))</f>
        <v/>
      </c>
      <c r="U183" s="61" t="n"/>
      <c r="V183" s="31">
        <f>IF(AND($B183&lt;&gt;"",$E183&lt;&gt;"",$E183='数える用紙'!$C$2),ROW(),"")</f>
        <v/>
      </c>
      <c r="W183" s="74">
        <f>IF(AND($B183&lt;&gt;"",ISNUMBER($R183)),IF(AND($R183&lt;='設定'!$B$6+N('設定'!$B$14),IF(ISNUMBER($I183),$I183,N($H183))&gt;0),$R183+ROW()/100000,""),"")</f>
        <v/>
      </c>
    </row>
    <row r="184" ht="18" customHeight="1">
      <c r="A184" s="22" t="n">
        <v>180</v>
      </c>
      <c r="B184" s="23" t="n"/>
      <c r="C184" s="24" t="n"/>
      <c r="D184" s="24" t="n"/>
      <c r="E184" s="23" t="n"/>
      <c r="F184" s="23" t="n"/>
      <c r="G184" s="25" t="n"/>
      <c r="H184" s="25" t="n"/>
      <c r="I184" s="25" t="n"/>
      <c r="J184" s="72">
        <f>IF(OR($B184="",$H184=""),"",N($G184)*$H184)</f>
        <v/>
      </c>
      <c r="K184" s="72">
        <f>IF(OR($B184="",$I184=""),"",N($G184)*$I184)</f>
        <v/>
      </c>
      <c r="L184" s="27">
        <f>IF(OR($B184="",$H184="",$I184=""),"",$I184-$H184)</f>
        <v/>
      </c>
      <c r="M184" s="72">
        <f>IF($L184="","",$L184*N($G184))</f>
        <v/>
      </c>
      <c r="N184" s="73">
        <f>IF($L184="","",IF($H184&gt;0,ROUND($L184/$H184,4),"－"))</f>
        <v/>
      </c>
      <c r="O184" s="29">
        <f>IF($B184="","",IF($L184="","未入力",IF($L184=0,"一致",IF(OR(NOT(ISNUMBER($N184)),AND('設定'!$B$10&lt;&gt;"",ABS(N($N184))&gt;'設定'!$B$10),AND('設定'!$B$11&lt;&gt;"",ABS(ROUND($M184,4))&gt;'設定'!$B$11),AND('設定'!$B$10="",'設定'!$B$11="")),"要確認","許容内"))))</f>
        <v/>
      </c>
      <c r="P184" s="29">
        <f>IF($O184&lt;&gt;"要確認","",IF($Q184=0,"済",IF(COUNTIF('差異の原因'!$B$5:$B$204,$B184)=0,"未記録","一部")))</f>
        <v/>
      </c>
      <c r="Q184" s="27">
        <f>IF($L184="","",IF(AND($L184=0,COUNTIF('差異の原因'!$B$5:$B$204,$B184)=0),"",ROUND($L184-SUMIF('差異の原因'!$B$5:$B$204,$B184,'差異の原因'!$G$5:$G$204),6)))</f>
        <v/>
      </c>
      <c r="R184" s="30" t="n"/>
      <c r="S184" s="23" t="n"/>
      <c r="T184" s="29">
        <f>IF(OR($B184="",NOT(ISNUMBER($R184))),"",IF(IF(ISNUMBER($I184),$I184,N($H184))&lt;=0,"",IF($R184&lt;'設定'!$B$6,"期限切れ",IF($R184='設定'!$B$6,"当日",IF($R184-'設定'!$B$6&lt;=N('設定'!$B$14),"あと"&amp;($R184-'設定'!$B$6)&amp;"日","")))))</f>
        <v/>
      </c>
      <c r="U184" s="61" t="n"/>
      <c r="V184" s="31">
        <f>IF(AND($B184&lt;&gt;"",$E184&lt;&gt;"",$E184='数える用紙'!$C$2),ROW(),"")</f>
        <v/>
      </c>
      <c r="W184" s="74">
        <f>IF(AND($B184&lt;&gt;"",ISNUMBER($R184)),IF(AND($R184&lt;='設定'!$B$6+N('設定'!$B$14),IF(ISNUMBER($I184),$I184,N($H184))&gt;0),$R184+ROW()/100000,""),"")</f>
        <v/>
      </c>
    </row>
    <row r="185" ht="18" customHeight="1">
      <c r="A185" s="22" t="n">
        <v>181</v>
      </c>
      <c r="B185" s="23" t="n"/>
      <c r="C185" s="24" t="n"/>
      <c r="D185" s="24" t="n"/>
      <c r="E185" s="23" t="n"/>
      <c r="F185" s="23" t="n"/>
      <c r="G185" s="25" t="n"/>
      <c r="H185" s="25" t="n"/>
      <c r="I185" s="25" t="n"/>
      <c r="J185" s="72">
        <f>IF(OR($B185="",$H185=""),"",N($G185)*$H185)</f>
        <v/>
      </c>
      <c r="K185" s="72">
        <f>IF(OR($B185="",$I185=""),"",N($G185)*$I185)</f>
        <v/>
      </c>
      <c r="L185" s="27">
        <f>IF(OR($B185="",$H185="",$I185=""),"",$I185-$H185)</f>
        <v/>
      </c>
      <c r="M185" s="72">
        <f>IF($L185="","",$L185*N($G185))</f>
        <v/>
      </c>
      <c r="N185" s="73">
        <f>IF($L185="","",IF($H185&gt;0,ROUND($L185/$H185,4),"－"))</f>
        <v/>
      </c>
      <c r="O185" s="29">
        <f>IF($B185="","",IF($L185="","未入力",IF($L185=0,"一致",IF(OR(NOT(ISNUMBER($N185)),AND('設定'!$B$10&lt;&gt;"",ABS(N($N185))&gt;'設定'!$B$10),AND('設定'!$B$11&lt;&gt;"",ABS(ROUND($M185,4))&gt;'設定'!$B$11),AND('設定'!$B$10="",'設定'!$B$11="")),"要確認","許容内"))))</f>
        <v/>
      </c>
      <c r="P185" s="29">
        <f>IF($O185&lt;&gt;"要確認","",IF($Q185=0,"済",IF(COUNTIF('差異の原因'!$B$5:$B$204,$B185)=0,"未記録","一部")))</f>
        <v/>
      </c>
      <c r="Q185" s="27">
        <f>IF($L185="","",IF(AND($L185=0,COUNTIF('差異の原因'!$B$5:$B$204,$B185)=0),"",ROUND($L185-SUMIF('差異の原因'!$B$5:$B$204,$B185,'差異の原因'!$G$5:$G$204),6)))</f>
        <v/>
      </c>
      <c r="R185" s="30" t="n"/>
      <c r="S185" s="23" t="n"/>
      <c r="T185" s="29">
        <f>IF(OR($B185="",NOT(ISNUMBER($R185))),"",IF(IF(ISNUMBER($I185),$I185,N($H185))&lt;=0,"",IF($R185&lt;'設定'!$B$6,"期限切れ",IF($R185='設定'!$B$6,"当日",IF($R185-'設定'!$B$6&lt;=N('設定'!$B$14),"あと"&amp;($R185-'設定'!$B$6)&amp;"日","")))))</f>
        <v/>
      </c>
      <c r="U185" s="61" t="n"/>
      <c r="V185" s="31">
        <f>IF(AND($B185&lt;&gt;"",$E185&lt;&gt;"",$E185='数える用紙'!$C$2),ROW(),"")</f>
        <v/>
      </c>
      <c r="W185" s="74">
        <f>IF(AND($B185&lt;&gt;"",ISNUMBER($R185)),IF(AND($R185&lt;='設定'!$B$6+N('設定'!$B$14),IF(ISNUMBER($I185),$I185,N($H185))&gt;0),$R185+ROW()/100000,""),"")</f>
        <v/>
      </c>
    </row>
    <row r="186" ht="18" customHeight="1">
      <c r="A186" s="22" t="n">
        <v>182</v>
      </c>
      <c r="B186" s="23" t="n"/>
      <c r="C186" s="24" t="n"/>
      <c r="D186" s="24" t="n"/>
      <c r="E186" s="23" t="n"/>
      <c r="F186" s="23" t="n"/>
      <c r="G186" s="25" t="n"/>
      <c r="H186" s="25" t="n"/>
      <c r="I186" s="25" t="n"/>
      <c r="J186" s="72">
        <f>IF(OR($B186="",$H186=""),"",N($G186)*$H186)</f>
        <v/>
      </c>
      <c r="K186" s="72">
        <f>IF(OR($B186="",$I186=""),"",N($G186)*$I186)</f>
        <v/>
      </c>
      <c r="L186" s="27">
        <f>IF(OR($B186="",$H186="",$I186=""),"",$I186-$H186)</f>
        <v/>
      </c>
      <c r="M186" s="72">
        <f>IF($L186="","",$L186*N($G186))</f>
        <v/>
      </c>
      <c r="N186" s="73">
        <f>IF($L186="","",IF($H186&gt;0,ROUND($L186/$H186,4),"－"))</f>
        <v/>
      </c>
      <c r="O186" s="29">
        <f>IF($B186="","",IF($L186="","未入力",IF($L186=0,"一致",IF(OR(NOT(ISNUMBER($N186)),AND('設定'!$B$10&lt;&gt;"",ABS(N($N186))&gt;'設定'!$B$10),AND('設定'!$B$11&lt;&gt;"",ABS(ROUND($M186,4))&gt;'設定'!$B$11),AND('設定'!$B$10="",'設定'!$B$11="")),"要確認","許容内"))))</f>
        <v/>
      </c>
      <c r="P186" s="29">
        <f>IF($O186&lt;&gt;"要確認","",IF($Q186=0,"済",IF(COUNTIF('差異の原因'!$B$5:$B$204,$B186)=0,"未記録","一部")))</f>
        <v/>
      </c>
      <c r="Q186" s="27">
        <f>IF($L186="","",IF(AND($L186=0,COUNTIF('差異の原因'!$B$5:$B$204,$B186)=0),"",ROUND($L186-SUMIF('差異の原因'!$B$5:$B$204,$B186,'差異の原因'!$G$5:$G$204),6)))</f>
        <v/>
      </c>
      <c r="R186" s="30" t="n"/>
      <c r="S186" s="23" t="n"/>
      <c r="T186" s="29">
        <f>IF(OR($B186="",NOT(ISNUMBER($R186))),"",IF(IF(ISNUMBER($I186),$I186,N($H186))&lt;=0,"",IF($R186&lt;'設定'!$B$6,"期限切れ",IF($R186='設定'!$B$6,"当日",IF($R186-'設定'!$B$6&lt;=N('設定'!$B$14),"あと"&amp;($R186-'設定'!$B$6)&amp;"日","")))))</f>
        <v/>
      </c>
      <c r="U186" s="61" t="n"/>
      <c r="V186" s="31">
        <f>IF(AND($B186&lt;&gt;"",$E186&lt;&gt;"",$E186='数える用紙'!$C$2),ROW(),"")</f>
        <v/>
      </c>
      <c r="W186" s="74">
        <f>IF(AND($B186&lt;&gt;"",ISNUMBER($R186)),IF(AND($R186&lt;='設定'!$B$6+N('設定'!$B$14),IF(ISNUMBER($I186),$I186,N($H186))&gt;0),$R186+ROW()/100000,""),"")</f>
        <v/>
      </c>
    </row>
    <row r="187" ht="18" customHeight="1">
      <c r="A187" s="22" t="n">
        <v>183</v>
      </c>
      <c r="B187" s="23" t="n"/>
      <c r="C187" s="24" t="n"/>
      <c r="D187" s="24" t="n"/>
      <c r="E187" s="23" t="n"/>
      <c r="F187" s="23" t="n"/>
      <c r="G187" s="25" t="n"/>
      <c r="H187" s="25" t="n"/>
      <c r="I187" s="25" t="n"/>
      <c r="J187" s="72">
        <f>IF(OR($B187="",$H187=""),"",N($G187)*$H187)</f>
        <v/>
      </c>
      <c r="K187" s="72">
        <f>IF(OR($B187="",$I187=""),"",N($G187)*$I187)</f>
        <v/>
      </c>
      <c r="L187" s="27">
        <f>IF(OR($B187="",$H187="",$I187=""),"",$I187-$H187)</f>
        <v/>
      </c>
      <c r="M187" s="72">
        <f>IF($L187="","",$L187*N($G187))</f>
        <v/>
      </c>
      <c r="N187" s="73">
        <f>IF($L187="","",IF($H187&gt;0,ROUND($L187/$H187,4),"－"))</f>
        <v/>
      </c>
      <c r="O187" s="29">
        <f>IF($B187="","",IF($L187="","未入力",IF($L187=0,"一致",IF(OR(NOT(ISNUMBER($N187)),AND('設定'!$B$10&lt;&gt;"",ABS(N($N187))&gt;'設定'!$B$10),AND('設定'!$B$11&lt;&gt;"",ABS(ROUND($M187,4))&gt;'設定'!$B$11),AND('設定'!$B$10="",'設定'!$B$11="")),"要確認","許容内"))))</f>
        <v/>
      </c>
      <c r="P187" s="29">
        <f>IF($O187&lt;&gt;"要確認","",IF($Q187=0,"済",IF(COUNTIF('差異の原因'!$B$5:$B$204,$B187)=0,"未記録","一部")))</f>
        <v/>
      </c>
      <c r="Q187" s="27">
        <f>IF($L187="","",IF(AND($L187=0,COUNTIF('差異の原因'!$B$5:$B$204,$B187)=0),"",ROUND($L187-SUMIF('差異の原因'!$B$5:$B$204,$B187,'差異の原因'!$G$5:$G$204),6)))</f>
        <v/>
      </c>
      <c r="R187" s="30" t="n"/>
      <c r="S187" s="23" t="n"/>
      <c r="T187" s="29">
        <f>IF(OR($B187="",NOT(ISNUMBER($R187))),"",IF(IF(ISNUMBER($I187),$I187,N($H187))&lt;=0,"",IF($R187&lt;'設定'!$B$6,"期限切れ",IF($R187='設定'!$B$6,"当日",IF($R187-'設定'!$B$6&lt;=N('設定'!$B$14),"あと"&amp;($R187-'設定'!$B$6)&amp;"日","")))))</f>
        <v/>
      </c>
      <c r="U187" s="61" t="n"/>
      <c r="V187" s="31">
        <f>IF(AND($B187&lt;&gt;"",$E187&lt;&gt;"",$E187='数える用紙'!$C$2),ROW(),"")</f>
        <v/>
      </c>
      <c r="W187" s="74">
        <f>IF(AND($B187&lt;&gt;"",ISNUMBER($R187)),IF(AND($R187&lt;='設定'!$B$6+N('設定'!$B$14),IF(ISNUMBER($I187),$I187,N($H187))&gt;0),$R187+ROW()/100000,""),"")</f>
        <v/>
      </c>
    </row>
    <row r="188" ht="18" customHeight="1">
      <c r="A188" s="22" t="n">
        <v>184</v>
      </c>
      <c r="B188" s="23" t="n"/>
      <c r="C188" s="24" t="n"/>
      <c r="D188" s="24" t="n"/>
      <c r="E188" s="23" t="n"/>
      <c r="F188" s="23" t="n"/>
      <c r="G188" s="25" t="n"/>
      <c r="H188" s="25" t="n"/>
      <c r="I188" s="25" t="n"/>
      <c r="J188" s="72">
        <f>IF(OR($B188="",$H188=""),"",N($G188)*$H188)</f>
        <v/>
      </c>
      <c r="K188" s="72">
        <f>IF(OR($B188="",$I188=""),"",N($G188)*$I188)</f>
        <v/>
      </c>
      <c r="L188" s="27">
        <f>IF(OR($B188="",$H188="",$I188=""),"",$I188-$H188)</f>
        <v/>
      </c>
      <c r="M188" s="72">
        <f>IF($L188="","",$L188*N($G188))</f>
        <v/>
      </c>
      <c r="N188" s="73">
        <f>IF($L188="","",IF($H188&gt;0,ROUND($L188/$H188,4),"－"))</f>
        <v/>
      </c>
      <c r="O188" s="29">
        <f>IF($B188="","",IF($L188="","未入力",IF($L188=0,"一致",IF(OR(NOT(ISNUMBER($N188)),AND('設定'!$B$10&lt;&gt;"",ABS(N($N188))&gt;'設定'!$B$10),AND('設定'!$B$11&lt;&gt;"",ABS(ROUND($M188,4))&gt;'設定'!$B$11),AND('設定'!$B$10="",'設定'!$B$11="")),"要確認","許容内"))))</f>
        <v/>
      </c>
      <c r="P188" s="29">
        <f>IF($O188&lt;&gt;"要確認","",IF($Q188=0,"済",IF(COUNTIF('差異の原因'!$B$5:$B$204,$B188)=0,"未記録","一部")))</f>
        <v/>
      </c>
      <c r="Q188" s="27">
        <f>IF($L188="","",IF(AND($L188=0,COUNTIF('差異の原因'!$B$5:$B$204,$B188)=0),"",ROUND($L188-SUMIF('差異の原因'!$B$5:$B$204,$B188,'差異の原因'!$G$5:$G$204),6)))</f>
        <v/>
      </c>
      <c r="R188" s="30" t="n"/>
      <c r="S188" s="23" t="n"/>
      <c r="T188" s="29">
        <f>IF(OR($B188="",NOT(ISNUMBER($R188))),"",IF(IF(ISNUMBER($I188),$I188,N($H188))&lt;=0,"",IF($R188&lt;'設定'!$B$6,"期限切れ",IF($R188='設定'!$B$6,"当日",IF($R188-'設定'!$B$6&lt;=N('設定'!$B$14),"あと"&amp;($R188-'設定'!$B$6)&amp;"日","")))))</f>
        <v/>
      </c>
      <c r="U188" s="61" t="n"/>
      <c r="V188" s="31">
        <f>IF(AND($B188&lt;&gt;"",$E188&lt;&gt;"",$E188='数える用紙'!$C$2),ROW(),"")</f>
        <v/>
      </c>
      <c r="W188" s="74">
        <f>IF(AND($B188&lt;&gt;"",ISNUMBER($R188)),IF(AND($R188&lt;='設定'!$B$6+N('設定'!$B$14),IF(ISNUMBER($I188),$I188,N($H188))&gt;0),$R188+ROW()/100000,""),"")</f>
        <v/>
      </c>
    </row>
    <row r="189" ht="18" customHeight="1">
      <c r="A189" s="22" t="n">
        <v>185</v>
      </c>
      <c r="B189" s="23" t="n"/>
      <c r="C189" s="24" t="n"/>
      <c r="D189" s="24" t="n"/>
      <c r="E189" s="23" t="n"/>
      <c r="F189" s="23" t="n"/>
      <c r="G189" s="25" t="n"/>
      <c r="H189" s="25" t="n"/>
      <c r="I189" s="25" t="n"/>
      <c r="J189" s="72">
        <f>IF(OR($B189="",$H189=""),"",N($G189)*$H189)</f>
        <v/>
      </c>
      <c r="K189" s="72">
        <f>IF(OR($B189="",$I189=""),"",N($G189)*$I189)</f>
        <v/>
      </c>
      <c r="L189" s="27">
        <f>IF(OR($B189="",$H189="",$I189=""),"",$I189-$H189)</f>
        <v/>
      </c>
      <c r="M189" s="72">
        <f>IF($L189="","",$L189*N($G189))</f>
        <v/>
      </c>
      <c r="N189" s="73">
        <f>IF($L189="","",IF($H189&gt;0,ROUND($L189/$H189,4),"－"))</f>
        <v/>
      </c>
      <c r="O189" s="29">
        <f>IF($B189="","",IF($L189="","未入力",IF($L189=0,"一致",IF(OR(NOT(ISNUMBER($N189)),AND('設定'!$B$10&lt;&gt;"",ABS(N($N189))&gt;'設定'!$B$10),AND('設定'!$B$11&lt;&gt;"",ABS(ROUND($M189,4))&gt;'設定'!$B$11),AND('設定'!$B$10="",'設定'!$B$11="")),"要確認","許容内"))))</f>
        <v/>
      </c>
      <c r="P189" s="29">
        <f>IF($O189&lt;&gt;"要確認","",IF($Q189=0,"済",IF(COUNTIF('差異の原因'!$B$5:$B$204,$B189)=0,"未記録","一部")))</f>
        <v/>
      </c>
      <c r="Q189" s="27">
        <f>IF($L189="","",IF(AND($L189=0,COUNTIF('差異の原因'!$B$5:$B$204,$B189)=0),"",ROUND($L189-SUMIF('差異の原因'!$B$5:$B$204,$B189,'差異の原因'!$G$5:$G$204),6)))</f>
        <v/>
      </c>
      <c r="R189" s="30" t="n"/>
      <c r="S189" s="23" t="n"/>
      <c r="T189" s="29">
        <f>IF(OR($B189="",NOT(ISNUMBER($R189))),"",IF(IF(ISNUMBER($I189),$I189,N($H189))&lt;=0,"",IF($R189&lt;'設定'!$B$6,"期限切れ",IF($R189='設定'!$B$6,"当日",IF($R189-'設定'!$B$6&lt;=N('設定'!$B$14),"あと"&amp;($R189-'設定'!$B$6)&amp;"日","")))))</f>
        <v/>
      </c>
      <c r="U189" s="61" t="n"/>
      <c r="V189" s="31">
        <f>IF(AND($B189&lt;&gt;"",$E189&lt;&gt;"",$E189='数える用紙'!$C$2),ROW(),"")</f>
        <v/>
      </c>
      <c r="W189" s="74">
        <f>IF(AND($B189&lt;&gt;"",ISNUMBER($R189)),IF(AND($R189&lt;='設定'!$B$6+N('設定'!$B$14),IF(ISNUMBER($I189),$I189,N($H189))&gt;0),$R189+ROW()/100000,""),"")</f>
        <v/>
      </c>
    </row>
    <row r="190" ht="18" customHeight="1">
      <c r="A190" s="22" t="n">
        <v>186</v>
      </c>
      <c r="B190" s="23" t="n"/>
      <c r="C190" s="24" t="n"/>
      <c r="D190" s="24" t="n"/>
      <c r="E190" s="23" t="n"/>
      <c r="F190" s="23" t="n"/>
      <c r="G190" s="25" t="n"/>
      <c r="H190" s="25" t="n"/>
      <c r="I190" s="25" t="n"/>
      <c r="J190" s="72">
        <f>IF(OR($B190="",$H190=""),"",N($G190)*$H190)</f>
        <v/>
      </c>
      <c r="K190" s="72">
        <f>IF(OR($B190="",$I190=""),"",N($G190)*$I190)</f>
        <v/>
      </c>
      <c r="L190" s="27">
        <f>IF(OR($B190="",$H190="",$I190=""),"",$I190-$H190)</f>
        <v/>
      </c>
      <c r="M190" s="72">
        <f>IF($L190="","",$L190*N($G190))</f>
        <v/>
      </c>
      <c r="N190" s="73">
        <f>IF($L190="","",IF($H190&gt;0,ROUND($L190/$H190,4),"－"))</f>
        <v/>
      </c>
      <c r="O190" s="29">
        <f>IF($B190="","",IF($L190="","未入力",IF($L190=0,"一致",IF(OR(NOT(ISNUMBER($N190)),AND('設定'!$B$10&lt;&gt;"",ABS(N($N190))&gt;'設定'!$B$10),AND('設定'!$B$11&lt;&gt;"",ABS(ROUND($M190,4))&gt;'設定'!$B$11),AND('設定'!$B$10="",'設定'!$B$11="")),"要確認","許容内"))))</f>
        <v/>
      </c>
      <c r="P190" s="29">
        <f>IF($O190&lt;&gt;"要確認","",IF($Q190=0,"済",IF(COUNTIF('差異の原因'!$B$5:$B$204,$B190)=0,"未記録","一部")))</f>
        <v/>
      </c>
      <c r="Q190" s="27">
        <f>IF($L190="","",IF(AND($L190=0,COUNTIF('差異の原因'!$B$5:$B$204,$B190)=0),"",ROUND($L190-SUMIF('差異の原因'!$B$5:$B$204,$B190,'差異の原因'!$G$5:$G$204),6)))</f>
        <v/>
      </c>
      <c r="R190" s="30" t="n"/>
      <c r="S190" s="23" t="n"/>
      <c r="T190" s="29">
        <f>IF(OR($B190="",NOT(ISNUMBER($R190))),"",IF(IF(ISNUMBER($I190),$I190,N($H190))&lt;=0,"",IF($R190&lt;'設定'!$B$6,"期限切れ",IF($R190='設定'!$B$6,"当日",IF($R190-'設定'!$B$6&lt;=N('設定'!$B$14),"あと"&amp;($R190-'設定'!$B$6)&amp;"日","")))))</f>
        <v/>
      </c>
      <c r="U190" s="61" t="n"/>
      <c r="V190" s="31">
        <f>IF(AND($B190&lt;&gt;"",$E190&lt;&gt;"",$E190='数える用紙'!$C$2),ROW(),"")</f>
        <v/>
      </c>
      <c r="W190" s="74">
        <f>IF(AND($B190&lt;&gt;"",ISNUMBER($R190)),IF(AND($R190&lt;='設定'!$B$6+N('設定'!$B$14),IF(ISNUMBER($I190),$I190,N($H190))&gt;0),$R190+ROW()/100000,""),"")</f>
        <v/>
      </c>
    </row>
    <row r="191" ht="18" customHeight="1">
      <c r="A191" s="22" t="n">
        <v>187</v>
      </c>
      <c r="B191" s="23" t="n"/>
      <c r="C191" s="24" t="n"/>
      <c r="D191" s="24" t="n"/>
      <c r="E191" s="23" t="n"/>
      <c r="F191" s="23" t="n"/>
      <c r="G191" s="25" t="n"/>
      <c r="H191" s="25" t="n"/>
      <c r="I191" s="25" t="n"/>
      <c r="J191" s="72">
        <f>IF(OR($B191="",$H191=""),"",N($G191)*$H191)</f>
        <v/>
      </c>
      <c r="K191" s="72">
        <f>IF(OR($B191="",$I191=""),"",N($G191)*$I191)</f>
        <v/>
      </c>
      <c r="L191" s="27">
        <f>IF(OR($B191="",$H191="",$I191=""),"",$I191-$H191)</f>
        <v/>
      </c>
      <c r="M191" s="72">
        <f>IF($L191="","",$L191*N($G191))</f>
        <v/>
      </c>
      <c r="N191" s="73">
        <f>IF($L191="","",IF($H191&gt;0,ROUND($L191/$H191,4),"－"))</f>
        <v/>
      </c>
      <c r="O191" s="29">
        <f>IF($B191="","",IF($L191="","未入力",IF($L191=0,"一致",IF(OR(NOT(ISNUMBER($N191)),AND('設定'!$B$10&lt;&gt;"",ABS(N($N191))&gt;'設定'!$B$10),AND('設定'!$B$11&lt;&gt;"",ABS(ROUND($M191,4))&gt;'設定'!$B$11),AND('設定'!$B$10="",'設定'!$B$11="")),"要確認","許容内"))))</f>
        <v/>
      </c>
      <c r="P191" s="29">
        <f>IF($O191&lt;&gt;"要確認","",IF($Q191=0,"済",IF(COUNTIF('差異の原因'!$B$5:$B$204,$B191)=0,"未記録","一部")))</f>
        <v/>
      </c>
      <c r="Q191" s="27">
        <f>IF($L191="","",IF(AND($L191=0,COUNTIF('差異の原因'!$B$5:$B$204,$B191)=0),"",ROUND($L191-SUMIF('差異の原因'!$B$5:$B$204,$B191,'差異の原因'!$G$5:$G$204),6)))</f>
        <v/>
      </c>
      <c r="R191" s="30" t="n"/>
      <c r="S191" s="23" t="n"/>
      <c r="T191" s="29">
        <f>IF(OR($B191="",NOT(ISNUMBER($R191))),"",IF(IF(ISNUMBER($I191),$I191,N($H191))&lt;=0,"",IF($R191&lt;'設定'!$B$6,"期限切れ",IF($R191='設定'!$B$6,"当日",IF($R191-'設定'!$B$6&lt;=N('設定'!$B$14),"あと"&amp;($R191-'設定'!$B$6)&amp;"日","")))))</f>
        <v/>
      </c>
      <c r="U191" s="61" t="n"/>
      <c r="V191" s="31">
        <f>IF(AND($B191&lt;&gt;"",$E191&lt;&gt;"",$E191='数える用紙'!$C$2),ROW(),"")</f>
        <v/>
      </c>
      <c r="W191" s="74">
        <f>IF(AND($B191&lt;&gt;"",ISNUMBER($R191)),IF(AND($R191&lt;='設定'!$B$6+N('設定'!$B$14),IF(ISNUMBER($I191),$I191,N($H191))&gt;0),$R191+ROW()/100000,""),"")</f>
        <v/>
      </c>
    </row>
    <row r="192" ht="18" customHeight="1">
      <c r="A192" s="22" t="n">
        <v>188</v>
      </c>
      <c r="B192" s="23" t="n"/>
      <c r="C192" s="24" t="n"/>
      <c r="D192" s="24" t="n"/>
      <c r="E192" s="23" t="n"/>
      <c r="F192" s="23" t="n"/>
      <c r="G192" s="25" t="n"/>
      <c r="H192" s="25" t="n"/>
      <c r="I192" s="25" t="n"/>
      <c r="J192" s="72">
        <f>IF(OR($B192="",$H192=""),"",N($G192)*$H192)</f>
        <v/>
      </c>
      <c r="K192" s="72">
        <f>IF(OR($B192="",$I192=""),"",N($G192)*$I192)</f>
        <v/>
      </c>
      <c r="L192" s="27">
        <f>IF(OR($B192="",$H192="",$I192=""),"",$I192-$H192)</f>
        <v/>
      </c>
      <c r="M192" s="72">
        <f>IF($L192="","",$L192*N($G192))</f>
        <v/>
      </c>
      <c r="N192" s="73">
        <f>IF($L192="","",IF($H192&gt;0,ROUND($L192/$H192,4),"－"))</f>
        <v/>
      </c>
      <c r="O192" s="29">
        <f>IF($B192="","",IF($L192="","未入力",IF($L192=0,"一致",IF(OR(NOT(ISNUMBER($N192)),AND('設定'!$B$10&lt;&gt;"",ABS(N($N192))&gt;'設定'!$B$10),AND('設定'!$B$11&lt;&gt;"",ABS(ROUND($M192,4))&gt;'設定'!$B$11),AND('設定'!$B$10="",'設定'!$B$11="")),"要確認","許容内"))))</f>
        <v/>
      </c>
      <c r="P192" s="29">
        <f>IF($O192&lt;&gt;"要確認","",IF($Q192=0,"済",IF(COUNTIF('差異の原因'!$B$5:$B$204,$B192)=0,"未記録","一部")))</f>
        <v/>
      </c>
      <c r="Q192" s="27">
        <f>IF($L192="","",IF(AND($L192=0,COUNTIF('差異の原因'!$B$5:$B$204,$B192)=0),"",ROUND($L192-SUMIF('差異の原因'!$B$5:$B$204,$B192,'差異の原因'!$G$5:$G$204),6)))</f>
        <v/>
      </c>
      <c r="R192" s="30" t="n"/>
      <c r="S192" s="23" t="n"/>
      <c r="T192" s="29">
        <f>IF(OR($B192="",NOT(ISNUMBER($R192))),"",IF(IF(ISNUMBER($I192),$I192,N($H192))&lt;=0,"",IF($R192&lt;'設定'!$B$6,"期限切れ",IF($R192='設定'!$B$6,"当日",IF($R192-'設定'!$B$6&lt;=N('設定'!$B$14),"あと"&amp;($R192-'設定'!$B$6)&amp;"日","")))))</f>
        <v/>
      </c>
      <c r="U192" s="61" t="n"/>
      <c r="V192" s="31">
        <f>IF(AND($B192&lt;&gt;"",$E192&lt;&gt;"",$E192='数える用紙'!$C$2),ROW(),"")</f>
        <v/>
      </c>
      <c r="W192" s="74">
        <f>IF(AND($B192&lt;&gt;"",ISNUMBER($R192)),IF(AND($R192&lt;='設定'!$B$6+N('設定'!$B$14),IF(ISNUMBER($I192),$I192,N($H192))&gt;0),$R192+ROW()/100000,""),"")</f>
        <v/>
      </c>
    </row>
    <row r="193" ht="18" customHeight="1">
      <c r="A193" s="22" t="n">
        <v>189</v>
      </c>
      <c r="B193" s="23" t="n"/>
      <c r="C193" s="24" t="n"/>
      <c r="D193" s="24" t="n"/>
      <c r="E193" s="23" t="n"/>
      <c r="F193" s="23" t="n"/>
      <c r="G193" s="25" t="n"/>
      <c r="H193" s="25" t="n"/>
      <c r="I193" s="25" t="n"/>
      <c r="J193" s="72">
        <f>IF(OR($B193="",$H193=""),"",N($G193)*$H193)</f>
        <v/>
      </c>
      <c r="K193" s="72">
        <f>IF(OR($B193="",$I193=""),"",N($G193)*$I193)</f>
        <v/>
      </c>
      <c r="L193" s="27">
        <f>IF(OR($B193="",$H193="",$I193=""),"",$I193-$H193)</f>
        <v/>
      </c>
      <c r="M193" s="72">
        <f>IF($L193="","",$L193*N($G193))</f>
        <v/>
      </c>
      <c r="N193" s="73">
        <f>IF($L193="","",IF($H193&gt;0,ROUND($L193/$H193,4),"－"))</f>
        <v/>
      </c>
      <c r="O193" s="29">
        <f>IF($B193="","",IF($L193="","未入力",IF($L193=0,"一致",IF(OR(NOT(ISNUMBER($N193)),AND('設定'!$B$10&lt;&gt;"",ABS(N($N193))&gt;'設定'!$B$10),AND('設定'!$B$11&lt;&gt;"",ABS(ROUND($M193,4))&gt;'設定'!$B$11),AND('設定'!$B$10="",'設定'!$B$11="")),"要確認","許容内"))))</f>
        <v/>
      </c>
      <c r="P193" s="29">
        <f>IF($O193&lt;&gt;"要確認","",IF($Q193=0,"済",IF(COUNTIF('差異の原因'!$B$5:$B$204,$B193)=0,"未記録","一部")))</f>
        <v/>
      </c>
      <c r="Q193" s="27">
        <f>IF($L193="","",IF(AND($L193=0,COUNTIF('差異の原因'!$B$5:$B$204,$B193)=0),"",ROUND($L193-SUMIF('差異の原因'!$B$5:$B$204,$B193,'差異の原因'!$G$5:$G$204),6)))</f>
        <v/>
      </c>
      <c r="R193" s="30" t="n"/>
      <c r="S193" s="23" t="n"/>
      <c r="T193" s="29">
        <f>IF(OR($B193="",NOT(ISNUMBER($R193))),"",IF(IF(ISNUMBER($I193),$I193,N($H193))&lt;=0,"",IF($R193&lt;'設定'!$B$6,"期限切れ",IF($R193='設定'!$B$6,"当日",IF($R193-'設定'!$B$6&lt;=N('設定'!$B$14),"あと"&amp;($R193-'設定'!$B$6)&amp;"日","")))))</f>
        <v/>
      </c>
      <c r="U193" s="61" t="n"/>
      <c r="V193" s="31">
        <f>IF(AND($B193&lt;&gt;"",$E193&lt;&gt;"",$E193='数える用紙'!$C$2),ROW(),"")</f>
        <v/>
      </c>
      <c r="W193" s="74">
        <f>IF(AND($B193&lt;&gt;"",ISNUMBER($R193)),IF(AND($R193&lt;='設定'!$B$6+N('設定'!$B$14),IF(ISNUMBER($I193),$I193,N($H193))&gt;0),$R193+ROW()/100000,""),"")</f>
        <v/>
      </c>
    </row>
    <row r="194" ht="18" customHeight="1">
      <c r="A194" s="22" t="n">
        <v>190</v>
      </c>
      <c r="B194" s="23" t="n"/>
      <c r="C194" s="24" t="n"/>
      <c r="D194" s="24" t="n"/>
      <c r="E194" s="23" t="n"/>
      <c r="F194" s="23" t="n"/>
      <c r="G194" s="25" t="n"/>
      <c r="H194" s="25" t="n"/>
      <c r="I194" s="25" t="n"/>
      <c r="J194" s="72">
        <f>IF(OR($B194="",$H194=""),"",N($G194)*$H194)</f>
        <v/>
      </c>
      <c r="K194" s="72">
        <f>IF(OR($B194="",$I194=""),"",N($G194)*$I194)</f>
        <v/>
      </c>
      <c r="L194" s="27">
        <f>IF(OR($B194="",$H194="",$I194=""),"",$I194-$H194)</f>
        <v/>
      </c>
      <c r="M194" s="72">
        <f>IF($L194="","",$L194*N($G194))</f>
        <v/>
      </c>
      <c r="N194" s="73">
        <f>IF($L194="","",IF($H194&gt;0,ROUND($L194/$H194,4),"－"))</f>
        <v/>
      </c>
      <c r="O194" s="29">
        <f>IF($B194="","",IF($L194="","未入力",IF($L194=0,"一致",IF(OR(NOT(ISNUMBER($N194)),AND('設定'!$B$10&lt;&gt;"",ABS(N($N194))&gt;'設定'!$B$10),AND('設定'!$B$11&lt;&gt;"",ABS(ROUND($M194,4))&gt;'設定'!$B$11),AND('設定'!$B$10="",'設定'!$B$11="")),"要確認","許容内"))))</f>
        <v/>
      </c>
      <c r="P194" s="29">
        <f>IF($O194&lt;&gt;"要確認","",IF($Q194=0,"済",IF(COUNTIF('差異の原因'!$B$5:$B$204,$B194)=0,"未記録","一部")))</f>
        <v/>
      </c>
      <c r="Q194" s="27">
        <f>IF($L194="","",IF(AND($L194=0,COUNTIF('差異の原因'!$B$5:$B$204,$B194)=0),"",ROUND($L194-SUMIF('差異の原因'!$B$5:$B$204,$B194,'差異の原因'!$G$5:$G$204),6)))</f>
        <v/>
      </c>
      <c r="R194" s="30" t="n"/>
      <c r="S194" s="23" t="n"/>
      <c r="T194" s="29">
        <f>IF(OR($B194="",NOT(ISNUMBER($R194))),"",IF(IF(ISNUMBER($I194),$I194,N($H194))&lt;=0,"",IF($R194&lt;'設定'!$B$6,"期限切れ",IF($R194='設定'!$B$6,"当日",IF($R194-'設定'!$B$6&lt;=N('設定'!$B$14),"あと"&amp;($R194-'設定'!$B$6)&amp;"日","")))))</f>
        <v/>
      </c>
      <c r="U194" s="61" t="n"/>
      <c r="V194" s="31">
        <f>IF(AND($B194&lt;&gt;"",$E194&lt;&gt;"",$E194='数える用紙'!$C$2),ROW(),"")</f>
        <v/>
      </c>
      <c r="W194" s="74">
        <f>IF(AND($B194&lt;&gt;"",ISNUMBER($R194)),IF(AND($R194&lt;='設定'!$B$6+N('設定'!$B$14),IF(ISNUMBER($I194),$I194,N($H194))&gt;0),$R194+ROW()/100000,""),"")</f>
        <v/>
      </c>
    </row>
    <row r="195" ht="18" customHeight="1">
      <c r="A195" s="22" t="n">
        <v>191</v>
      </c>
      <c r="B195" s="23" t="n"/>
      <c r="C195" s="24" t="n"/>
      <c r="D195" s="24" t="n"/>
      <c r="E195" s="23" t="n"/>
      <c r="F195" s="23" t="n"/>
      <c r="G195" s="25" t="n"/>
      <c r="H195" s="25" t="n"/>
      <c r="I195" s="25" t="n"/>
      <c r="J195" s="72">
        <f>IF(OR($B195="",$H195=""),"",N($G195)*$H195)</f>
        <v/>
      </c>
      <c r="K195" s="72">
        <f>IF(OR($B195="",$I195=""),"",N($G195)*$I195)</f>
        <v/>
      </c>
      <c r="L195" s="27">
        <f>IF(OR($B195="",$H195="",$I195=""),"",$I195-$H195)</f>
        <v/>
      </c>
      <c r="M195" s="72">
        <f>IF($L195="","",$L195*N($G195))</f>
        <v/>
      </c>
      <c r="N195" s="73">
        <f>IF($L195="","",IF($H195&gt;0,ROUND($L195/$H195,4),"－"))</f>
        <v/>
      </c>
      <c r="O195" s="29">
        <f>IF($B195="","",IF($L195="","未入力",IF($L195=0,"一致",IF(OR(NOT(ISNUMBER($N195)),AND('設定'!$B$10&lt;&gt;"",ABS(N($N195))&gt;'設定'!$B$10),AND('設定'!$B$11&lt;&gt;"",ABS(ROUND($M195,4))&gt;'設定'!$B$11),AND('設定'!$B$10="",'設定'!$B$11="")),"要確認","許容内"))))</f>
        <v/>
      </c>
      <c r="P195" s="29">
        <f>IF($O195&lt;&gt;"要確認","",IF($Q195=0,"済",IF(COUNTIF('差異の原因'!$B$5:$B$204,$B195)=0,"未記録","一部")))</f>
        <v/>
      </c>
      <c r="Q195" s="27">
        <f>IF($L195="","",IF(AND($L195=0,COUNTIF('差異の原因'!$B$5:$B$204,$B195)=0),"",ROUND($L195-SUMIF('差異の原因'!$B$5:$B$204,$B195,'差異の原因'!$G$5:$G$204),6)))</f>
        <v/>
      </c>
      <c r="R195" s="30" t="n"/>
      <c r="S195" s="23" t="n"/>
      <c r="T195" s="29">
        <f>IF(OR($B195="",NOT(ISNUMBER($R195))),"",IF(IF(ISNUMBER($I195),$I195,N($H195))&lt;=0,"",IF($R195&lt;'設定'!$B$6,"期限切れ",IF($R195='設定'!$B$6,"当日",IF($R195-'設定'!$B$6&lt;=N('設定'!$B$14),"あと"&amp;($R195-'設定'!$B$6)&amp;"日","")))))</f>
        <v/>
      </c>
      <c r="U195" s="61" t="n"/>
      <c r="V195" s="31">
        <f>IF(AND($B195&lt;&gt;"",$E195&lt;&gt;"",$E195='数える用紙'!$C$2),ROW(),"")</f>
        <v/>
      </c>
      <c r="W195" s="74">
        <f>IF(AND($B195&lt;&gt;"",ISNUMBER($R195)),IF(AND($R195&lt;='設定'!$B$6+N('設定'!$B$14),IF(ISNUMBER($I195),$I195,N($H195))&gt;0),$R195+ROW()/100000,""),"")</f>
        <v/>
      </c>
    </row>
    <row r="196" ht="18" customHeight="1">
      <c r="A196" s="22" t="n">
        <v>192</v>
      </c>
      <c r="B196" s="23" t="n"/>
      <c r="C196" s="24" t="n"/>
      <c r="D196" s="24" t="n"/>
      <c r="E196" s="23" t="n"/>
      <c r="F196" s="23" t="n"/>
      <c r="G196" s="25" t="n"/>
      <c r="H196" s="25" t="n"/>
      <c r="I196" s="25" t="n"/>
      <c r="J196" s="72">
        <f>IF(OR($B196="",$H196=""),"",N($G196)*$H196)</f>
        <v/>
      </c>
      <c r="K196" s="72">
        <f>IF(OR($B196="",$I196=""),"",N($G196)*$I196)</f>
        <v/>
      </c>
      <c r="L196" s="27">
        <f>IF(OR($B196="",$H196="",$I196=""),"",$I196-$H196)</f>
        <v/>
      </c>
      <c r="M196" s="72">
        <f>IF($L196="","",$L196*N($G196))</f>
        <v/>
      </c>
      <c r="N196" s="73">
        <f>IF($L196="","",IF($H196&gt;0,ROUND($L196/$H196,4),"－"))</f>
        <v/>
      </c>
      <c r="O196" s="29">
        <f>IF($B196="","",IF($L196="","未入力",IF($L196=0,"一致",IF(OR(NOT(ISNUMBER($N196)),AND('設定'!$B$10&lt;&gt;"",ABS(N($N196))&gt;'設定'!$B$10),AND('設定'!$B$11&lt;&gt;"",ABS(ROUND($M196,4))&gt;'設定'!$B$11),AND('設定'!$B$10="",'設定'!$B$11="")),"要確認","許容内"))))</f>
        <v/>
      </c>
      <c r="P196" s="29">
        <f>IF($O196&lt;&gt;"要確認","",IF($Q196=0,"済",IF(COUNTIF('差異の原因'!$B$5:$B$204,$B196)=0,"未記録","一部")))</f>
        <v/>
      </c>
      <c r="Q196" s="27">
        <f>IF($L196="","",IF(AND($L196=0,COUNTIF('差異の原因'!$B$5:$B$204,$B196)=0),"",ROUND($L196-SUMIF('差異の原因'!$B$5:$B$204,$B196,'差異の原因'!$G$5:$G$204),6)))</f>
        <v/>
      </c>
      <c r="R196" s="30" t="n"/>
      <c r="S196" s="23" t="n"/>
      <c r="T196" s="29">
        <f>IF(OR($B196="",NOT(ISNUMBER($R196))),"",IF(IF(ISNUMBER($I196),$I196,N($H196))&lt;=0,"",IF($R196&lt;'設定'!$B$6,"期限切れ",IF($R196='設定'!$B$6,"当日",IF($R196-'設定'!$B$6&lt;=N('設定'!$B$14),"あと"&amp;($R196-'設定'!$B$6)&amp;"日","")))))</f>
        <v/>
      </c>
      <c r="U196" s="61" t="n"/>
      <c r="V196" s="31">
        <f>IF(AND($B196&lt;&gt;"",$E196&lt;&gt;"",$E196='数える用紙'!$C$2),ROW(),"")</f>
        <v/>
      </c>
      <c r="W196" s="74">
        <f>IF(AND($B196&lt;&gt;"",ISNUMBER($R196)),IF(AND($R196&lt;='設定'!$B$6+N('設定'!$B$14),IF(ISNUMBER($I196),$I196,N($H196))&gt;0),$R196+ROW()/100000,""),"")</f>
        <v/>
      </c>
    </row>
    <row r="197" ht="18" customHeight="1">
      <c r="A197" s="22" t="n">
        <v>193</v>
      </c>
      <c r="B197" s="23" t="n"/>
      <c r="C197" s="24" t="n"/>
      <c r="D197" s="24" t="n"/>
      <c r="E197" s="23" t="n"/>
      <c r="F197" s="23" t="n"/>
      <c r="G197" s="25" t="n"/>
      <c r="H197" s="25" t="n"/>
      <c r="I197" s="25" t="n"/>
      <c r="J197" s="72">
        <f>IF(OR($B197="",$H197=""),"",N($G197)*$H197)</f>
        <v/>
      </c>
      <c r="K197" s="72">
        <f>IF(OR($B197="",$I197=""),"",N($G197)*$I197)</f>
        <v/>
      </c>
      <c r="L197" s="27">
        <f>IF(OR($B197="",$H197="",$I197=""),"",$I197-$H197)</f>
        <v/>
      </c>
      <c r="M197" s="72">
        <f>IF($L197="","",$L197*N($G197))</f>
        <v/>
      </c>
      <c r="N197" s="73">
        <f>IF($L197="","",IF($H197&gt;0,ROUND($L197/$H197,4),"－"))</f>
        <v/>
      </c>
      <c r="O197" s="29">
        <f>IF($B197="","",IF($L197="","未入力",IF($L197=0,"一致",IF(OR(NOT(ISNUMBER($N197)),AND('設定'!$B$10&lt;&gt;"",ABS(N($N197))&gt;'設定'!$B$10),AND('設定'!$B$11&lt;&gt;"",ABS(ROUND($M197,4))&gt;'設定'!$B$11),AND('設定'!$B$10="",'設定'!$B$11="")),"要確認","許容内"))))</f>
        <v/>
      </c>
      <c r="P197" s="29">
        <f>IF($O197&lt;&gt;"要確認","",IF($Q197=0,"済",IF(COUNTIF('差異の原因'!$B$5:$B$204,$B197)=0,"未記録","一部")))</f>
        <v/>
      </c>
      <c r="Q197" s="27">
        <f>IF($L197="","",IF(AND($L197=0,COUNTIF('差異の原因'!$B$5:$B$204,$B197)=0),"",ROUND($L197-SUMIF('差異の原因'!$B$5:$B$204,$B197,'差異の原因'!$G$5:$G$204),6)))</f>
        <v/>
      </c>
      <c r="R197" s="30" t="n"/>
      <c r="S197" s="23" t="n"/>
      <c r="T197" s="29">
        <f>IF(OR($B197="",NOT(ISNUMBER($R197))),"",IF(IF(ISNUMBER($I197),$I197,N($H197))&lt;=0,"",IF($R197&lt;'設定'!$B$6,"期限切れ",IF($R197='設定'!$B$6,"当日",IF($R197-'設定'!$B$6&lt;=N('設定'!$B$14),"あと"&amp;($R197-'設定'!$B$6)&amp;"日","")))))</f>
        <v/>
      </c>
      <c r="U197" s="61" t="n"/>
      <c r="V197" s="31">
        <f>IF(AND($B197&lt;&gt;"",$E197&lt;&gt;"",$E197='数える用紙'!$C$2),ROW(),"")</f>
        <v/>
      </c>
      <c r="W197" s="74">
        <f>IF(AND($B197&lt;&gt;"",ISNUMBER($R197)),IF(AND($R197&lt;='設定'!$B$6+N('設定'!$B$14),IF(ISNUMBER($I197),$I197,N($H197))&gt;0),$R197+ROW()/100000,""),"")</f>
        <v/>
      </c>
    </row>
    <row r="198" ht="18" customHeight="1">
      <c r="A198" s="22" t="n">
        <v>194</v>
      </c>
      <c r="B198" s="23" t="n"/>
      <c r="C198" s="24" t="n"/>
      <c r="D198" s="24" t="n"/>
      <c r="E198" s="23" t="n"/>
      <c r="F198" s="23" t="n"/>
      <c r="G198" s="25" t="n"/>
      <c r="H198" s="25" t="n"/>
      <c r="I198" s="25" t="n"/>
      <c r="J198" s="72">
        <f>IF(OR($B198="",$H198=""),"",N($G198)*$H198)</f>
        <v/>
      </c>
      <c r="K198" s="72">
        <f>IF(OR($B198="",$I198=""),"",N($G198)*$I198)</f>
        <v/>
      </c>
      <c r="L198" s="27">
        <f>IF(OR($B198="",$H198="",$I198=""),"",$I198-$H198)</f>
        <v/>
      </c>
      <c r="M198" s="72">
        <f>IF($L198="","",$L198*N($G198))</f>
        <v/>
      </c>
      <c r="N198" s="73">
        <f>IF($L198="","",IF($H198&gt;0,ROUND($L198/$H198,4),"－"))</f>
        <v/>
      </c>
      <c r="O198" s="29">
        <f>IF($B198="","",IF($L198="","未入力",IF($L198=0,"一致",IF(OR(NOT(ISNUMBER($N198)),AND('設定'!$B$10&lt;&gt;"",ABS(N($N198))&gt;'設定'!$B$10),AND('設定'!$B$11&lt;&gt;"",ABS(ROUND($M198,4))&gt;'設定'!$B$11),AND('設定'!$B$10="",'設定'!$B$11="")),"要確認","許容内"))))</f>
        <v/>
      </c>
      <c r="P198" s="29">
        <f>IF($O198&lt;&gt;"要確認","",IF($Q198=0,"済",IF(COUNTIF('差異の原因'!$B$5:$B$204,$B198)=0,"未記録","一部")))</f>
        <v/>
      </c>
      <c r="Q198" s="27">
        <f>IF($L198="","",IF(AND($L198=0,COUNTIF('差異の原因'!$B$5:$B$204,$B198)=0),"",ROUND($L198-SUMIF('差異の原因'!$B$5:$B$204,$B198,'差異の原因'!$G$5:$G$204),6)))</f>
        <v/>
      </c>
      <c r="R198" s="30" t="n"/>
      <c r="S198" s="23" t="n"/>
      <c r="T198" s="29">
        <f>IF(OR($B198="",NOT(ISNUMBER($R198))),"",IF(IF(ISNUMBER($I198),$I198,N($H198))&lt;=0,"",IF($R198&lt;'設定'!$B$6,"期限切れ",IF($R198='設定'!$B$6,"当日",IF($R198-'設定'!$B$6&lt;=N('設定'!$B$14),"あと"&amp;($R198-'設定'!$B$6)&amp;"日","")))))</f>
        <v/>
      </c>
      <c r="U198" s="61" t="n"/>
      <c r="V198" s="31">
        <f>IF(AND($B198&lt;&gt;"",$E198&lt;&gt;"",$E198='数える用紙'!$C$2),ROW(),"")</f>
        <v/>
      </c>
      <c r="W198" s="74">
        <f>IF(AND($B198&lt;&gt;"",ISNUMBER($R198)),IF(AND($R198&lt;='設定'!$B$6+N('設定'!$B$14),IF(ISNUMBER($I198),$I198,N($H198))&gt;0),$R198+ROW()/100000,""),"")</f>
        <v/>
      </c>
    </row>
    <row r="199" ht="18" customHeight="1">
      <c r="A199" s="22" t="n">
        <v>195</v>
      </c>
      <c r="B199" s="23" t="n"/>
      <c r="C199" s="24" t="n"/>
      <c r="D199" s="24" t="n"/>
      <c r="E199" s="23" t="n"/>
      <c r="F199" s="23" t="n"/>
      <c r="G199" s="25" t="n"/>
      <c r="H199" s="25" t="n"/>
      <c r="I199" s="25" t="n"/>
      <c r="J199" s="72">
        <f>IF(OR($B199="",$H199=""),"",N($G199)*$H199)</f>
        <v/>
      </c>
      <c r="K199" s="72">
        <f>IF(OR($B199="",$I199=""),"",N($G199)*$I199)</f>
        <v/>
      </c>
      <c r="L199" s="27">
        <f>IF(OR($B199="",$H199="",$I199=""),"",$I199-$H199)</f>
        <v/>
      </c>
      <c r="M199" s="72">
        <f>IF($L199="","",$L199*N($G199))</f>
        <v/>
      </c>
      <c r="N199" s="73">
        <f>IF($L199="","",IF($H199&gt;0,ROUND($L199/$H199,4),"－"))</f>
        <v/>
      </c>
      <c r="O199" s="29">
        <f>IF($B199="","",IF($L199="","未入力",IF($L199=0,"一致",IF(OR(NOT(ISNUMBER($N199)),AND('設定'!$B$10&lt;&gt;"",ABS(N($N199))&gt;'設定'!$B$10),AND('設定'!$B$11&lt;&gt;"",ABS(ROUND($M199,4))&gt;'設定'!$B$11),AND('設定'!$B$10="",'設定'!$B$11="")),"要確認","許容内"))))</f>
        <v/>
      </c>
      <c r="P199" s="29">
        <f>IF($O199&lt;&gt;"要確認","",IF($Q199=0,"済",IF(COUNTIF('差異の原因'!$B$5:$B$204,$B199)=0,"未記録","一部")))</f>
        <v/>
      </c>
      <c r="Q199" s="27">
        <f>IF($L199="","",IF(AND($L199=0,COUNTIF('差異の原因'!$B$5:$B$204,$B199)=0),"",ROUND($L199-SUMIF('差異の原因'!$B$5:$B$204,$B199,'差異の原因'!$G$5:$G$204),6)))</f>
        <v/>
      </c>
      <c r="R199" s="30" t="n"/>
      <c r="S199" s="23" t="n"/>
      <c r="T199" s="29">
        <f>IF(OR($B199="",NOT(ISNUMBER($R199))),"",IF(IF(ISNUMBER($I199),$I199,N($H199))&lt;=0,"",IF($R199&lt;'設定'!$B$6,"期限切れ",IF($R199='設定'!$B$6,"当日",IF($R199-'設定'!$B$6&lt;=N('設定'!$B$14),"あと"&amp;($R199-'設定'!$B$6)&amp;"日","")))))</f>
        <v/>
      </c>
      <c r="U199" s="61" t="n"/>
      <c r="V199" s="31">
        <f>IF(AND($B199&lt;&gt;"",$E199&lt;&gt;"",$E199='数える用紙'!$C$2),ROW(),"")</f>
        <v/>
      </c>
      <c r="W199" s="74">
        <f>IF(AND($B199&lt;&gt;"",ISNUMBER($R199)),IF(AND($R199&lt;='設定'!$B$6+N('設定'!$B$14),IF(ISNUMBER($I199),$I199,N($H199))&gt;0),$R199+ROW()/100000,""),"")</f>
        <v/>
      </c>
    </row>
    <row r="200" ht="18" customHeight="1">
      <c r="A200" s="22" t="n">
        <v>196</v>
      </c>
      <c r="B200" s="23" t="n"/>
      <c r="C200" s="24" t="n"/>
      <c r="D200" s="24" t="n"/>
      <c r="E200" s="23" t="n"/>
      <c r="F200" s="23" t="n"/>
      <c r="G200" s="25" t="n"/>
      <c r="H200" s="25" t="n"/>
      <c r="I200" s="25" t="n"/>
      <c r="J200" s="72">
        <f>IF(OR($B200="",$H200=""),"",N($G200)*$H200)</f>
        <v/>
      </c>
      <c r="K200" s="72">
        <f>IF(OR($B200="",$I200=""),"",N($G200)*$I200)</f>
        <v/>
      </c>
      <c r="L200" s="27">
        <f>IF(OR($B200="",$H200="",$I200=""),"",$I200-$H200)</f>
        <v/>
      </c>
      <c r="M200" s="72">
        <f>IF($L200="","",$L200*N($G200))</f>
        <v/>
      </c>
      <c r="N200" s="73">
        <f>IF($L200="","",IF($H200&gt;0,ROUND($L200/$H200,4),"－"))</f>
        <v/>
      </c>
      <c r="O200" s="29">
        <f>IF($B200="","",IF($L200="","未入力",IF($L200=0,"一致",IF(OR(NOT(ISNUMBER($N200)),AND('設定'!$B$10&lt;&gt;"",ABS(N($N200))&gt;'設定'!$B$10),AND('設定'!$B$11&lt;&gt;"",ABS(ROUND($M200,4))&gt;'設定'!$B$11),AND('設定'!$B$10="",'設定'!$B$11="")),"要確認","許容内"))))</f>
        <v/>
      </c>
      <c r="P200" s="29">
        <f>IF($O200&lt;&gt;"要確認","",IF($Q200=0,"済",IF(COUNTIF('差異の原因'!$B$5:$B$204,$B200)=0,"未記録","一部")))</f>
        <v/>
      </c>
      <c r="Q200" s="27">
        <f>IF($L200="","",IF(AND($L200=0,COUNTIF('差異の原因'!$B$5:$B$204,$B200)=0),"",ROUND($L200-SUMIF('差異の原因'!$B$5:$B$204,$B200,'差異の原因'!$G$5:$G$204),6)))</f>
        <v/>
      </c>
      <c r="R200" s="30" t="n"/>
      <c r="S200" s="23" t="n"/>
      <c r="T200" s="29">
        <f>IF(OR($B200="",NOT(ISNUMBER($R200))),"",IF(IF(ISNUMBER($I200),$I200,N($H200))&lt;=0,"",IF($R200&lt;'設定'!$B$6,"期限切れ",IF($R200='設定'!$B$6,"当日",IF($R200-'設定'!$B$6&lt;=N('設定'!$B$14),"あと"&amp;($R200-'設定'!$B$6)&amp;"日","")))))</f>
        <v/>
      </c>
      <c r="U200" s="61" t="n"/>
      <c r="V200" s="31">
        <f>IF(AND($B200&lt;&gt;"",$E200&lt;&gt;"",$E200='数える用紙'!$C$2),ROW(),"")</f>
        <v/>
      </c>
      <c r="W200" s="74">
        <f>IF(AND($B200&lt;&gt;"",ISNUMBER($R200)),IF(AND($R200&lt;='設定'!$B$6+N('設定'!$B$14),IF(ISNUMBER($I200),$I200,N($H200))&gt;0),$R200+ROW()/100000,""),"")</f>
        <v/>
      </c>
    </row>
    <row r="201" ht="18" customHeight="1">
      <c r="A201" s="22" t="n">
        <v>197</v>
      </c>
      <c r="B201" s="23" t="n"/>
      <c r="C201" s="24" t="n"/>
      <c r="D201" s="24" t="n"/>
      <c r="E201" s="23" t="n"/>
      <c r="F201" s="23" t="n"/>
      <c r="G201" s="25" t="n"/>
      <c r="H201" s="25" t="n"/>
      <c r="I201" s="25" t="n"/>
      <c r="J201" s="72">
        <f>IF(OR($B201="",$H201=""),"",N($G201)*$H201)</f>
        <v/>
      </c>
      <c r="K201" s="72">
        <f>IF(OR($B201="",$I201=""),"",N($G201)*$I201)</f>
        <v/>
      </c>
      <c r="L201" s="27">
        <f>IF(OR($B201="",$H201="",$I201=""),"",$I201-$H201)</f>
        <v/>
      </c>
      <c r="M201" s="72">
        <f>IF($L201="","",$L201*N($G201))</f>
        <v/>
      </c>
      <c r="N201" s="73">
        <f>IF($L201="","",IF($H201&gt;0,ROUND($L201/$H201,4),"－"))</f>
        <v/>
      </c>
      <c r="O201" s="29">
        <f>IF($B201="","",IF($L201="","未入力",IF($L201=0,"一致",IF(OR(NOT(ISNUMBER($N201)),AND('設定'!$B$10&lt;&gt;"",ABS(N($N201))&gt;'設定'!$B$10),AND('設定'!$B$11&lt;&gt;"",ABS(ROUND($M201,4))&gt;'設定'!$B$11),AND('設定'!$B$10="",'設定'!$B$11="")),"要確認","許容内"))))</f>
        <v/>
      </c>
      <c r="P201" s="29">
        <f>IF($O201&lt;&gt;"要確認","",IF($Q201=0,"済",IF(COUNTIF('差異の原因'!$B$5:$B$204,$B201)=0,"未記録","一部")))</f>
        <v/>
      </c>
      <c r="Q201" s="27">
        <f>IF($L201="","",IF(AND($L201=0,COUNTIF('差異の原因'!$B$5:$B$204,$B201)=0),"",ROUND($L201-SUMIF('差異の原因'!$B$5:$B$204,$B201,'差異の原因'!$G$5:$G$204),6)))</f>
        <v/>
      </c>
      <c r="R201" s="30" t="n"/>
      <c r="S201" s="23" t="n"/>
      <c r="T201" s="29">
        <f>IF(OR($B201="",NOT(ISNUMBER($R201))),"",IF(IF(ISNUMBER($I201),$I201,N($H201))&lt;=0,"",IF($R201&lt;'設定'!$B$6,"期限切れ",IF($R201='設定'!$B$6,"当日",IF($R201-'設定'!$B$6&lt;=N('設定'!$B$14),"あと"&amp;($R201-'設定'!$B$6)&amp;"日","")))))</f>
        <v/>
      </c>
      <c r="U201" s="61" t="n"/>
      <c r="V201" s="31">
        <f>IF(AND($B201&lt;&gt;"",$E201&lt;&gt;"",$E201='数える用紙'!$C$2),ROW(),"")</f>
        <v/>
      </c>
      <c r="W201" s="74">
        <f>IF(AND($B201&lt;&gt;"",ISNUMBER($R201)),IF(AND($R201&lt;='設定'!$B$6+N('設定'!$B$14),IF(ISNUMBER($I201),$I201,N($H201))&gt;0),$R201+ROW()/100000,""),"")</f>
        <v/>
      </c>
    </row>
    <row r="202" ht="18" customHeight="1">
      <c r="A202" s="22" t="n">
        <v>198</v>
      </c>
      <c r="B202" s="23" t="n"/>
      <c r="C202" s="24" t="n"/>
      <c r="D202" s="24" t="n"/>
      <c r="E202" s="23" t="n"/>
      <c r="F202" s="23" t="n"/>
      <c r="G202" s="25" t="n"/>
      <c r="H202" s="25" t="n"/>
      <c r="I202" s="25" t="n"/>
      <c r="J202" s="72">
        <f>IF(OR($B202="",$H202=""),"",N($G202)*$H202)</f>
        <v/>
      </c>
      <c r="K202" s="72">
        <f>IF(OR($B202="",$I202=""),"",N($G202)*$I202)</f>
        <v/>
      </c>
      <c r="L202" s="27">
        <f>IF(OR($B202="",$H202="",$I202=""),"",$I202-$H202)</f>
        <v/>
      </c>
      <c r="M202" s="72">
        <f>IF($L202="","",$L202*N($G202))</f>
        <v/>
      </c>
      <c r="N202" s="73">
        <f>IF($L202="","",IF($H202&gt;0,ROUND($L202/$H202,4),"－"))</f>
        <v/>
      </c>
      <c r="O202" s="29">
        <f>IF($B202="","",IF($L202="","未入力",IF($L202=0,"一致",IF(OR(NOT(ISNUMBER($N202)),AND('設定'!$B$10&lt;&gt;"",ABS(N($N202))&gt;'設定'!$B$10),AND('設定'!$B$11&lt;&gt;"",ABS(ROUND($M202,4))&gt;'設定'!$B$11),AND('設定'!$B$10="",'設定'!$B$11="")),"要確認","許容内"))))</f>
        <v/>
      </c>
      <c r="P202" s="29">
        <f>IF($O202&lt;&gt;"要確認","",IF($Q202=0,"済",IF(COUNTIF('差異の原因'!$B$5:$B$204,$B202)=0,"未記録","一部")))</f>
        <v/>
      </c>
      <c r="Q202" s="27">
        <f>IF($L202="","",IF(AND($L202=0,COUNTIF('差異の原因'!$B$5:$B$204,$B202)=0),"",ROUND($L202-SUMIF('差異の原因'!$B$5:$B$204,$B202,'差異の原因'!$G$5:$G$204),6)))</f>
        <v/>
      </c>
      <c r="R202" s="30" t="n"/>
      <c r="S202" s="23" t="n"/>
      <c r="T202" s="29">
        <f>IF(OR($B202="",NOT(ISNUMBER($R202))),"",IF(IF(ISNUMBER($I202),$I202,N($H202))&lt;=0,"",IF($R202&lt;'設定'!$B$6,"期限切れ",IF($R202='設定'!$B$6,"当日",IF($R202-'設定'!$B$6&lt;=N('設定'!$B$14),"あと"&amp;($R202-'設定'!$B$6)&amp;"日","")))))</f>
        <v/>
      </c>
      <c r="U202" s="61" t="n"/>
      <c r="V202" s="31">
        <f>IF(AND($B202&lt;&gt;"",$E202&lt;&gt;"",$E202='数える用紙'!$C$2),ROW(),"")</f>
        <v/>
      </c>
      <c r="W202" s="74">
        <f>IF(AND($B202&lt;&gt;"",ISNUMBER($R202)),IF(AND($R202&lt;='設定'!$B$6+N('設定'!$B$14),IF(ISNUMBER($I202),$I202,N($H202))&gt;0),$R202+ROW()/100000,""),"")</f>
        <v/>
      </c>
    </row>
    <row r="203" ht="18" customHeight="1">
      <c r="A203" s="22" t="n">
        <v>199</v>
      </c>
      <c r="B203" s="23" t="n"/>
      <c r="C203" s="24" t="n"/>
      <c r="D203" s="24" t="n"/>
      <c r="E203" s="23" t="n"/>
      <c r="F203" s="23" t="n"/>
      <c r="G203" s="25" t="n"/>
      <c r="H203" s="25" t="n"/>
      <c r="I203" s="25" t="n"/>
      <c r="J203" s="72">
        <f>IF(OR($B203="",$H203=""),"",N($G203)*$H203)</f>
        <v/>
      </c>
      <c r="K203" s="72">
        <f>IF(OR($B203="",$I203=""),"",N($G203)*$I203)</f>
        <v/>
      </c>
      <c r="L203" s="27">
        <f>IF(OR($B203="",$H203="",$I203=""),"",$I203-$H203)</f>
        <v/>
      </c>
      <c r="M203" s="72">
        <f>IF($L203="","",$L203*N($G203))</f>
        <v/>
      </c>
      <c r="N203" s="73">
        <f>IF($L203="","",IF($H203&gt;0,ROUND($L203/$H203,4),"－"))</f>
        <v/>
      </c>
      <c r="O203" s="29">
        <f>IF($B203="","",IF($L203="","未入力",IF($L203=0,"一致",IF(OR(NOT(ISNUMBER($N203)),AND('設定'!$B$10&lt;&gt;"",ABS(N($N203))&gt;'設定'!$B$10),AND('設定'!$B$11&lt;&gt;"",ABS(ROUND($M203,4))&gt;'設定'!$B$11),AND('設定'!$B$10="",'設定'!$B$11="")),"要確認","許容内"))))</f>
        <v/>
      </c>
      <c r="P203" s="29">
        <f>IF($O203&lt;&gt;"要確認","",IF($Q203=0,"済",IF(COUNTIF('差異の原因'!$B$5:$B$204,$B203)=0,"未記録","一部")))</f>
        <v/>
      </c>
      <c r="Q203" s="27">
        <f>IF($L203="","",IF(AND($L203=0,COUNTIF('差異の原因'!$B$5:$B$204,$B203)=0),"",ROUND($L203-SUMIF('差異の原因'!$B$5:$B$204,$B203,'差異の原因'!$G$5:$G$204),6)))</f>
        <v/>
      </c>
      <c r="R203" s="30" t="n"/>
      <c r="S203" s="23" t="n"/>
      <c r="T203" s="29">
        <f>IF(OR($B203="",NOT(ISNUMBER($R203))),"",IF(IF(ISNUMBER($I203),$I203,N($H203))&lt;=0,"",IF($R203&lt;'設定'!$B$6,"期限切れ",IF($R203='設定'!$B$6,"当日",IF($R203-'設定'!$B$6&lt;=N('設定'!$B$14),"あと"&amp;($R203-'設定'!$B$6)&amp;"日","")))))</f>
        <v/>
      </c>
      <c r="U203" s="61" t="n"/>
      <c r="V203" s="31">
        <f>IF(AND($B203&lt;&gt;"",$E203&lt;&gt;"",$E203='数える用紙'!$C$2),ROW(),"")</f>
        <v/>
      </c>
      <c r="W203" s="74">
        <f>IF(AND($B203&lt;&gt;"",ISNUMBER($R203)),IF(AND($R203&lt;='設定'!$B$6+N('設定'!$B$14),IF(ISNUMBER($I203),$I203,N($H203))&gt;0),$R203+ROW()/100000,""),"")</f>
        <v/>
      </c>
    </row>
    <row r="204" ht="18" customHeight="1">
      <c r="A204" s="22" t="n">
        <v>200</v>
      </c>
      <c r="B204" s="23" t="n"/>
      <c r="C204" s="24" t="n"/>
      <c r="D204" s="24" t="n"/>
      <c r="E204" s="23" t="n"/>
      <c r="F204" s="23" t="n"/>
      <c r="G204" s="25" t="n"/>
      <c r="H204" s="25" t="n"/>
      <c r="I204" s="25" t="n"/>
      <c r="J204" s="72">
        <f>IF(OR($B204="",$H204=""),"",N($G204)*$H204)</f>
        <v/>
      </c>
      <c r="K204" s="72">
        <f>IF(OR($B204="",$I204=""),"",N($G204)*$I204)</f>
        <v/>
      </c>
      <c r="L204" s="27">
        <f>IF(OR($B204="",$H204="",$I204=""),"",$I204-$H204)</f>
        <v/>
      </c>
      <c r="M204" s="72">
        <f>IF($L204="","",$L204*N($G204))</f>
        <v/>
      </c>
      <c r="N204" s="73">
        <f>IF($L204="","",IF($H204&gt;0,ROUND($L204/$H204,4),"－"))</f>
        <v/>
      </c>
      <c r="O204" s="29">
        <f>IF($B204="","",IF($L204="","未入力",IF($L204=0,"一致",IF(OR(NOT(ISNUMBER($N204)),AND('設定'!$B$10&lt;&gt;"",ABS(N($N204))&gt;'設定'!$B$10),AND('設定'!$B$11&lt;&gt;"",ABS(ROUND($M204,4))&gt;'設定'!$B$11),AND('設定'!$B$10="",'設定'!$B$11="")),"要確認","許容内"))))</f>
        <v/>
      </c>
      <c r="P204" s="29">
        <f>IF($O204&lt;&gt;"要確認","",IF($Q204=0,"済",IF(COUNTIF('差異の原因'!$B$5:$B$204,$B204)=0,"未記録","一部")))</f>
        <v/>
      </c>
      <c r="Q204" s="27">
        <f>IF($L204="","",IF(AND($L204=0,COUNTIF('差異の原因'!$B$5:$B$204,$B204)=0),"",ROUND($L204-SUMIF('差異の原因'!$B$5:$B$204,$B204,'差異の原因'!$G$5:$G$204),6)))</f>
        <v/>
      </c>
      <c r="R204" s="30" t="n"/>
      <c r="S204" s="23" t="n"/>
      <c r="T204" s="29">
        <f>IF(OR($B204="",NOT(ISNUMBER($R204))),"",IF(IF(ISNUMBER($I204),$I204,N($H204))&lt;=0,"",IF($R204&lt;'設定'!$B$6,"期限切れ",IF($R204='設定'!$B$6,"当日",IF($R204-'設定'!$B$6&lt;=N('設定'!$B$14),"あと"&amp;($R204-'設定'!$B$6)&amp;"日","")))))</f>
        <v/>
      </c>
      <c r="U204" s="61" t="n"/>
      <c r="V204" s="31">
        <f>IF(AND($B204&lt;&gt;"",$E204&lt;&gt;"",$E204='数える用紙'!$C$2),ROW(),"")</f>
        <v/>
      </c>
      <c r="W204" s="74">
        <f>IF(AND($B204&lt;&gt;"",ISNUMBER($R204)),IF(AND($R204&lt;='設定'!$B$6+N('設定'!$B$14),IF(ISNUMBER($I204),$I204,N($H204))&gt;0),$R204+ROW()/100000,""),"")</f>
        <v/>
      </c>
    </row>
    <row r="205" ht="18" customHeight="1">
      <c r="A205" s="22" t="n">
        <v>201</v>
      </c>
      <c r="B205" s="23" t="n"/>
      <c r="C205" s="24" t="n"/>
      <c r="D205" s="24" t="n"/>
      <c r="E205" s="23" t="n"/>
      <c r="F205" s="23" t="n"/>
      <c r="G205" s="25" t="n"/>
      <c r="H205" s="25" t="n"/>
      <c r="I205" s="25" t="n"/>
      <c r="J205" s="72">
        <f>IF(OR($B205="",$H205=""),"",N($G205)*$H205)</f>
        <v/>
      </c>
      <c r="K205" s="72">
        <f>IF(OR($B205="",$I205=""),"",N($G205)*$I205)</f>
        <v/>
      </c>
      <c r="L205" s="27">
        <f>IF(OR($B205="",$H205="",$I205=""),"",$I205-$H205)</f>
        <v/>
      </c>
      <c r="M205" s="72">
        <f>IF($L205="","",$L205*N($G205))</f>
        <v/>
      </c>
      <c r="N205" s="73">
        <f>IF($L205="","",IF($H205&gt;0,ROUND($L205/$H205,4),"－"))</f>
        <v/>
      </c>
      <c r="O205" s="29">
        <f>IF($B205="","",IF($L205="","未入力",IF($L205=0,"一致",IF(OR(NOT(ISNUMBER($N205)),AND('設定'!$B$10&lt;&gt;"",ABS(N($N205))&gt;'設定'!$B$10),AND('設定'!$B$11&lt;&gt;"",ABS(ROUND($M205,4))&gt;'設定'!$B$11),AND('設定'!$B$10="",'設定'!$B$11="")),"要確認","許容内"))))</f>
        <v/>
      </c>
      <c r="P205" s="29">
        <f>IF($O205&lt;&gt;"要確認","",IF($Q205=0,"済",IF(COUNTIF('差異の原因'!$B$5:$B$204,$B205)=0,"未記録","一部")))</f>
        <v/>
      </c>
      <c r="Q205" s="27">
        <f>IF($L205="","",IF(AND($L205=0,COUNTIF('差異の原因'!$B$5:$B$204,$B205)=0),"",ROUND($L205-SUMIF('差異の原因'!$B$5:$B$204,$B205,'差異の原因'!$G$5:$G$204),6)))</f>
        <v/>
      </c>
      <c r="R205" s="30" t="n"/>
      <c r="S205" s="23" t="n"/>
      <c r="T205" s="29">
        <f>IF(OR($B205="",NOT(ISNUMBER($R205))),"",IF(IF(ISNUMBER($I205),$I205,N($H205))&lt;=0,"",IF($R205&lt;'設定'!$B$6,"期限切れ",IF($R205='設定'!$B$6,"当日",IF($R205-'設定'!$B$6&lt;=N('設定'!$B$14),"あと"&amp;($R205-'設定'!$B$6)&amp;"日","")))))</f>
        <v/>
      </c>
      <c r="U205" s="61" t="n"/>
      <c r="V205" s="31">
        <f>IF(AND($B205&lt;&gt;"",$E205&lt;&gt;"",$E205='数える用紙'!$C$2),ROW(),"")</f>
        <v/>
      </c>
      <c r="W205" s="74">
        <f>IF(AND($B205&lt;&gt;"",ISNUMBER($R205)),IF(AND($R205&lt;='設定'!$B$6+N('設定'!$B$14),IF(ISNUMBER($I205),$I205,N($H205))&gt;0),$R205+ROW()/100000,""),"")</f>
        <v/>
      </c>
    </row>
    <row r="206" ht="18" customHeight="1">
      <c r="A206" s="22" t="n">
        <v>202</v>
      </c>
      <c r="B206" s="23" t="n"/>
      <c r="C206" s="24" t="n"/>
      <c r="D206" s="24" t="n"/>
      <c r="E206" s="23" t="n"/>
      <c r="F206" s="23" t="n"/>
      <c r="G206" s="25" t="n"/>
      <c r="H206" s="25" t="n"/>
      <c r="I206" s="25" t="n"/>
      <c r="J206" s="72">
        <f>IF(OR($B206="",$H206=""),"",N($G206)*$H206)</f>
        <v/>
      </c>
      <c r="K206" s="72">
        <f>IF(OR($B206="",$I206=""),"",N($G206)*$I206)</f>
        <v/>
      </c>
      <c r="L206" s="27">
        <f>IF(OR($B206="",$H206="",$I206=""),"",$I206-$H206)</f>
        <v/>
      </c>
      <c r="M206" s="72">
        <f>IF($L206="","",$L206*N($G206))</f>
        <v/>
      </c>
      <c r="N206" s="73">
        <f>IF($L206="","",IF($H206&gt;0,ROUND($L206/$H206,4),"－"))</f>
        <v/>
      </c>
      <c r="O206" s="29">
        <f>IF($B206="","",IF($L206="","未入力",IF($L206=0,"一致",IF(OR(NOT(ISNUMBER($N206)),AND('設定'!$B$10&lt;&gt;"",ABS(N($N206))&gt;'設定'!$B$10),AND('設定'!$B$11&lt;&gt;"",ABS(ROUND($M206,4))&gt;'設定'!$B$11),AND('設定'!$B$10="",'設定'!$B$11="")),"要確認","許容内"))))</f>
        <v/>
      </c>
      <c r="P206" s="29">
        <f>IF($O206&lt;&gt;"要確認","",IF($Q206=0,"済",IF(COUNTIF('差異の原因'!$B$5:$B$204,$B206)=0,"未記録","一部")))</f>
        <v/>
      </c>
      <c r="Q206" s="27">
        <f>IF($L206="","",IF(AND($L206=0,COUNTIF('差異の原因'!$B$5:$B$204,$B206)=0),"",ROUND($L206-SUMIF('差異の原因'!$B$5:$B$204,$B206,'差異の原因'!$G$5:$G$204),6)))</f>
        <v/>
      </c>
      <c r="R206" s="30" t="n"/>
      <c r="S206" s="23" t="n"/>
      <c r="T206" s="29">
        <f>IF(OR($B206="",NOT(ISNUMBER($R206))),"",IF(IF(ISNUMBER($I206),$I206,N($H206))&lt;=0,"",IF($R206&lt;'設定'!$B$6,"期限切れ",IF($R206='設定'!$B$6,"当日",IF($R206-'設定'!$B$6&lt;=N('設定'!$B$14),"あと"&amp;($R206-'設定'!$B$6)&amp;"日","")))))</f>
        <v/>
      </c>
      <c r="U206" s="61" t="n"/>
      <c r="V206" s="31">
        <f>IF(AND($B206&lt;&gt;"",$E206&lt;&gt;"",$E206='数える用紙'!$C$2),ROW(),"")</f>
        <v/>
      </c>
      <c r="W206" s="74">
        <f>IF(AND($B206&lt;&gt;"",ISNUMBER($R206)),IF(AND($R206&lt;='設定'!$B$6+N('設定'!$B$14),IF(ISNUMBER($I206),$I206,N($H206))&gt;0),$R206+ROW()/100000,""),"")</f>
        <v/>
      </c>
    </row>
    <row r="207" ht="18" customHeight="1">
      <c r="A207" s="22" t="n">
        <v>203</v>
      </c>
      <c r="B207" s="23" t="n"/>
      <c r="C207" s="24" t="n"/>
      <c r="D207" s="24" t="n"/>
      <c r="E207" s="23" t="n"/>
      <c r="F207" s="23" t="n"/>
      <c r="G207" s="25" t="n"/>
      <c r="H207" s="25" t="n"/>
      <c r="I207" s="25" t="n"/>
      <c r="J207" s="72">
        <f>IF(OR($B207="",$H207=""),"",N($G207)*$H207)</f>
        <v/>
      </c>
      <c r="K207" s="72">
        <f>IF(OR($B207="",$I207=""),"",N($G207)*$I207)</f>
        <v/>
      </c>
      <c r="L207" s="27">
        <f>IF(OR($B207="",$H207="",$I207=""),"",$I207-$H207)</f>
        <v/>
      </c>
      <c r="M207" s="72">
        <f>IF($L207="","",$L207*N($G207))</f>
        <v/>
      </c>
      <c r="N207" s="73">
        <f>IF($L207="","",IF($H207&gt;0,ROUND($L207/$H207,4),"－"))</f>
        <v/>
      </c>
      <c r="O207" s="29">
        <f>IF($B207="","",IF($L207="","未入力",IF($L207=0,"一致",IF(OR(NOT(ISNUMBER($N207)),AND('設定'!$B$10&lt;&gt;"",ABS(N($N207))&gt;'設定'!$B$10),AND('設定'!$B$11&lt;&gt;"",ABS(ROUND($M207,4))&gt;'設定'!$B$11),AND('設定'!$B$10="",'設定'!$B$11="")),"要確認","許容内"))))</f>
        <v/>
      </c>
      <c r="P207" s="29">
        <f>IF($O207&lt;&gt;"要確認","",IF($Q207=0,"済",IF(COUNTIF('差異の原因'!$B$5:$B$204,$B207)=0,"未記録","一部")))</f>
        <v/>
      </c>
      <c r="Q207" s="27">
        <f>IF($L207="","",IF(AND($L207=0,COUNTIF('差異の原因'!$B$5:$B$204,$B207)=0),"",ROUND($L207-SUMIF('差異の原因'!$B$5:$B$204,$B207,'差異の原因'!$G$5:$G$204),6)))</f>
        <v/>
      </c>
      <c r="R207" s="30" t="n"/>
      <c r="S207" s="23" t="n"/>
      <c r="T207" s="29">
        <f>IF(OR($B207="",NOT(ISNUMBER($R207))),"",IF(IF(ISNUMBER($I207),$I207,N($H207))&lt;=0,"",IF($R207&lt;'設定'!$B$6,"期限切れ",IF($R207='設定'!$B$6,"当日",IF($R207-'設定'!$B$6&lt;=N('設定'!$B$14),"あと"&amp;($R207-'設定'!$B$6)&amp;"日","")))))</f>
        <v/>
      </c>
      <c r="U207" s="61" t="n"/>
      <c r="V207" s="31">
        <f>IF(AND($B207&lt;&gt;"",$E207&lt;&gt;"",$E207='数える用紙'!$C$2),ROW(),"")</f>
        <v/>
      </c>
      <c r="W207" s="74">
        <f>IF(AND($B207&lt;&gt;"",ISNUMBER($R207)),IF(AND($R207&lt;='設定'!$B$6+N('設定'!$B$14),IF(ISNUMBER($I207),$I207,N($H207))&gt;0),$R207+ROW()/100000,""),"")</f>
        <v/>
      </c>
    </row>
    <row r="208" ht="18" customHeight="1">
      <c r="A208" s="22" t="n">
        <v>204</v>
      </c>
      <c r="B208" s="23" t="n"/>
      <c r="C208" s="24" t="n"/>
      <c r="D208" s="24" t="n"/>
      <c r="E208" s="23" t="n"/>
      <c r="F208" s="23" t="n"/>
      <c r="G208" s="25" t="n"/>
      <c r="H208" s="25" t="n"/>
      <c r="I208" s="25" t="n"/>
      <c r="J208" s="72">
        <f>IF(OR($B208="",$H208=""),"",N($G208)*$H208)</f>
        <v/>
      </c>
      <c r="K208" s="72">
        <f>IF(OR($B208="",$I208=""),"",N($G208)*$I208)</f>
        <v/>
      </c>
      <c r="L208" s="27">
        <f>IF(OR($B208="",$H208="",$I208=""),"",$I208-$H208)</f>
        <v/>
      </c>
      <c r="M208" s="72">
        <f>IF($L208="","",$L208*N($G208))</f>
        <v/>
      </c>
      <c r="N208" s="73">
        <f>IF($L208="","",IF($H208&gt;0,ROUND($L208/$H208,4),"－"))</f>
        <v/>
      </c>
      <c r="O208" s="29">
        <f>IF($B208="","",IF($L208="","未入力",IF($L208=0,"一致",IF(OR(NOT(ISNUMBER($N208)),AND('設定'!$B$10&lt;&gt;"",ABS(N($N208))&gt;'設定'!$B$10),AND('設定'!$B$11&lt;&gt;"",ABS(ROUND($M208,4))&gt;'設定'!$B$11),AND('設定'!$B$10="",'設定'!$B$11="")),"要確認","許容内"))))</f>
        <v/>
      </c>
      <c r="P208" s="29">
        <f>IF($O208&lt;&gt;"要確認","",IF($Q208=0,"済",IF(COUNTIF('差異の原因'!$B$5:$B$204,$B208)=0,"未記録","一部")))</f>
        <v/>
      </c>
      <c r="Q208" s="27">
        <f>IF($L208="","",IF(AND($L208=0,COUNTIF('差異の原因'!$B$5:$B$204,$B208)=0),"",ROUND($L208-SUMIF('差異の原因'!$B$5:$B$204,$B208,'差異の原因'!$G$5:$G$204),6)))</f>
        <v/>
      </c>
      <c r="R208" s="30" t="n"/>
      <c r="S208" s="23" t="n"/>
      <c r="T208" s="29">
        <f>IF(OR($B208="",NOT(ISNUMBER($R208))),"",IF(IF(ISNUMBER($I208),$I208,N($H208))&lt;=0,"",IF($R208&lt;'設定'!$B$6,"期限切れ",IF($R208='設定'!$B$6,"当日",IF($R208-'設定'!$B$6&lt;=N('設定'!$B$14),"あと"&amp;($R208-'設定'!$B$6)&amp;"日","")))))</f>
        <v/>
      </c>
      <c r="U208" s="61" t="n"/>
      <c r="V208" s="31">
        <f>IF(AND($B208&lt;&gt;"",$E208&lt;&gt;"",$E208='数える用紙'!$C$2),ROW(),"")</f>
        <v/>
      </c>
      <c r="W208" s="74">
        <f>IF(AND($B208&lt;&gt;"",ISNUMBER($R208)),IF(AND($R208&lt;='設定'!$B$6+N('設定'!$B$14),IF(ISNUMBER($I208),$I208,N($H208))&gt;0),$R208+ROW()/100000,""),"")</f>
        <v/>
      </c>
    </row>
    <row r="209" ht="18" customHeight="1">
      <c r="A209" s="22" t="n">
        <v>205</v>
      </c>
      <c r="B209" s="23" t="n"/>
      <c r="C209" s="24" t="n"/>
      <c r="D209" s="24" t="n"/>
      <c r="E209" s="23" t="n"/>
      <c r="F209" s="23" t="n"/>
      <c r="G209" s="25" t="n"/>
      <c r="H209" s="25" t="n"/>
      <c r="I209" s="25" t="n"/>
      <c r="J209" s="72">
        <f>IF(OR($B209="",$H209=""),"",N($G209)*$H209)</f>
        <v/>
      </c>
      <c r="K209" s="72">
        <f>IF(OR($B209="",$I209=""),"",N($G209)*$I209)</f>
        <v/>
      </c>
      <c r="L209" s="27">
        <f>IF(OR($B209="",$H209="",$I209=""),"",$I209-$H209)</f>
        <v/>
      </c>
      <c r="M209" s="72">
        <f>IF($L209="","",$L209*N($G209))</f>
        <v/>
      </c>
      <c r="N209" s="73">
        <f>IF($L209="","",IF($H209&gt;0,ROUND($L209/$H209,4),"－"))</f>
        <v/>
      </c>
      <c r="O209" s="29">
        <f>IF($B209="","",IF($L209="","未入力",IF($L209=0,"一致",IF(OR(NOT(ISNUMBER($N209)),AND('設定'!$B$10&lt;&gt;"",ABS(N($N209))&gt;'設定'!$B$10),AND('設定'!$B$11&lt;&gt;"",ABS(ROUND($M209,4))&gt;'設定'!$B$11),AND('設定'!$B$10="",'設定'!$B$11="")),"要確認","許容内"))))</f>
        <v/>
      </c>
      <c r="P209" s="29">
        <f>IF($O209&lt;&gt;"要確認","",IF($Q209=0,"済",IF(COUNTIF('差異の原因'!$B$5:$B$204,$B209)=0,"未記録","一部")))</f>
        <v/>
      </c>
      <c r="Q209" s="27">
        <f>IF($L209="","",IF(AND($L209=0,COUNTIF('差異の原因'!$B$5:$B$204,$B209)=0),"",ROUND($L209-SUMIF('差異の原因'!$B$5:$B$204,$B209,'差異の原因'!$G$5:$G$204),6)))</f>
        <v/>
      </c>
      <c r="R209" s="30" t="n"/>
      <c r="S209" s="23" t="n"/>
      <c r="T209" s="29">
        <f>IF(OR($B209="",NOT(ISNUMBER($R209))),"",IF(IF(ISNUMBER($I209),$I209,N($H209))&lt;=0,"",IF($R209&lt;'設定'!$B$6,"期限切れ",IF($R209='設定'!$B$6,"当日",IF($R209-'設定'!$B$6&lt;=N('設定'!$B$14),"あと"&amp;($R209-'設定'!$B$6)&amp;"日","")))))</f>
        <v/>
      </c>
      <c r="U209" s="61" t="n"/>
      <c r="V209" s="31">
        <f>IF(AND($B209&lt;&gt;"",$E209&lt;&gt;"",$E209='数える用紙'!$C$2),ROW(),"")</f>
        <v/>
      </c>
      <c r="W209" s="74">
        <f>IF(AND($B209&lt;&gt;"",ISNUMBER($R209)),IF(AND($R209&lt;='設定'!$B$6+N('設定'!$B$14),IF(ISNUMBER($I209),$I209,N($H209))&gt;0),$R209+ROW()/100000,""),"")</f>
        <v/>
      </c>
    </row>
    <row r="210" ht="18" customHeight="1">
      <c r="A210" s="22" t="n">
        <v>206</v>
      </c>
      <c r="B210" s="23" t="n"/>
      <c r="C210" s="24" t="n"/>
      <c r="D210" s="24" t="n"/>
      <c r="E210" s="23" t="n"/>
      <c r="F210" s="23" t="n"/>
      <c r="G210" s="25" t="n"/>
      <c r="H210" s="25" t="n"/>
      <c r="I210" s="25" t="n"/>
      <c r="J210" s="72">
        <f>IF(OR($B210="",$H210=""),"",N($G210)*$H210)</f>
        <v/>
      </c>
      <c r="K210" s="72">
        <f>IF(OR($B210="",$I210=""),"",N($G210)*$I210)</f>
        <v/>
      </c>
      <c r="L210" s="27">
        <f>IF(OR($B210="",$H210="",$I210=""),"",$I210-$H210)</f>
        <v/>
      </c>
      <c r="M210" s="72">
        <f>IF($L210="","",$L210*N($G210))</f>
        <v/>
      </c>
      <c r="N210" s="73">
        <f>IF($L210="","",IF($H210&gt;0,ROUND($L210/$H210,4),"－"))</f>
        <v/>
      </c>
      <c r="O210" s="29">
        <f>IF($B210="","",IF($L210="","未入力",IF($L210=0,"一致",IF(OR(NOT(ISNUMBER($N210)),AND('設定'!$B$10&lt;&gt;"",ABS(N($N210))&gt;'設定'!$B$10),AND('設定'!$B$11&lt;&gt;"",ABS(ROUND($M210,4))&gt;'設定'!$B$11),AND('設定'!$B$10="",'設定'!$B$11="")),"要確認","許容内"))))</f>
        <v/>
      </c>
      <c r="P210" s="29">
        <f>IF($O210&lt;&gt;"要確認","",IF($Q210=0,"済",IF(COUNTIF('差異の原因'!$B$5:$B$204,$B210)=0,"未記録","一部")))</f>
        <v/>
      </c>
      <c r="Q210" s="27">
        <f>IF($L210="","",IF(AND($L210=0,COUNTIF('差異の原因'!$B$5:$B$204,$B210)=0),"",ROUND($L210-SUMIF('差異の原因'!$B$5:$B$204,$B210,'差異の原因'!$G$5:$G$204),6)))</f>
        <v/>
      </c>
      <c r="R210" s="30" t="n"/>
      <c r="S210" s="23" t="n"/>
      <c r="T210" s="29">
        <f>IF(OR($B210="",NOT(ISNUMBER($R210))),"",IF(IF(ISNUMBER($I210),$I210,N($H210))&lt;=0,"",IF($R210&lt;'設定'!$B$6,"期限切れ",IF($R210='設定'!$B$6,"当日",IF($R210-'設定'!$B$6&lt;=N('設定'!$B$14),"あと"&amp;($R210-'設定'!$B$6)&amp;"日","")))))</f>
        <v/>
      </c>
      <c r="U210" s="61" t="n"/>
      <c r="V210" s="31">
        <f>IF(AND($B210&lt;&gt;"",$E210&lt;&gt;"",$E210='数える用紙'!$C$2),ROW(),"")</f>
        <v/>
      </c>
      <c r="W210" s="74">
        <f>IF(AND($B210&lt;&gt;"",ISNUMBER($R210)),IF(AND($R210&lt;='設定'!$B$6+N('設定'!$B$14),IF(ISNUMBER($I210),$I210,N($H210))&gt;0),$R210+ROW()/100000,""),"")</f>
        <v/>
      </c>
    </row>
    <row r="211" ht="18" customHeight="1">
      <c r="A211" s="22" t="n">
        <v>207</v>
      </c>
      <c r="B211" s="23" t="n"/>
      <c r="C211" s="24" t="n"/>
      <c r="D211" s="24" t="n"/>
      <c r="E211" s="23" t="n"/>
      <c r="F211" s="23" t="n"/>
      <c r="G211" s="25" t="n"/>
      <c r="H211" s="25" t="n"/>
      <c r="I211" s="25" t="n"/>
      <c r="J211" s="72">
        <f>IF(OR($B211="",$H211=""),"",N($G211)*$H211)</f>
        <v/>
      </c>
      <c r="K211" s="72">
        <f>IF(OR($B211="",$I211=""),"",N($G211)*$I211)</f>
        <v/>
      </c>
      <c r="L211" s="27">
        <f>IF(OR($B211="",$H211="",$I211=""),"",$I211-$H211)</f>
        <v/>
      </c>
      <c r="M211" s="72">
        <f>IF($L211="","",$L211*N($G211))</f>
        <v/>
      </c>
      <c r="N211" s="73">
        <f>IF($L211="","",IF($H211&gt;0,ROUND($L211/$H211,4),"－"))</f>
        <v/>
      </c>
      <c r="O211" s="29">
        <f>IF($B211="","",IF($L211="","未入力",IF($L211=0,"一致",IF(OR(NOT(ISNUMBER($N211)),AND('設定'!$B$10&lt;&gt;"",ABS(N($N211))&gt;'設定'!$B$10),AND('設定'!$B$11&lt;&gt;"",ABS(ROUND($M211,4))&gt;'設定'!$B$11),AND('設定'!$B$10="",'設定'!$B$11="")),"要確認","許容内"))))</f>
        <v/>
      </c>
      <c r="P211" s="29">
        <f>IF($O211&lt;&gt;"要確認","",IF($Q211=0,"済",IF(COUNTIF('差異の原因'!$B$5:$B$204,$B211)=0,"未記録","一部")))</f>
        <v/>
      </c>
      <c r="Q211" s="27">
        <f>IF($L211="","",IF(AND($L211=0,COUNTIF('差異の原因'!$B$5:$B$204,$B211)=0),"",ROUND($L211-SUMIF('差異の原因'!$B$5:$B$204,$B211,'差異の原因'!$G$5:$G$204),6)))</f>
        <v/>
      </c>
      <c r="R211" s="30" t="n"/>
      <c r="S211" s="23" t="n"/>
      <c r="T211" s="29">
        <f>IF(OR($B211="",NOT(ISNUMBER($R211))),"",IF(IF(ISNUMBER($I211),$I211,N($H211))&lt;=0,"",IF($R211&lt;'設定'!$B$6,"期限切れ",IF($R211='設定'!$B$6,"当日",IF($R211-'設定'!$B$6&lt;=N('設定'!$B$14),"あと"&amp;($R211-'設定'!$B$6)&amp;"日","")))))</f>
        <v/>
      </c>
      <c r="U211" s="61" t="n"/>
      <c r="V211" s="31">
        <f>IF(AND($B211&lt;&gt;"",$E211&lt;&gt;"",$E211='数える用紙'!$C$2),ROW(),"")</f>
        <v/>
      </c>
      <c r="W211" s="74">
        <f>IF(AND($B211&lt;&gt;"",ISNUMBER($R211)),IF(AND($R211&lt;='設定'!$B$6+N('設定'!$B$14),IF(ISNUMBER($I211),$I211,N($H211))&gt;0),$R211+ROW()/100000,""),"")</f>
        <v/>
      </c>
    </row>
    <row r="212" ht="18" customHeight="1">
      <c r="A212" s="22" t="n">
        <v>208</v>
      </c>
      <c r="B212" s="23" t="n"/>
      <c r="C212" s="24" t="n"/>
      <c r="D212" s="24" t="n"/>
      <c r="E212" s="23" t="n"/>
      <c r="F212" s="23" t="n"/>
      <c r="G212" s="25" t="n"/>
      <c r="H212" s="25" t="n"/>
      <c r="I212" s="25" t="n"/>
      <c r="J212" s="72">
        <f>IF(OR($B212="",$H212=""),"",N($G212)*$H212)</f>
        <v/>
      </c>
      <c r="K212" s="72">
        <f>IF(OR($B212="",$I212=""),"",N($G212)*$I212)</f>
        <v/>
      </c>
      <c r="L212" s="27">
        <f>IF(OR($B212="",$H212="",$I212=""),"",$I212-$H212)</f>
        <v/>
      </c>
      <c r="M212" s="72">
        <f>IF($L212="","",$L212*N($G212))</f>
        <v/>
      </c>
      <c r="N212" s="73">
        <f>IF($L212="","",IF($H212&gt;0,ROUND($L212/$H212,4),"－"))</f>
        <v/>
      </c>
      <c r="O212" s="29">
        <f>IF($B212="","",IF($L212="","未入力",IF($L212=0,"一致",IF(OR(NOT(ISNUMBER($N212)),AND('設定'!$B$10&lt;&gt;"",ABS(N($N212))&gt;'設定'!$B$10),AND('設定'!$B$11&lt;&gt;"",ABS(ROUND($M212,4))&gt;'設定'!$B$11),AND('設定'!$B$10="",'設定'!$B$11="")),"要確認","許容内"))))</f>
        <v/>
      </c>
      <c r="P212" s="29">
        <f>IF($O212&lt;&gt;"要確認","",IF($Q212=0,"済",IF(COUNTIF('差異の原因'!$B$5:$B$204,$B212)=0,"未記録","一部")))</f>
        <v/>
      </c>
      <c r="Q212" s="27">
        <f>IF($L212="","",IF(AND($L212=0,COUNTIF('差異の原因'!$B$5:$B$204,$B212)=0),"",ROUND($L212-SUMIF('差異の原因'!$B$5:$B$204,$B212,'差異の原因'!$G$5:$G$204),6)))</f>
        <v/>
      </c>
      <c r="R212" s="30" t="n"/>
      <c r="S212" s="23" t="n"/>
      <c r="T212" s="29">
        <f>IF(OR($B212="",NOT(ISNUMBER($R212))),"",IF(IF(ISNUMBER($I212),$I212,N($H212))&lt;=0,"",IF($R212&lt;'設定'!$B$6,"期限切れ",IF($R212='設定'!$B$6,"当日",IF($R212-'設定'!$B$6&lt;=N('設定'!$B$14),"あと"&amp;($R212-'設定'!$B$6)&amp;"日","")))))</f>
        <v/>
      </c>
      <c r="U212" s="61" t="n"/>
      <c r="V212" s="31">
        <f>IF(AND($B212&lt;&gt;"",$E212&lt;&gt;"",$E212='数える用紙'!$C$2),ROW(),"")</f>
        <v/>
      </c>
      <c r="W212" s="74">
        <f>IF(AND($B212&lt;&gt;"",ISNUMBER($R212)),IF(AND($R212&lt;='設定'!$B$6+N('設定'!$B$14),IF(ISNUMBER($I212),$I212,N($H212))&gt;0),$R212+ROW()/100000,""),"")</f>
        <v/>
      </c>
    </row>
    <row r="213" ht="18" customHeight="1">
      <c r="A213" s="22" t="n">
        <v>209</v>
      </c>
      <c r="B213" s="23" t="n"/>
      <c r="C213" s="24" t="n"/>
      <c r="D213" s="24" t="n"/>
      <c r="E213" s="23" t="n"/>
      <c r="F213" s="23" t="n"/>
      <c r="G213" s="25" t="n"/>
      <c r="H213" s="25" t="n"/>
      <c r="I213" s="25" t="n"/>
      <c r="J213" s="72">
        <f>IF(OR($B213="",$H213=""),"",N($G213)*$H213)</f>
        <v/>
      </c>
      <c r="K213" s="72">
        <f>IF(OR($B213="",$I213=""),"",N($G213)*$I213)</f>
        <v/>
      </c>
      <c r="L213" s="27">
        <f>IF(OR($B213="",$H213="",$I213=""),"",$I213-$H213)</f>
        <v/>
      </c>
      <c r="M213" s="72">
        <f>IF($L213="","",$L213*N($G213))</f>
        <v/>
      </c>
      <c r="N213" s="73">
        <f>IF($L213="","",IF($H213&gt;0,ROUND($L213/$H213,4),"－"))</f>
        <v/>
      </c>
      <c r="O213" s="29">
        <f>IF($B213="","",IF($L213="","未入力",IF($L213=0,"一致",IF(OR(NOT(ISNUMBER($N213)),AND('設定'!$B$10&lt;&gt;"",ABS(N($N213))&gt;'設定'!$B$10),AND('設定'!$B$11&lt;&gt;"",ABS(ROUND($M213,4))&gt;'設定'!$B$11),AND('設定'!$B$10="",'設定'!$B$11="")),"要確認","許容内"))))</f>
        <v/>
      </c>
      <c r="P213" s="29">
        <f>IF($O213&lt;&gt;"要確認","",IF($Q213=0,"済",IF(COUNTIF('差異の原因'!$B$5:$B$204,$B213)=0,"未記録","一部")))</f>
        <v/>
      </c>
      <c r="Q213" s="27">
        <f>IF($L213="","",IF(AND($L213=0,COUNTIF('差異の原因'!$B$5:$B$204,$B213)=0),"",ROUND($L213-SUMIF('差異の原因'!$B$5:$B$204,$B213,'差異の原因'!$G$5:$G$204),6)))</f>
        <v/>
      </c>
      <c r="R213" s="30" t="n"/>
      <c r="S213" s="23" t="n"/>
      <c r="T213" s="29">
        <f>IF(OR($B213="",NOT(ISNUMBER($R213))),"",IF(IF(ISNUMBER($I213),$I213,N($H213))&lt;=0,"",IF($R213&lt;'設定'!$B$6,"期限切れ",IF($R213='設定'!$B$6,"当日",IF($R213-'設定'!$B$6&lt;=N('設定'!$B$14),"あと"&amp;($R213-'設定'!$B$6)&amp;"日","")))))</f>
        <v/>
      </c>
      <c r="U213" s="61" t="n"/>
      <c r="V213" s="31">
        <f>IF(AND($B213&lt;&gt;"",$E213&lt;&gt;"",$E213='数える用紙'!$C$2),ROW(),"")</f>
        <v/>
      </c>
      <c r="W213" s="74">
        <f>IF(AND($B213&lt;&gt;"",ISNUMBER($R213)),IF(AND($R213&lt;='設定'!$B$6+N('設定'!$B$14),IF(ISNUMBER($I213),$I213,N($H213))&gt;0),$R213+ROW()/100000,""),"")</f>
        <v/>
      </c>
    </row>
    <row r="214" ht="18" customHeight="1">
      <c r="A214" s="22" t="n">
        <v>210</v>
      </c>
      <c r="B214" s="23" t="n"/>
      <c r="C214" s="24" t="n"/>
      <c r="D214" s="24" t="n"/>
      <c r="E214" s="23" t="n"/>
      <c r="F214" s="23" t="n"/>
      <c r="G214" s="25" t="n"/>
      <c r="H214" s="25" t="n"/>
      <c r="I214" s="25" t="n"/>
      <c r="J214" s="72">
        <f>IF(OR($B214="",$H214=""),"",N($G214)*$H214)</f>
        <v/>
      </c>
      <c r="K214" s="72">
        <f>IF(OR($B214="",$I214=""),"",N($G214)*$I214)</f>
        <v/>
      </c>
      <c r="L214" s="27">
        <f>IF(OR($B214="",$H214="",$I214=""),"",$I214-$H214)</f>
        <v/>
      </c>
      <c r="M214" s="72">
        <f>IF($L214="","",$L214*N($G214))</f>
        <v/>
      </c>
      <c r="N214" s="73">
        <f>IF($L214="","",IF($H214&gt;0,ROUND($L214/$H214,4),"－"))</f>
        <v/>
      </c>
      <c r="O214" s="29">
        <f>IF($B214="","",IF($L214="","未入力",IF($L214=0,"一致",IF(OR(NOT(ISNUMBER($N214)),AND('設定'!$B$10&lt;&gt;"",ABS(N($N214))&gt;'設定'!$B$10),AND('設定'!$B$11&lt;&gt;"",ABS(ROUND($M214,4))&gt;'設定'!$B$11),AND('設定'!$B$10="",'設定'!$B$11="")),"要確認","許容内"))))</f>
        <v/>
      </c>
      <c r="P214" s="29">
        <f>IF($O214&lt;&gt;"要確認","",IF($Q214=0,"済",IF(COUNTIF('差異の原因'!$B$5:$B$204,$B214)=0,"未記録","一部")))</f>
        <v/>
      </c>
      <c r="Q214" s="27">
        <f>IF($L214="","",IF(AND($L214=0,COUNTIF('差異の原因'!$B$5:$B$204,$B214)=0),"",ROUND($L214-SUMIF('差異の原因'!$B$5:$B$204,$B214,'差異の原因'!$G$5:$G$204),6)))</f>
        <v/>
      </c>
      <c r="R214" s="30" t="n"/>
      <c r="S214" s="23" t="n"/>
      <c r="T214" s="29">
        <f>IF(OR($B214="",NOT(ISNUMBER($R214))),"",IF(IF(ISNUMBER($I214),$I214,N($H214))&lt;=0,"",IF($R214&lt;'設定'!$B$6,"期限切れ",IF($R214='設定'!$B$6,"当日",IF($R214-'設定'!$B$6&lt;=N('設定'!$B$14),"あと"&amp;($R214-'設定'!$B$6)&amp;"日","")))))</f>
        <v/>
      </c>
      <c r="U214" s="61" t="n"/>
      <c r="V214" s="31">
        <f>IF(AND($B214&lt;&gt;"",$E214&lt;&gt;"",$E214='数える用紙'!$C$2),ROW(),"")</f>
        <v/>
      </c>
      <c r="W214" s="74">
        <f>IF(AND($B214&lt;&gt;"",ISNUMBER($R214)),IF(AND($R214&lt;='設定'!$B$6+N('設定'!$B$14),IF(ISNUMBER($I214),$I214,N($H214))&gt;0),$R214+ROW()/100000,""),"")</f>
        <v/>
      </c>
    </row>
    <row r="215" ht="18" customHeight="1">
      <c r="A215" s="22" t="n">
        <v>211</v>
      </c>
      <c r="B215" s="23" t="n"/>
      <c r="C215" s="24" t="n"/>
      <c r="D215" s="24" t="n"/>
      <c r="E215" s="23" t="n"/>
      <c r="F215" s="23" t="n"/>
      <c r="G215" s="25" t="n"/>
      <c r="H215" s="25" t="n"/>
      <c r="I215" s="25" t="n"/>
      <c r="J215" s="72">
        <f>IF(OR($B215="",$H215=""),"",N($G215)*$H215)</f>
        <v/>
      </c>
      <c r="K215" s="72">
        <f>IF(OR($B215="",$I215=""),"",N($G215)*$I215)</f>
        <v/>
      </c>
      <c r="L215" s="27">
        <f>IF(OR($B215="",$H215="",$I215=""),"",$I215-$H215)</f>
        <v/>
      </c>
      <c r="M215" s="72">
        <f>IF($L215="","",$L215*N($G215))</f>
        <v/>
      </c>
      <c r="N215" s="73">
        <f>IF($L215="","",IF($H215&gt;0,ROUND($L215/$H215,4),"－"))</f>
        <v/>
      </c>
      <c r="O215" s="29">
        <f>IF($B215="","",IF($L215="","未入力",IF($L215=0,"一致",IF(OR(NOT(ISNUMBER($N215)),AND('設定'!$B$10&lt;&gt;"",ABS(N($N215))&gt;'設定'!$B$10),AND('設定'!$B$11&lt;&gt;"",ABS(ROUND($M215,4))&gt;'設定'!$B$11),AND('設定'!$B$10="",'設定'!$B$11="")),"要確認","許容内"))))</f>
        <v/>
      </c>
      <c r="P215" s="29">
        <f>IF($O215&lt;&gt;"要確認","",IF($Q215=0,"済",IF(COUNTIF('差異の原因'!$B$5:$B$204,$B215)=0,"未記録","一部")))</f>
        <v/>
      </c>
      <c r="Q215" s="27">
        <f>IF($L215="","",IF(AND($L215=0,COUNTIF('差異の原因'!$B$5:$B$204,$B215)=0),"",ROUND($L215-SUMIF('差異の原因'!$B$5:$B$204,$B215,'差異の原因'!$G$5:$G$204),6)))</f>
        <v/>
      </c>
      <c r="R215" s="30" t="n"/>
      <c r="S215" s="23" t="n"/>
      <c r="T215" s="29">
        <f>IF(OR($B215="",NOT(ISNUMBER($R215))),"",IF(IF(ISNUMBER($I215),$I215,N($H215))&lt;=0,"",IF($R215&lt;'設定'!$B$6,"期限切れ",IF($R215='設定'!$B$6,"当日",IF($R215-'設定'!$B$6&lt;=N('設定'!$B$14),"あと"&amp;($R215-'設定'!$B$6)&amp;"日","")))))</f>
        <v/>
      </c>
      <c r="U215" s="61" t="n"/>
      <c r="V215" s="31">
        <f>IF(AND($B215&lt;&gt;"",$E215&lt;&gt;"",$E215='数える用紙'!$C$2),ROW(),"")</f>
        <v/>
      </c>
      <c r="W215" s="74">
        <f>IF(AND($B215&lt;&gt;"",ISNUMBER($R215)),IF(AND($R215&lt;='設定'!$B$6+N('設定'!$B$14),IF(ISNUMBER($I215),$I215,N($H215))&gt;0),$R215+ROW()/100000,""),"")</f>
        <v/>
      </c>
    </row>
    <row r="216" ht="18" customHeight="1">
      <c r="A216" s="22" t="n">
        <v>212</v>
      </c>
      <c r="B216" s="23" t="n"/>
      <c r="C216" s="24" t="n"/>
      <c r="D216" s="24" t="n"/>
      <c r="E216" s="23" t="n"/>
      <c r="F216" s="23" t="n"/>
      <c r="G216" s="25" t="n"/>
      <c r="H216" s="25" t="n"/>
      <c r="I216" s="25" t="n"/>
      <c r="J216" s="72">
        <f>IF(OR($B216="",$H216=""),"",N($G216)*$H216)</f>
        <v/>
      </c>
      <c r="K216" s="72">
        <f>IF(OR($B216="",$I216=""),"",N($G216)*$I216)</f>
        <v/>
      </c>
      <c r="L216" s="27">
        <f>IF(OR($B216="",$H216="",$I216=""),"",$I216-$H216)</f>
        <v/>
      </c>
      <c r="M216" s="72">
        <f>IF($L216="","",$L216*N($G216))</f>
        <v/>
      </c>
      <c r="N216" s="73">
        <f>IF($L216="","",IF($H216&gt;0,ROUND($L216/$H216,4),"－"))</f>
        <v/>
      </c>
      <c r="O216" s="29">
        <f>IF($B216="","",IF($L216="","未入力",IF($L216=0,"一致",IF(OR(NOT(ISNUMBER($N216)),AND('設定'!$B$10&lt;&gt;"",ABS(N($N216))&gt;'設定'!$B$10),AND('設定'!$B$11&lt;&gt;"",ABS(ROUND($M216,4))&gt;'設定'!$B$11),AND('設定'!$B$10="",'設定'!$B$11="")),"要確認","許容内"))))</f>
        <v/>
      </c>
      <c r="P216" s="29">
        <f>IF($O216&lt;&gt;"要確認","",IF($Q216=0,"済",IF(COUNTIF('差異の原因'!$B$5:$B$204,$B216)=0,"未記録","一部")))</f>
        <v/>
      </c>
      <c r="Q216" s="27">
        <f>IF($L216="","",IF(AND($L216=0,COUNTIF('差異の原因'!$B$5:$B$204,$B216)=0),"",ROUND($L216-SUMIF('差異の原因'!$B$5:$B$204,$B216,'差異の原因'!$G$5:$G$204),6)))</f>
        <v/>
      </c>
      <c r="R216" s="30" t="n"/>
      <c r="S216" s="23" t="n"/>
      <c r="T216" s="29">
        <f>IF(OR($B216="",NOT(ISNUMBER($R216))),"",IF(IF(ISNUMBER($I216),$I216,N($H216))&lt;=0,"",IF($R216&lt;'設定'!$B$6,"期限切れ",IF($R216='設定'!$B$6,"当日",IF($R216-'設定'!$B$6&lt;=N('設定'!$B$14),"あと"&amp;($R216-'設定'!$B$6)&amp;"日","")))))</f>
        <v/>
      </c>
      <c r="U216" s="61" t="n"/>
      <c r="V216" s="31">
        <f>IF(AND($B216&lt;&gt;"",$E216&lt;&gt;"",$E216='数える用紙'!$C$2),ROW(),"")</f>
        <v/>
      </c>
      <c r="W216" s="74">
        <f>IF(AND($B216&lt;&gt;"",ISNUMBER($R216)),IF(AND($R216&lt;='設定'!$B$6+N('設定'!$B$14),IF(ISNUMBER($I216),$I216,N($H216))&gt;0),$R216+ROW()/100000,""),"")</f>
        <v/>
      </c>
    </row>
    <row r="217" ht="18" customHeight="1">
      <c r="A217" s="22" t="n">
        <v>213</v>
      </c>
      <c r="B217" s="23" t="n"/>
      <c r="C217" s="24" t="n"/>
      <c r="D217" s="24" t="n"/>
      <c r="E217" s="23" t="n"/>
      <c r="F217" s="23" t="n"/>
      <c r="G217" s="25" t="n"/>
      <c r="H217" s="25" t="n"/>
      <c r="I217" s="25" t="n"/>
      <c r="J217" s="72">
        <f>IF(OR($B217="",$H217=""),"",N($G217)*$H217)</f>
        <v/>
      </c>
      <c r="K217" s="72">
        <f>IF(OR($B217="",$I217=""),"",N($G217)*$I217)</f>
        <v/>
      </c>
      <c r="L217" s="27">
        <f>IF(OR($B217="",$H217="",$I217=""),"",$I217-$H217)</f>
        <v/>
      </c>
      <c r="M217" s="72">
        <f>IF($L217="","",$L217*N($G217))</f>
        <v/>
      </c>
      <c r="N217" s="73">
        <f>IF($L217="","",IF($H217&gt;0,ROUND($L217/$H217,4),"－"))</f>
        <v/>
      </c>
      <c r="O217" s="29">
        <f>IF($B217="","",IF($L217="","未入力",IF($L217=0,"一致",IF(OR(NOT(ISNUMBER($N217)),AND('設定'!$B$10&lt;&gt;"",ABS(N($N217))&gt;'設定'!$B$10),AND('設定'!$B$11&lt;&gt;"",ABS(ROUND($M217,4))&gt;'設定'!$B$11),AND('設定'!$B$10="",'設定'!$B$11="")),"要確認","許容内"))))</f>
        <v/>
      </c>
      <c r="P217" s="29">
        <f>IF($O217&lt;&gt;"要確認","",IF($Q217=0,"済",IF(COUNTIF('差異の原因'!$B$5:$B$204,$B217)=0,"未記録","一部")))</f>
        <v/>
      </c>
      <c r="Q217" s="27">
        <f>IF($L217="","",IF(AND($L217=0,COUNTIF('差異の原因'!$B$5:$B$204,$B217)=0),"",ROUND($L217-SUMIF('差異の原因'!$B$5:$B$204,$B217,'差異の原因'!$G$5:$G$204),6)))</f>
        <v/>
      </c>
      <c r="R217" s="30" t="n"/>
      <c r="S217" s="23" t="n"/>
      <c r="T217" s="29">
        <f>IF(OR($B217="",NOT(ISNUMBER($R217))),"",IF(IF(ISNUMBER($I217),$I217,N($H217))&lt;=0,"",IF($R217&lt;'設定'!$B$6,"期限切れ",IF($R217='設定'!$B$6,"当日",IF($R217-'設定'!$B$6&lt;=N('設定'!$B$14),"あと"&amp;($R217-'設定'!$B$6)&amp;"日","")))))</f>
        <v/>
      </c>
      <c r="U217" s="61" t="n"/>
      <c r="V217" s="31">
        <f>IF(AND($B217&lt;&gt;"",$E217&lt;&gt;"",$E217='数える用紙'!$C$2),ROW(),"")</f>
        <v/>
      </c>
      <c r="W217" s="74">
        <f>IF(AND($B217&lt;&gt;"",ISNUMBER($R217)),IF(AND($R217&lt;='設定'!$B$6+N('設定'!$B$14),IF(ISNUMBER($I217),$I217,N($H217))&gt;0),$R217+ROW()/100000,""),"")</f>
        <v/>
      </c>
    </row>
    <row r="218" ht="18" customHeight="1">
      <c r="A218" s="22" t="n">
        <v>214</v>
      </c>
      <c r="B218" s="23" t="n"/>
      <c r="C218" s="24" t="n"/>
      <c r="D218" s="24" t="n"/>
      <c r="E218" s="23" t="n"/>
      <c r="F218" s="23" t="n"/>
      <c r="G218" s="25" t="n"/>
      <c r="H218" s="25" t="n"/>
      <c r="I218" s="25" t="n"/>
      <c r="J218" s="72">
        <f>IF(OR($B218="",$H218=""),"",N($G218)*$H218)</f>
        <v/>
      </c>
      <c r="K218" s="72">
        <f>IF(OR($B218="",$I218=""),"",N($G218)*$I218)</f>
        <v/>
      </c>
      <c r="L218" s="27">
        <f>IF(OR($B218="",$H218="",$I218=""),"",$I218-$H218)</f>
        <v/>
      </c>
      <c r="M218" s="72">
        <f>IF($L218="","",$L218*N($G218))</f>
        <v/>
      </c>
      <c r="N218" s="73">
        <f>IF($L218="","",IF($H218&gt;0,ROUND($L218/$H218,4),"－"))</f>
        <v/>
      </c>
      <c r="O218" s="29">
        <f>IF($B218="","",IF($L218="","未入力",IF($L218=0,"一致",IF(OR(NOT(ISNUMBER($N218)),AND('設定'!$B$10&lt;&gt;"",ABS(N($N218))&gt;'設定'!$B$10),AND('設定'!$B$11&lt;&gt;"",ABS(ROUND($M218,4))&gt;'設定'!$B$11),AND('設定'!$B$10="",'設定'!$B$11="")),"要確認","許容内"))))</f>
        <v/>
      </c>
      <c r="P218" s="29">
        <f>IF($O218&lt;&gt;"要確認","",IF($Q218=0,"済",IF(COUNTIF('差異の原因'!$B$5:$B$204,$B218)=0,"未記録","一部")))</f>
        <v/>
      </c>
      <c r="Q218" s="27">
        <f>IF($L218="","",IF(AND($L218=0,COUNTIF('差異の原因'!$B$5:$B$204,$B218)=0),"",ROUND($L218-SUMIF('差異の原因'!$B$5:$B$204,$B218,'差異の原因'!$G$5:$G$204),6)))</f>
        <v/>
      </c>
      <c r="R218" s="30" t="n"/>
      <c r="S218" s="23" t="n"/>
      <c r="T218" s="29">
        <f>IF(OR($B218="",NOT(ISNUMBER($R218))),"",IF(IF(ISNUMBER($I218),$I218,N($H218))&lt;=0,"",IF($R218&lt;'設定'!$B$6,"期限切れ",IF($R218='設定'!$B$6,"当日",IF($R218-'設定'!$B$6&lt;=N('設定'!$B$14),"あと"&amp;($R218-'設定'!$B$6)&amp;"日","")))))</f>
        <v/>
      </c>
      <c r="U218" s="61" t="n"/>
      <c r="V218" s="31">
        <f>IF(AND($B218&lt;&gt;"",$E218&lt;&gt;"",$E218='数える用紙'!$C$2),ROW(),"")</f>
        <v/>
      </c>
      <c r="W218" s="74">
        <f>IF(AND($B218&lt;&gt;"",ISNUMBER($R218)),IF(AND($R218&lt;='設定'!$B$6+N('設定'!$B$14),IF(ISNUMBER($I218),$I218,N($H218))&gt;0),$R218+ROW()/100000,""),"")</f>
        <v/>
      </c>
    </row>
    <row r="219" ht="18" customHeight="1">
      <c r="A219" s="22" t="n">
        <v>215</v>
      </c>
      <c r="B219" s="23" t="n"/>
      <c r="C219" s="24" t="n"/>
      <c r="D219" s="24" t="n"/>
      <c r="E219" s="23" t="n"/>
      <c r="F219" s="23" t="n"/>
      <c r="G219" s="25" t="n"/>
      <c r="H219" s="25" t="n"/>
      <c r="I219" s="25" t="n"/>
      <c r="J219" s="72">
        <f>IF(OR($B219="",$H219=""),"",N($G219)*$H219)</f>
        <v/>
      </c>
      <c r="K219" s="72">
        <f>IF(OR($B219="",$I219=""),"",N($G219)*$I219)</f>
        <v/>
      </c>
      <c r="L219" s="27">
        <f>IF(OR($B219="",$H219="",$I219=""),"",$I219-$H219)</f>
        <v/>
      </c>
      <c r="M219" s="72">
        <f>IF($L219="","",$L219*N($G219))</f>
        <v/>
      </c>
      <c r="N219" s="73">
        <f>IF($L219="","",IF($H219&gt;0,ROUND($L219/$H219,4),"－"))</f>
        <v/>
      </c>
      <c r="O219" s="29">
        <f>IF($B219="","",IF($L219="","未入力",IF($L219=0,"一致",IF(OR(NOT(ISNUMBER($N219)),AND('設定'!$B$10&lt;&gt;"",ABS(N($N219))&gt;'設定'!$B$10),AND('設定'!$B$11&lt;&gt;"",ABS(ROUND($M219,4))&gt;'設定'!$B$11),AND('設定'!$B$10="",'設定'!$B$11="")),"要確認","許容内"))))</f>
        <v/>
      </c>
      <c r="P219" s="29">
        <f>IF($O219&lt;&gt;"要確認","",IF($Q219=0,"済",IF(COUNTIF('差異の原因'!$B$5:$B$204,$B219)=0,"未記録","一部")))</f>
        <v/>
      </c>
      <c r="Q219" s="27">
        <f>IF($L219="","",IF(AND($L219=0,COUNTIF('差異の原因'!$B$5:$B$204,$B219)=0),"",ROUND($L219-SUMIF('差異の原因'!$B$5:$B$204,$B219,'差異の原因'!$G$5:$G$204),6)))</f>
        <v/>
      </c>
      <c r="R219" s="30" t="n"/>
      <c r="S219" s="23" t="n"/>
      <c r="T219" s="29">
        <f>IF(OR($B219="",NOT(ISNUMBER($R219))),"",IF(IF(ISNUMBER($I219),$I219,N($H219))&lt;=0,"",IF($R219&lt;'設定'!$B$6,"期限切れ",IF($R219='設定'!$B$6,"当日",IF($R219-'設定'!$B$6&lt;=N('設定'!$B$14),"あと"&amp;($R219-'設定'!$B$6)&amp;"日","")))))</f>
        <v/>
      </c>
      <c r="U219" s="61" t="n"/>
      <c r="V219" s="31">
        <f>IF(AND($B219&lt;&gt;"",$E219&lt;&gt;"",$E219='数える用紙'!$C$2),ROW(),"")</f>
        <v/>
      </c>
      <c r="W219" s="74">
        <f>IF(AND($B219&lt;&gt;"",ISNUMBER($R219)),IF(AND($R219&lt;='設定'!$B$6+N('設定'!$B$14),IF(ISNUMBER($I219),$I219,N($H219))&gt;0),$R219+ROW()/100000,""),"")</f>
        <v/>
      </c>
    </row>
    <row r="220" ht="18" customHeight="1">
      <c r="A220" s="22" t="n">
        <v>216</v>
      </c>
      <c r="B220" s="23" t="n"/>
      <c r="C220" s="24" t="n"/>
      <c r="D220" s="24" t="n"/>
      <c r="E220" s="23" t="n"/>
      <c r="F220" s="23" t="n"/>
      <c r="G220" s="25" t="n"/>
      <c r="H220" s="25" t="n"/>
      <c r="I220" s="25" t="n"/>
      <c r="J220" s="72">
        <f>IF(OR($B220="",$H220=""),"",N($G220)*$H220)</f>
        <v/>
      </c>
      <c r="K220" s="72">
        <f>IF(OR($B220="",$I220=""),"",N($G220)*$I220)</f>
        <v/>
      </c>
      <c r="L220" s="27">
        <f>IF(OR($B220="",$H220="",$I220=""),"",$I220-$H220)</f>
        <v/>
      </c>
      <c r="M220" s="72">
        <f>IF($L220="","",$L220*N($G220))</f>
        <v/>
      </c>
      <c r="N220" s="73">
        <f>IF($L220="","",IF($H220&gt;0,ROUND($L220/$H220,4),"－"))</f>
        <v/>
      </c>
      <c r="O220" s="29">
        <f>IF($B220="","",IF($L220="","未入力",IF($L220=0,"一致",IF(OR(NOT(ISNUMBER($N220)),AND('設定'!$B$10&lt;&gt;"",ABS(N($N220))&gt;'設定'!$B$10),AND('設定'!$B$11&lt;&gt;"",ABS(ROUND($M220,4))&gt;'設定'!$B$11),AND('設定'!$B$10="",'設定'!$B$11="")),"要確認","許容内"))))</f>
        <v/>
      </c>
      <c r="P220" s="29">
        <f>IF($O220&lt;&gt;"要確認","",IF($Q220=0,"済",IF(COUNTIF('差異の原因'!$B$5:$B$204,$B220)=0,"未記録","一部")))</f>
        <v/>
      </c>
      <c r="Q220" s="27">
        <f>IF($L220="","",IF(AND($L220=0,COUNTIF('差異の原因'!$B$5:$B$204,$B220)=0),"",ROUND($L220-SUMIF('差異の原因'!$B$5:$B$204,$B220,'差異の原因'!$G$5:$G$204),6)))</f>
        <v/>
      </c>
      <c r="R220" s="30" t="n"/>
      <c r="S220" s="23" t="n"/>
      <c r="T220" s="29">
        <f>IF(OR($B220="",NOT(ISNUMBER($R220))),"",IF(IF(ISNUMBER($I220),$I220,N($H220))&lt;=0,"",IF($R220&lt;'設定'!$B$6,"期限切れ",IF($R220='設定'!$B$6,"当日",IF($R220-'設定'!$B$6&lt;=N('設定'!$B$14),"あと"&amp;($R220-'設定'!$B$6)&amp;"日","")))))</f>
        <v/>
      </c>
      <c r="U220" s="61" t="n"/>
      <c r="V220" s="31">
        <f>IF(AND($B220&lt;&gt;"",$E220&lt;&gt;"",$E220='数える用紙'!$C$2),ROW(),"")</f>
        <v/>
      </c>
      <c r="W220" s="74">
        <f>IF(AND($B220&lt;&gt;"",ISNUMBER($R220)),IF(AND($R220&lt;='設定'!$B$6+N('設定'!$B$14),IF(ISNUMBER($I220),$I220,N($H220))&gt;0),$R220+ROW()/100000,""),"")</f>
        <v/>
      </c>
    </row>
    <row r="221" ht="18" customHeight="1">
      <c r="A221" s="22" t="n">
        <v>217</v>
      </c>
      <c r="B221" s="23" t="n"/>
      <c r="C221" s="24" t="n"/>
      <c r="D221" s="24" t="n"/>
      <c r="E221" s="23" t="n"/>
      <c r="F221" s="23" t="n"/>
      <c r="G221" s="25" t="n"/>
      <c r="H221" s="25" t="n"/>
      <c r="I221" s="25" t="n"/>
      <c r="J221" s="72">
        <f>IF(OR($B221="",$H221=""),"",N($G221)*$H221)</f>
        <v/>
      </c>
      <c r="K221" s="72">
        <f>IF(OR($B221="",$I221=""),"",N($G221)*$I221)</f>
        <v/>
      </c>
      <c r="L221" s="27">
        <f>IF(OR($B221="",$H221="",$I221=""),"",$I221-$H221)</f>
        <v/>
      </c>
      <c r="M221" s="72">
        <f>IF($L221="","",$L221*N($G221))</f>
        <v/>
      </c>
      <c r="N221" s="73">
        <f>IF($L221="","",IF($H221&gt;0,ROUND($L221/$H221,4),"－"))</f>
        <v/>
      </c>
      <c r="O221" s="29">
        <f>IF($B221="","",IF($L221="","未入力",IF($L221=0,"一致",IF(OR(NOT(ISNUMBER($N221)),AND('設定'!$B$10&lt;&gt;"",ABS(N($N221))&gt;'設定'!$B$10),AND('設定'!$B$11&lt;&gt;"",ABS(ROUND($M221,4))&gt;'設定'!$B$11),AND('設定'!$B$10="",'設定'!$B$11="")),"要確認","許容内"))))</f>
        <v/>
      </c>
      <c r="P221" s="29">
        <f>IF($O221&lt;&gt;"要確認","",IF($Q221=0,"済",IF(COUNTIF('差異の原因'!$B$5:$B$204,$B221)=0,"未記録","一部")))</f>
        <v/>
      </c>
      <c r="Q221" s="27">
        <f>IF($L221="","",IF(AND($L221=0,COUNTIF('差異の原因'!$B$5:$B$204,$B221)=0),"",ROUND($L221-SUMIF('差異の原因'!$B$5:$B$204,$B221,'差異の原因'!$G$5:$G$204),6)))</f>
        <v/>
      </c>
      <c r="R221" s="30" t="n"/>
      <c r="S221" s="23" t="n"/>
      <c r="T221" s="29">
        <f>IF(OR($B221="",NOT(ISNUMBER($R221))),"",IF(IF(ISNUMBER($I221),$I221,N($H221))&lt;=0,"",IF($R221&lt;'設定'!$B$6,"期限切れ",IF($R221='設定'!$B$6,"当日",IF($R221-'設定'!$B$6&lt;=N('設定'!$B$14),"あと"&amp;($R221-'設定'!$B$6)&amp;"日","")))))</f>
        <v/>
      </c>
      <c r="U221" s="61" t="n"/>
      <c r="V221" s="31">
        <f>IF(AND($B221&lt;&gt;"",$E221&lt;&gt;"",$E221='数える用紙'!$C$2),ROW(),"")</f>
        <v/>
      </c>
      <c r="W221" s="74">
        <f>IF(AND($B221&lt;&gt;"",ISNUMBER($R221)),IF(AND($R221&lt;='設定'!$B$6+N('設定'!$B$14),IF(ISNUMBER($I221),$I221,N($H221))&gt;0),$R221+ROW()/100000,""),"")</f>
        <v/>
      </c>
    </row>
    <row r="222" ht="18" customHeight="1">
      <c r="A222" s="22" t="n">
        <v>218</v>
      </c>
      <c r="B222" s="23" t="n"/>
      <c r="C222" s="24" t="n"/>
      <c r="D222" s="24" t="n"/>
      <c r="E222" s="23" t="n"/>
      <c r="F222" s="23" t="n"/>
      <c r="G222" s="25" t="n"/>
      <c r="H222" s="25" t="n"/>
      <c r="I222" s="25" t="n"/>
      <c r="J222" s="72">
        <f>IF(OR($B222="",$H222=""),"",N($G222)*$H222)</f>
        <v/>
      </c>
      <c r="K222" s="72">
        <f>IF(OR($B222="",$I222=""),"",N($G222)*$I222)</f>
        <v/>
      </c>
      <c r="L222" s="27">
        <f>IF(OR($B222="",$H222="",$I222=""),"",$I222-$H222)</f>
        <v/>
      </c>
      <c r="M222" s="72">
        <f>IF($L222="","",$L222*N($G222))</f>
        <v/>
      </c>
      <c r="N222" s="73">
        <f>IF($L222="","",IF($H222&gt;0,ROUND($L222/$H222,4),"－"))</f>
        <v/>
      </c>
      <c r="O222" s="29">
        <f>IF($B222="","",IF($L222="","未入力",IF($L222=0,"一致",IF(OR(NOT(ISNUMBER($N222)),AND('設定'!$B$10&lt;&gt;"",ABS(N($N222))&gt;'設定'!$B$10),AND('設定'!$B$11&lt;&gt;"",ABS(ROUND($M222,4))&gt;'設定'!$B$11),AND('設定'!$B$10="",'設定'!$B$11="")),"要確認","許容内"))))</f>
        <v/>
      </c>
      <c r="P222" s="29">
        <f>IF($O222&lt;&gt;"要確認","",IF($Q222=0,"済",IF(COUNTIF('差異の原因'!$B$5:$B$204,$B222)=0,"未記録","一部")))</f>
        <v/>
      </c>
      <c r="Q222" s="27">
        <f>IF($L222="","",IF(AND($L222=0,COUNTIF('差異の原因'!$B$5:$B$204,$B222)=0),"",ROUND($L222-SUMIF('差異の原因'!$B$5:$B$204,$B222,'差異の原因'!$G$5:$G$204),6)))</f>
        <v/>
      </c>
      <c r="R222" s="30" t="n"/>
      <c r="S222" s="23" t="n"/>
      <c r="T222" s="29">
        <f>IF(OR($B222="",NOT(ISNUMBER($R222))),"",IF(IF(ISNUMBER($I222),$I222,N($H222))&lt;=0,"",IF($R222&lt;'設定'!$B$6,"期限切れ",IF($R222='設定'!$B$6,"当日",IF($R222-'設定'!$B$6&lt;=N('設定'!$B$14),"あと"&amp;($R222-'設定'!$B$6)&amp;"日","")))))</f>
        <v/>
      </c>
      <c r="U222" s="61" t="n"/>
      <c r="V222" s="31">
        <f>IF(AND($B222&lt;&gt;"",$E222&lt;&gt;"",$E222='数える用紙'!$C$2),ROW(),"")</f>
        <v/>
      </c>
      <c r="W222" s="74">
        <f>IF(AND($B222&lt;&gt;"",ISNUMBER($R222)),IF(AND($R222&lt;='設定'!$B$6+N('設定'!$B$14),IF(ISNUMBER($I222),$I222,N($H222))&gt;0),$R222+ROW()/100000,""),"")</f>
        <v/>
      </c>
    </row>
    <row r="223" ht="18" customHeight="1">
      <c r="A223" s="22" t="n">
        <v>219</v>
      </c>
      <c r="B223" s="23" t="n"/>
      <c r="C223" s="24" t="n"/>
      <c r="D223" s="24" t="n"/>
      <c r="E223" s="23" t="n"/>
      <c r="F223" s="23" t="n"/>
      <c r="G223" s="25" t="n"/>
      <c r="H223" s="25" t="n"/>
      <c r="I223" s="25" t="n"/>
      <c r="J223" s="72">
        <f>IF(OR($B223="",$H223=""),"",N($G223)*$H223)</f>
        <v/>
      </c>
      <c r="K223" s="72">
        <f>IF(OR($B223="",$I223=""),"",N($G223)*$I223)</f>
        <v/>
      </c>
      <c r="L223" s="27">
        <f>IF(OR($B223="",$H223="",$I223=""),"",$I223-$H223)</f>
        <v/>
      </c>
      <c r="M223" s="72">
        <f>IF($L223="","",$L223*N($G223))</f>
        <v/>
      </c>
      <c r="N223" s="73">
        <f>IF($L223="","",IF($H223&gt;0,ROUND($L223/$H223,4),"－"))</f>
        <v/>
      </c>
      <c r="O223" s="29">
        <f>IF($B223="","",IF($L223="","未入力",IF($L223=0,"一致",IF(OR(NOT(ISNUMBER($N223)),AND('設定'!$B$10&lt;&gt;"",ABS(N($N223))&gt;'設定'!$B$10),AND('設定'!$B$11&lt;&gt;"",ABS(ROUND($M223,4))&gt;'設定'!$B$11),AND('設定'!$B$10="",'設定'!$B$11="")),"要確認","許容内"))))</f>
        <v/>
      </c>
      <c r="P223" s="29">
        <f>IF($O223&lt;&gt;"要確認","",IF($Q223=0,"済",IF(COUNTIF('差異の原因'!$B$5:$B$204,$B223)=0,"未記録","一部")))</f>
        <v/>
      </c>
      <c r="Q223" s="27">
        <f>IF($L223="","",IF(AND($L223=0,COUNTIF('差異の原因'!$B$5:$B$204,$B223)=0),"",ROUND($L223-SUMIF('差異の原因'!$B$5:$B$204,$B223,'差異の原因'!$G$5:$G$204),6)))</f>
        <v/>
      </c>
      <c r="R223" s="30" t="n"/>
      <c r="S223" s="23" t="n"/>
      <c r="T223" s="29">
        <f>IF(OR($B223="",NOT(ISNUMBER($R223))),"",IF(IF(ISNUMBER($I223),$I223,N($H223))&lt;=0,"",IF($R223&lt;'設定'!$B$6,"期限切れ",IF($R223='設定'!$B$6,"当日",IF($R223-'設定'!$B$6&lt;=N('設定'!$B$14),"あと"&amp;($R223-'設定'!$B$6)&amp;"日","")))))</f>
        <v/>
      </c>
      <c r="U223" s="61" t="n"/>
      <c r="V223" s="31">
        <f>IF(AND($B223&lt;&gt;"",$E223&lt;&gt;"",$E223='数える用紙'!$C$2),ROW(),"")</f>
        <v/>
      </c>
      <c r="W223" s="74">
        <f>IF(AND($B223&lt;&gt;"",ISNUMBER($R223)),IF(AND($R223&lt;='設定'!$B$6+N('設定'!$B$14),IF(ISNUMBER($I223),$I223,N($H223))&gt;0),$R223+ROW()/100000,""),"")</f>
        <v/>
      </c>
    </row>
    <row r="224" ht="18" customHeight="1">
      <c r="A224" s="22" t="n">
        <v>220</v>
      </c>
      <c r="B224" s="23" t="n"/>
      <c r="C224" s="24" t="n"/>
      <c r="D224" s="24" t="n"/>
      <c r="E224" s="23" t="n"/>
      <c r="F224" s="23" t="n"/>
      <c r="G224" s="25" t="n"/>
      <c r="H224" s="25" t="n"/>
      <c r="I224" s="25" t="n"/>
      <c r="J224" s="72">
        <f>IF(OR($B224="",$H224=""),"",N($G224)*$H224)</f>
        <v/>
      </c>
      <c r="K224" s="72">
        <f>IF(OR($B224="",$I224=""),"",N($G224)*$I224)</f>
        <v/>
      </c>
      <c r="L224" s="27">
        <f>IF(OR($B224="",$H224="",$I224=""),"",$I224-$H224)</f>
        <v/>
      </c>
      <c r="M224" s="72">
        <f>IF($L224="","",$L224*N($G224))</f>
        <v/>
      </c>
      <c r="N224" s="73">
        <f>IF($L224="","",IF($H224&gt;0,ROUND($L224/$H224,4),"－"))</f>
        <v/>
      </c>
      <c r="O224" s="29">
        <f>IF($B224="","",IF($L224="","未入力",IF($L224=0,"一致",IF(OR(NOT(ISNUMBER($N224)),AND('設定'!$B$10&lt;&gt;"",ABS(N($N224))&gt;'設定'!$B$10),AND('設定'!$B$11&lt;&gt;"",ABS(ROUND($M224,4))&gt;'設定'!$B$11),AND('設定'!$B$10="",'設定'!$B$11="")),"要確認","許容内"))))</f>
        <v/>
      </c>
      <c r="P224" s="29">
        <f>IF($O224&lt;&gt;"要確認","",IF($Q224=0,"済",IF(COUNTIF('差異の原因'!$B$5:$B$204,$B224)=0,"未記録","一部")))</f>
        <v/>
      </c>
      <c r="Q224" s="27">
        <f>IF($L224="","",IF(AND($L224=0,COUNTIF('差異の原因'!$B$5:$B$204,$B224)=0),"",ROUND($L224-SUMIF('差異の原因'!$B$5:$B$204,$B224,'差異の原因'!$G$5:$G$204),6)))</f>
        <v/>
      </c>
      <c r="R224" s="30" t="n"/>
      <c r="S224" s="23" t="n"/>
      <c r="T224" s="29">
        <f>IF(OR($B224="",NOT(ISNUMBER($R224))),"",IF(IF(ISNUMBER($I224),$I224,N($H224))&lt;=0,"",IF($R224&lt;'設定'!$B$6,"期限切れ",IF($R224='設定'!$B$6,"当日",IF($R224-'設定'!$B$6&lt;=N('設定'!$B$14),"あと"&amp;($R224-'設定'!$B$6)&amp;"日","")))))</f>
        <v/>
      </c>
      <c r="U224" s="61" t="n"/>
      <c r="V224" s="31">
        <f>IF(AND($B224&lt;&gt;"",$E224&lt;&gt;"",$E224='数える用紙'!$C$2),ROW(),"")</f>
        <v/>
      </c>
      <c r="W224" s="74">
        <f>IF(AND($B224&lt;&gt;"",ISNUMBER($R224)),IF(AND($R224&lt;='設定'!$B$6+N('設定'!$B$14),IF(ISNUMBER($I224),$I224,N($H224))&gt;0),$R224+ROW()/100000,""),"")</f>
        <v/>
      </c>
    </row>
    <row r="225" ht="18" customHeight="1">
      <c r="A225" s="22" t="n">
        <v>221</v>
      </c>
      <c r="B225" s="23" t="n"/>
      <c r="C225" s="24" t="n"/>
      <c r="D225" s="24" t="n"/>
      <c r="E225" s="23" t="n"/>
      <c r="F225" s="23" t="n"/>
      <c r="G225" s="25" t="n"/>
      <c r="H225" s="25" t="n"/>
      <c r="I225" s="25" t="n"/>
      <c r="J225" s="72">
        <f>IF(OR($B225="",$H225=""),"",N($G225)*$H225)</f>
        <v/>
      </c>
      <c r="K225" s="72">
        <f>IF(OR($B225="",$I225=""),"",N($G225)*$I225)</f>
        <v/>
      </c>
      <c r="L225" s="27">
        <f>IF(OR($B225="",$H225="",$I225=""),"",$I225-$H225)</f>
        <v/>
      </c>
      <c r="M225" s="72">
        <f>IF($L225="","",$L225*N($G225))</f>
        <v/>
      </c>
      <c r="N225" s="73">
        <f>IF($L225="","",IF($H225&gt;0,ROUND($L225/$H225,4),"－"))</f>
        <v/>
      </c>
      <c r="O225" s="29">
        <f>IF($B225="","",IF($L225="","未入力",IF($L225=0,"一致",IF(OR(NOT(ISNUMBER($N225)),AND('設定'!$B$10&lt;&gt;"",ABS(N($N225))&gt;'設定'!$B$10),AND('設定'!$B$11&lt;&gt;"",ABS(ROUND($M225,4))&gt;'設定'!$B$11),AND('設定'!$B$10="",'設定'!$B$11="")),"要確認","許容内"))))</f>
        <v/>
      </c>
      <c r="P225" s="29">
        <f>IF($O225&lt;&gt;"要確認","",IF($Q225=0,"済",IF(COUNTIF('差異の原因'!$B$5:$B$204,$B225)=0,"未記録","一部")))</f>
        <v/>
      </c>
      <c r="Q225" s="27">
        <f>IF($L225="","",IF(AND($L225=0,COUNTIF('差異の原因'!$B$5:$B$204,$B225)=0),"",ROUND($L225-SUMIF('差異の原因'!$B$5:$B$204,$B225,'差異の原因'!$G$5:$G$204),6)))</f>
        <v/>
      </c>
      <c r="R225" s="30" t="n"/>
      <c r="S225" s="23" t="n"/>
      <c r="T225" s="29">
        <f>IF(OR($B225="",NOT(ISNUMBER($R225))),"",IF(IF(ISNUMBER($I225),$I225,N($H225))&lt;=0,"",IF($R225&lt;'設定'!$B$6,"期限切れ",IF($R225='設定'!$B$6,"当日",IF($R225-'設定'!$B$6&lt;=N('設定'!$B$14),"あと"&amp;($R225-'設定'!$B$6)&amp;"日","")))))</f>
        <v/>
      </c>
      <c r="U225" s="61" t="n"/>
      <c r="V225" s="31">
        <f>IF(AND($B225&lt;&gt;"",$E225&lt;&gt;"",$E225='数える用紙'!$C$2),ROW(),"")</f>
        <v/>
      </c>
      <c r="W225" s="74">
        <f>IF(AND($B225&lt;&gt;"",ISNUMBER($R225)),IF(AND($R225&lt;='設定'!$B$6+N('設定'!$B$14),IF(ISNUMBER($I225),$I225,N($H225))&gt;0),$R225+ROW()/100000,""),"")</f>
        <v/>
      </c>
    </row>
    <row r="226" ht="18" customHeight="1">
      <c r="A226" s="22" t="n">
        <v>222</v>
      </c>
      <c r="B226" s="23" t="n"/>
      <c r="C226" s="24" t="n"/>
      <c r="D226" s="24" t="n"/>
      <c r="E226" s="23" t="n"/>
      <c r="F226" s="23" t="n"/>
      <c r="G226" s="25" t="n"/>
      <c r="H226" s="25" t="n"/>
      <c r="I226" s="25" t="n"/>
      <c r="J226" s="72">
        <f>IF(OR($B226="",$H226=""),"",N($G226)*$H226)</f>
        <v/>
      </c>
      <c r="K226" s="72">
        <f>IF(OR($B226="",$I226=""),"",N($G226)*$I226)</f>
        <v/>
      </c>
      <c r="L226" s="27">
        <f>IF(OR($B226="",$H226="",$I226=""),"",$I226-$H226)</f>
        <v/>
      </c>
      <c r="M226" s="72">
        <f>IF($L226="","",$L226*N($G226))</f>
        <v/>
      </c>
      <c r="N226" s="73">
        <f>IF($L226="","",IF($H226&gt;0,ROUND($L226/$H226,4),"－"))</f>
        <v/>
      </c>
      <c r="O226" s="29">
        <f>IF($B226="","",IF($L226="","未入力",IF($L226=0,"一致",IF(OR(NOT(ISNUMBER($N226)),AND('設定'!$B$10&lt;&gt;"",ABS(N($N226))&gt;'設定'!$B$10),AND('設定'!$B$11&lt;&gt;"",ABS(ROUND($M226,4))&gt;'設定'!$B$11),AND('設定'!$B$10="",'設定'!$B$11="")),"要確認","許容内"))))</f>
        <v/>
      </c>
      <c r="P226" s="29">
        <f>IF($O226&lt;&gt;"要確認","",IF($Q226=0,"済",IF(COUNTIF('差異の原因'!$B$5:$B$204,$B226)=0,"未記録","一部")))</f>
        <v/>
      </c>
      <c r="Q226" s="27">
        <f>IF($L226="","",IF(AND($L226=0,COUNTIF('差異の原因'!$B$5:$B$204,$B226)=0),"",ROUND($L226-SUMIF('差異の原因'!$B$5:$B$204,$B226,'差異の原因'!$G$5:$G$204),6)))</f>
        <v/>
      </c>
      <c r="R226" s="30" t="n"/>
      <c r="S226" s="23" t="n"/>
      <c r="T226" s="29">
        <f>IF(OR($B226="",NOT(ISNUMBER($R226))),"",IF(IF(ISNUMBER($I226),$I226,N($H226))&lt;=0,"",IF($R226&lt;'設定'!$B$6,"期限切れ",IF($R226='設定'!$B$6,"当日",IF($R226-'設定'!$B$6&lt;=N('設定'!$B$14),"あと"&amp;($R226-'設定'!$B$6)&amp;"日","")))))</f>
        <v/>
      </c>
      <c r="U226" s="61" t="n"/>
      <c r="V226" s="31">
        <f>IF(AND($B226&lt;&gt;"",$E226&lt;&gt;"",$E226='数える用紙'!$C$2),ROW(),"")</f>
        <v/>
      </c>
      <c r="W226" s="74">
        <f>IF(AND($B226&lt;&gt;"",ISNUMBER($R226)),IF(AND($R226&lt;='設定'!$B$6+N('設定'!$B$14),IF(ISNUMBER($I226),$I226,N($H226))&gt;0),$R226+ROW()/100000,""),"")</f>
        <v/>
      </c>
    </row>
    <row r="227" ht="18" customHeight="1">
      <c r="A227" s="22" t="n">
        <v>223</v>
      </c>
      <c r="B227" s="23" t="n"/>
      <c r="C227" s="24" t="n"/>
      <c r="D227" s="24" t="n"/>
      <c r="E227" s="23" t="n"/>
      <c r="F227" s="23" t="n"/>
      <c r="G227" s="25" t="n"/>
      <c r="H227" s="25" t="n"/>
      <c r="I227" s="25" t="n"/>
      <c r="J227" s="72">
        <f>IF(OR($B227="",$H227=""),"",N($G227)*$H227)</f>
        <v/>
      </c>
      <c r="K227" s="72">
        <f>IF(OR($B227="",$I227=""),"",N($G227)*$I227)</f>
        <v/>
      </c>
      <c r="L227" s="27">
        <f>IF(OR($B227="",$H227="",$I227=""),"",$I227-$H227)</f>
        <v/>
      </c>
      <c r="M227" s="72">
        <f>IF($L227="","",$L227*N($G227))</f>
        <v/>
      </c>
      <c r="N227" s="73">
        <f>IF($L227="","",IF($H227&gt;0,ROUND($L227/$H227,4),"－"))</f>
        <v/>
      </c>
      <c r="O227" s="29">
        <f>IF($B227="","",IF($L227="","未入力",IF($L227=0,"一致",IF(OR(NOT(ISNUMBER($N227)),AND('設定'!$B$10&lt;&gt;"",ABS(N($N227))&gt;'設定'!$B$10),AND('設定'!$B$11&lt;&gt;"",ABS(ROUND($M227,4))&gt;'設定'!$B$11),AND('設定'!$B$10="",'設定'!$B$11="")),"要確認","許容内"))))</f>
        <v/>
      </c>
      <c r="P227" s="29">
        <f>IF($O227&lt;&gt;"要確認","",IF($Q227=0,"済",IF(COUNTIF('差異の原因'!$B$5:$B$204,$B227)=0,"未記録","一部")))</f>
        <v/>
      </c>
      <c r="Q227" s="27">
        <f>IF($L227="","",IF(AND($L227=0,COUNTIF('差異の原因'!$B$5:$B$204,$B227)=0),"",ROUND($L227-SUMIF('差異の原因'!$B$5:$B$204,$B227,'差異の原因'!$G$5:$G$204),6)))</f>
        <v/>
      </c>
      <c r="R227" s="30" t="n"/>
      <c r="S227" s="23" t="n"/>
      <c r="T227" s="29">
        <f>IF(OR($B227="",NOT(ISNUMBER($R227))),"",IF(IF(ISNUMBER($I227),$I227,N($H227))&lt;=0,"",IF($R227&lt;'設定'!$B$6,"期限切れ",IF($R227='設定'!$B$6,"当日",IF($R227-'設定'!$B$6&lt;=N('設定'!$B$14),"あと"&amp;($R227-'設定'!$B$6)&amp;"日","")))))</f>
        <v/>
      </c>
      <c r="U227" s="61" t="n"/>
      <c r="V227" s="31">
        <f>IF(AND($B227&lt;&gt;"",$E227&lt;&gt;"",$E227='数える用紙'!$C$2),ROW(),"")</f>
        <v/>
      </c>
      <c r="W227" s="74">
        <f>IF(AND($B227&lt;&gt;"",ISNUMBER($R227)),IF(AND($R227&lt;='設定'!$B$6+N('設定'!$B$14),IF(ISNUMBER($I227),$I227,N($H227))&gt;0),$R227+ROW()/100000,""),"")</f>
        <v/>
      </c>
    </row>
    <row r="228" ht="18" customHeight="1">
      <c r="A228" s="22" t="n">
        <v>224</v>
      </c>
      <c r="B228" s="23" t="n"/>
      <c r="C228" s="24" t="n"/>
      <c r="D228" s="24" t="n"/>
      <c r="E228" s="23" t="n"/>
      <c r="F228" s="23" t="n"/>
      <c r="G228" s="25" t="n"/>
      <c r="H228" s="25" t="n"/>
      <c r="I228" s="25" t="n"/>
      <c r="J228" s="72">
        <f>IF(OR($B228="",$H228=""),"",N($G228)*$H228)</f>
        <v/>
      </c>
      <c r="K228" s="72">
        <f>IF(OR($B228="",$I228=""),"",N($G228)*$I228)</f>
        <v/>
      </c>
      <c r="L228" s="27">
        <f>IF(OR($B228="",$H228="",$I228=""),"",$I228-$H228)</f>
        <v/>
      </c>
      <c r="M228" s="72">
        <f>IF($L228="","",$L228*N($G228))</f>
        <v/>
      </c>
      <c r="N228" s="73">
        <f>IF($L228="","",IF($H228&gt;0,ROUND($L228/$H228,4),"－"))</f>
        <v/>
      </c>
      <c r="O228" s="29">
        <f>IF($B228="","",IF($L228="","未入力",IF($L228=0,"一致",IF(OR(NOT(ISNUMBER($N228)),AND('設定'!$B$10&lt;&gt;"",ABS(N($N228))&gt;'設定'!$B$10),AND('設定'!$B$11&lt;&gt;"",ABS(ROUND($M228,4))&gt;'設定'!$B$11),AND('設定'!$B$10="",'設定'!$B$11="")),"要確認","許容内"))))</f>
        <v/>
      </c>
      <c r="P228" s="29">
        <f>IF($O228&lt;&gt;"要確認","",IF($Q228=0,"済",IF(COUNTIF('差異の原因'!$B$5:$B$204,$B228)=0,"未記録","一部")))</f>
        <v/>
      </c>
      <c r="Q228" s="27">
        <f>IF($L228="","",IF(AND($L228=0,COUNTIF('差異の原因'!$B$5:$B$204,$B228)=0),"",ROUND($L228-SUMIF('差異の原因'!$B$5:$B$204,$B228,'差異の原因'!$G$5:$G$204),6)))</f>
        <v/>
      </c>
      <c r="R228" s="30" t="n"/>
      <c r="S228" s="23" t="n"/>
      <c r="T228" s="29">
        <f>IF(OR($B228="",NOT(ISNUMBER($R228))),"",IF(IF(ISNUMBER($I228),$I228,N($H228))&lt;=0,"",IF($R228&lt;'設定'!$B$6,"期限切れ",IF($R228='設定'!$B$6,"当日",IF($R228-'設定'!$B$6&lt;=N('設定'!$B$14),"あと"&amp;($R228-'設定'!$B$6)&amp;"日","")))))</f>
        <v/>
      </c>
      <c r="U228" s="61" t="n"/>
      <c r="V228" s="31">
        <f>IF(AND($B228&lt;&gt;"",$E228&lt;&gt;"",$E228='数える用紙'!$C$2),ROW(),"")</f>
        <v/>
      </c>
      <c r="W228" s="74">
        <f>IF(AND($B228&lt;&gt;"",ISNUMBER($R228)),IF(AND($R228&lt;='設定'!$B$6+N('設定'!$B$14),IF(ISNUMBER($I228),$I228,N($H228))&gt;0),$R228+ROW()/100000,""),"")</f>
        <v/>
      </c>
    </row>
    <row r="229" ht="18" customHeight="1">
      <c r="A229" s="22" t="n">
        <v>225</v>
      </c>
      <c r="B229" s="23" t="n"/>
      <c r="C229" s="24" t="n"/>
      <c r="D229" s="24" t="n"/>
      <c r="E229" s="23" t="n"/>
      <c r="F229" s="23" t="n"/>
      <c r="G229" s="25" t="n"/>
      <c r="H229" s="25" t="n"/>
      <c r="I229" s="25" t="n"/>
      <c r="J229" s="72">
        <f>IF(OR($B229="",$H229=""),"",N($G229)*$H229)</f>
        <v/>
      </c>
      <c r="K229" s="72">
        <f>IF(OR($B229="",$I229=""),"",N($G229)*$I229)</f>
        <v/>
      </c>
      <c r="L229" s="27">
        <f>IF(OR($B229="",$H229="",$I229=""),"",$I229-$H229)</f>
        <v/>
      </c>
      <c r="M229" s="72">
        <f>IF($L229="","",$L229*N($G229))</f>
        <v/>
      </c>
      <c r="N229" s="73">
        <f>IF($L229="","",IF($H229&gt;0,ROUND($L229/$H229,4),"－"))</f>
        <v/>
      </c>
      <c r="O229" s="29">
        <f>IF($B229="","",IF($L229="","未入力",IF($L229=0,"一致",IF(OR(NOT(ISNUMBER($N229)),AND('設定'!$B$10&lt;&gt;"",ABS(N($N229))&gt;'設定'!$B$10),AND('設定'!$B$11&lt;&gt;"",ABS(ROUND($M229,4))&gt;'設定'!$B$11),AND('設定'!$B$10="",'設定'!$B$11="")),"要確認","許容内"))))</f>
        <v/>
      </c>
      <c r="P229" s="29">
        <f>IF($O229&lt;&gt;"要確認","",IF($Q229=0,"済",IF(COUNTIF('差異の原因'!$B$5:$B$204,$B229)=0,"未記録","一部")))</f>
        <v/>
      </c>
      <c r="Q229" s="27">
        <f>IF($L229="","",IF(AND($L229=0,COUNTIF('差異の原因'!$B$5:$B$204,$B229)=0),"",ROUND($L229-SUMIF('差異の原因'!$B$5:$B$204,$B229,'差異の原因'!$G$5:$G$204),6)))</f>
        <v/>
      </c>
      <c r="R229" s="30" t="n"/>
      <c r="S229" s="23" t="n"/>
      <c r="T229" s="29">
        <f>IF(OR($B229="",NOT(ISNUMBER($R229))),"",IF(IF(ISNUMBER($I229),$I229,N($H229))&lt;=0,"",IF($R229&lt;'設定'!$B$6,"期限切れ",IF($R229='設定'!$B$6,"当日",IF($R229-'設定'!$B$6&lt;=N('設定'!$B$14),"あと"&amp;($R229-'設定'!$B$6)&amp;"日","")))))</f>
        <v/>
      </c>
      <c r="U229" s="61" t="n"/>
      <c r="V229" s="31">
        <f>IF(AND($B229&lt;&gt;"",$E229&lt;&gt;"",$E229='数える用紙'!$C$2),ROW(),"")</f>
        <v/>
      </c>
      <c r="W229" s="74">
        <f>IF(AND($B229&lt;&gt;"",ISNUMBER($R229)),IF(AND($R229&lt;='設定'!$B$6+N('設定'!$B$14),IF(ISNUMBER($I229),$I229,N($H229))&gt;0),$R229+ROW()/100000,""),"")</f>
        <v/>
      </c>
    </row>
    <row r="230" ht="18" customHeight="1">
      <c r="A230" s="22" t="n">
        <v>226</v>
      </c>
      <c r="B230" s="23" t="n"/>
      <c r="C230" s="24" t="n"/>
      <c r="D230" s="24" t="n"/>
      <c r="E230" s="23" t="n"/>
      <c r="F230" s="23" t="n"/>
      <c r="G230" s="25" t="n"/>
      <c r="H230" s="25" t="n"/>
      <c r="I230" s="25" t="n"/>
      <c r="J230" s="72">
        <f>IF(OR($B230="",$H230=""),"",N($G230)*$H230)</f>
        <v/>
      </c>
      <c r="K230" s="72">
        <f>IF(OR($B230="",$I230=""),"",N($G230)*$I230)</f>
        <v/>
      </c>
      <c r="L230" s="27">
        <f>IF(OR($B230="",$H230="",$I230=""),"",$I230-$H230)</f>
        <v/>
      </c>
      <c r="M230" s="72">
        <f>IF($L230="","",$L230*N($G230))</f>
        <v/>
      </c>
      <c r="N230" s="73">
        <f>IF($L230="","",IF($H230&gt;0,ROUND($L230/$H230,4),"－"))</f>
        <v/>
      </c>
      <c r="O230" s="29">
        <f>IF($B230="","",IF($L230="","未入力",IF($L230=0,"一致",IF(OR(NOT(ISNUMBER($N230)),AND('設定'!$B$10&lt;&gt;"",ABS(N($N230))&gt;'設定'!$B$10),AND('設定'!$B$11&lt;&gt;"",ABS(ROUND($M230,4))&gt;'設定'!$B$11),AND('設定'!$B$10="",'設定'!$B$11="")),"要確認","許容内"))))</f>
        <v/>
      </c>
      <c r="P230" s="29">
        <f>IF($O230&lt;&gt;"要確認","",IF($Q230=0,"済",IF(COUNTIF('差異の原因'!$B$5:$B$204,$B230)=0,"未記録","一部")))</f>
        <v/>
      </c>
      <c r="Q230" s="27">
        <f>IF($L230="","",IF(AND($L230=0,COUNTIF('差異の原因'!$B$5:$B$204,$B230)=0),"",ROUND($L230-SUMIF('差異の原因'!$B$5:$B$204,$B230,'差異の原因'!$G$5:$G$204),6)))</f>
        <v/>
      </c>
      <c r="R230" s="30" t="n"/>
      <c r="S230" s="23" t="n"/>
      <c r="T230" s="29">
        <f>IF(OR($B230="",NOT(ISNUMBER($R230))),"",IF(IF(ISNUMBER($I230),$I230,N($H230))&lt;=0,"",IF($R230&lt;'設定'!$B$6,"期限切れ",IF($R230='設定'!$B$6,"当日",IF($R230-'設定'!$B$6&lt;=N('設定'!$B$14),"あと"&amp;($R230-'設定'!$B$6)&amp;"日","")))))</f>
        <v/>
      </c>
      <c r="U230" s="61" t="n"/>
      <c r="V230" s="31">
        <f>IF(AND($B230&lt;&gt;"",$E230&lt;&gt;"",$E230='数える用紙'!$C$2),ROW(),"")</f>
        <v/>
      </c>
      <c r="W230" s="74">
        <f>IF(AND($B230&lt;&gt;"",ISNUMBER($R230)),IF(AND($R230&lt;='設定'!$B$6+N('設定'!$B$14),IF(ISNUMBER($I230),$I230,N($H230))&gt;0),$R230+ROW()/100000,""),"")</f>
        <v/>
      </c>
    </row>
    <row r="231" ht="18" customHeight="1">
      <c r="A231" s="22" t="n">
        <v>227</v>
      </c>
      <c r="B231" s="23" t="n"/>
      <c r="C231" s="24" t="n"/>
      <c r="D231" s="24" t="n"/>
      <c r="E231" s="23" t="n"/>
      <c r="F231" s="23" t="n"/>
      <c r="G231" s="25" t="n"/>
      <c r="H231" s="25" t="n"/>
      <c r="I231" s="25" t="n"/>
      <c r="J231" s="72">
        <f>IF(OR($B231="",$H231=""),"",N($G231)*$H231)</f>
        <v/>
      </c>
      <c r="K231" s="72">
        <f>IF(OR($B231="",$I231=""),"",N($G231)*$I231)</f>
        <v/>
      </c>
      <c r="L231" s="27">
        <f>IF(OR($B231="",$H231="",$I231=""),"",$I231-$H231)</f>
        <v/>
      </c>
      <c r="M231" s="72">
        <f>IF($L231="","",$L231*N($G231))</f>
        <v/>
      </c>
      <c r="N231" s="73">
        <f>IF($L231="","",IF($H231&gt;0,ROUND($L231/$H231,4),"－"))</f>
        <v/>
      </c>
      <c r="O231" s="29">
        <f>IF($B231="","",IF($L231="","未入力",IF($L231=0,"一致",IF(OR(NOT(ISNUMBER($N231)),AND('設定'!$B$10&lt;&gt;"",ABS(N($N231))&gt;'設定'!$B$10),AND('設定'!$B$11&lt;&gt;"",ABS(ROUND($M231,4))&gt;'設定'!$B$11),AND('設定'!$B$10="",'設定'!$B$11="")),"要確認","許容内"))))</f>
        <v/>
      </c>
      <c r="P231" s="29">
        <f>IF($O231&lt;&gt;"要確認","",IF($Q231=0,"済",IF(COUNTIF('差異の原因'!$B$5:$B$204,$B231)=0,"未記録","一部")))</f>
        <v/>
      </c>
      <c r="Q231" s="27">
        <f>IF($L231="","",IF(AND($L231=0,COUNTIF('差異の原因'!$B$5:$B$204,$B231)=0),"",ROUND($L231-SUMIF('差異の原因'!$B$5:$B$204,$B231,'差異の原因'!$G$5:$G$204),6)))</f>
        <v/>
      </c>
      <c r="R231" s="30" t="n"/>
      <c r="S231" s="23" t="n"/>
      <c r="T231" s="29">
        <f>IF(OR($B231="",NOT(ISNUMBER($R231))),"",IF(IF(ISNUMBER($I231),$I231,N($H231))&lt;=0,"",IF($R231&lt;'設定'!$B$6,"期限切れ",IF($R231='設定'!$B$6,"当日",IF($R231-'設定'!$B$6&lt;=N('設定'!$B$14),"あと"&amp;($R231-'設定'!$B$6)&amp;"日","")))))</f>
        <v/>
      </c>
      <c r="U231" s="61" t="n"/>
      <c r="V231" s="31">
        <f>IF(AND($B231&lt;&gt;"",$E231&lt;&gt;"",$E231='数える用紙'!$C$2),ROW(),"")</f>
        <v/>
      </c>
      <c r="W231" s="74">
        <f>IF(AND($B231&lt;&gt;"",ISNUMBER($R231)),IF(AND($R231&lt;='設定'!$B$6+N('設定'!$B$14),IF(ISNUMBER($I231),$I231,N($H231))&gt;0),$R231+ROW()/100000,""),"")</f>
        <v/>
      </c>
    </row>
    <row r="232" ht="18" customHeight="1">
      <c r="A232" s="22" t="n">
        <v>228</v>
      </c>
      <c r="B232" s="23" t="n"/>
      <c r="C232" s="24" t="n"/>
      <c r="D232" s="24" t="n"/>
      <c r="E232" s="23" t="n"/>
      <c r="F232" s="23" t="n"/>
      <c r="G232" s="25" t="n"/>
      <c r="H232" s="25" t="n"/>
      <c r="I232" s="25" t="n"/>
      <c r="J232" s="72">
        <f>IF(OR($B232="",$H232=""),"",N($G232)*$H232)</f>
        <v/>
      </c>
      <c r="K232" s="72">
        <f>IF(OR($B232="",$I232=""),"",N($G232)*$I232)</f>
        <v/>
      </c>
      <c r="L232" s="27">
        <f>IF(OR($B232="",$H232="",$I232=""),"",$I232-$H232)</f>
        <v/>
      </c>
      <c r="M232" s="72">
        <f>IF($L232="","",$L232*N($G232))</f>
        <v/>
      </c>
      <c r="N232" s="73">
        <f>IF($L232="","",IF($H232&gt;0,ROUND($L232/$H232,4),"－"))</f>
        <v/>
      </c>
      <c r="O232" s="29">
        <f>IF($B232="","",IF($L232="","未入力",IF($L232=0,"一致",IF(OR(NOT(ISNUMBER($N232)),AND('設定'!$B$10&lt;&gt;"",ABS(N($N232))&gt;'設定'!$B$10),AND('設定'!$B$11&lt;&gt;"",ABS(ROUND($M232,4))&gt;'設定'!$B$11),AND('設定'!$B$10="",'設定'!$B$11="")),"要確認","許容内"))))</f>
        <v/>
      </c>
      <c r="P232" s="29">
        <f>IF($O232&lt;&gt;"要確認","",IF($Q232=0,"済",IF(COUNTIF('差異の原因'!$B$5:$B$204,$B232)=0,"未記録","一部")))</f>
        <v/>
      </c>
      <c r="Q232" s="27">
        <f>IF($L232="","",IF(AND($L232=0,COUNTIF('差異の原因'!$B$5:$B$204,$B232)=0),"",ROUND($L232-SUMIF('差異の原因'!$B$5:$B$204,$B232,'差異の原因'!$G$5:$G$204),6)))</f>
        <v/>
      </c>
      <c r="R232" s="30" t="n"/>
      <c r="S232" s="23" t="n"/>
      <c r="T232" s="29">
        <f>IF(OR($B232="",NOT(ISNUMBER($R232))),"",IF(IF(ISNUMBER($I232),$I232,N($H232))&lt;=0,"",IF($R232&lt;'設定'!$B$6,"期限切れ",IF($R232='設定'!$B$6,"当日",IF($R232-'設定'!$B$6&lt;=N('設定'!$B$14),"あと"&amp;($R232-'設定'!$B$6)&amp;"日","")))))</f>
        <v/>
      </c>
      <c r="U232" s="61" t="n"/>
      <c r="V232" s="31">
        <f>IF(AND($B232&lt;&gt;"",$E232&lt;&gt;"",$E232='数える用紙'!$C$2),ROW(),"")</f>
        <v/>
      </c>
      <c r="W232" s="74">
        <f>IF(AND($B232&lt;&gt;"",ISNUMBER($R232)),IF(AND($R232&lt;='設定'!$B$6+N('設定'!$B$14),IF(ISNUMBER($I232),$I232,N($H232))&gt;0),$R232+ROW()/100000,""),"")</f>
        <v/>
      </c>
    </row>
    <row r="233" ht="18" customHeight="1">
      <c r="A233" s="22" t="n">
        <v>229</v>
      </c>
      <c r="B233" s="23" t="n"/>
      <c r="C233" s="24" t="n"/>
      <c r="D233" s="24" t="n"/>
      <c r="E233" s="23" t="n"/>
      <c r="F233" s="23" t="n"/>
      <c r="G233" s="25" t="n"/>
      <c r="H233" s="25" t="n"/>
      <c r="I233" s="25" t="n"/>
      <c r="J233" s="72">
        <f>IF(OR($B233="",$H233=""),"",N($G233)*$H233)</f>
        <v/>
      </c>
      <c r="K233" s="72">
        <f>IF(OR($B233="",$I233=""),"",N($G233)*$I233)</f>
        <v/>
      </c>
      <c r="L233" s="27">
        <f>IF(OR($B233="",$H233="",$I233=""),"",$I233-$H233)</f>
        <v/>
      </c>
      <c r="M233" s="72">
        <f>IF($L233="","",$L233*N($G233))</f>
        <v/>
      </c>
      <c r="N233" s="73">
        <f>IF($L233="","",IF($H233&gt;0,ROUND($L233/$H233,4),"－"))</f>
        <v/>
      </c>
      <c r="O233" s="29">
        <f>IF($B233="","",IF($L233="","未入力",IF($L233=0,"一致",IF(OR(NOT(ISNUMBER($N233)),AND('設定'!$B$10&lt;&gt;"",ABS(N($N233))&gt;'設定'!$B$10),AND('設定'!$B$11&lt;&gt;"",ABS(ROUND($M233,4))&gt;'設定'!$B$11),AND('設定'!$B$10="",'設定'!$B$11="")),"要確認","許容内"))))</f>
        <v/>
      </c>
      <c r="P233" s="29">
        <f>IF($O233&lt;&gt;"要確認","",IF($Q233=0,"済",IF(COUNTIF('差異の原因'!$B$5:$B$204,$B233)=0,"未記録","一部")))</f>
        <v/>
      </c>
      <c r="Q233" s="27">
        <f>IF($L233="","",IF(AND($L233=0,COUNTIF('差異の原因'!$B$5:$B$204,$B233)=0),"",ROUND($L233-SUMIF('差異の原因'!$B$5:$B$204,$B233,'差異の原因'!$G$5:$G$204),6)))</f>
        <v/>
      </c>
      <c r="R233" s="30" t="n"/>
      <c r="S233" s="23" t="n"/>
      <c r="T233" s="29">
        <f>IF(OR($B233="",NOT(ISNUMBER($R233))),"",IF(IF(ISNUMBER($I233),$I233,N($H233))&lt;=0,"",IF($R233&lt;'設定'!$B$6,"期限切れ",IF($R233='設定'!$B$6,"当日",IF($R233-'設定'!$B$6&lt;=N('設定'!$B$14),"あと"&amp;($R233-'設定'!$B$6)&amp;"日","")))))</f>
        <v/>
      </c>
      <c r="U233" s="61" t="n"/>
      <c r="V233" s="31">
        <f>IF(AND($B233&lt;&gt;"",$E233&lt;&gt;"",$E233='数える用紙'!$C$2),ROW(),"")</f>
        <v/>
      </c>
      <c r="W233" s="74">
        <f>IF(AND($B233&lt;&gt;"",ISNUMBER($R233)),IF(AND($R233&lt;='設定'!$B$6+N('設定'!$B$14),IF(ISNUMBER($I233),$I233,N($H233))&gt;0),$R233+ROW()/100000,""),"")</f>
        <v/>
      </c>
    </row>
    <row r="234" ht="18" customHeight="1">
      <c r="A234" s="22" t="n">
        <v>230</v>
      </c>
      <c r="B234" s="23" t="n"/>
      <c r="C234" s="24" t="n"/>
      <c r="D234" s="24" t="n"/>
      <c r="E234" s="23" t="n"/>
      <c r="F234" s="23" t="n"/>
      <c r="G234" s="25" t="n"/>
      <c r="H234" s="25" t="n"/>
      <c r="I234" s="25" t="n"/>
      <c r="J234" s="72">
        <f>IF(OR($B234="",$H234=""),"",N($G234)*$H234)</f>
        <v/>
      </c>
      <c r="K234" s="72">
        <f>IF(OR($B234="",$I234=""),"",N($G234)*$I234)</f>
        <v/>
      </c>
      <c r="L234" s="27">
        <f>IF(OR($B234="",$H234="",$I234=""),"",$I234-$H234)</f>
        <v/>
      </c>
      <c r="M234" s="72">
        <f>IF($L234="","",$L234*N($G234))</f>
        <v/>
      </c>
      <c r="N234" s="73">
        <f>IF($L234="","",IF($H234&gt;0,ROUND($L234/$H234,4),"－"))</f>
        <v/>
      </c>
      <c r="O234" s="29">
        <f>IF($B234="","",IF($L234="","未入力",IF($L234=0,"一致",IF(OR(NOT(ISNUMBER($N234)),AND('設定'!$B$10&lt;&gt;"",ABS(N($N234))&gt;'設定'!$B$10),AND('設定'!$B$11&lt;&gt;"",ABS(ROUND($M234,4))&gt;'設定'!$B$11),AND('設定'!$B$10="",'設定'!$B$11="")),"要確認","許容内"))))</f>
        <v/>
      </c>
      <c r="P234" s="29">
        <f>IF($O234&lt;&gt;"要確認","",IF($Q234=0,"済",IF(COUNTIF('差異の原因'!$B$5:$B$204,$B234)=0,"未記録","一部")))</f>
        <v/>
      </c>
      <c r="Q234" s="27">
        <f>IF($L234="","",IF(AND($L234=0,COUNTIF('差異の原因'!$B$5:$B$204,$B234)=0),"",ROUND($L234-SUMIF('差異の原因'!$B$5:$B$204,$B234,'差異の原因'!$G$5:$G$204),6)))</f>
        <v/>
      </c>
      <c r="R234" s="30" t="n"/>
      <c r="S234" s="23" t="n"/>
      <c r="T234" s="29">
        <f>IF(OR($B234="",NOT(ISNUMBER($R234))),"",IF(IF(ISNUMBER($I234),$I234,N($H234))&lt;=0,"",IF($R234&lt;'設定'!$B$6,"期限切れ",IF($R234='設定'!$B$6,"当日",IF($R234-'設定'!$B$6&lt;=N('設定'!$B$14),"あと"&amp;($R234-'設定'!$B$6)&amp;"日","")))))</f>
        <v/>
      </c>
      <c r="U234" s="61" t="n"/>
      <c r="V234" s="31">
        <f>IF(AND($B234&lt;&gt;"",$E234&lt;&gt;"",$E234='数える用紙'!$C$2),ROW(),"")</f>
        <v/>
      </c>
      <c r="W234" s="74">
        <f>IF(AND($B234&lt;&gt;"",ISNUMBER($R234)),IF(AND($R234&lt;='設定'!$B$6+N('設定'!$B$14),IF(ISNUMBER($I234),$I234,N($H234))&gt;0),$R234+ROW()/100000,""),"")</f>
        <v/>
      </c>
    </row>
    <row r="235" ht="18" customHeight="1">
      <c r="A235" s="22" t="n">
        <v>231</v>
      </c>
      <c r="B235" s="23" t="n"/>
      <c r="C235" s="24" t="n"/>
      <c r="D235" s="24" t="n"/>
      <c r="E235" s="23" t="n"/>
      <c r="F235" s="23" t="n"/>
      <c r="G235" s="25" t="n"/>
      <c r="H235" s="25" t="n"/>
      <c r="I235" s="25" t="n"/>
      <c r="J235" s="72">
        <f>IF(OR($B235="",$H235=""),"",N($G235)*$H235)</f>
        <v/>
      </c>
      <c r="K235" s="72">
        <f>IF(OR($B235="",$I235=""),"",N($G235)*$I235)</f>
        <v/>
      </c>
      <c r="L235" s="27">
        <f>IF(OR($B235="",$H235="",$I235=""),"",$I235-$H235)</f>
        <v/>
      </c>
      <c r="M235" s="72">
        <f>IF($L235="","",$L235*N($G235))</f>
        <v/>
      </c>
      <c r="N235" s="73">
        <f>IF($L235="","",IF($H235&gt;0,ROUND($L235/$H235,4),"－"))</f>
        <v/>
      </c>
      <c r="O235" s="29">
        <f>IF($B235="","",IF($L235="","未入力",IF($L235=0,"一致",IF(OR(NOT(ISNUMBER($N235)),AND('設定'!$B$10&lt;&gt;"",ABS(N($N235))&gt;'設定'!$B$10),AND('設定'!$B$11&lt;&gt;"",ABS(ROUND($M235,4))&gt;'設定'!$B$11),AND('設定'!$B$10="",'設定'!$B$11="")),"要確認","許容内"))))</f>
        <v/>
      </c>
      <c r="P235" s="29">
        <f>IF($O235&lt;&gt;"要確認","",IF($Q235=0,"済",IF(COUNTIF('差異の原因'!$B$5:$B$204,$B235)=0,"未記録","一部")))</f>
        <v/>
      </c>
      <c r="Q235" s="27">
        <f>IF($L235="","",IF(AND($L235=0,COUNTIF('差異の原因'!$B$5:$B$204,$B235)=0),"",ROUND($L235-SUMIF('差異の原因'!$B$5:$B$204,$B235,'差異の原因'!$G$5:$G$204),6)))</f>
        <v/>
      </c>
      <c r="R235" s="30" t="n"/>
      <c r="S235" s="23" t="n"/>
      <c r="T235" s="29">
        <f>IF(OR($B235="",NOT(ISNUMBER($R235))),"",IF(IF(ISNUMBER($I235),$I235,N($H235))&lt;=0,"",IF($R235&lt;'設定'!$B$6,"期限切れ",IF($R235='設定'!$B$6,"当日",IF($R235-'設定'!$B$6&lt;=N('設定'!$B$14),"あと"&amp;($R235-'設定'!$B$6)&amp;"日","")))))</f>
        <v/>
      </c>
      <c r="U235" s="61" t="n"/>
      <c r="V235" s="31">
        <f>IF(AND($B235&lt;&gt;"",$E235&lt;&gt;"",$E235='数える用紙'!$C$2),ROW(),"")</f>
        <v/>
      </c>
      <c r="W235" s="74">
        <f>IF(AND($B235&lt;&gt;"",ISNUMBER($R235)),IF(AND($R235&lt;='設定'!$B$6+N('設定'!$B$14),IF(ISNUMBER($I235),$I235,N($H235))&gt;0),$R235+ROW()/100000,""),"")</f>
        <v/>
      </c>
    </row>
    <row r="236" ht="18" customHeight="1">
      <c r="A236" s="22" t="n">
        <v>232</v>
      </c>
      <c r="B236" s="23" t="n"/>
      <c r="C236" s="24" t="n"/>
      <c r="D236" s="24" t="n"/>
      <c r="E236" s="23" t="n"/>
      <c r="F236" s="23" t="n"/>
      <c r="G236" s="25" t="n"/>
      <c r="H236" s="25" t="n"/>
      <c r="I236" s="25" t="n"/>
      <c r="J236" s="72">
        <f>IF(OR($B236="",$H236=""),"",N($G236)*$H236)</f>
        <v/>
      </c>
      <c r="K236" s="72">
        <f>IF(OR($B236="",$I236=""),"",N($G236)*$I236)</f>
        <v/>
      </c>
      <c r="L236" s="27">
        <f>IF(OR($B236="",$H236="",$I236=""),"",$I236-$H236)</f>
        <v/>
      </c>
      <c r="M236" s="72">
        <f>IF($L236="","",$L236*N($G236))</f>
        <v/>
      </c>
      <c r="N236" s="73">
        <f>IF($L236="","",IF($H236&gt;0,ROUND($L236/$H236,4),"－"))</f>
        <v/>
      </c>
      <c r="O236" s="29">
        <f>IF($B236="","",IF($L236="","未入力",IF($L236=0,"一致",IF(OR(NOT(ISNUMBER($N236)),AND('設定'!$B$10&lt;&gt;"",ABS(N($N236))&gt;'設定'!$B$10),AND('設定'!$B$11&lt;&gt;"",ABS(ROUND($M236,4))&gt;'設定'!$B$11),AND('設定'!$B$10="",'設定'!$B$11="")),"要確認","許容内"))))</f>
        <v/>
      </c>
      <c r="P236" s="29">
        <f>IF($O236&lt;&gt;"要確認","",IF($Q236=0,"済",IF(COUNTIF('差異の原因'!$B$5:$B$204,$B236)=0,"未記録","一部")))</f>
        <v/>
      </c>
      <c r="Q236" s="27">
        <f>IF($L236="","",IF(AND($L236=0,COUNTIF('差異の原因'!$B$5:$B$204,$B236)=0),"",ROUND($L236-SUMIF('差異の原因'!$B$5:$B$204,$B236,'差異の原因'!$G$5:$G$204),6)))</f>
        <v/>
      </c>
      <c r="R236" s="30" t="n"/>
      <c r="S236" s="23" t="n"/>
      <c r="T236" s="29">
        <f>IF(OR($B236="",NOT(ISNUMBER($R236))),"",IF(IF(ISNUMBER($I236),$I236,N($H236))&lt;=0,"",IF($R236&lt;'設定'!$B$6,"期限切れ",IF($R236='設定'!$B$6,"当日",IF($R236-'設定'!$B$6&lt;=N('設定'!$B$14),"あと"&amp;($R236-'設定'!$B$6)&amp;"日","")))))</f>
        <v/>
      </c>
      <c r="U236" s="61" t="n"/>
      <c r="V236" s="31">
        <f>IF(AND($B236&lt;&gt;"",$E236&lt;&gt;"",$E236='数える用紙'!$C$2),ROW(),"")</f>
        <v/>
      </c>
      <c r="W236" s="74">
        <f>IF(AND($B236&lt;&gt;"",ISNUMBER($R236)),IF(AND($R236&lt;='設定'!$B$6+N('設定'!$B$14),IF(ISNUMBER($I236),$I236,N($H236))&gt;0),$R236+ROW()/100000,""),"")</f>
        <v/>
      </c>
    </row>
    <row r="237" ht="18" customHeight="1">
      <c r="A237" s="22" t="n">
        <v>233</v>
      </c>
      <c r="B237" s="23" t="n"/>
      <c r="C237" s="24" t="n"/>
      <c r="D237" s="24" t="n"/>
      <c r="E237" s="23" t="n"/>
      <c r="F237" s="23" t="n"/>
      <c r="G237" s="25" t="n"/>
      <c r="H237" s="25" t="n"/>
      <c r="I237" s="25" t="n"/>
      <c r="J237" s="72">
        <f>IF(OR($B237="",$H237=""),"",N($G237)*$H237)</f>
        <v/>
      </c>
      <c r="K237" s="72">
        <f>IF(OR($B237="",$I237=""),"",N($G237)*$I237)</f>
        <v/>
      </c>
      <c r="L237" s="27">
        <f>IF(OR($B237="",$H237="",$I237=""),"",$I237-$H237)</f>
        <v/>
      </c>
      <c r="M237" s="72">
        <f>IF($L237="","",$L237*N($G237))</f>
        <v/>
      </c>
      <c r="N237" s="73">
        <f>IF($L237="","",IF($H237&gt;0,ROUND($L237/$H237,4),"－"))</f>
        <v/>
      </c>
      <c r="O237" s="29">
        <f>IF($B237="","",IF($L237="","未入力",IF($L237=0,"一致",IF(OR(NOT(ISNUMBER($N237)),AND('設定'!$B$10&lt;&gt;"",ABS(N($N237))&gt;'設定'!$B$10),AND('設定'!$B$11&lt;&gt;"",ABS(ROUND($M237,4))&gt;'設定'!$B$11),AND('設定'!$B$10="",'設定'!$B$11="")),"要確認","許容内"))))</f>
        <v/>
      </c>
      <c r="P237" s="29">
        <f>IF($O237&lt;&gt;"要確認","",IF($Q237=0,"済",IF(COUNTIF('差異の原因'!$B$5:$B$204,$B237)=0,"未記録","一部")))</f>
        <v/>
      </c>
      <c r="Q237" s="27">
        <f>IF($L237="","",IF(AND($L237=0,COUNTIF('差異の原因'!$B$5:$B$204,$B237)=0),"",ROUND($L237-SUMIF('差異の原因'!$B$5:$B$204,$B237,'差異の原因'!$G$5:$G$204),6)))</f>
        <v/>
      </c>
      <c r="R237" s="30" t="n"/>
      <c r="S237" s="23" t="n"/>
      <c r="T237" s="29">
        <f>IF(OR($B237="",NOT(ISNUMBER($R237))),"",IF(IF(ISNUMBER($I237),$I237,N($H237))&lt;=0,"",IF($R237&lt;'設定'!$B$6,"期限切れ",IF($R237='設定'!$B$6,"当日",IF($R237-'設定'!$B$6&lt;=N('設定'!$B$14),"あと"&amp;($R237-'設定'!$B$6)&amp;"日","")))))</f>
        <v/>
      </c>
      <c r="U237" s="61" t="n"/>
      <c r="V237" s="31">
        <f>IF(AND($B237&lt;&gt;"",$E237&lt;&gt;"",$E237='数える用紙'!$C$2),ROW(),"")</f>
        <v/>
      </c>
      <c r="W237" s="74">
        <f>IF(AND($B237&lt;&gt;"",ISNUMBER($R237)),IF(AND($R237&lt;='設定'!$B$6+N('設定'!$B$14),IF(ISNUMBER($I237),$I237,N($H237))&gt;0),$R237+ROW()/100000,""),"")</f>
        <v/>
      </c>
    </row>
    <row r="238" ht="18" customHeight="1">
      <c r="A238" s="22" t="n">
        <v>234</v>
      </c>
      <c r="B238" s="23" t="n"/>
      <c r="C238" s="24" t="n"/>
      <c r="D238" s="24" t="n"/>
      <c r="E238" s="23" t="n"/>
      <c r="F238" s="23" t="n"/>
      <c r="G238" s="25" t="n"/>
      <c r="H238" s="25" t="n"/>
      <c r="I238" s="25" t="n"/>
      <c r="J238" s="72">
        <f>IF(OR($B238="",$H238=""),"",N($G238)*$H238)</f>
        <v/>
      </c>
      <c r="K238" s="72">
        <f>IF(OR($B238="",$I238=""),"",N($G238)*$I238)</f>
        <v/>
      </c>
      <c r="L238" s="27">
        <f>IF(OR($B238="",$H238="",$I238=""),"",$I238-$H238)</f>
        <v/>
      </c>
      <c r="M238" s="72">
        <f>IF($L238="","",$L238*N($G238))</f>
        <v/>
      </c>
      <c r="N238" s="73">
        <f>IF($L238="","",IF($H238&gt;0,ROUND($L238/$H238,4),"－"))</f>
        <v/>
      </c>
      <c r="O238" s="29">
        <f>IF($B238="","",IF($L238="","未入力",IF($L238=0,"一致",IF(OR(NOT(ISNUMBER($N238)),AND('設定'!$B$10&lt;&gt;"",ABS(N($N238))&gt;'設定'!$B$10),AND('設定'!$B$11&lt;&gt;"",ABS(ROUND($M238,4))&gt;'設定'!$B$11),AND('設定'!$B$10="",'設定'!$B$11="")),"要確認","許容内"))))</f>
        <v/>
      </c>
      <c r="P238" s="29">
        <f>IF($O238&lt;&gt;"要確認","",IF($Q238=0,"済",IF(COUNTIF('差異の原因'!$B$5:$B$204,$B238)=0,"未記録","一部")))</f>
        <v/>
      </c>
      <c r="Q238" s="27">
        <f>IF($L238="","",IF(AND($L238=0,COUNTIF('差異の原因'!$B$5:$B$204,$B238)=0),"",ROUND($L238-SUMIF('差異の原因'!$B$5:$B$204,$B238,'差異の原因'!$G$5:$G$204),6)))</f>
        <v/>
      </c>
      <c r="R238" s="30" t="n"/>
      <c r="S238" s="23" t="n"/>
      <c r="T238" s="29">
        <f>IF(OR($B238="",NOT(ISNUMBER($R238))),"",IF(IF(ISNUMBER($I238),$I238,N($H238))&lt;=0,"",IF($R238&lt;'設定'!$B$6,"期限切れ",IF($R238='設定'!$B$6,"当日",IF($R238-'設定'!$B$6&lt;=N('設定'!$B$14),"あと"&amp;($R238-'設定'!$B$6)&amp;"日","")))))</f>
        <v/>
      </c>
      <c r="U238" s="61" t="n"/>
      <c r="V238" s="31">
        <f>IF(AND($B238&lt;&gt;"",$E238&lt;&gt;"",$E238='数える用紙'!$C$2),ROW(),"")</f>
        <v/>
      </c>
      <c r="W238" s="74">
        <f>IF(AND($B238&lt;&gt;"",ISNUMBER($R238)),IF(AND($R238&lt;='設定'!$B$6+N('設定'!$B$14),IF(ISNUMBER($I238),$I238,N($H238))&gt;0),$R238+ROW()/100000,""),"")</f>
        <v/>
      </c>
    </row>
    <row r="239" ht="18" customHeight="1">
      <c r="A239" s="22" t="n">
        <v>235</v>
      </c>
      <c r="B239" s="23" t="n"/>
      <c r="C239" s="24" t="n"/>
      <c r="D239" s="24" t="n"/>
      <c r="E239" s="23" t="n"/>
      <c r="F239" s="23" t="n"/>
      <c r="G239" s="25" t="n"/>
      <c r="H239" s="25" t="n"/>
      <c r="I239" s="25" t="n"/>
      <c r="J239" s="72">
        <f>IF(OR($B239="",$H239=""),"",N($G239)*$H239)</f>
        <v/>
      </c>
      <c r="K239" s="72">
        <f>IF(OR($B239="",$I239=""),"",N($G239)*$I239)</f>
        <v/>
      </c>
      <c r="L239" s="27">
        <f>IF(OR($B239="",$H239="",$I239=""),"",$I239-$H239)</f>
        <v/>
      </c>
      <c r="M239" s="72">
        <f>IF($L239="","",$L239*N($G239))</f>
        <v/>
      </c>
      <c r="N239" s="73">
        <f>IF($L239="","",IF($H239&gt;0,ROUND($L239/$H239,4),"－"))</f>
        <v/>
      </c>
      <c r="O239" s="29">
        <f>IF($B239="","",IF($L239="","未入力",IF($L239=0,"一致",IF(OR(NOT(ISNUMBER($N239)),AND('設定'!$B$10&lt;&gt;"",ABS(N($N239))&gt;'設定'!$B$10),AND('設定'!$B$11&lt;&gt;"",ABS(ROUND($M239,4))&gt;'設定'!$B$11),AND('設定'!$B$10="",'設定'!$B$11="")),"要確認","許容内"))))</f>
        <v/>
      </c>
      <c r="P239" s="29">
        <f>IF($O239&lt;&gt;"要確認","",IF($Q239=0,"済",IF(COUNTIF('差異の原因'!$B$5:$B$204,$B239)=0,"未記録","一部")))</f>
        <v/>
      </c>
      <c r="Q239" s="27">
        <f>IF($L239="","",IF(AND($L239=0,COUNTIF('差異の原因'!$B$5:$B$204,$B239)=0),"",ROUND($L239-SUMIF('差異の原因'!$B$5:$B$204,$B239,'差異の原因'!$G$5:$G$204),6)))</f>
        <v/>
      </c>
      <c r="R239" s="30" t="n"/>
      <c r="S239" s="23" t="n"/>
      <c r="T239" s="29">
        <f>IF(OR($B239="",NOT(ISNUMBER($R239))),"",IF(IF(ISNUMBER($I239),$I239,N($H239))&lt;=0,"",IF($R239&lt;'設定'!$B$6,"期限切れ",IF($R239='設定'!$B$6,"当日",IF($R239-'設定'!$B$6&lt;=N('設定'!$B$14),"あと"&amp;($R239-'設定'!$B$6)&amp;"日","")))))</f>
        <v/>
      </c>
      <c r="U239" s="61" t="n"/>
      <c r="V239" s="31">
        <f>IF(AND($B239&lt;&gt;"",$E239&lt;&gt;"",$E239='数える用紙'!$C$2),ROW(),"")</f>
        <v/>
      </c>
      <c r="W239" s="74">
        <f>IF(AND($B239&lt;&gt;"",ISNUMBER($R239)),IF(AND($R239&lt;='設定'!$B$6+N('設定'!$B$14),IF(ISNUMBER($I239),$I239,N($H239))&gt;0),$R239+ROW()/100000,""),"")</f>
        <v/>
      </c>
    </row>
    <row r="240" ht="18" customHeight="1">
      <c r="A240" s="22" t="n">
        <v>236</v>
      </c>
      <c r="B240" s="23" t="n"/>
      <c r="C240" s="24" t="n"/>
      <c r="D240" s="24" t="n"/>
      <c r="E240" s="23" t="n"/>
      <c r="F240" s="23" t="n"/>
      <c r="G240" s="25" t="n"/>
      <c r="H240" s="25" t="n"/>
      <c r="I240" s="25" t="n"/>
      <c r="J240" s="72">
        <f>IF(OR($B240="",$H240=""),"",N($G240)*$H240)</f>
        <v/>
      </c>
      <c r="K240" s="72">
        <f>IF(OR($B240="",$I240=""),"",N($G240)*$I240)</f>
        <v/>
      </c>
      <c r="L240" s="27">
        <f>IF(OR($B240="",$H240="",$I240=""),"",$I240-$H240)</f>
        <v/>
      </c>
      <c r="M240" s="72">
        <f>IF($L240="","",$L240*N($G240))</f>
        <v/>
      </c>
      <c r="N240" s="73">
        <f>IF($L240="","",IF($H240&gt;0,ROUND($L240/$H240,4),"－"))</f>
        <v/>
      </c>
      <c r="O240" s="29">
        <f>IF($B240="","",IF($L240="","未入力",IF($L240=0,"一致",IF(OR(NOT(ISNUMBER($N240)),AND('設定'!$B$10&lt;&gt;"",ABS(N($N240))&gt;'設定'!$B$10),AND('設定'!$B$11&lt;&gt;"",ABS(ROUND($M240,4))&gt;'設定'!$B$11),AND('設定'!$B$10="",'設定'!$B$11="")),"要確認","許容内"))))</f>
        <v/>
      </c>
      <c r="P240" s="29">
        <f>IF($O240&lt;&gt;"要確認","",IF($Q240=0,"済",IF(COUNTIF('差異の原因'!$B$5:$B$204,$B240)=0,"未記録","一部")))</f>
        <v/>
      </c>
      <c r="Q240" s="27">
        <f>IF($L240="","",IF(AND($L240=0,COUNTIF('差異の原因'!$B$5:$B$204,$B240)=0),"",ROUND($L240-SUMIF('差異の原因'!$B$5:$B$204,$B240,'差異の原因'!$G$5:$G$204),6)))</f>
        <v/>
      </c>
      <c r="R240" s="30" t="n"/>
      <c r="S240" s="23" t="n"/>
      <c r="T240" s="29">
        <f>IF(OR($B240="",NOT(ISNUMBER($R240))),"",IF(IF(ISNUMBER($I240),$I240,N($H240))&lt;=0,"",IF($R240&lt;'設定'!$B$6,"期限切れ",IF($R240='設定'!$B$6,"当日",IF($R240-'設定'!$B$6&lt;=N('設定'!$B$14),"あと"&amp;($R240-'設定'!$B$6)&amp;"日","")))))</f>
        <v/>
      </c>
      <c r="U240" s="61" t="n"/>
      <c r="V240" s="31">
        <f>IF(AND($B240&lt;&gt;"",$E240&lt;&gt;"",$E240='数える用紙'!$C$2),ROW(),"")</f>
        <v/>
      </c>
      <c r="W240" s="74">
        <f>IF(AND($B240&lt;&gt;"",ISNUMBER($R240)),IF(AND($R240&lt;='設定'!$B$6+N('設定'!$B$14),IF(ISNUMBER($I240),$I240,N($H240))&gt;0),$R240+ROW()/100000,""),"")</f>
        <v/>
      </c>
    </row>
    <row r="241" ht="18" customHeight="1">
      <c r="A241" s="22" t="n">
        <v>237</v>
      </c>
      <c r="B241" s="23" t="n"/>
      <c r="C241" s="24" t="n"/>
      <c r="D241" s="24" t="n"/>
      <c r="E241" s="23" t="n"/>
      <c r="F241" s="23" t="n"/>
      <c r="G241" s="25" t="n"/>
      <c r="H241" s="25" t="n"/>
      <c r="I241" s="25" t="n"/>
      <c r="J241" s="72">
        <f>IF(OR($B241="",$H241=""),"",N($G241)*$H241)</f>
        <v/>
      </c>
      <c r="K241" s="72">
        <f>IF(OR($B241="",$I241=""),"",N($G241)*$I241)</f>
        <v/>
      </c>
      <c r="L241" s="27">
        <f>IF(OR($B241="",$H241="",$I241=""),"",$I241-$H241)</f>
        <v/>
      </c>
      <c r="M241" s="72">
        <f>IF($L241="","",$L241*N($G241))</f>
        <v/>
      </c>
      <c r="N241" s="73">
        <f>IF($L241="","",IF($H241&gt;0,ROUND($L241/$H241,4),"－"))</f>
        <v/>
      </c>
      <c r="O241" s="29">
        <f>IF($B241="","",IF($L241="","未入力",IF($L241=0,"一致",IF(OR(NOT(ISNUMBER($N241)),AND('設定'!$B$10&lt;&gt;"",ABS(N($N241))&gt;'設定'!$B$10),AND('設定'!$B$11&lt;&gt;"",ABS(ROUND($M241,4))&gt;'設定'!$B$11),AND('設定'!$B$10="",'設定'!$B$11="")),"要確認","許容内"))))</f>
        <v/>
      </c>
      <c r="P241" s="29">
        <f>IF($O241&lt;&gt;"要確認","",IF($Q241=0,"済",IF(COUNTIF('差異の原因'!$B$5:$B$204,$B241)=0,"未記録","一部")))</f>
        <v/>
      </c>
      <c r="Q241" s="27">
        <f>IF($L241="","",IF(AND($L241=0,COUNTIF('差異の原因'!$B$5:$B$204,$B241)=0),"",ROUND($L241-SUMIF('差異の原因'!$B$5:$B$204,$B241,'差異の原因'!$G$5:$G$204),6)))</f>
        <v/>
      </c>
      <c r="R241" s="30" t="n"/>
      <c r="S241" s="23" t="n"/>
      <c r="T241" s="29">
        <f>IF(OR($B241="",NOT(ISNUMBER($R241))),"",IF(IF(ISNUMBER($I241),$I241,N($H241))&lt;=0,"",IF($R241&lt;'設定'!$B$6,"期限切れ",IF($R241='設定'!$B$6,"当日",IF($R241-'設定'!$B$6&lt;=N('設定'!$B$14),"あと"&amp;($R241-'設定'!$B$6)&amp;"日","")))))</f>
        <v/>
      </c>
      <c r="U241" s="61" t="n"/>
      <c r="V241" s="31">
        <f>IF(AND($B241&lt;&gt;"",$E241&lt;&gt;"",$E241='数える用紙'!$C$2),ROW(),"")</f>
        <v/>
      </c>
      <c r="W241" s="74">
        <f>IF(AND($B241&lt;&gt;"",ISNUMBER($R241)),IF(AND($R241&lt;='設定'!$B$6+N('設定'!$B$14),IF(ISNUMBER($I241),$I241,N($H241))&gt;0),$R241+ROW()/100000,""),"")</f>
        <v/>
      </c>
    </row>
    <row r="242" ht="18" customHeight="1">
      <c r="A242" s="22" t="n">
        <v>238</v>
      </c>
      <c r="B242" s="23" t="n"/>
      <c r="C242" s="24" t="n"/>
      <c r="D242" s="24" t="n"/>
      <c r="E242" s="23" t="n"/>
      <c r="F242" s="23" t="n"/>
      <c r="G242" s="25" t="n"/>
      <c r="H242" s="25" t="n"/>
      <c r="I242" s="25" t="n"/>
      <c r="J242" s="72">
        <f>IF(OR($B242="",$H242=""),"",N($G242)*$H242)</f>
        <v/>
      </c>
      <c r="K242" s="72">
        <f>IF(OR($B242="",$I242=""),"",N($G242)*$I242)</f>
        <v/>
      </c>
      <c r="L242" s="27">
        <f>IF(OR($B242="",$H242="",$I242=""),"",$I242-$H242)</f>
        <v/>
      </c>
      <c r="M242" s="72">
        <f>IF($L242="","",$L242*N($G242))</f>
        <v/>
      </c>
      <c r="N242" s="73">
        <f>IF($L242="","",IF($H242&gt;0,ROUND($L242/$H242,4),"－"))</f>
        <v/>
      </c>
      <c r="O242" s="29">
        <f>IF($B242="","",IF($L242="","未入力",IF($L242=0,"一致",IF(OR(NOT(ISNUMBER($N242)),AND('設定'!$B$10&lt;&gt;"",ABS(N($N242))&gt;'設定'!$B$10),AND('設定'!$B$11&lt;&gt;"",ABS(ROUND($M242,4))&gt;'設定'!$B$11),AND('設定'!$B$10="",'設定'!$B$11="")),"要確認","許容内"))))</f>
        <v/>
      </c>
      <c r="P242" s="29">
        <f>IF($O242&lt;&gt;"要確認","",IF($Q242=0,"済",IF(COUNTIF('差異の原因'!$B$5:$B$204,$B242)=0,"未記録","一部")))</f>
        <v/>
      </c>
      <c r="Q242" s="27">
        <f>IF($L242="","",IF(AND($L242=0,COUNTIF('差異の原因'!$B$5:$B$204,$B242)=0),"",ROUND($L242-SUMIF('差異の原因'!$B$5:$B$204,$B242,'差異の原因'!$G$5:$G$204),6)))</f>
        <v/>
      </c>
      <c r="R242" s="30" t="n"/>
      <c r="S242" s="23" t="n"/>
      <c r="T242" s="29">
        <f>IF(OR($B242="",NOT(ISNUMBER($R242))),"",IF(IF(ISNUMBER($I242),$I242,N($H242))&lt;=0,"",IF($R242&lt;'設定'!$B$6,"期限切れ",IF($R242='設定'!$B$6,"当日",IF($R242-'設定'!$B$6&lt;=N('設定'!$B$14),"あと"&amp;($R242-'設定'!$B$6)&amp;"日","")))))</f>
        <v/>
      </c>
      <c r="U242" s="61" t="n"/>
      <c r="V242" s="31">
        <f>IF(AND($B242&lt;&gt;"",$E242&lt;&gt;"",$E242='数える用紙'!$C$2),ROW(),"")</f>
        <v/>
      </c>
      <c r="W242" s="74">
        <f>IF(AND($B242&lt;&gt;"",ISNUMBER($R242)),IF(AND($R242&lt;='設定'!$B$6+N('設定'!$B$14),IF(ISNUMBER($I242),$I242,N($H242))&gt;0),$R242+ROW()/100000,""),"")</f>
        <v/>
      </c>
    </row>
    <row r="243" ht="18" customHeight="1">
      <c r="A243" s="22" t="n">
        <v>239</v>
      </c>
      <c r="B243" s="23" t="n"/>
      <c r="C243" s="24" t="n"/>
      <c r="D243" s="24" t="n"/>
      <c r="E243" s="23" t="n"/>
      <c r="F243" s="23" t="n"/>
      <c r="G243" s="25" t="n"/>
      <c r="H243" s="25" t="n"/>
      <c r="I243" s="25" t="n"/>
      <c r="J243" s="72">
        <f>IF(OR($B243="",$H243=""),"",N($G243)*$H243)</f>
        <v/>
      </c>
      <c r="K243" s="72">
        <f>IF(OR($B243="",$I243=""),"",N($G243)*$I243)</f>
        <v/>
      </c>
      <c r="L243" s="27">
        <f>IF(OR($B243="",$H243="",$I243=""),"",$I243-$H243)</f>
        <v/>
      </c>
      <c r="M243" s="72">
        <f>IF($L243="","",$L243*N($G243))</f>
        <v/>
      </c>
      <c r="N243" s="73">
        <f>IF($L243="","",IF($H243&gt;0,ROUND($L243/$H243,4),"－"))</f>
        <v/>
      </c>
      <c r="O243" s="29">
        <f>IF($B243="","",IF($L243="","未入力",IF($L243=0,"一致",IF(OR(NOT(ISNUMBER($N243)),AND('設定'!$B$10&lt;&gt;"",ABS(N($N243))&gt;'設定'!$B$10),AND('設定'!$B$11&lt;&gt;"",ABS(ROUND($M243,4))&gt;'設定'!$B$11),AND('設定'!$B$10="",'設定'!$B$11="")),"要確認","許容内"))))</f>
        <v/>
      </c>
      <c r="P243" s="29">
        <f>IF($O243&lt;&gt;"要確認","",IF($Q243=0,"済",IF(COUNTIF('差異の原因'!$B$5:$B$204,$B243)=0,"未記録","一部")))</f>
        <v/>
      </c>
      <c r="Q243" s="27">
        <f>IF($L243="","",IF(AND($L243=0,COUNTIF('差異の原因'!$B$5:$B$204,$B243)=0),"",ROUND($L243-SUMIF('差異の原因'!$B$5:$B$204,$B243,'差異の原因'!$G$5:$G$204),6)))</f>
        <v/>
      </c>
      <c r="R243" s="30" t="n"/>
      <c r="S243" s="23" t="n"/>
      <c r="T243" s="29">
        <f>IF(OR($B243="",NOT(ISNUMBER($R243))),"",IF(IF(ISNUMBER($I243),$I243,N($H243))&lt;=0,"",IF($R243&lt;'設定'!$B$6,"期限切れ",IF($R243='設定'!$B$6,"当日",IF($R243-'設定'!$B$6&lt;=N('設定'!$B$14),"あと"&amp;($R243-'設定'!$B$6)&amp;"日","")))))</f>
        <v/>
      </c>
      <c r="U243" s="61" t="n"/>
      <c r="V243" s="31">
        <f>IF(AND($B243&lt;&gt;"",$E243&lt;&gt;"",$E243='数える用紙'!$C$2),ROW(),"")</f>
        <v/>
      </c>
      <c r="W243" s="74">
        <f>IF(AND($B243&lt;&gt;"",ISNUMBER($R243)),IF(AND($R243&lt;='設定'!$B$6+N('設定'!$B$14),IF(ISNUMBER($I243),$I243,N($H243))&gt;0),$R243+ROW()/100000,""),"")</f>
        <v/>
      </c>
    </row>
    <row r="244" ht="18" customHeight="1">
      <c r="A244" s="22" t="n">
        <v>240</v>
      </c>
      <c r="B244" s="23" t="n"/>
      <c r="C244" s="24" t="n"/>
      <c r="D244" s="24" t="n"/>
      <c r="E244" s="23" t="n"/>
      <c r="F244" s="23" t="n"/>
      <c r="G244" s="25" t="n"/>
      <c r="H244" s="25" t="n"/>
      <c r="I244" s="25" t="n"/>
      <c r="J244" s="72">
        <f>IF(OR($B244="",$H244=""),"",N($G244)*$H244)</f>
        <v/>
      </c>
      <c r="K244" s="72">
        <f>IF(OR($B244="",$I244=""),"",N($G244)*$I244)</f>
        <v/>
      </c>
      <c r="L244" s="27">
        <f>IF(OR($B244="",$H244="",$I244=""),"",$I244-$H244)</f>
        <v/>
      </c>
      <c r="M244" s="72">
        <f>IF($L244="","",$L244*N($G244))</f>
        <v/>
      </c>
      <c r="N244" s="73">
        <f>IF($L244="","",IF($H244&gt;0,ROUND($L244/$H244,4),"－"))</f>
        <v/>
      </c>
      <c r="O244" s="29">
        <f>IF($B244="","",IF($L244="","未入力",IF($L244=0,"一致",IF(OR(NOT(ISNUMBER($N244)),AND('設定'!$B$10&lt;&gt;"",ABS(N($N244))&gt;'設定'!$B$10),AND('設定'!$B$11&lt;&gt;"",ABS(ROUND($M244,4))&gt;'設定'!$B$11),AND('設定'!$B$10="",'設定'!$B$11="")),"要確認","許容内"))))</f>
        <v/>
      </c>
      <c r="P244" s="29">
        <f>IF($O244&lt;&gt;"要確認","",IF($Q244=0,"済",IF(COUNTIF('差異の原因'!$B$5:$B$204,$B244)=0,"未記録","一部")))</f>
        <v/>
      </c>
      <c r="Q244" s="27">
        <f>IF($L244="","",IF(AND($L244=0,COUNTIF('差異の原因'!$B$5:$B$204,$B244)=0),"",ROUND($L244-SUMIF('差異の原因'!$B$5:$B$204,$B244,'差異の原因'!$G$5:$G$204),6)))</f>
        <v/>
      </c>
      <c r="R244" s="30" t="n"/>
      <c r="S244" s="23" t="n"/>
      <c r="T244" s="29">
        <f>IF(OR($B244="",NOT(ISNUMBER($R244))),"",IF(IF(ISNUMBER($I244),$I244,N($H244))&lt;=0,"",IF($R244&lt;'設定'!$B$6,"期限切れ",IF($R244='設定'!$B$6,"当日",IF($R244-'設定'!$B$6&lt;=N('設定'!$B$14),"あと"&amp;($R244-'設定'!$B$6)&amp;"日","")))))</f>
        <v/>
      </c>
      <c r="U244" s="61" t="n"/>
      <c r="V244" s="31">
        <f>IF(AND($B244&lt;&gt;"",$E244&lt;&gt;"",$E244='数える用紙'!$C$2),ROW(),"")</f>
        <v/>
      </c>
      <c r="W244" s="74">
        <f>IF(AND($B244&lt;&gt;"",ISNUMBER($R244)),IF(AND($R244&lt;='設定'!$B$6+N('設定'!$B$14),IF(ISNUMBER($I244),$I244,N($H244))&gt;0),$R244+ROW()/100000,""),"")</f>
        <v/>
      </c>
    </row>
    <row r="245" ht="18" customHeight="1">
      <c r="A245" s="22" t="n">
        <v>241</v>
      </c>
      <c r="B245" s="23" t="n"/>
      <c r="C245" s="24" t="n"/>
      <c r="D245" s="24" t="n"/>
      <c r="E245" s="23" t="n"/>
      <c r="F245" s="23" t="n"/>
      <c r="G245" s="25" t="n"/>
      <c r="H245" s="25" t="n"/>
      <c r="I245" s="25" t="n"/>
      <c r="J245" s="72">
        <f>IF(OR($B245="",$H245=""),"",N($G245)*$H245)</f>
        <v/>
      </c>
      <c r="K245" s="72">
        <f>IF(OR($B245="",$I245=""),"",N($G245)*$I245)</f>
        <v/>
      </c>
      <c r="L245" s="27">
        <f>IF(OR($B245="",$H245="",$I245=""),"",$I245-$H245)</f>
        <v/>
      </c>
      <c r="M245" s="72">
        <f>IF($L245="","",$L245*N($G245))</f>
        <v/>
      </c>
      <c r="N245" s="73">
        <f>IF($L245="","",IF($H245&gt;0,ROUND($L245/$H245,4),"－"))</f>
        <v/>
      </c>
      <c r="O245" s="29">
        <f>IF($B245="","",IF($L245="","未入力",IF($L245=0,"一致",IF(OR(NOT(ISNUMBER($N245)),AND('設定'!$B$10&lt;&gt;"",ABS(N($N245))&gt;'設定'!$B$10),AND('設定'!$B$11&lt;&gt;"",ABS(ROUND($M245,4))&gt;'設定'!$B$11),AND('設定'!$B$10="",'設定'!$B$11="")),"要確認","許容内"))))</f>
        <v/>
      </c>
      <c r="P245" s="29">
        <f>IF($O245&lt;&gt;"要確認","",IF($Q245=0,"済",IF(COUNTIF('差異の原因'!$B$5:$B$204,$B245)=0,"未記録","一部")))</f>
        <v/>
      </c>
      <c r="Q245" s="27">
        <f>IF($L245="","",IF(AND($L245=0,COUNTIF('差異の原因'!$B$5:$B$204,$B245)=0),"",ROUND($L245-SUMIF('差異の原因'!$B$5:$B$204,$B245,'差異の原因'!$G$5:$G$204),6)))</f>
        <v/>
      </c>
      <c r="R245" s="30" t="n"/>
      <c r="S245" s="23" t="n"/>
      <c r="T245" s="29">
        <f>IF(OR($B245="",NOT(ISNUMBER($R245))),"",IF(IF(ISNUMBER($I245),$I245,N($H245))&lt;=0,"",IF($R245&lt;'設定'!$B$6,"期限切れ",IF($R245='設定'!$B$6,"当日",IF($R245-'設定'!$B$6&lt;=N('設定'!$B$14),"あと"&amp;($R245-'設定'!$B$6)&amp;"日","")))))</f>
        <v/>
      </c>
      <c r="U245" s="61" t="n"/>
      <c r="V245" s="31">
        <f>IF(AND($B245&lt;&gt;"",$E245&lt;&gt;"",$E245='数える用紙'!$C$2),ROW(),"")</f>
        <v/>
      </c>
      <c r="W245" s="74">
        <f>IF(AND($B245&lt;&gt;"",ISNUMBER($R245)),IF(AND($R245&lt;='設定'!$B$6+N('設定'!$B$14),IF(ISNUMBER($I245),$I245,N($H245))&gt;0),$R245+ROW()/100000,""),"")</f>
        <v/>
      </c>
    </row>
    <row r="246" ht="18" customHeight="1">
      <c r="A246" s="22" t="n">
        <v>242</v>
      </c>
      <c r="B246" s="23" t="n"/>
      <c r="C246" s="24" t="n"/>
      <c r="D246" s="24" t="n"/>
      <c r="E246" s="23" t="n"/>
      <c r="F246" s="23" t="n"/>
      <c r="G246" s="25" t="n"/>
      <c r="H246" s="25" t="n"/>
      <c r="I246" s="25" t="n"/>
      <c r="J246" s="72">
        <f>IF(OR($B246="",$H246=""),"",N($G246)*$H246)</f>
        <v/>
      </c>
      <c r="K246" s="72">
        <f>IF(OR($B246="",$I246=""),"",N($G246)*$I246)</f>
        <v/>
      </c>
      <c r="L246" s="27">
        <f>IF(OR($B246="",$H246="",$I246=""),"",$I246-$H246)</f>
        <v/>
      </c>
      <c r="M246" s="72">
        <f>IF($L246="","",$L246*N($G246))</f>
        <v/>
      </c>
      <c r="N246" s="73">
        <f>IF($L246="","",IF($H246&gt;0,ROUND($L246/$H246,4),"－"))</f>
        <v/>
      </c>
      <c r="O246" s="29">
        <f>IF($B246="","",IF($L246="","未入力",IF($L246=0,"一致",IF(OR(NOT(ISNUMBER($N246)),AND('設定'!$B$10&lt;&gt;"",ABS(N($N246))&gt;'設定'!$B$10),AND('設定'!$B$11&lt;&gt;"",ABS(ROUND($M246,4))&gt;'設定'!$B$11),AND('設定'!$B$10="",'設定'!$B$11="")),"要確認","許容内"))))</f>
        <v/>
      </c>
      <c r="P246" s="29">
        <f>IF($O246&lt;&gt;"要確認","",IF($Q246=0,"済",IF(COUNTIF('差異の原因'!$B$5:$B$204,$B246)=0,"未記録","一部")))</f>
        <v/>
      </c>
      <c r="Q246" s="27">
        <f>IF($L246="","",IF(AND($L246=0,COUNTIF('差異の原因'!$B$5:$B$204,$B246)=0),"",ROUND($L246-SUMIF('差異の原因'!$B$5:$B$204,$B246,'差異の原因'!$G$5:$G$204),6)))</f>
        <v/>
      </c>
      <c r="R246" s="30" t="n"/>
      <c r="S246" s="23" t="n"/>
      <c r="T246" s="29">
        <f>IF(OR($B246="",NOT(ISNUMBER($R246))),"",IF(IF(ISNUMBER($I246),$I246,N($H246))&lt;=0,"",IF($R246&lt;'設定'!$B$6,"期限切れ",IF($R246='設定'!$B$6,"当日",IF($R246-'設定'!$B$6&lt;=N('設定'!$B$14),"あと"&amp;($R246-'設定'!$B$6)&amp;"日","")))))</f>
        <v/>
      </c>
      <c r="U246" s="61" t="n"/>
      <c r="V246" s="31">
        <f>IF(AND($B246&lt;&gt;"",$E246&lt;&gt;"",$E246='数える用紙'!$C$2),ROW(),"")</f>
        <v/>
      </c>
      <c r="W246" s="74">
        <f>IF(AND($B246&lt;&gt;"",ISNUMBER($R246)),IF(AND($R246&lt;='設定'!$B$6+N('設定'!$B$14),IF(ISNUMBER($I246),$I246,N($H246))&gt;0),$R246+ROW()/100000,""),"")</f>
        <v/>
      </c>
    </row>
    <row r="247" ht="18" customHeight="1">
      <c r="A247" s="22" t="n">
        <v>243</v>
      </c>
      <c r="B247" s="23" t="n"/>
      <c r="C247" s="24" t="n"/>
      <c r="D247" s="24" t="n"/>
      <c r="E247" s="23" t="n"/>
      <c r="F247" s="23" t="n"/>
      <c r="G247" s="25" t="n"/>
      <c r="H247" s="25" t="n"/>
      <c r="I247" s="25" t="n"/>
      <c r="J247" s="72">
        <f>IF(OR($B247="",$H247=""),"",N($G247)*$H247)</f>
        <v/>
      </c>
      <c r="K247" s="72">
        <f>IF(OR($B247="",$I247=""),"",N($G247)*$I247)</f>
        <v/>
      </c>
      <c r="L247" s="27">
        <f>IF(OR($B247="",$H247="",$I247=""),"",$I247-$H247)</f>
        <v/>
      </c>
      <c r="M247" s="72">
        <f>IF($L247="","",$L247*N($G247))</f>
        <v/>
      </c>
      <c r="N247" s="73">
        <f>IF($L247="","",IF($H247&gt;0,ROUND($L247/$H247,4),"－"))</f>
        <v/>
      </c>
      <c r="O247" s="29">
        <f>IF($B247="","",IF($L247="","未入力",IF($L247=0,"一致",IF(OR(NOT(ISNUMBER($N247)),AND('設定'!$B$10&lt;&gt;"",ABS(N($N247))&gt;'設定'!$B$10),AND('設定'!$B$11&lt;&gt;"",ABS(ROUND($M247,4))&gt;'設定'!$B$11),AND('設定'!$B$10="",'設定'!$B$11="")),"要確認","許容内"))))</f>
        <v/>
      </c>
      <c r="P247" s="29">
        <f>IF($O247&lt;&gt;"要確認","",IF($Q247=0,"済",IF(COUNTIF('差異の原因'!$B$5:$B$204,$B247)=0,"未記録","一部")))</f>
        <v/>
      </c>
      <c r="Q247" s="27">
        <f>IF($L247="","",IF(AND($L247=0,COUNTIF('差異の原因'!$B$5:$B$204,$B247)=0),"",ROUND($L247-SUMIF('差異の原因'!$B$5:$B$204,$B247,'差異の原因'!$G$5:$G$204),6)))</f>
        <v/>
      </c>
      <c r="R247" s="30" t="n"/>
      <c r="S247" s="23" t="n"/>
      <c r="T247" s="29">
        <f>IF(OR($B247="",NOT(ISNUMBER($R247))),"",IF(IF(ISNUMBER($I247),$I247,N($H247))&lt;=0,"",IF($R247&lt;'設定'!$B$6,"期限切れ",IF($R247='設定'!$B$6,"当日",IF($R247-'設定'!$B$6&lt;=N('設定'!$B$14),"あと"&amp;($R247-'設定'!$B$6)&amp;"日","")))))</f>
        <v/>
      </c>
      <c r="U247" s="61" t="n"/>
      <c r="V247" s="31">
        <f>IF(AND($B247&lt;&gt;"",$E247&lt;&gt;"",$E247='数える用紙'!$C$2),ROW(),"")</f>
        <v/>
      </c>
      <c r="W247" s="74">
        <f>IF(AND($B247&lt;&gt;"",ISNUMBER($R247)),IF(AND($R247&lt;='設定'!$B$6+N('設定'!$B$14),IF(ISNUMBER($I247),$I247,N($H247))&gt;0),$R247+ROW()/100000,""),"")</f>
        <v/>
      </c>
    </row>
    <row r="248" ht="18" customHeight="1">
      <c r="A248" s="22" t="n">
        <v>244</v>
      </c>
      <c r="B248" s="23" t="n"/>
      <c r="C248" s="24" t="n"/>
      <c r="D248" s="24" t="n"/>
      <c r="E248" s="23" t="n"/>
      <c r="F248" s="23" t="n"/>
      <c r="G248" s="25" t="n"/>
      <c r="H248" s="25" t="n"/>
      <c r="I248" s="25" t="n"/>
      <c r="J248" s="72">
        <f>IF(OR($B248="",$H248=""),"",N($G248)*$H248)</f>
        <v/>
      </c>
      <c r="K248" s="72">
        <f>IF(OR($B248="",$I248=""),"",N($G248)*$I248)</f>
        <v/>
      </c>
      <c r="L248" s="27">
        <f>IF(OR($B248="",$H248="",$I248=""),"",$I248-$H248)</f>
        <v/>
      </c>
      <c r="M248" s="72">
        <f>IF($L248="","",$L248*N($G248))</f>
        <v/>
      </c>
      <c r="N248" s="73">
        <f>IF($L248="","",IF($H248&gt;0,ROUND($L248/$H248,4),"－"))</f>
        <v/>
      </c>
      <c r="O248" s="29">
        <f>IF($B248="","",IF($L248="","未入力",IF($L248=0,"一致",IF(OR(NOT(ISNUMBER($N248)),AND('設定'!$B$10&lt;&gt;"",ABS(N($N248))&gt;'設定'!$B$10),AND('設定'!$B$11&lt;&gt;"",ABS(ROUND($M248,4))&gt;'設定'!$B$11),AND('設定'!$B$10="",'設定'!$B$11="")),"要確認","許容内"))))</f>
        <v/>
      </c>
      <c r="P248" s="29">
        <f>IF($O248&lt;&gt;"要確認","",IF($Q248=0,"済",IF(COUNTIF('差異の原因'!$B$5:$B$204,$B248)=0,"未記録","一部")))</f>
        <v/>
      </c>
      <c r="Q248" s="27">
        <f>IF($L248="","",IF(AND($L248=0,COUNTIF('差異の原因'!$B$5:$B$204,$B248)=0),"",ROUND($L248-SUMIF('差異の原因'!$B$5:$B$204,$B248,'差異の原因'!$G$5:$G$204),6)))</f>
        <v/>
      </c>
      <c r="R248" s="30" t="n"/>
      <c r="S248" s="23" t="n"/>
      <c r="T248" s="29">
        <f>IF(OR($B248="",NOT(ISNUMBER($R248))),"",IF(IF(ISNUMBER($I248),$I248,N($H248))&lt;=0,"",IF($R248&lt;'設定'!$B$6,"期限切れ",IF($R248='設定'!$B$6,"当日",IF($R248-'設定'!$B$6&lt;=N('設定'!$B$14),"あと"&amp;($R248-'設定'!$B$6)&amp;"日","")))))</f>
        <v/>
      </c>
      <c r="U248" s="61" t="n"/>
      <c r="V248" s="31">
        <f>IF(AND($B248&lt;&gt;"",$E248&lt;&gt;"",$E248='数える用紙'!$C$2),ROW(),"")</f>
        <v/>
      </c>
      <c r="W248" s="74">
        <f>IF(AND($B248&lt;&gt;"",ISNUMBER($R248)),IF(AND($R248&lt;='設定'!$B$6+N('設定'!$B$14),IF(ISNUMBER($I248),$I248,N($H248))&gt;0),$R248+ROW()/100000,""),"")</f>
        <v/>
      </c>
    </row>
    <row r="249" ht="18" customHeight="1">
      <c r="A249" s="22" t="n">
        <v>245</v>
      </c>
      <c r="B249" s="23" t="n"/>
      <c r="C249" s="24" t="n"/>
      <c r="D249" s="24" t="n"/>
      <c r="E249" s="23" t="n"/>
      <c r="F249" s="23" t="n"/>
      <c r="G249" s="25" t="n"/>
      <c r="H249" s="25" t="n"/>
      <c r="I249" s="25" t="n"/>
      <c r="J249" s="72">
        <f>IF(OR($B249="",$H249=""),"",N($G249)*$H249)</f>
        <v/>
      </c>
      <c r="K249" s="72">
        <f>IF(OR($B249="",$I249=""),"",N($G249)*$I249)</f>
        <v/>
      </c>
      <c r="L249" s="27">
        <f>IF(OR($B249="",$H249="",$I249=""),"",$I249-$H249)</f>
        <v/>
      </c>
      <c r="M249" s="72">
        <f>IF($L249="","",$L249*N($G249))</f>
        <v/>
      </c>
      <c r="N249" s="73">
        <f>IF($L249="","",IF($H249&gt;0,ROUND($L249/$H249,4),"－"))</f>
        <v/>
      </c>
      <c r="O249" s="29">
        <f>IF($B249="","",IF($L249="","未入力",IF($L249=0,"一致",IF(OR(NOT(ISNUMBER($N249)),AND('設定'!$B$10&lt;&gt;"",ABS(N($N249))&gt;'設定'!$B$10),AND('設定'!$B$11&lt;&gt;"",ABS(ROUND($M249,4))&gt;'設定'!$B$11),AND('設定'!$B$10="",'設定'!$B$11="")),"要確認","許容内"))))</f>
        <v/>
      </c>
      <c r="P249" s="29">
        <f>IF($O249&lt;&gt;"要確認","",IF($Q249=0,"済",IF(COUNTIF('差異の原因'!$B$5:$B$204,$B249)=0,"未記録","一部")))</f>
        <v/>
      </c>
      <c r="Q249" s="27">
        <f>IF($L249="","",IF(AND($L249=0,COUNTIF('差異の原因'!$B$5:$B$204,$B249)=0),"",ROUND($L249-SUMIF('差異の原因'!$B$5:$B$204,$B249,'差異の原因'!$G$5:$G$204),6)))</f>
        <v/>
      </c>
      <c r="R249" s="30" t="n"/>
      <c r="S249" s="23" t="n"/>
      <c r="T249" s="29">
        <f>IF(OR($B249="",NOT(ISNUMBER($R249))),"",IF(IF(ISNUMBER($I249),$I249,N($H249))&lt;=0,"",IF($R249&lt;'設定'!$B$6,"期限切れ",IF($R249='設定'!$B$6,"当日",IF($R249-'設定'!$B$6&lt;=N('設定'!$B$14),"あと"&amp;($R249-'設定'!$B$6)&amp;"日","")))))</f>
        <v/>
      </c>
      <c r="U249" s="61" t="n"/>
      <c r="V249" s="31">
        <f>IF(AND($B249&lt;&gt;"",$E249&lt;&gt;"",$E249='数える用紙'!$C$2),ROW(),"")</f>
        <v/>
      </c>
      <c r="W249" s="74">
        <f>IF(AND($B249&lt;&gt;"",ISNUMBER($R249)),IF(AND($R249&lt;='設定'!$B$6+N('設定'!$B$14),IF(ISNUMBER($I249),$I249,N($H249))&gt;0),$R249+ROW()/100000,""),"")</f>
        <v/>
      </c>
    </row>
    <row r="250" ht="18" customHeight="1">
      <c r="A250" s="22" t="n">
        <v>246</v>
      </c>
      <c r="B250" s="23" t="n"/>
      <c r="C250" s="24" t="n"/>
      <c r="D250" s="24" t="n"/>
      <c r="E250" s="23" t="n"/>
      <c r="F250" s="23" t="n"/>
      <c r="G250" s="25" t="n"/>
      <c r="H250" s="25" t="n"/>
      <c r="I250" s="25" t="n"/>
      <c r="J250" s="72">
        <f>IF(OR($B250="",$H250=""),"",N($G250)*$H250)</f>
        <v/>
      </c>
      <c r="K250" s="72">
        <f>IF(OR($B250="",$I250=""),"",N($G250)*$I250)</f>
        <v/>
      </c>
      <c r="L250" s="27">
        <f>IF(OR($B250="",$H250="",$I250=""),"",$I250-$H250)</f>
        <v/>
      </c>
      <c r="M250" s="72">
        <f>IF($L250="","",$L250*N($G250))</f>
        <v/>
      </c>
      <c r="N250" s="73">
        <f>IF($L250="","",IF($H250&gt;0,ROUND($L250/$H250,4),"－"))</f>
        <v/>
      </c>
      <c r="O250" s="29">
        <f>IF($B250="","",IF($L250="","未入力",IF($L250=0,"一致",IF(OR(NOT(ISNUMBER($N250)),AND('設定'!$B$10&lt;&gt;"",ABS(N($N250))&gt;'設定'!$B$10),AND('設定'!$B$11&lt;&gt;"",ABS(ROUND($M250,4))&gt;'設定'!$B$11),AND('設定'!$B$10="",'設定'!$B$11="")),"要確認","許容内"))))</f>
        <v/>
      </c>
      <c r="P250" s="29">
        <f>IF($O250&lt;&gt;"要確認","",IF($Q250=0,"済",IF(COUNTIF('差異の原因'!$B$5:$B$204,$B250)=0,"未記録","一部")))</f>
        <v/>
      </c>
      <c r="Q250" s="27">
        <f>IF($L250="","",IF(AND($L250=0,COUNTIF('差異の原因'!$B$5:$B$204,$B250)=0),"",ROUND($L250-SUMIF('差異の原因'!$B$5:$B$204,$B250,'差異の原因'!$G$5:$G$204),6)))</f>
        <v/>
      </c>
      <c r="R250" s="30" t="n"/>
      <c r="S250" s="23" t="n"/>
      <c r="T250" s="29">
        <f>IF(OR($B250="",NOT(ISNUMBER($R250))),"",IF(IF(ISNUMBER($I250),$I250,N($H250))&lt;=0,"",IF($R250&lt;'設定'!$B$6,"期限切れ",IF($R250='設定'!$B$6,"当日",IF($R250-'設定'!$B$6&lt;=N('設定'!$B$14),"あと"&amp;($R250-'設定'!$B$6)&amp;"日","")))))</f>
        <v/>
      </c>
      <c r="U250" s="61" t="n"/>
      <c r="V250" s="31">
        <f>IF(AND($B250&lt;&gt;"",$E250&lt;&gt;"",$E250='数える用紙'!$C$2),ROW(),"")</f>
        <v/>
      </c>
      <c r="W250" s="74">
        <f>IF(AND($B250&lt;&gt;"",ISNUMBER($R250)),IF(AND($R250&lt;='設定'!$B$6+N('設定'!$B$14),IF(ISNUMBER($I250),$I250,N($H250))&gt;0),$R250+ROW()/100000,""),"")</f>
        <v/>
      </c>
    </row>
    <row r="251" ht="18" customHeight="1">
      <c r="A251" s="22" t="n">
        <v>247</v>
      </c>
      <c r="B251" s="23" t="n"/>
      <c r="C251" s="24" t="n"/>
      <c r="D251" s="24" t="n"/>
      <c r="E251" s="23" t="n"/>
      <c r="F251" s="23" t="n"/>
      <c r="G251" s="25" t="n"/>
      <c r="H251" s="25" t="n"/>
      <c r="I251" s="25" t="n"/>
      <c r="J251" s="72">
        <f>IF(OR($B251="",$H251=""),"",N($G251)*$H251)</f>
        <v/>
      </c>
      <c r="K251" s="72">
        <f>IF(OR($B251="",$I251=""),"",N($G251)*$I251)</f>
        <v/>
      </c>
      <c r="L251" s="27">
        <f>IF(OR($B251="",$H251="",$I251=""),"",$I251-$H251)</f>
        <v/>
      </c>
      <c r="M251" s="72">
        <f>IF($L251="","",$L251*N($G251))</f>
        <v/>
      </c>
      <c r="N251" s="73">
        <f>IF($L251="","",IF($H251&gt;0,ROUND($L251/$H251,4),"－"))</f>
        <v/>
      </c>
      <c r="O251" s="29">
        <f>IF($B251="","",IF($L251="","未入力",IF($L251=0,"一致",IF(OR(NOT(ISNUMBER($N251)),AND('設定'!$B$10&lt;&gt;"",ABS(N($N251))&gt;'設定'!$B$10),AND('設定'!$B$11&lt;&gt;"",ABS(ROUND($M251,4))&gt;'設定'!$B$11),AND('設定'!$B$10="",'設定'!$B$11="")),"要確認","許容内"))))</f>
        <v/>
      </c>
      <c r="P251" s="29">
        <f>IF($O251&lt;&gt;"要確認","",IF($Q251=0,"済",IF(COUNTIF('差異の原因'!$B$5:$B$204,$B251)=0,"未記録","一部")))</f>
        <v/>
      </c>
      <c r="Q251" s="27">
        <f>IF($L251="","",IF(AND($L251=0,COUNTIF('差異の原因'!$B$5:$B$204,$B251)=0),"",ROUND($L251-SUMIF('差異の原因'!$B$5:$B$204,$B251,'差異の原因'!$G$5:$G$204),6)))</f>
        <v/>
      </c>
      <c r="R251" s="30" t="n"/>
      <c r="S251" s="23" t="n"/>
      <c r="T251" s="29">
        <f>IF(OR($B251="",NOT(ISNUMBER($R251))),"",IF(IF(ISNUMBER($I251),$I251,N($H251))&lt;=0,"",IF($R251&lt;'設定'!$B$6,"期限切れ",IF($R251='設定'!$B$6,"当日",IF($R251-'設定'!$B$6&lt;=N('設定'!$B$14),"あと"&amp;($R251-'設定'!$B$6)&amp;"日","")))))</f>
        <v/>
      </c>
      <c r="U251" s="61" t="n"/>
      <c r="V251" s="31">
        <f>IF(AND($B251&lt;&gt;"",$E251&lt;&gt;"",$E251='数える用紙'!$C$2),ROW(),"")</f>
        <v/>
      </c>
      <c r="W251" s="74">
        <f>IF(AND($B251&lt;&gt;"",ISNUMBER($R251)),IF(AND($R251&lt;='設定'!$B$6+N('設定'!$B$14),IF(ISNUMBER($I251),$I251,N($H251))&gt;0),$R251+ROW()/100000,""),"")</f>
        <v/>
      </c>
    </row>
    <row r="252" ht="18" customHeight="1">
      <c r="A252" s="22" t="n">
        <v>248</v>
      </c>
      <c r="B252" s="23" t="n"/>
      <c r="C252" s="24" t="n"/>
      <c r="D252" s="24" t="n"/>
      <c r="E252" s="23" t="n"/>
      <c r="F252" s="23" t="n"/>
      <c r="G252" s="25" t="n"/>
      <c r="H252" s="25" t="n"/>
      <c r="I252" s="25" t="n"/>
      <c r="J252" s="72">
        <f>IF(OR($B252="",$H252=""),"",N($G252)*$H252)</f>
        <v/>
      </c>
      <c r="K252" s="72">
        <f>IF(OR($B252="",$I252=""),"",N($G252)*$I252)</f>
        <v/>
      </c>
      <c r="L252" s="27">
        <f>IF(OR($B252="",$H252="",$I252=""),"",$I252-$H252)</f>
        <v/>
      </c>
      <c r="M252" s="72">
        <f>IF($L252="","",$L252*N($G252))</f>
        <v/>
      </c>
      <c r="N252" s="73">
        <f>IF($L252="","",IF($H252&gt;0,ROUND($L252/$H252,4),"－"))</f>
        <v/>
      </c>
      <c r="O252" s="29">
        <f>IF($B252="","",IF($L252="","未入力",IF($L252=0,"一致",IF(OR(NOT(ISNUMBER($N252)),AND('設定'!$B$10&lt;&gt;"",ABS(N($N252))&gt;'設定'!$B$10),AND('設定'!$B$11&lt;&gt;"",ABS(ROUND($M252,4))&gt;'設定'!$B$11),AND('設定'!$B$10="",'設定'!$B$11="")),"要確認","許容内"))))</f>
        <v/>
      </c>
      <c r="P252" s="29">
        <f>IF($O252&lt;&gt;"要確認","",IF($Q252=0,"済",IF(COUNTIF('差異の原因'!$B$5:$B$204,$B252)=0,"未記録","一部")))</f>
        <v/>
      </c>
      <c r="Q252" s="27">
        <f>IF($L252="","",IF(AND($L252=0,COUNTIF('差異の原因'!$B$5:$B$204,$B252)=0),"",ROUND($L252-SUMIF('差異の原因'!$B$5:$B$204,$B252,'差異の原因'!$G$5:$G$204),6)))</f>
        <v/>
      </c>
      <c r="R252" s="30" t="n"/>
      <c r="S252" s="23" t="n"/>
      <c r="T252" s="29">
        <f>IF(OR($B252="",NOT(ISNUMBER($R252))),"",IF(IF(ISNUMBER($I252),$I252,N($H252))&lt;=0,"",IF($R252&lt;'設定'!$B$6,"期限切れ",IF($R252='設定'!$B$6,"当日",IF($R252-'設定'!$B$6&lt;=N('設定'!$B$14),"あと"&amp;($R252-'設定'!$B$6)&amp;"日","")))))</f>
        <v/>
      </c>
      <c r="U252" s="61" t="n"/>
      <c r="V252" s="31">
        <f>IF(AND($B252&lt;&gt;"",$E252&lt;&gt;"",$E252='数える用紙'!$C$2),ROW(),"")</f>
        <v/>
      </c>
      <c r="W252" s="74">
        <f>IF(AND($B252&lt;&gt;"",ISNUMBER($R252)),IF(AND($R252&lt;='設定'!$B$6+N('設定'!$B$14),IF(ISNUMBER($I252),$I252,N($H252))&gt;0),$R252+ROW()/100000,""),"")</f>
        <v/>
      </c>
    </row>
    <row r="253" ht="18" customHeight="1">
      <c r="A253" s="22" t="n">
        <v>249</v>
      </c>
      <c r="B253" s="23" t="n"/>
      <c r="C253" s="24" t="n"/>
      <c r="D253" s="24" t="n"/>
      <c r="E253" s="23" t="n"/>
      <c r="F253" s="23" t="n"/>
      <c r="G253" s="25" t="n"/>
      <c r="H253" s="25" t="n"/>
      <c r="I253" s="25" t="n"/>
      <c r="J253" s="72">
        <f>IF(OR($B253="",$H253=""),"",N($G253)*$H253)</f>
        <v/>
      </c>
      <c r="K253" s="72">
        <f>IF(OR($B253="",$I253=""),"",N($G253)*$I253)</f>
        <v/>
      </c>
      <c r="L253" s="27">
        <f>IF(OR($B253="",$H253="",$I253=""),"",$I253-$H253)</f>
        <v/>
      </c>
      <c r="M253" s="72">
        <f>IF($L253="","",$L253*N($G253))</f>
        <v/>
      </c>
      <c r="N253" s="73">
        <f>IF($L253="","",IF($H253&gt;0,ROUND($L253/$H253,4),"－"))</f>
        <v/>
      </c>
      <c r="O253" s="29">
        <f>IF($B253="","",IF($L253="","未入力",IF($L253=0,"一致",IF(OR(NOT(ISNUMBER($N253)),AND('設定'!$B$10&lt;&gt;"",ABS(N($N253))&gt;'設定'!$B$10),AND('設定'!$B$11&lt;&gt;"",ABS(ROUND($M253,4))&gt;'設定'!$B$11),AND('設定'!$B$10="",'設定'!$B$11="")),"要確認","許容内"))))</f>
        <v/>
      </c>
      <c r="P253" s="29">
        <f>IF($O253&lt;&gt;"要確認","",IF($Q253=0,"済",IF(COUNTIF('差異の原因'!$B$5:$B$204,$B253)=0,"未記録","一部")))</f>
        <v/>
      </c>
      <c r="Q253" s="27">
        <f>IF($L253="","",IF(AND($L253=0,COUNTIF('差異の原因'!$B$5:$B$204,$B253)=0),"",ROUND($L253-SUMIF('差異の原因'!$B$5:$B$204,$B253,'差異の原因'!$G$5:$G$204),6)))</f>
        <v/>
      </c>
      <c r="R253" s="30" t="n"/>
      <c r="S253" s="23" t="n"/>
      <c r="T253" s="29">
        <f>IF(OR($B253="",NOT(ISNUMBER($R253))),"",IF(IF(ISNUMBER($I253),$I253,N($H253))&lt;=0,"",IF($R253&lt;'設定'!$B$6,"期限切れ",IF($R253='設定'!$B$6,"当日",IF($R253-'設定'!$B$6&lt;=N('設定'!$B$14),"あと"&amp;($R253-'設定'!$B$6)&amp;"日","")))))</f>
        <v/>
      </c>
      <c r="U253" s="61" t="n"/>
      <c r="V253" s="31">
        <f>IF(AND($B253&lt;&gt;"",$E253&lt;&gt;"",$E253='数える用紙'!$C$2),ROW(),"")</f>
        <v/>
      </c>
      <c r="W253" s="74">
        <f>IF(AND($B253&lt;&gt;"",ISNUMBER($R253)),IF(AND($R253&lt;='設定'!$B$6+N('設定'!$B$14),IF(ISNUMBER($I253),$I253,N($H253))&gt;0),$R253+ROW()/100000,""),"")</f>
        <v/>
      </c>
    </row>
    <row r="254" ht="18" customHeight="1">
      <c r="A254" s="22" t="n">
        <v>250</v>
      </c>
      <c r="B254" s="23" t="n"/>
      <c r="C254" s="24" t="n"/>
      <c r="D254" s="24" t="n"/>
      <c r="E254" s="23" t="n"/>
      <c r="F254" s="23" t="n"/>
      <c r="G254" s="25" t="n"/>
      <c r="H254" s="25" t="n"/>
      <c r="I254" s="25" t="n"/>
      <c r="J254" s="72">
        <f>IF(OR($B254="",$H254=""),"",N($G254)*$H254)</f>
        <v/>
      </c>
      <c r="K254" s="72">
        <f>IF(OR($B254="",$I254=""),"",N($G254)*$I254)</f>
        <v/>
      </c>
      <c r="L254" s="27">
        <f>IF(OR($B254="",$H254="",$I254=""),"",$I254-$H254)</f>
        <v/>
      </c>
      <c r="M254" s="72">
        <f>IF($L254="","",$L254*N($G254))</f>
        <v/>
      </c>
      <c r="N254" s="73">
        <f>IF($L254="","",IF($H254&gt;0,ROUND($L254/$H254,4),"－"))</f>
        <v/>
      </c>
      <c r="O254" s="29">
        <f>IF($B254="","",IF($L254="","未入力",IF($L254=0,"一致",IF(OR(NOT(ISNUMBER($N254)),AND('設定'!$B$10&lt;&gt;"",ABS(N($N254))&gt;'設定'!$B$10),AND('設定'!$B$11&lt;&gt;"",ABS(ROUND($M254,4))&gt;'設定'!$B$11),AND('設定'!$B$10="",'設定'!$B$11="")),"要確認","許容内"))))</f>
        <v/>
      </c>
      <c r="P254" s="29">
        <f>IF($O254&lt;&gt;"要確認","",IF($Q254=0,"済",IF(COUNTIF('差異の原因'!$B$5:$B$204,$B254)=0,"未記録","一部")))</f>
        <v/>
      </c>
      <c r="Q254" s="27">
        <f>IF($L254="","",IF(AND($L254=0,COUNTIF('差異の原因'!$B$5:$B$204,$B254)=0),"",ROUND($L254-SUMIF('差異の原因'!$B$5:$B$204,$B254,'差異の原因'!$G$5:$G$204),6)))</f>
        <v/>
      </c>
      <c r="R254" s="30" t="n"/>
      <c r="S254" s="23" t="n"/>
      <c r="T254" s="29">
        <f>IF(OR($B254="",NOT(ISNUMBER($R254))),"",IF(IF(ISNUMBER($I254),$I254,N($H254))&lt;=0,"",IF($R254&lt;'設定'!$B$6,"期限切れ",IF($R254='設定'!$B$6,"当日",IF($R254-'設定'!$B$6&lt;=N('設定'!$B$14),"あと"&amp;($R254-'設定'!$B$6)&amp;"日","")))))</f>
        <v/>
      </c>
      <c r="U254" s="61" t="n"/>
      <c r="V254" s="31">
        <f>IF(AND($B254&lt;&gt;"",$E254&lt;&gt;"",$E254='数える用紙'!$C$2),ROW(),"")</f>
        <v/>
      </c>
      <c r="W254" s="74">
        <f>IF(AND($B254&lt;&gt;"",ISNUMBER($R254)),IF(AND($R254&lt;='設定'!$B$6+N('設定'!$B$14),IF(ISNUMBER($I254),$I254,N($H254))&gt;0),$R254+ROW()/100000,""),"")</f>
        <v/>
      </c>
    </row>
    <row r="255" ht="18" customHeight="1">
      <c r="A255" s="22" t="n">
        <v>251</v>
      </c>
      <c r="B255" s="23" t="n"/>
      <c r="C255" s="24" t="n"/>
      <c r="D255" s="24" t="n"/>
      <c r="E255" s="23" t="n"/>
      <c r="F255" s="23" t="n"/>
      <c r="G255" s="25" t="n"/>
      <c r="H255" s="25" t="n"/>
      <c r="I255" s="25" t="n"/>
      <c r="J255" s="72">
        <f>IF(OR($B255="",$H255=""),"",N($G255)*$H255)</f>
        <v/>
      </c>
      <c r="K255" s="72">
        <f>IF(OR($B255="",$I255=""),"",N($G255)*$I255)</f>
        <v/>
      </c>
      <c r="L255" s="27">
        <f>IF(OR($B255="",$H255="",$I255=""),"",$I255-$H255)</f>
        <v/>
      </c>
      <c r="M255" s="72">
        <f>IF($L255="","",$L255*N($G255))</f>
        <v/>
      </c>
      <c r="N255" s="73">
        <f>IF($L255="","",IF($H255&gt;0,ROUND($L255/$H255,4),"－"))</f>
        <v/>
      </c>
      <c r="O255" s="29">
        <f>IF($B255="","",IF($L255="","未入力",IF($L255=0,"一致",IF(OR(NOT(ISNUMBER($N255)),AND('設定'!$B$10&lt;&gt;"",ABS(N($N255))&gt;'設定'!$B$10),AND('設定'!$B$11&lt;&gt;"",ABS(ROUND($M255,4))&gt;'設定'!$B$11),AND('設定'!$B$10="",'設定'!$B$11="")),"要確認","許容内"))))</f>
        <v/>
      </c>
      <c r="P255" s="29">
        <f>IF($O255&lt;&gt;"要確認","",IF($Q255=0,"済",IF(COUNTIF('差異の原因'!$B$5:$B$204,$B255)=0,"未記録","一部")))</f>
        <v/>
      </c>
      <c r="Q255" s="27">
        <f>IF($L255="","",IF(AND($L255=0,COUNTIF('差異の原因'!$B$5:$B$204,$B255)=0),"",ROUND($L255-SUMIF('差異の原因'!$B$5:$B$204,$B255,'差異の原因'!$G$5:$G$204),6)))</f>
        <v/>
      </c>
      <c r="R255" s="30" t="n"/>
      <c r="S255" s="23" t="n"/>
      <c r="T255" s="29">
        <f>IF(OR($B255="",NOT(ISNUMBER($R255))),"",IF(IF(ISNUMBER($I255),$I255,N($H255))&lt;=0,"",IF($R255&lt;'設定'!$B$6,"期限切れ",IF($R255='設定'!$B$6,"当日",IF($R255-'設定'!$B$6&lt;=N('設定'!$B$14),"あと"&amp;($R255-'設定'!$B$6)&amp;"日","")))))</f>
        <v/>
      </c>
      <c r="U255" s="61" t="n"/>
      <c r="V255" s="31">
        <f>IF(AND($B255&lt;&gt;"",$E255&lt;&gt;"",$E255='数える用紙'!$C$2),ROW(),"")</f>
        <v/>
      </c>
      <c r="W255" s="74">
        <f>IF(AND($B255&lt;&gt;"",ISNUMBER($R255)),IF(AND($R255&lt;='設定'!$B$6+N('設定'!$B$14),IF(ISNUMBER($I255),$I255,N($H255))&gt;0),$R255+ROW()/100000,""),"")</f>
        <v/>
      </c>
    </row>
    <row r="256" ht="18" customHeight="1">
      <c r="A256" s="22" t="n">
        <v>252</v>
      </c>
      <c r="B256" s="23" t="n"/>
      <c r="C256" s="24" t="n"/>
      <c r="D256" s="24" t="n"/>
      <c r="E256" s="23" t="n"/>
      <c r="F256" s="23" t="n"/>
      <c r="G256" s="25" t="n"/>
      <c r="H256" s="25" t="n"/>
      <c r="I256" s="25" t="n"/>
      <c r="J256" s="72">
        <f>IF(OR($B256="",$H256=""),"",N($G256)*$H256)</f>
        <v/>
      </c>
      <c r="K256" s="72">
        <f>IF(OR($B256="",$I256=""),"",N($G256)*$I256)</f>
        <v/>
      </c>
      <c r="L256" s="27">
        <f>IF(OR($B256="",$H256="",$I256=""),"",$I256-$H256)</f>
        <v/>
      </c>
      <c r="M256" s="72">
        <f>IF($L256="","",$L256*N($G256))</f>
        <v/>
      </c>
      <c r="N256" s="73">
        <f>IF($L256="","",IF($H256&gt;0,ROUND($L256/$H256,4),"－"))</f>
        <v/>
      </c>
      <c r="O256" s="29">
        <f>IF($B256="","",IF($L256="","未入力",IF($L256=0,"一致",IF(OR(NOT(ISNUMBER($N256)),AND('設定'!$B$10&lt;&gt;"",ABS(N($N256))&gt;'設定'!$B$10),AND('設定'!$B$11&lt;&gt;"",ABS(ROUND($M256,4))&gt;'設定'!$B$11),AND('設定'!$B$10="",'設定'!$B$11="")),"要確認","許容内"))))</f>
        <v/>
      </c>
      <c r="P256" s="29">
        <f>IF($O256&lt;&gt;"要確認","",IF($Q256=0,"済",IF(COUNTIF('差異の原因'!$B$5:$B$204,$B256)=0,"未記録","一部")))</f>
        <v/>
      </c>
      <c r="Q256" s="27">
        <f>IF($L256="","",IF(AND($L256=0,COUNTIF('差異の原因'!$B$5:$B$204,$B256)=0),"",ROUND($L256-SUMIF('差異の原因'!$B$5:$B$204,$B256,'差異の原因'!$G$5:$G$204),6)))</f>
        <v/>
      </c>
      <c r="R256" s="30" t="n"/>
      <c r="S256" s="23" t="n"/>
      <c r="T256" s="29">
        <f>IF(OR($B256="",NOT(ISNUMBER($R256))),"",IF(IF(ISNUMBER($I256),$I256,N($H256))&lt;=0,"",IF($R256&lt;'設定'!$B$6,"期限切れ",IF($R256='設定'!$B$6,"当日",IF($R256-'設定'!$B$6&lt;=N('設定'!$B$14),"あと"&amp;($R256-'設定'!$B$6)&amp;"日","")))))</f>
        <v/>
      </c>
      <c r="U256" s="61" t="n"/>
      <c r="V256" s="31">
        <f>IF(AND($B256&lt;&gt;"",$E256&lt;&gt;"",$E256='数える用紙'!$C$2),ROW(),"")</f>
        <v/>
      </c>
      <c r="W256" s="74">
        <f>IF(AND($B256&lt;&gt;"",ISNUMBER($R256)),IF(AND($R256&lt;='設定'!$B$6+N('設定'!$B$14),IF(ISNUMBER($I256),$I256,N($H256))&gt;0),$R256+ROW()/100000,""),"")</f>
        <v/>
      </c>
    </row>
    <row r="257" ht="18" customHeight="1">
      <c r="A257" s="22" t="n">
        <v>253</v>
      </c>
      <c r="B257" s="23" t="n"/>
      <c r="C257" s="24" t="n"/>
      <c r="D257" s="24" t="n"/>
      <c r="E257" s="23" t="n"/>
      <c r="F257" s="23" t="n"/>
      <c r="G257" s="25" t="n"/>
      <c r="H257" s="25" t="n"/>
      <c r="I257" s="25" t="n"/>
      <c r="J257" s="72">
        <f>IF(OR($B257="",$H257=""),"",N($G257)*$H257)</f>
        <v/>
      </c>
      <c r="K257" s="72">
        <f>IF(OR($B257="",$I257=""),"",N($G257)*$I257)</f>
        <v/>
      </c>
      <c r="L257" s="27">
        <f>IF(OR($B257="",$H257="",$I257=""),"",$I257-$H257)</f>
        <v/>
      </c>
      <c r="M257" s="72">
        <f>IF($L257="","",$L257*N($G257))</f>
        <v/>
      </c>
      <c r="N257" s="73">
        <f>IF($L257="","",IF($H257&gt;0,ROUND($L257/$H257,4),"－"))</f>
        <v/>
      </c>
      <c r="O257" s="29">
        <f>IF($B257="","",IF($L257="","未入力",IF($L257=0,"一致",IF(OR(NOT(ISNUMBER($N257)),AND('設定'!$B$10&lt;&gt;"",ABS(N($N257))&gt;'設定'!$B$10),AND('設定'!$B$11&lt;&gt;"",ABS(ROUND($M257,4))&gt;'設定'!$B$11),AND('設定'!$B$10="",'設定'!$B$11="")),"要確認","許容内"))))</f>
        <v/>
      </c>
      <c r="P257" s="29">
        <f>IF($O257&lt;&gt;"要確認","",IF($Q257=0,"済",IF(COUNTIF('差異の原因'!$B$5:$B$204,$B257)=0,"未記録","一部")))</f>
        <v/>
      </c>
      <c r="Q257" s="27">
        <f>IF($L257="","",IF(AND($L257=0,COUNTIF('差異の原因'!$B$5:$B$204,$B257)=0),"",ROUND($L257-SUMIF('差異の原因'!$B$5:$B$204,$B257,'差異の原因'!$G$5:$G$204),6)))</f>
        <v/>
      </c>
      <c r="R257" s="30" t="n"/>
      <c r="S257" s="23" t="n"/>
      <c r="T257" s="29">
        <f>IF(OR($B257="",NOT(ISNUMBER($R257))),"",IF(IF(ISNUMBER($I257),$I257,N($H257))&lt;=0,"",IF($R257&lt;'設定'!$B$6,"期限切れ",IF($R257='設定'!$B$6,"当日",IF($R257-'設定'!$B$6&lt;=N('設定'!$B$14),"あと"&amp;($R257-'設定'!$B$6)&amp;"日","")))))</f>
        <v/>
      </c>
      <c r="U257" s="61" t="n"/>
      <c r="V257" s="31">
        <f>IF(AND($B257&lt;&gt;"",$E257&lt;&gt;"",$E257='数える用紙'!$C$2),ROW(),"")</f>
        <v/>
      </c>
      <c r="W257" s="74">
        <f>IF(AND($B257&lt;&gt;"",ISNUMBER($R257)),IF(AND($R257&lt;='設定'!$B$6+N('設定'!$B$14),IF(ISNUMBER($I257),$I257,N($H257))&gt;0),$R257+ROW()/100000,""),"")</f>
        <v/>
      </c>
    </row>
    <row r="258" ht="18" customHeight="1">
      <c r="A258" s="22" t="n">
        <v>254</v>
      </c>
      <c r="B258" s="23" t="n"/>
      <c r="C258" s="24" t="n"/>
      <c r="D258" s="24" t="n"/>
      <c r="E258" s="23" t="n"/>
      <c r="F258" s="23" t="n"/>
      <c r="G258" s="25" t="n"/>
      <c r="H258" s="25" t="n"/>
      <c r="I258" s="25" t="n"/>
      <c r="J258" s="72">
        <f>IF(OR($B258="",$H258=""),"",N($G258)*$H258)</f>
        <v/>
      </c>
      <c r="K258" s="72">
        <f>IF(OR($B258="",$I258=""),"",N($G258)*$I258)</f>
        <v/>
      </c>
      <c r="L258" s="27">
        <f>IF(OR($B258="",$H258="",$I258=""),"",$I258-$H258)</f>
        <v/>
      </c>
      <c r="M258" s="72">
        <f>IF($L258="","",$L258*N($G258))</f>
        <v/>
      </c>
      <c r="N258" s="73">
        <f>IF($L258="","",IF($H258&gt;0,ROUND($L258/$H258,4),"－"))</f>
        <v/>
      </c>
      <c r="O258" s="29">
        <f>IF($B258="","",IF($L258="","未入力",IF($L258=0,"一致",IF(OR(NOT(ISNUMBER($N258)),AND('設定'!$B$10&lt;&gt;"",ABS(N($N258))&gt;'設定'!$B$10),AND('設定'!$B$11&lt;&gt;"",ABS(ROUND($M258,4))&gt;'設定'!$B$11),AND('設定'!$B$10="",'設定'!$B$11="")),"要確認","許容内"))))</f>
        <v/>
      </c>
      <c r="P258" s="29">
        <f>IF($O258&lt;&gt;"要確認","",IF($Q258=0,"済",IF(COUNTIF('差異の原因'!$B$5:$B$204,$B258)=0,"未記録","一部")))</f>
        <v/>
      </c>
      <c r="Q258" s="27">
        <f>IF($L258="","",IF(AND($L258=0,COUNTIF('差異の原因'!$B$5:$B$204,$B258)=0),"",ROUND($L258-SUMIF('差異の原因'!$B$5:$B$204,$B258,'差異の原因'!$G$5:$G$204),6)))</f>
        <v/>
      </c>
      <c r="R258" s="30" t="n"/>
      <c r="S258" s="23" t="n"/>
      <c r="T258" s="29">
        <f>IF(OR($B258="",NOT(ISNUMBER($R258))),"",IF(IF(ISNUMBER($I258),$I258,N($H258))&lt;=0,"",IF($R258&lt;'設定'!$B$6,"期限切れ",IF($R258='設定'!$B$6,"当日",IF($R258-'設定'!$B$6&lt;=N('設定'!$B$14),"あと"&amp;($R258-'設定'!$B$6)&amp;"日","")))))</f>
        <v/>
      </c>
      <c r="U258" s="61" t="n"/>
      <c r="V258" s="31">
        <f>IF(AND($B258&lt;&gt;"",$E258&lt;&gt;"",$E258='数える用紙'!$C$2),ROW(),"")</f>
        <v/>
      </c>
      <c r="W258" s="74">
        <f>IF(AND($B258&lt;&gt;"",ISNUMBER($R258)),IF(AND($R258&lt;='設定'!$B$6+N('設定'!$B$14),IF(ISNUMBER($I258),$I258,N($H258))&gt;0),$R258+ROW()/100000,""),"")</f>
        <v/>
      </c>
    </row>
    <row r="259" ht="18" customHeight="1">
      <c r="A259" s="22" t="n">
        <v>255</v>
      </c>
      <c r="B259" s="23" t="n"/>
      <c r="C259" s="24" t="n"/>
      <c r="D259" s="24" t="n"/>
      <c r="E259" s="23" t="n"/>
      <c r="F259" s="23" t="n"/>
      <c r="G259" s="25" t="n"/>
      <c r="H259" s="25" t="n"/>
      <c r="I259" s="25" t="n"/>
      <c r="J259" s="72">
        <f>IF(OR($B259="",$H259=""),"",N($G259)*$H259)</f>
        <v/>
      </c>
      <c r="K259" s="72">
        <f>IF(OR($B259="",$I259=""),"",N($G259)*$I259)</f>
        <v/>
      </c>
      <c r="L259" s="27">
        <f>IF(OR($B259="",$H259="",$I259=""),"",$I259-$H259)</f>
        <v/>
      </c>
      <c r="M259" s="72">
        <f>IF($L259="","",$L259*N($G259))</f>
        <v/>
      </c>
      <c r="N259" s="73">
        <f>IF($L259="","",IF($H259&gt;0,ROUND($L259/$H259,4),"－"))</f>
        <v/>
      </c>
      <c r="O259" s="29">
        <f>IF($B259="","",IF($L259="","未入力",IF($L259=0,"一致",IF(OR(NOT(ISNUMBER($N259)),AND('設定'!$B$10&lt;&gt;"",ABS(N($N259))&gt;'設定'!$B$10),AND('設定'!$B$11&lt;&gt;"",ABS(ROUND($M259,4))&gt;'設定'!$B$11),AND('設定'!$B$10="",'設定'!$B$11="")),"要確認","許容内"))))</f>
        <v/>
      </c>
      <c r="P259" s="29">
        <f>IF($O259&lt;&gt;"要確認","",IF($Q259=0,"済",IF(COUNTIF('差異の原因'!$B$5:$B$204,$B259)=0,"未記録","一部")))</f>
        <v/>
      </c>
      <c r="Q259" s="27">
        <f>IF($L259="","",IF(AND($L259=0,COUNTIF('差異の原因'!$B$5:$B$204,$B259)=0),"",ROUND($L259-SUMIF('差異の原因'!$B$5:$B$204,$B259,'差異の原因'!$G$5:$G$204),6)))</f>
        <v/>
      </c>
      <c r="R259" s="30" t="n"/>
      <c r="S259" s="23" t="n"/>
      <c r="T259" s="29">
        <f>IF(OR($B259="",NOT(ISNUMBER($R259))),"",IF(IF(ISNUMBER($I259),$I259,N($H259))&lt;=0,"",IF($R259&lt;'設定'!$B$6,"期限切れ",IF($R259='設定'!$B$6,"当日",IF($R259-'設定'!$B$6&lt;=N('設定'!$B$14),"あと"&amp;($R259-'設定'!$B$6)&amp;"日","")))))</f>
        <v/>
      </c>
      <c r="U259" s="61" t="n"/>
      <c r="V259" s="31">
        <f>IF(AND($B259&lt;&gt;"",$E259&lt;&gt;"",$E259='数える用紙'!$C$2),ROW(),"")</f>
        <v/>
      </c>
      <c r="W259" s="74">
        <f>IF(AND($B259&lt;&gt;"",ISNUMBER($R259)),IF(AND($R259&lt;='設定'!$B$6+N('設定'!$B$14),IF(ISNUMBER($I259),$I259,N($H259))&gt;0),$R259+ROW()/100000,""),"")</f>
        <v/>
      </c>
    </row>
    <row r="260" ht="18" customHeight="1">
      <c r="A260" s="22" t="n">
        <v>256</v>
      </c>
      <c r="B260" s="23" t="n"/>
      <c r="C260" s="24" t="n"/>
      <c r="D260" s="24" t="n"/>
      <c r="E260" s="23" t="n"/>
      <c r="F260" s="23" t="n"/>
      <c r="G260" s="25" t="n"/>
      <c r="H260" s="25" t="n"/>
      <c r="I260" s="25" t="n"/>
      <c r="J260" s="72">
        <f>IF(OR($B260="",$H260=""),"",N($G260)*$H260)</f>
        <v/>
      </c>
      <c r="K260" s="72">
        <f>IF(OR($B260="",$I260=""),"",N($G260)*$I260)</f>
        <v/>
      </c>
      <c r="L260" s="27">
        <f>IF(OR($B260="",$H260="",$I260=""),"",$I260-$H260)</f>
        <v/>
      </c>
      <c r="M260" s="72">
        <f>IF($L260="","",$L260*N($G260))</f>
        <v/>
      </c>
      <c r="N260" s="73">
        <f>IF($L260="","",IF($H260&gt;0,ROUND($L260/$H260,4),"－"))</f>
        <v/>
      </c>
      <c r="O260" s="29">
        <f>IF($B260="","",IF($L260="","未入力",IF($L260=0,"一致",IF(OR(NOT(ISNUMBER($N260)),AND('設定'!$B$10&lt;&gt;"",ABS(N($N260))&gt;'設定'!$B$10),AND('設定'!$B$11&lt;&gt;"",ABS(ROUND($M260,4))&gt;'設定'!$B$11),AND('設定'!$B$10="",'設定'!$B$11="")),"要確認","許容内"))))</f>
        <v/>
      </c>
      <c r="P260" s="29">
        <f>IF($O260&lt;&gt;"要確認","",IF($Q260=0,"済",IF(COUNTIF('差異の原因'!$B$5:$B$204,$B260)=0,"未記録","一部")))</f>
        <v/>
      </c>
      <c r="Q260" s="27">
        <f>IF($L260="","",IF(AND($L260=0,COUNTIF('差異の原因'!$B$5:$B$204,$B260)=0),"",ROUND($L260-SUMIF('差異の原因'!$B$5:$B$204,$B260,'差異の原因'!$G$5:$G$204),6)))</f>
        <v/>
      </c>
      <c r="R260" s="30" t="n"/>
      <c r="S260" s="23" t="n"/>
      <c r="T260" s="29">
        <f>IF(OR($B260="",NOT(ISNUMBER($R260))),"",IF(IF(ISNUMBER($I260),$I260,N($H260))&lt;=0,"",IF($R260&lt;'設定'!$B$6,"期限切れ",IF($R260='設定'!$B$6,"当日",IF($R260-'設定'!$B$6&lt;=N('設定'!$B$14),"あと"&amp;($R260-'設定'!$B$6)&amp;"日","")))))</f>
        <v/>
      </c>
      <c r="U260" s="61" t="n"/>
      <c r="V260" s="31">
        <f>IF(AND($B260&lt;&gt;"",$E260&lt;&gt;"",$E260='数える用紙'!$C$2),ROW(),"")</f>
        <v/>
      </c>
      <c r="W260" s="74">
        <f>IF(AND($B260&lt;&gt;"",ISNUMBER($R260)),IF(AND($R260&lt;='設定'!$B$6+N('設定'!$B$14),IF(ISNUMBER($I260),$I260,N($H260))&gt;0),$R260+ROW()/100000,""),"")</f>
        <v/>
      </c>
    </row>
    <row r="261" ht="18" customHeight="1">
      <c r="A261" s="22" t="n">
        <v>257</v>
      </c>
      <c r="B261" s="23" t="n"/>
      <c r="C261" s="24" t="n"/>
      <c r="D261" s="24" t="n"/>
      <c r="E261" s="23" t="n"/>
      <c r="F261" s="23" t="n"/>
      <c r="G261" s="25" t="n"/>
      <c r="H261" s="25" t="n"/>
      <c r="I261" s="25" t="n"/>
      <c r="J261" s="72">
        <f>IF(OR($B261="",$H261=""),"",N($G261)*$H261)</f>
        <v/>
      </c>
      <c r="K261" s="72">
        <f>IF(OR($B261="",$I261=""),"",N($G261)*$I261)</f>
        <v/>
      </c>
      <c r="L261" s="27">
        <f>IF(OR($B261="",$H261="",$I261=""),"",$I261-$H261)</f>
        <v/>
      </c>
      <c r="M261" s="72">
        <f>IF($L261="","",$L261*N($G261))</f>
        <v/>
      </c>
      <c r="N261" s="73">
        <f>IF($L261="","",IF($H261&gt;0,ROUND($L261/$H261,4),"－"))</f>
        <v/>
      </c>
      <c r="O261" s="29">
        <f>IF($B261="","",IF($L261="","未入力",IF($L261=0,"一致",IF(OR(NOT(ISNUMBER($N261)),AND('設定'!$B$10&lt;&gt;"",ABS(N($N261))&gt;'設定'!$B$10),AND('設定'!$B$11&lt;&gt;"",ABS(ROUND($M261,4))&gt;'設定'!$B$11),AND('設定'!$B$10="",'設定'!$B$11="")),"要確認","許容内"))))</f>
        <v/>
      </c>
      <c r="P261" s="29">
        <f>IF($O261&lt;&gt;"要確認","",IF($Q261=0,"済",IF(COUNTIF('差異の原因'!$B$5:$B$204,$B261)=0,"未記録","一部")))</f>
        <v/>
      </c>
      <c r="Q261" s="27">
        <f>IF($L261="","",IF(AND($L261=0,COUNTIF('差異の原因'!$B$5:$B$204,$B261)=0),"",ROUND($L261-SUMIF('差異の原因'!$B$5:$B$204,$B261,'差異の原因'!$G$5:$G$204),6)))</f>
        <v/>
      </c>
      <c r="R261" s="30" t="n"/>
      <c r="S261" s="23" t="n"/>
      <c r="T261" s="29">
        <f>IF(OR($B261="",NOT(ISNUMBER($R261))),"",IF(IF(ISNUMBER($I261),$I261,N($H261))&lt;=0,"",IF($R261&lt;'設定'!$B$6,"期限切れ",IF($R261='設定'!$B$6,"当日",IF($R261-'設定'!$B$6&lt;=N('設定'!$B$14),"あと"&amp;($R261-'設定'!$B$6)&amp;"日","")))))</f>
        <v/>
      </c>
      <c r="U261" s="61" t="n"/>
      <c r="V261" s="31">
        <f>IF(AND($B261&lt;&gt;"",$E261&lt;&gt;"",$E261='数える用紙'!$C$2),ROW(),"")</f>
        <v/>
      </c>
      <c r="W261" s="74">
        <f>IF(AND($B261&lt;&gt;"",ISNUMBER($R261)),IF(AND($R261&lt;='設定'!$B$6+N('設定'!$B$14),IF(ISNUMBER($I261),$I261,N($H261))&gt;0),$R261+ROW()/100000,""),"")</f>
        <v/>
      </c>
    </row>
    <row r="262" ht="18" customHeight="1">
      <c r="A262" s="22" t="n">
        <v>258</v>
      </c>
      <c r="B262" s="23" t="n"/>
      <c r="C262" s="24" t="n"/>
      <c r="D262" s="24" t="n"/>
      <c r="E262" s="23" t="n"/>
      <c r="F262" s="23" t="n"/>
      <c r="G262" s="25" t="n"/>
      <c r="H262" s="25" t="n"/>
      <c r="I262" s="25" t="n"/>
      <c r="J262" s="72">
        <f>IF(OR($B262="",$H262=""),"",N($G262)*$H262)</f>
        <v/>
      </c>
      <c r="K262" s="72">
        <f>IF(OR($B262="",$I262=""),"",N($G262)*$I262)</f>
        <v/>
      </c>
      <c r="L262" s="27">
        <f>IF(OR($B262="",$H262="",$I262=""),"",$I262-$H262)</f>
        <v/>
      </c>
      <c r="M262" s="72">
        <f>IF($L262="","",$L262*N($G262))</f>
        <v/>
      </c>
      <c r="N262" s="73">
        <f>IF($L262="","",IF($H262&gt;0,ROUND($L262/$H262,4),"－"))</f>
        <v/>
      </c>
      <c r="O262" s="29">
        <f>IF($B262="","",IF($L262="","未入力",IF($L262=0,"一致",IF(OR(NOT(ISNUMBER($N262)),AND('設定'!$B$10&lt;&gt;"",ABS(N($N262))&gt;'設定'!$B$10),AND('設定'!$B$11&lt;&gt;"",ABS(ROUND($M262,4))&gt;'設定'!$B$11),AND('設定'!$B$10="",'設定'!$B$11="")),"要確認","許容内"))))</f>
        <v/>
      </c>
      <c r="P262" s="29">
        <f>IF($O262&lt;&gt;"要確認","",IF($Q262=0,"済",IF(COUNTIF('差異の原因'!$B$5:$B$204,$B262)=0,"未記録","一部")))</f>
        <v/>
      </c>
      <c r="Q262" s="27">
        <f>IF($L262="","",IF(AND($L262=0,COUNTIF('差異の原因'!$B$5:$B$204,$B262)=0),"",ROUND($L262-SUMIF('差異の原因'!$B$5:$B$204,$B262,'差異の原因'!$G$5:$G$204),6)))</f>
        <v/>
      </c>
      <c r="R262" s="30" t="n"/>
      <c r="S262" s="23" t="n"/>
      <c r="T262" s="29">
        <f>IF(OR($B262="",NOT(ISNUMBER($R262))),"",IF(IF(ISNUMBER($I262),$I262,N($H262))&lt;=0,"",IF($R262&lt;'設定'!$B$6,"期限切れ",IF($R262='設定'!$B$6,"当日",IF($R262-'設定'!$B$6&lt;=N('設定'!$B$14),"あと"&amp;($R262-'設定'!$B$6)&amp;"日","")))))</f>
        <v/>
      </c>
      <c r="U262" s="61" t="n"/>
      <c r="V262" s="31">
        <f>IF(AND($B262&lt;&gt;"",$E262&lt;&gt;"",$E262='数える用紙'!$C$2),ROW(),"")</f>
        <v/>
      </c>
      <c r="W262" s="74">
        <f>IF(AND($B262&lt;&gt;"",ISNUMBER($R262)),IF(AND($R262&lt;='設定'!$B$6+N('設定'!$B$14),IF(ISNUMBER($I262),$I262,N($H262))&gt;0),$R262+ROW()/100000,""),"")</f>
        <v/>
      </c>
    </row>
    <row r="263" ht="18" customHeight="1">
      <c r="A263" s="22" t="n">
        <v>259</v>
      </c>
      <c r="B263" s="23" t="n"/>
      <c r="C263" s="24" t="n"/>
      <c r="D263" s="24" t="n"/>
      <c r="E263" s="23" t="n"/>
      <c r="F263" s="23" t="n"/>
      <c r="G263" s="25" t="n"/>
      <c r="H263" s="25" t="n"/>
      <c r="I263" s="25" t="n"/>
      <c r="J263" s="72">
        <f>IF(OR($B263="",$H263=""),"",N($G263)*$H263)</f>
        <v/>
      </c>
      <c r="K263" s="72">
        <f>IF(OR($B263="",$I263=""),"",N($G263)*$I263)</f>
        <v/>
      </c>
      <c r="L263" s="27">
        <f>IF(OR($B263="",$H263="",$I263=""),"",$I263-$H263)</f>
        <v/>
      </c>
      <c r="M263" s="72">
        <f>IF($L263="","",$L263*N($G263))</f>
        <v/>
      </c>
      <c r="N263" s="73">
        <f>IF($L263="","",IF($H263&gt;0,ROUND($L263/$H263,4),"－"))</f>
        <v/>
      </c>
      <c r="O263" s="29">
        <f>IF($B263="","",IF($L263="","未入力",IF($L263=0,"一致",IF(OR(NOT(ISNUMBER($N263)),AND('設定'!$B$10&lt;&gt;"",ABS(N($N263))&gt;'設定'!$B$10),AND('設定'!$B$11&lt;&gt;"",ABS(ROUND($M263,4))&gt;'設定'!$B$11),AND('設定'!$B$10="",'設定'!$B$11="")),"要確認","許容内"))))</f>
        <v/>
      </c>
      <c r="P263" s="29">
        <f>IF($O263&lt;&gt;"要確認","",IF($Q263=0,"済",IF(COUNTIF('差異の原因'!$B$5:$B$204,$B263)=0,"未記録","一部")))</f>
        <v/>
      </c>
      <c r="Q263" s="27">
        <f>IF($L263="","",IF(AND($L263=0,COUNTIF('差異の原因'!$B$5:$B$204,$B263)=0),"",ROUND($L263-SUMIF('差異の原因'!$B$5:$B$204,$B263,'差異の原因'!$G$5:$G$204),6)))</f>
        <v/>
      </c>
      <c r="R263" s="30" t="n"/>
      <c r="S263" s="23" t="n"/>
      <c r="T263" s="29">
        <f>IF(OR($B263="",NOT(ISNUMBER($R263))),"",IF(IF(ISNUMBER($I263),$I263,N($H263))&lt;=0,"",IF($R263&lt;'設定'!$B$6,"期限切れ",IF($R263='設定'!$B$6,"当日",IF($R263-'設定'!$B$6&lt;=N('設定'!$B$14),"あと"&amp;($R263-'設定'!$B$6)&amp;"日","")))))</f>
        <v/>
      </c>
      <c r="U263" s="61" t="n"/>
      <c r="V263" s="31">
        <f>IF(AND($B263&lt;&gt;"",$E263&lt;&gt;"",$E263='数える用紙'!$C$2),ROW(),"")</f>
        <v/>
      </c>
      <c r="W263" s="74">
        <f>IF(AND($B263&lt;&gt;"",ISNUMBER($R263)),IF(AND($R263&lt;='設定'!$B$6+N('設定'!$B$14),IF(ISNUMBER($I263),$I263,N($H263))&gt;0),$R263+ROW()/100000,""),"")</f>
        <v/>
      </c>
    </row>
    <row r="264" ht="18" customHeight="1">
      <c r="A264" s="22" t="n">
        <v>260</v>
      </c>
      <c r="B264" s="23" t="n"/>
      <c r="C264" s="24" t="n"/>
      <c r="D264" s="24" t="n"/>
      <c r="E264" s="23" t="n"/>
      <c r="F264" s="23" t="n"/>
      <c r="G264" s="25" t="n"/>
      <c r="H264" s="25" t="n"/>
      <c r="I264" s="25" t="n"/>
      <c r="J264" s="72">
        <f>IF(OR($B264="",$H264=""),"",N($G264)*$H264)</f>
        <v/>
      </c>
      <c r="K264" s="72">
        <f>IF(OR($B264="",$I264=""),"",N($G264)*$I264)</f>
        <v/>
      </c>
      <c r="L264" s="27">
        <f>IF(OR($B264="",$H264="",$I264=""),"",$I264-$H264)</f>
        <v/>
      </c>
      <c r="M264" s="72">
        <f>IF($L264="","",$L264*N($G264))</f>
        <v/>
      </c>
      <c r="N264" s="73">
        <f>IF($L264="","",IF($H264&gt;0,ROUND($L264/$H264,4),"－"))</f>
        <v/>
      </c>
      <c r="O264" s="29">
        <f>IF($B264="","",IF($L264="","未入力",IF($L264=0,"一致",IF(OR(NOT(ISNUMBER($N264)),AND('設定'!$B$10&lt;&gt;"",ABS(N($N264))&gt;'設定'!$B$10),AND('設定'!$B$11&lt;&gt;"",ABS(ROUND($M264,4))&gt;'設定'!$B$11),AND('設定'!$B$10="",'設定'!$B$11="")),"要確認","許容内"))))</f>
        <v/>
      </c>
      <c r="P264" s="29">
        <f>IF($O264&lt;&gt;"要確認","",IF($Q264=0,"済",IF(COUNTIF('差異の原因'!$B$5:$B$204,$B264)=0,"未記録","一部")))</f>
        <v/>
      </c>
      <c r="Q264" s="27">
        <f>IF($L264="","",IF(AND($L264=0,COUNTIF('差異の原因'!$B$5:$B$204,$B264)=0),"",ROUND($L264-SUMIF('差異の原因'!$B$5:$B$204,$B264,'差異の原因'!$G$5:$G$204),6)))</f>
        <v/>
      </c>
      <c r="R264" s="30" t="n"/>
      <c r="S264" s="23" t="n"/>
      <c r="T264" s="29">
        <f>IF(OR($B264="",NOT(ISNUMBER($R264))),"",IF(IF(ISNUMBER($I264),$I264,N($H264))&lt;=0,"",IF($R264&lt;'設定'!$B$6,"期限切れ",IF($R264='設定'!$B$6,"当日",IF($R264-'設定'!$B$6&lt;=N('設定'!$B$14),"あと"&amp;($R264-'設定'!$B$6)&amp;"日","")))))</f>
        <v/>
      </c>
      <c r="U264" s="61" t="n"/>
      <c r="V264" s="31">
        <f>IF(AND($B264&lt;&gt;"",$E264&lt;&gt;"",$E264='数える用紙'!$C$2),ROW(),"")</f>
        <v/>
      </c>
      <c r="W264" s="74">
        <f>IF(AND($B264&lt;&gt;"",ISNUMBER($R264)),IF(AND($R264&lt;='設定'!$B$6+N('設定'!$B$14),IF(ISNUMBER($I264),$I264,N($H264))&gt;0),$R264+ROW()/100000,""),"")</f>
        <v/>
      </c>
    </row>
    <row r="265" ht="18" customHeight="1">
      <c r="A265" s="22" t="n">
        <v>261</v>
      </c>
      <c r="B265" s="23" t="n"/>
      <c r="C265" s="24" t="n"/>
      <c r="D265" s="24" t="n"/>
      <c r="E265" s="23" t="n"/>
      <c r="F265" s="23" t="n"/>
      <c r="G265" s="25" t="n"/>
      <c r="H265" s="25" t="n"/>
      <c r="I265" s="25" t="n"/>
      <c r="J265" s="72">
        <f>IF(OR($B265="",$H265=""),"",N($G265)*$H265)</f>
        <v/>
      </c>
      <c r="K265" s="72">
        <f>IF(OR($B265="",$I265=""),"",N($G265)*$I265)</f>
        <v/>
      </c>
      <c r="L265" s="27">
        <f>IF(OR($B265="",$H265="",$I265=""),"",$I265-$H265)</f>
        <v/>
      </c>
      <c r="M265" s="72">
        <f>IF($L265="","",$L265*N($G265))</f>
        <v/>
      </c>
      <c r="N265" s="73">
        <f>IF($L265="","",IF($H265&gt;0,ROUND($L265/$H265,4),"－"))</f>
        <v/>
      </c>
      <c r="O265" s="29">
        <f>IF($B265="","",IF($L265="","未入力",IF($L265=0,"一致",IF(OR(NOT(ISNUMBER($N265)),AND('設定'!$B$10&lt;&gt;"",ABS(N($N265))&gt;'設定'!$B$10),AND('設定'!$B$11&lt;&gt;"",ABS(ROUND($M265,4))&gt;'設定'!$B$11),AND('設定'!$B$10="",'設定'!$B$11="")),"要確認","許容内"))))</f>
        <v/>
      </c>
      <c r="P265" s="29">
        <f>IF($O265&lt;&gt;"要確認","",IF($Q265=0,"済",IF(COUNTIF('差異の原因'!$B$5:$B$204,$B265)=0,"未記録","一部")))</f>
        <v/>
      </c>
      <c r="Q265" s="27">
        <f>IF($L265="","",IF(AND($L265=0,COUNTIF('差異の原因'!$B$5:$B$204,$B265)=0),"",ROUND($L265-SUMIF('差異の原因'!$B$5:$B$204,$B265,'差異の原因'!$G$5:$G$204),6)))</f>
        <v/>
      </c>
      <c r="R265" s="30" t="n"/>
      <c r="S265" s="23" t="n"/>
      <c r="T265" s="29">
        <f>IF(OR($B265="",NOT(ISNUMBER($R265))),"",IF(IF(ISNUMBER($I265),$I265,N($H265))&lt;=0,"",IF($R265&lt;'設定'!$B$6,"期限切れ",IF($R265='設定'!$B$6,"当日",IF($R265-'設定'!$B$6&lt;=N('設定'!$B$14),"あと"&amp;($R265-'設定'!$B$6)&amp;"日","")))))</f>
        <v/>
      </c>
      <c r="U265" s="61" t="n"/>
      <c r="V265" s="31">
        <f>IF(AND($B265&lt;&gt;"",$E265&lt;&gt;"",$E265='数える用紙'!$C$2),ROW(),"")</f>
        <v/>
      </c>
      <c r="W265" s="74">
        <f>IF(AND($B265&lt;&gt;"",ISNUMBER($R265)),IF(AND($R265&lt;='設定'!$B$6+N('設定'!$B$14),IF(ISNUMBER($I265),$I265,N($H265))&gt;0),$R265+ROW()/100000,""),"")</f>
        <v/>
      </c>
    </row>
    <row r="266" ht="18" customHeight="1">
      <c r="A266" s="22" t="n">
        <v>262</v>
      </c>
      <c r="B266" s="23" t="n"/>
      <c r="C266" s="24" t="n"/>
      <c r="D266" s="24" t="n"/>
      <c r="E266" s="23" t="n"/>
      <c r="F266" s="23" t="n"/>
      <c r="G266" s="25" t="n"/>
      <c r="H266" s="25" t="n"/>
      <c r="I266" s="25" t="n"/>
      <c r="J266" s="72">
        <f>IF(OR($B266="",$H266=""),"",N($G266)*$H266)</f>
        <v/>
      </c>
      <c r="K266" s="72">
        <f>IF(OR($B266="",$I266=""),"",N($G266)*$I266)</f>
        <v/>
      </c>
      <c r="L266" s="27">
        <f>IF(OR($B266="",$H266="",$I266=""),"",$I266-$H266)</f>
        <v/>
      </c>
      <c r="M266" s="72">
        <f>IF($L266="","",$L266*N($G266))</f>
        <v/>
      </c>
      <c r="N266" s="73">
        <f>IF($L266="","",IF($H266&gt;0,ROUND($L266/$H266,4),"－"))</f>
        <v/>
      </c>
      <c r="O266" s="29">
        <f>IF($B266="","",IF($L266="","未入力",IF($L266=0,"一致",IF(OR(NOT(ISNUMBER($N266)),AND('設定'!$B$10&lt;&gt;"",ABS(N($N266))&gt;'設定'!$B$10),AND('設定'!$B$11&lt;&gt;"",ABS(ROUND($M266,4))&gt;'設定'!$B$11),AND('設定'!$B$10="",'設定'!$B$11="")),"要確認","許容内"))))</f>
        <v/>
      </c>
      <c r="P266" s="29">
        <f>IF($O266&lt;&gt;"要確認","",IF($Q266=0,"済",IF(COUNTIF('差異の原因'!$B$5:$B$204,$B266)=0,"未記録","一部")))</f>
        <v/>
      </c>
      <c r="Q266" s="27">
        <f>IF($L266="","",IF(AND($L266=0,COUNTIF('差異の原因'!$B$5:$B$204,$B266)=0),"",ROUND($L266-SUMIF('差異の原因'!$B$5:$B$204,$B266,'差異の原因'!$G$5:$G$204),6)))</f>
        <v/>
      </c>
      <c r="R266" s="30" t="n"/>
      <c r="S266" s="23" t="n"/>
      <c r="T266" s="29">
        <f>IF(OR($B266="",NOT(ISNUMBER($R266))),"",IF(IF(ISNUMBER($I266),$I266,N($H266))&lt;=0,"",IF($R266&lt;'設定'!$B$6,"期限切れ",IF($R266='設定'!$B$6,"当日",IF($R266-'設定'!$B$6&lt;=N('設定'!$B$14),"あと"&amp;($R266-'設定'!$B$6)&amp;"日","")))))</f>
        <v/>
      </c>
      <c r="U266" s="61" t="n"/>
      <c r="V266" s="31">
        <f>IF(AND($B266&lt;&gt;"",$E266&lt;&gt;"",$E266='数える用紙'!$C$2),ROW(),"")</f>
        <v/>
      </c>
      <c r="W266" s="74">
        <f>IF(AND($B266&lt;&gt;"",ISNUMBER($R266)),IF(AND($R266&lt;='設定'!$B$6+N('設定'!$B$14),IF(ISNUMBER($I266),$I266,N($H266))&gt;0),$R266+ROW()/100000,""),"")</f>
        <v/>
      </c>
    </row>
    <row r="267" ht="18" customHeight="1">
      <c r="A267" s="22" t="n">
        <v>263</v>
      </c>
      <c r="B267" s="23" t="n"/>
      <c r="C267" s="24" t="n"/>
      <c r="D267" s="24" t="n"/>
      <c r="E267" s="23" t="n"/>
      <c r="F267" s="23" t="n"/>
      <c r="G267" s="25" t="n"/>
      <c r="H267" s="25" t="n"/>
      <c r="I267" s="25" t="n"/>
      <c r="J267" s="72">
        <f>IF(OR($B267="",$H267=""),"",N($G267)*$H267)</f>
        <v/>
      </c>
      <c r="K267" s="72">
        <f>IF(OR($B267="",$I267=""),"",N($G267)*$I267)</f>
        <v/>
      </c>
      <c r="L267" s="27">
        <f>IF(OR($B267="",$H267="",$I267=""),"",$I267-$H267)</f>
        <v/>
      </c>
      <c r="M267" s="72">
        <f>IF($L267="","",$L267*N($G267))</f>
        <v/>
      </c>
      <c r="N267" s="73">
        <f>IF($L267="","",IF($H267&gt;0,ROUND($L267/$H267,4),"－"))</f>
        <v/>
      </c>
      <c r="O267" s="29">
        <f>IF($B267="","",IF($L267="","未入力",IF($L267=0,"一致",IF(OR(NOT(ISNUMBER($N267)),AND('設定'!$B$10&lt;&gt;"",ABS(N($N267))&gt;'設定'!$B$10),AND('設定'!$B$11&lt;&gt;"",ABS(ROUND($M267,4))&gt;'設定'!$B$11),AND('設定'!$B$10="",'設定'!$B$11="")),"要確認","許容内"))))</f>
        <v/>
      </c>
      <c r="P267" s="29">
        <f>IF($O267&lt;&gt;"要確認","",IF($Q267=0,"済",IF(COUNTIF('差異の原因'!$B$5:$B$204,$B267)=0,"未記録","一部")))</f>
        <v/>
      </c>
      <c r="Q267" s="27">
        <f>IF($L267="","",IF(AND($L267=0,COUNTIF('差異の原因'!$B$5:$B$204,$B267)=0),"",ROUND($L267-SUMIF('差異の原因'!$B$5:$B$204,$B267,'差異の原因'!$G$5:$G$204),6)))</f>
        <v/>
      </c>
      <c r="R267" s="30" t="n"/>
      <c r="S267" s="23" t="n"/>
      <c r="T267" s="29">
        <f>IF(OR($B267="",NOT(ISNUMBER($R267))),"",IF(IF(ISNUMBER($I267),$I267,N($H267))&lt;=0,"",IF($R267&lt;'設定'!$B$6,"期限切れ",IF($R267='設定'!$B$6,"当日",IF($R267-'設定'!$B$6&lt;=N('設定'!$B$14),"あと"&amp;($R267-'設定'!$B$6)&amp;"日","")))))</f>
        <v/>
      </c>
      <c r="U267" s="61" t="n"/>
      <c r="V267" s="31">
        <f>IF(AND($B267&lt;&gt;"",$E267&lt;&gt;"",$E267='数える用紙'!$C$2),ROW(),"")</f>
        <v/>
      </c>
      <c r="W267" s="74">
        <f>IF(AND($B267&lt;&gt;"",ISNUMBER($R267)),IF(AND($R267&lt;='設定'!$B$6+N('設定'!$B$14),IF(ISNUMBER($I267),$I267,N($H267))&gt;0),$R267+ROW()/100000,""),"")</f>
        <v/>
      </c>
    </row>
    <row r="268" ht="18" customHeight="1">
      <c r="A268" s="22" t="n">
        <v>264</v>
      </c>
      <c r="B268" s="23" t="n"/>
      <c r="C268" s="24" t="n"/>
      <c r="D268" s="24" t="n"/>
      <c r="E268" s="23" t="n"/>
      <c r="F268" s="23" t="n"/>
      <c r="G268" s="25" t="n"/>
      <c r="H268" s="25" t="n"/>
      <c r="I268" s="25" t="n"/>
      <c r="J268" s="72">
        <f>IF(OR($B268="",$H268=""),"",N($G268)*$H268)</f>
        <v/>
      </c>
      <c r="K268" s="72">
        <f>IF(OR($B268="",$I268=""),"",N($G268)*$I268)</f>
        <v/>
      </c>
      <c r="L268" s="27">
        <f>IF(OR($B268="",$H268="",$I268=""),"",$I268-$H268)</f>
        <v/>
      </c>
      <c r="M268" s="72">
        <f>IF($L268="","",$L268*N($G268))</f>
        <v/>
      </c>
      <c r="N268" s="73">
        <f>IF($L268="","",IF($H268&gt;0,ROUND($L268/$H268,4),"－"))</f>
        <v/>
      </c>
      <c r="O268" s="29">
        <f>IF($B268="","",IF($L268="","未入力",IF($L268=0,"一致",IF(OR(NOT(ISNUMBER($N268)),AND('設定'!$B$10&lt;&gt;"",ABS(N($N268))&gt;'設定'!$B$10),AND('設定'!$B$11&lt;&gt;"",ABS(ROUND($M268,4))&gt;'設定'!$B$11),AND('設定'!$B$10="",'設定'!$B$11="")),"要確認","許容内"))))</f>
        <v/>
      </c>
      <c r="P268" s="29">
        <f>IF($O268&lt;&gt;"要確認","",IF($Q268=0,"済",IF(COUNTIF('差異の原因'!$B$5:$B$204,$B268)=0,"未記録","一部")))</f>
        <v/>
      </c>
      <c r="Q268" s="27">
        <f>IF($L268="","",IF(AND($L268=0,COUNTIF('差異の原因'!$B$5:$B$204,$B268)=0),"",ROUND($L268-SUMIF('差異の原因'!$B$5:$B$204,$B268,'差異の原因'!$G$5:$G$204),6)))</f>
        <v/>
      </c>
      <c r="R268" s="30" t="n"/>
      <c r="S268" s="23" t="n"/>
      <c r="T268" s="29">
        <f>IF(OR($B268="",NOT(ISNUMBER($R268))),"",IF(IF(ISNUMBER($I268),$I268,N($H268))&lt;=0,"",IF($R268&lt;'設定'!$B$6,"期限切れ",IF($R268='設定'!$B$6,"当日",IF($R268-'設定'!$B$6&lt;=N('設定'!$B$14),"あと"&amp;($R268-'設定'!$B$6)&amp;"日","")))))</f>
        <v/>
      </c>
      <c r="U268" s="61" t="n"/>
      <c r="V268" s="31">
        <f>IF(AND($B268&lt;&gt;"",$E268&lt;&gt;"",$E268='数える用紙'!$C$2),ROW(),"")</f>
        <v/>
      </c>
      <c r="W268" s="74">
        <f>IF(AND($B268&lt;&gt;"",ISNUMBER($R268)),IF(AND($R268&lt;='設定'!$B$6+N('設定'!$B$14),IF(ISNUMBER($I268),$I268,N($H268))&gt;0),$R268+ROW()/100000,""),"")</f>
        <v/>
      </c>
    </row>
    <row r="269" ht="18" customHeight="1">
      <c r="A269" s="22" t="n">
        <v>265</v>
      </c>
      <c r="B269" s="23" t="n"/>
      <c r="C269" s="24" t="n"/>
      <c r="D269" s="24" t="n"/>
      <c r="E269" s="23" t="n"/>
      <c r="F269" s="23" t="n"/>
      <c r="G269" s="25" t="n"/>
      <c r="H269" s="25" t="n"/>
      <c r="I269" s="25" t="n"/>
      <c r="J269" s="72">
        <f>IF(OR($B269="",$H269=""),"",N($G269)*$H269)</f>
        <v/>
      </c>
      <c r="K269" s="72">
        <f>IF(OR($B269="",$I269=""),"",N($G269)*$I269)</f>
        <v/>
      </c>
      <c r="L269" s="27">
        <f>IF(OR($B269="",$H269="",$I269=""),"",$I269-$H269)</f>
        <v/>
      </c>
      <c r="M269" s="72">
        <f>IF($L269="","",$L269*N($G269))</f>
        <v/>
      </c>
      <c r="N269" s="73">
        <f>IF($L269="","",IF($H269&gt;0,ROUND($L269/$H269,4),"－"))</f>
        <v/>
      </c>
      <c r="O269" s="29">
        <f>IF($B269="","",IF($L269="","未入力",IF($L269=0,"一致",IF(OR(NOT(ISNUMBER($N269)),AND('設定'!$B$10&lt;&gt;"",ABS(N($N269))&gt;'設定'!$B$10),AND('設定'!$B$11&lt;&gt;"",ABS(ROUND($M269,4))&gt;'設定'!$B$11),AND('設定'!$B$10="",'設定'!$B$11="")),"要確認","許容内"))))</f>
        <v/>
      </c>
      <c r="P269" s="29">
        <f>IF($O269&lt;&gt;"要確認","",IF($Q269=0,"済",IF(COUNTIF('差異の原因'!$B$5:$B$204,$B269)=0,"未記録","一部")))</f>
        <v/>
      </c>
      <c r="Q269" s="27">
        <f>IF($L269="","",IF(AND($L269=0,COUNTIF('差異の原因'!$B$5:$B$204,$B269)=0),"",ROUND($L269-SUMIF('差異の原因'!$B$5:$B$204,$B269,'差異の原因'!$G$5:$G$204),6)))</f>
        <v/>
      </c>
      <c r="R269" s="30" t="n"/>
      <c r="S269" s="23" t="n"/>
      <c r="T269" s="29">
        <f>IF(OR($B269="",NOT(ISNUMBER($R269))),"",IF(IF(ISNUMBER($I269),$I269,N($H269))&lt;=0,"",IF($R269&lt;'設定'!$B$6,"期限切れ",IF($R269='設定'!$B$6,"当日",IF($R269-'設定'!$B$6&lt;=N('設定'!$B$14),"あと"&amp;($R269-'設定'!$B$6)&amp;"日","")))))</f>
        <v/>
      </c>
      <c r="U269" s="61" t="n"/>
      <c r="V269" s="31">
        <f>IF(AND($B269&lt;&gt;"",$E269&lt;&gt;"",$E269='数える用紙'!$C$2),ROW(),"")</f>
        <v/>
      </c>
      <c r="W269" s="74">
        <f>IF(AND($B269&lt;&gt;"",ISNUMBER($R269)),IF(AND($R269&lt;='設定'!$B$6+N('設定'!$B$14),IF(ISNUMBER($I269),$I269,N($H269))&gt;0),$R269+ROW()/100000,""),"")</f>
        <v/>
      </c>
    </row>
    <row r="270" ht="18" customHeight="1">
      <c r="A270" s="22" t="n">
        <v>266</v>
      </c>
      <c r="B270" s="23" t="n"/>
      <c r="C270" s="24" t="n"/>
      <c r="D270" s="24" t="n"/>
      <c r="E270" s="23" t="n"/>
      <c r="F270" s="23" t="n"/>
      <c r="G270" s="25" t="n"/>
      <c r="H270" s="25" t="n"/>
      <c r="I270" s="25" t="n"/>
      <c r="J270" s="72">
        <f>IF(OR($B270="",$H270=""),"",N($G270)*$H270)</f>
        <v/>
      </c>
      <c r="K270" s="72">
        <f>IF(OR($B270="",$I270=""),"",N($G270)*$I270)</f>
        <v/>
      </c>
      <c r="L270" s="27">
        <f>IF(OR($B270="",$H270="",$I270=""),"",$I270-$H270)</f>
        <v/>
      </c>
      <c r="M270" s="72">
        <f>IF($L270="","",$L270*N($G270))</f>
        <v/>
      </c>
      <c r="N270" s="73">
        <f>IF($L270="","",IF($H270&gt;0,ROUND($L270/$H270,4),"－"))</f>
        <v/>
      </c>
      <c r="O270" s="29">
        <f>IF($B270="","",IF($L270="","未入力",IF($L270=0,"一致",IF(OR(NOT(ISNUMBER($N270)),AND('設定'!$B$10&lt;&gt;"",ABS(N($N270))&gt;'設定'!$B$10),AND('設定'!$B$11&lt;&gt;"",ABS(ROUND($M270,4))&gt;'設定'!$B$11),AND('設定'!$B$10="",'設定'!$B$11="")),"要確認","許容内"))))</f>
        <v/>
      </c>
      <c r="P270" s="29">
        <f>IF($O270&lt;&gt;"要確認","",IF($Q270=0,"済",IF(COUNTIF('差異の原因'!$B$5:$B$204,$B270)=0,"未記録","一部")))</f>
        <v/>
      </c>
      <c r="Q270" s="27">
        <f>IF($L270="","",IF(AND($L270=0,COUNTIF('差異の原因'!$B$5:$B$204,$B270)=0),"",ROUND($L270-SUMIF('差異の原因'!$B$5:$B$204,$B270,'差異の原因'!$G$5:$G$204),6)))</f>
        <v/>
      </c>
      <c r="R270" s="30" t="n"/>
      <c r="S270" s="23" t="n"/>
      <c r="T270" s="29">
        <f>IF(OR($B270="",NOT(ISNUMBER($R270))),"",IF(IF(ISNUMBER($I270),$I270,N($H270))&lt;=0,"",IF($R270&lt;'設定'!$B$6,"期限切れ",IF($R270='設定'!$B$6,"当日",IF($R270-'設定'!$B$6&lt;=N('設定'!$B$14),"あと"&amp;($R270-'設定'!$B$6)&amp;"日","")))))</f>
        <v/>
      </c>
      <c r="U270" s="61" t="n"/>
      <c r="V270" s="31">
        <f>IF(AND($B270&lt;&gt;"",$E270&lt;&gt;"",$E270='数える用紙'!$C$2),ROW(),"")</f>
        <v/>
      </c>
      <c r="W270" s="74">
        <f>IF(AND($B270&lt;&gt;"",ISNUMBER($R270)),IF(AND($R270&lt;='設定'!$B$6+N('設定'!$B$14),IF(ISNUMBER($I270),$I270,N($H270))&gt;0),$R270+ROW()/100000,""),"")</f>
        <v/>
      </c>
    </row>
    <row r="271" ht="18" customHeight="1">
      <c r="A271" s="22" t="n">
        <v>267</v>
      </c>
      <c r="B271" s="23" t="n"/>
      <c r="C271" s="24" t="n"/>
      <c r="D271" s="24" t="n"/>
      <c r="E271" s="23" t="n"/>
      <c r="F271" s="23" t="n"/>
      <c r="G271" s="25" t="n"/>
      <c r="H271" s="25" t="n"/>
      <c r="I271" s="25" t="n"/>
      <c r="J271" s="72">
        <f>IF(OR($B271="",$H271=""),"",N($G271)*$H271)</f>
        <v/>
      </c>
      <c r="K271" s="72">
        <f>IF(OR($B271="",$I271=""),"",N($G271)*$I271)</f>
        <v/>
      </c>
      <c r="L271" s="27">
        <f>IF(OR($B271="",$H271="",$I271=""),"",$I271-$H271)</f>
        <v/>
      </c>
      <c r="M271" s="72">
        <f>IF($L271="","",$L271*N($G271))</f>
        <v/>
      </c>
      <c r="N271" s="73">
        <f>IF($L271="","",IF($H271&gt;0,ROUND($L271/$H271,4),"－"))</f>
        <v/>
      </c>
      <c r="O271" s="29">
        <f>IF($B271="","",IF($L271="","未入力",IF($L271=0,"一致",IF(OR(NOT(ISNUMBER($N271)),AND('設定'!$B$10&lt;&gt;"",ABS(N($N271))&gt;'設定'!$B$10),AND('設定'!$B$11&lt;&gt;"",ABS(ROUND($M271,4))&gt;'設定'!$B$11),AND('設定'!$B$10="",'設定'!$B$11="")),"要確認","許容内"))))</f>
        <v/>
      </c>
      <c r="P271" s="29">
        <f>IF($O271&lt;&gt;"要確認","",IF($Q271=0,"済",IF(COUNTIF('差異の原因'!$B$5:$B$204,$B271)=0,"未記録","一部")))</f>
        <v/>
      </c>
      <c r="Q271" s="27">
        <f>IF($L271="","",IF(AND($L271=0,COUNTIF('差異の原因'!$B$5:$B$204,$B271)=0),"",ROUND($L271-SUMIF('差異の原因'!$B$5:$B$204,$B271,'差異の原因'!$G$5:$G$204),6)))</f>
        <v/>
      </c>
      <c r="R271" s="30" t="n"/>
      <c r="S271" s="23" t="n"/>
      <c r="T271" s="29">
        <f>IF(OR($B271="",NOT(ISNUMBER($R271))),"",IF(IF(ISNUMBER($I271),$I271,N($H271))&lt;=0,"",IF($R271&lt;'設定'!$B$6,"期限切れ",IF($R271='設定'!$B$6,"当日",IF($R271-'設定'!$B$6&lt;=N('設定'!$B$14),"あと"&amp;($R271-'設定'!$B$6)&amp;"日","")))))</f>
        <v/>
      </c>
      <c r="U271" s="61" t="n"/>
      <c r="V271" s="31">
        <f>IF(AND($B271&lt;&gt;"",$E271&lt;&gt;"",$E271='数える用紙'!$C$2),ROW(),"")</f>
        <v/>
      </c>
      <c r="W271" s="74">
        <f>IF(AND($B271&lt;&gt;"",ISNUMBER($R271)),IF(AND($R271&lt;='設定'!$B$6+N('設定'!$B$14),IF(ISNUMBER($I271),$I271,N($H271))&gt;0),$R271+ROW()/100000,""),"")</f>
        <v/>
      </c>
    </row>
    <row r="272" ht="18" customHeight="1">
      <c r="A272" s="22" t="n">
        <v>268</v>
      </c>
      <c r="B272" s="23" t="n"/>
      <c r="C272" s="24" t="n"/>
      <c r="D272" s="24" t="n"/>
      <c r="E272" s="23" t="n"/>
      <c r="F272" s="23" t="n"/>
      <c r="G272" s="25" t="n"/>
      <c r="H272" s="25" t="n"/>
      <c r="I272" s="25" t="n"/>
      <c r="J272" s="72">
        <f>IF(OR($B272="",$H272=""),"",N($G272)*$H272)</f>
        <v/>
      </c>
      <c r="K272" s="72">
        <f>IF(OR($B272="",$I272=""),"",N($G272)*$I272)</f>
        <v/>
      </c>
      <c r="L272" s="27">
        <f>IF(OR($B272="",$H272="",$I272=""),"",$I272-$H272)</f>
        <v/>
      </c>
      <c r="M272" s="72">
        <f>IF($L272="","",$L272*N($G272))</f>
        <v/>
      </c>
      <c r="N272" s="73">
        <f>IF($L272="","",IF($H272&gt;0,ROUND($L272/$H272,4),"－"))</f>
        <v/>
      </c>
      <c r="O272" s="29">
        <f>IF($B272="","",IF($L272="","未入力",IF($L272=0,"一致",IF(OR(NOT(ISNUMBER($N272)),AND('設定'!$B$10&lt;&gt;"",ABS(N($N272))&gt;'設定'!$B$10),AND('設定'!$B$11&lt;&gt;"",ABS(ROUND($M272,4))&gt;'設定'!$B$11),AND('設定'!$B$10="",'設定'!$B$11="")),"要確認","許容内"))))</f>
        <v/>
      </c>
      <c r="P272" s="29">
        <f>IF($O272&lt;&gt;"要確認","",IF($Q272=0,"済",IF(COUNTIF('差異の原因'!$B$5:$B$204,$B272)=0,"未記録","一部")))</f>
        <v/>
      </c>
      <c r="Q272" s="27">
        <f>IF($L272="","",IF(AND($L272=0,COUNTIF('差異の原因'!$B$5:$B$204,$B272)=0),"",ROUND($L272-SUMIF('差異の原因'!$B$5:$B$204,$B272,'差異の原因'!$G$5:$G$204),6)))</f>
        <v/>
      </c>
      <c r="R272" s="30" t="n"/>
      <c r="S272" s="23" t="n"/>
      <c r="T272" s="29">
        <f>IF(OR($B272="",NOT(ISNUMBER($R272))),"",IF(IF(ISNUMBER($I272),$I272,N($H272))&lt;=0,"",IF($R272&lt;'設定'!$B$6,"期限切れ",IF($R272='設定'!$B$6,"当日",IF($R272-'設定'!$B$6&lt;=N('設定'!$B$14),"あと"&amp;($R272-'設定'!$B$6)&amp;"日","")))))</f>
        <v/>
      </c>
      <c r="U272" s="61" t="n"/>
      <c r="V272" s="31">
        <f>IF(AND($B272&lt;&gt;"",$E272&lt;&gt;"",$E272='数える用紙'!$C$2),ROW(),"")</f>
        <v/>
      </c>
      <c r="W272" s="74">
        <f>IF(AND($B272&lt;&gt;"",ISNUMBER($R272)),IF(AND($R272&lt;='設定'!$B$6+N('設定'!$B$14),IF(ISNUMBER($I272),$I272,N($H272))&gt;0),$R272+ROW()/100000,""),"")</f>
        <v/>
      </c>
    </row>
    <row r="273" ht="18" customHeight="1">
      <c r="A273" s="22" t="n">
        <v>269</v>
      </c>
      <c r="B273" s="23" t="n"/>
      <c r="C273" s="24" t="n"/>
      <c r="D273" s="24" t="n"/>
      <c r="E273" s="23" t="n"/>
      <c r="F273" s="23" t="n"/>
      <c r="G273" s="25" t="n"/>
      <c r="H273" s="25" t="n"/>
      <c r="I273" s="25" t="n"/>
      <c r="J273" s="72">
        <f>IF(OR($B273="",$H273=""),"",N($G273)*$H273)</f>
        <v/>
      </c>
      <c r="K273" s="72">
        <f>IF(OR($B273="",$I273=""),"",N($G273)*$I273)</f>
        <v/>
      </c>
      <c r="L273" s="27">
        <f>IF(OR($B273="",$H273="",$I273=""),"",$I273-$H273)</f>
        <v/>
      </c>
      <c r="M273" s="72">
        <f>IF($L273="","",$L273*N($G273))</f>
        <v/>
      </c>
      <c r="N273" s="73">
        <f>IF($L273="","",IF($H273&gt;0,ROUND($L273/$H273,4),"－"))</f>
        <v/>
      </c>
      <c r="O273" s="29">
        <f>IF($B273="","",IF($L273="","未入力",IF($L273=0,"一致",IF(OR(NOT(ISNUMBER($N273)),AND('設定'!$B$10&lt;&gt;"",ABS(N($N273))&gt;'設定'!$B$10),AND('設定'!$B$11&lt;&gt;"",ABS(ROUND($M273,4))&gt;'設定'!$B$11),AND('設定'!$B$10="",'設定'!$B$11="")),"要確認","許容内"))))</f>
        <v/>
      </c>
      <c r="P273" s="29">
        <f>IF($O273&lt;&gt;"要確認","",IF($Q273=0,"済",IF(COUNTIF('差異の原因'!$B$5:$B$204,$B273)=0,"未記録","一部")))</f>
        <v/>
      </c>
      <c r="Q273" s="27">
        <f>IF($L273="","",IF(AND($L273=0,COUNTIF('差異の原因'!$B$5:$B$204,$B273)=0),"",ROUND($L273-SUMIF('差異の原因'!$B$5:$B$204,$B273,'差異の原因'!$G$5:$G$204),6)))</f>
        <v/>
      </c>
      <c r="R273" s="30" t="n"/>
      <c r="S273" s="23" t="n"/>
      <c r="T273" s="29">
        <f>IF(OR($B273="",NOT(ISNUMBER($R273))),"",IF(IF(ISNUMBER($I273),$I273,N($H273))&lt;=0,"",IF($R273&lt;'設定'!$B$6,"期限切れ",IF($R273='設定'!$B$6,"当日",IF($R273-'設定'!$B$6&lt;=N('設定'!$B$14),"あと"&amp;($R273-'設定'!$B$6)&amp;"日","")))))</f>
        <v/>
      </c>
      <c r="U273" s="61" t="n"/>
      <c r="V273" s="31">
        <f>IF(AND($B273&lt;&gt;"",$E273&lt;&gt;"",$E273='数える用紙'!$C$2),ROW(),"")</f>
        <v/>
      </c>
      <c r="W273" s="74">
        <f>IF(AND($B273&lt;&gt;"",ISNUMBER($R273)),IF(AND($R273&lt;='設定'!$B$6+N('設定'!$B$14),IF(ISNUMBER($I273),$I273,N($H273))&gt;0),$R273+ROW()/100000,""),"")</f>
        <v/>
      </c>
    </row>
    <row r="274" ht="18" customHeight="1">
      <c r="A274" s="22" t="n">
        <v>270</v>
      </c>
      <c r="B274" s="23" t="n"/>
      <c r="C274" s="24" t="n"/>
      <c r="D274" s="24" t="n"/>
      <c r="E274" s="23" t="n"/>
      <c r="F274" s="23" t="n"/>
      <c r="G274" s="25" t="n"/>
      <c r="H274" s="25" t="n"/>
      <c r="I274" s="25" t="n"/>
      <c r="J274" s="72">
        <f>IF(OR($B274="",$H274=""),"",N($G274)*$H274)</f>
        <v/>
      </c>
      <c r="K274" s="72">
        <f>IF(OR($B274="",$I274=""),"",N($G274)*$I274)</f>
        <v/>
      </c>
      <c r="L274" s="27">
        <f>IF(OR($B274="",$H274="",$I274=""),"",$I274-$H274)</f>
        <v/>
      </c>
      <c r="M274" s="72">
        <f>IF($L274="","",$L274*N($G274))</f>
        <v/>
      </c>
      <c r="N274" s="73">
        <f>IF($L274="","",IF($H274&gt;0,ROUND($L274/$H274,4),"－"))</f>
        <v/>
      </c>
      <c r="O274" s="29">
        <f>IF($B274="","",IF($L274="","未入力",IF($L274=0,"一致",IF(OR(NOT(ISNUMBER($N274)),AND('設定'!$B$10&lt;&gt;"",ABS(N($N274))&gt;'設定'!$B$10),AND('設定'!$B$11&lt;&gt;"",ABS(ROUND($M274,4))&gt;'設定'!$B$11),AND('設定'!$B$10="",'設定'!$B$11="")),"要確認","許容内"))))</f>
        <v/>
      </c>
      <c r="P274" s="29">
        <f>IF($O274&lt;&gt;"要確認","",IF($Q274=0,"済",IF(COUNTIF('差異の原因'!$B$5:$B$204,$B274)=0,"未記録","一部")))</f>
        <v/>
      </c>
      <c r="Q274" s="27">
        <f>IF($L274="","",IF(AND($L274=0,COUNTIF('差異の原因'!$B$5:$B$204,$B274)=0),"",ROUND($L274-SUMIF('差異の原因'!$B$5:$B$204,$B274,'差異の原因'!$G$5:$G$204),6)))</f>
        <v/>
      </c>
      <c r="R274" s="30" t="n"/>
      <c r="S274" s="23" t="n"/>
      <c r="T274" s="29">
        <f>IF(OR($B274="",NOT(ISNUMBER($R274))),"",IF(IF(ISNUMBER($I274),$I274,N($H274))&lt;=0,"",IF($R274&lt;'設定'!$B$6,"期限切れ",IF($R274='設定'!$B$6,"当日",IF($R274-'設定'!$B$6&lt;=N('設定'!$B$14),"あと"&amp;($R274-'設定'!$B$6)&amp;"日","")))))</f>
        <v/>
      </c>
      <c r="U274" s="61" t="n"/>
      <c r="V274" s="31">
        <f>IF(AND($B274&lt;&gt;"",$E274&lt;&gt;"",$E274='数える用紙'!$C$2),ROW(),"")</f>
        <v/>
      </c>
      <c r="W274" s="74">
        <f>IF(AND($B274&lt;&gt;"",ISNUMBER($R274)),IF(AND($R274&lt;='設定'!$B$6+N('設定'!$B$14),IF(ISNUMBER($I274),$I274,N($H274))&gt;0),$R274+ROW()/100000,""),"")</f>
        <v/>
      </c>
    </row>
    <row r="275" ht="18" customHeight="1">
      <c r="A275" s="22" t="n">
        <v>271</v>
      </c>
      <c r="B275" s="23" t="n"/>
      <c r="C275" s="24" t="n"/>
      <c r="D275" s="24" t="n"/>
      <c r="E275" s="23" t="n"/>
      <c r="F275" s="23" t="n"/>
      <c r="G275" s="25" t="n"/>
      <c r="H275" s="25" t="n"/>
      <c r="I275" s="25" t="n"/>
      <c r="J275" s="72">
        <f>IF(OR($B275="",$H275=""),"",N($G275)*$H275)</f>
        <v/>
      </c>
      <c r="K275" s="72">
        <f>IF(OR($B275="",$I275=""),"",N($G275)*$I275)</f>
        <v/>
      </c>
      <c r="L275" s="27">
        <f>IF(OR($B275="",$H275="",$I275=""),"",$I275-$H275)</f>
        <v/>
      </c>
      <c r="M275" s="72">
        <f>IF($L275="","",$L275*N($G275))</f>
        <v/>
      </c>
      <c r="N275" s="73">
        <f>IF($L275="","",IF($H275&gt;0,ROUND($L275/$H275,4),"－"))</f>
        <v/>
      </c>
      <c r="O275" s="29">
        <f>IF($B275="","",IF($L275="","未入力",IF($L275=0,"一致",IF(OR(NOT(ISNUMBER($N275)),AND('設定'!$B$10&lt;&gt;"",ABS(N($N275))&gt;'設定'!$B$10),AND('設定'!$B$11&lt;&gt;"",ABS(ROUND($M275,4))&gt;'設定'!$B$11),AND('設定'!$B$10="",'設定'!$B$11="")),"要確認","許容内"))))</f>
        <v/>
      </c>
      <c r="P275" s="29">
        <f>IF($O275&lt;&gt;"要確認","",IF($Q275=0,"済",IF(COUNTIF('差異の原因'!$B$5:$B$204,$B275)=0,"未記録","一部")))</f>
        <v/>
      </c>
      <c r="Q275" s="27">
        <f>IF($L275="","",IF(AND($L275=0,COUNTIF('差異の原因'!$B$5:$B$204,$B275)=0),"",ROUND($L275-SUMIF('差異の原因'!$B$5:$B$204,$B275,'差異の原因'!$G$5:$G$204),6)))</f>
        <v/>
      </c>
      <c r="R275" s="30" t="n"/>
      <c r="S275" s="23" t="n"/>
      <c r="T275" s="29">
        <f>IF(OR($B275="",NOT(ISNUMBER($R275))),"",IF(IF(ISNUMBER($I275),$I275,N($H275))&lt;=0,"",IF($R275&lt;'設定'!$B$6,"期限切れ",IF($R275='設定'!$B$6,"当日",IF($R275-'設定'!$B$6&lt;=N('設定'!$B$14),"あと"&amp;($R275-'設定'!$B$6)&amp;"日","")))))</f>
        <v/>
      </c>
      <c r="U275" s="61" t="n"/>
      <c r="V275" s="31">
        <f>IF(AND($B275&lt;&gt;"",$E275&lt;&gt;"",$E275='数える用紙'!$C$2),ROW(),"")</f>
        <v/>
      </c>
      <c r="W275" s="74">
        <f>IF(AND($B275&lt;&gt;"",ISNUMBER($R275)),IF(AND($R275&lt;='設定'!$B$6+N('設定'!$B$14),IF(ISNUMBER($I275),$I275,N($H275))&gt;0),$R275+ROW()/100000,""),"")</f>
        <v/>
      </c>
    </row>
    <row r="276" ht="18" customHeight="1">
      <c r="A276" s="22" t="n">
        <v>272</v>
      </c>
      <c r="B276" s="23" t="n"/>
      <c r="C276" s="24" t="n"/>
      <c r="D276" s="24" t="n"/>
      <c r="E276" s="23" t="n"/>
      <c r="F276" s="23" t="n"/>
      <c r="G276" s="25" t="n"/>
      <c r="H276" s="25" t="n"/>
      <c r="I276" s="25" t="n"/>
      <c r="J276" s="72">
        <f>IF(OR($B276="",$H276=""),"",N($G276)*$H276)</f>
        <v/>
      </c>
      <c r="K276" s="72">
        <f>IF(OR($B276="",$I276=""),"",N($G276)*$I276)</f>
        <v/>
      </c>
      <c r="L276" s="27">
        <f>IF(OR($B276="",$H276="",$I276=""),"",$I276-$H276)</f>
        <v/>
      </c>
      <c r="M276" s="72">
        <f>IF($L276="","",$L276*N($G276))</f>
        <v/>
      </c>
      <c r="N276" s="73">
        <f>IF($L276="","",IF($H276&gt;0,ROUND($L276/$H276,4),"－"))</f>
        <v/>
      </c>
      <c r="O276" s="29">
        <f>IF($B276="","",IF($L276="","未入力",IF($L276=0,"一致",IF(OR(NOT(ISNUMBER($N276)),AND('設定'!$B$10&lt;&gt;"",ABS(N($N276))&gt;'設定'!$B$10),AND('設定'!$B$11&lt;&gt;"",ABS(ROUND($M276,4))&gt;'設定'!$B$11),AND('設定'!$B$10="",'設定'!$B$11="")),"要確認","許容内"))))</f>
        <v/>
      </c>
      <c r="P276" s="29">
        <f>IF($O276&lt;&gt;"要確認","",IF($Q276=0,"済",IF(COUNTIF('差異の原因'!$B$5:$B$204,$B276)=0,"未記録","一部")))</f>
        <v/>
      </c>
      <c r="Q276" s="27">
        <f>IF($L276="","",IF(AND($L276=0,COUNTIF('差異の原因'!$B$5:$B$204,$B276)=0),"",ROUND($L276-SUMIF('差異の原因'!$B$5:$B$204,$B276,'差異の原因'!$G$5:$G$204),6)))</f>
        <v/>
      </c>
      <c r="R276" s="30" t="n"/>
      <c r="S276" s="23" t="n"/>
      <c r="T276" s="29">
        <f>IF(OR($B276="",NOT(ISNUMBER($R276))),"",IF(IF(ISNUMBER($I276),$I276,N($H276))&lt;=0,"",IF($R276&lt;'設定'!$B$6,"期限切れ",IF($R276='設定'!$B$6,"当日",IF($R276-'設定'!$B$6&lt;=N('設定'!$B$14),"あと"&amp;($R276-'設定'!$B$6)&amp;"日","")))))</f>
        <v/>
      </c>
      <c r="U276" s="61" t="n"/>
      <c r="V276" s="31">
        <f>IF(AND($B276&lt;&gt;"",$E276&lt;&gt;"",$E276='数える用紙'!$C$2),ROW(),"")</f>
        <v/>
      </c>
      <c r="W276" s="74">
        <f>IF(AND($B276&lt;&gt;"",ISNUMBER($R276)),IF(AND($R276&lt;='設定'!$B$6+N('設定'!$B$14),IF(ISNUMBER($I276),$I276,N($H276))&gt;0),$R276+ROW()/100000,""),"")</f>
        <v/>
      </c>
    </row>
    <row r="277" ht="18" customHeight="1">
      <c r="A277" s="22" t="n">
        <v>273</v>
      </c>
      <c r="B277" s="23" t="n"/>
      <c r="C277" s="24" t="n"/>
      <c r="D277" s="24" t="n"/>
      <c r="E277" s="23" t="n"/>
      <c r="F277" s="23" t="n"/>
      <c r="G277" s="25" t="n"/>
      <c r="H277" s="25" t="n"/>
      <c r="I277" s="25" t="n"/>
      <c r="J277" s="72">
        <f>IF(OR($B277="",$H277=""),"",N($G277)*$H277)</f>
        <v/>
      </c>
      <c r="K277" s="72">
        <f>IF(OR($B277="",$I277=""),"",N($G277)*$I277)</f>
        <v/>
      </c>
      <c r="L277" s="27">
        <f>IF(OR($B277="",$H277="",$I277=""),"",$I277-$H277)</f>
        <v/>
      </c>
      <c r="M277" s="72">
        <f>IF($L277="","",$L277*N($G277))</f>
        <v/>
      </c>
      <c r="N277" s="73">
        <f>IF($L277="","",IF($H277&gt;0,ROUND($L277/$H277,4),"－"))</f>
        <v/>
      </c>
      <c r="O277" s="29">
        <f>IF($B277="","",IF($L277="","未入力",IF($L277=0,"一致",IF(OR(NOT(ISNUMBER($N277)),AND('設定'!$B$10&lt;&gt;"",ABS(N($N277))&gt;'設定'!$B$10),AND('設定'!$B$11&lt;&gt;"",ABS(ROUND($M277,4))&gt;'設定'!$B$11),AND('設定'!$B$10="",'設定'!$B$11="")),"要確認","許容内"))))</f>
        <v/>
      </c>
      <c r="P277" s="29">
        <f>IF($O277&lt;&gt;"要確認","",IF($Q277=0,"済",IF(COUNTIF('差異の原因'!$B$5:$B$204,$B277)=0,"未記録","一部")))</f>
        <v/>
      </c>
      <c r="Q277" s="27">
        <f>IF($L277="","",IF(AND($L277=0,COUNTIF('差異の原因'!$B$5:$B$204,$B277)=0),"",ROUND($L277-SUMIF('差異の原因'!$B$5:$B$204,$B277,'差異の原因'!$G$5:$G$204),6)))</f>
        <v/>
      </c>
      <c r="R277" s="30" t="n"/>
      <c r="S277" s="23" t="n"/>
      <c r="T277" s="29">
        <f>IF(OR($B277="",NOT(ISNUMBER($R277))),"",IF(IF(ISNUMBER($I277),$I277,N($H277))&lt;=0,"",IF($R277&lt;'設定'!$B$6,"期限切れ",IF($R277='設定'!$B$6,"当日",IF($R277-'設定'!$B$6&lt;=N('設定'!$B$14),"あと"&amp;($R277-'設定'!$B$6)&amp;"日","")))))</f>
        <v/>
      </c>
      <c r="U277" s="61" t="n"/>
      <c r="V277" s="31">
        <f>IF(AND($B277&lt;&gt;"",$E277&lt;&gt;"",$E277='数える用紙'!$C$2),ROW(),"")</f>
        <v/>
      </c>
      <c r="W277" s="74">
        <f>IF(AND($B277&lt;&gt;"",ISNUMBER($R277)),IF(AND($R277&lt;='設定'!$B$6+N('設定'!$B$14),IF(ISNUMBER($I277),$I277,N($H277))&gt;0),$R277+ROW()/100000,""),"")</f>
        <v/>
      </c>
    </row>
    <row r="278" ht="18" customHeight="1">
      <c r="A278" s="22" t="n">
        <v>274</v>
      </c>
      <c r="B278" s="23" t="n"/>
      <c r="C278" s="24" t="n"/>
      <c r="D278" s="24" t="n"/>
      <c r="E278" s="23" t="n"/>
      <c r="F278" s="23" t="n"/>
      <c r="G278" s="25" t="n"/>
      <c r="H278" s="25" t="n"/>
      <c r="I278" s="25" t="n"/>
      <c r="J278" s="72">
        <f>IF(OR($B278="",$H278=""),"",N($G278)*$H278)</f>
        <v/>
      </c>
      <c r="K278" s="72">
        <f>IF(OR($B278="",$I278=""),"",N($G278)*$I278)</f>
        <v/>
      </c>
      <c r="L278" s="27">
        <f>IF(OR($B278="",$H278="",$I278=""),"",$I278-$H278)</f>
        <v/>
      </c>
      <c r="M278" s="72">
        <f>IF($L278="","",$L278*N($G278))</f>
        <v/>
      </c>
      <c r="N278" s="73">
        <f>IF($L278="","",IF($H278&gt;0,ROUND($L278/$H278,4),"－"))</f>
        <v/>
      </c>
      <c r="O278" s="29">
        <f>IF($B278="","",IF($L278="","未入力",IF($L278=0,"一致",IF(OR(NOT(ISNUMBER($N278)),AND('設定'!$B$10&lt;&gt;"",ABS(N($N278))&gt;'設定'!$B$10),AND('設定'!$B$11&lt;&gt;"",ABS(ROUND($M278,4))&gt;'設定'!$B$11),AND('設定'!$B$10="",'設定'!$B$11="")),"要確認","許容内"))))</f>
        <v/>
      </c>
      <c r="P278" s="29">
        <f>IF($O278&lt;&gt;"要確認","",IF($Q278=0,"済",IF(COUNTIF('差異の原因'!$B$5:$B$204,$B278)=0,"未記録","一部")))</f>
        <v/>
      </c>
      <c r="Q278" s="27">
        <f>IF($L278="","",IF(AND($L278=0,COUNTIF('差異の原因'!$B$5:$B$204,$B278)=0),"",ROUND($L278-SUMIF('差異の原因'!$B$5:$B$204,$B278,'差異の原因'!$G$5:$G$204),6)))</f>
        <v/>
      </c>
      <c r="R278" s="30" t="n"/>
      <c r="S278" s="23" t="n"/>
      <c r="T278" s="29">
        <f>IF(OR($B278="",NOT(ISNUMBER($R278))),"",IF(IF(ISNUMBER($I278),$I278,N($H278))&lt;=0,"",IF($R278&lt;'設定'!$B$6,"期限切れ",IF($R278='設定'!$B$6,"当日",IF($R278-'設定'!$B$6&lt;=N('設定'!$B$14),"あと"&amp;($R278-'設定'!$B$6)&amp;"日","")))))</f>
        <v/>
      </c>
      <c r="U278" s="61" t="n"/>
      <c r="V278" s="31">
        <f>IF(AND($B278&lt;&gt;"",$E278&lt;&gt;"",$E278='数える用紙'!$C$2),ROW(),"")</f>
        <v/>
      </c>
      <c r="W278" s="74">
        <f>IF(AND($B278&lt;&gt;"",ISNUMBER($R278)),IF(AND($R278&lt;='設定'!$B$6+N('設定'!$B$14),IF(ISNUMBER($I278),$I278,N($H278))&gt;0),$R278+ROW()/100000,""),"")</f>
        <v/>
      </c>
    </row>
    <row r="279" ht="18" customHeight="1">
      <c r="A279" s="22" t="n">
        <v>275</v>
      </c>
      <c r="B279" s="23" t="n"/>
      <c r="C279" s="24" t="n"/>
      <c r="D279" s="24" t="n"/>
      <c r="E279" s="23" t="n"/>
      <c r="F279" s="23" t="n"/>
      <c r="G279" s="25" t="n"/>
      <c r="H279" s="25" t="n"/>
      <c r="I279" s="25" t="n"/>
      <c r="J279" s="72">
        <f>IF(OR($B279="",$H279=""),"",N($G279)*$H279)</f>
        <v/>
      </c>
      <c r="K279" s="72">
        <f>IF(OR($B279="",$I279=""),"",N($G279)*$I279)</f>
        <v/>
      </c>
      <c r="L279" s="27">
        <f>IF(OR($B279="",$H279="",$I279=""),"",$I279-$H279)</f>
        <v/>
      </c>
      <c r="M279" s="72">
        <f>IF($L279="","",$L279*N($G279))</f>
        <v/>
      </c>
      <c r="N279" s="73">
        <f>IF($L279="","",IF($H279&gt;0,ROUND($L279/$H279,4),"－"))</f>
        <v/>
      </c>
      <c r="O279" s="29">
        <f>IF($B279="","",IF($L279="","未入力",IF($L279=0,"一致",IF(OR(NOT(ISNUMBER($N279)),AND('設定'!$B$10&lt;&gt;"",ABS(N($N279))&gt;'設定'!$B$10),AND('設定'!$B$11&lt;&gt;"",ABS(ROUND($M279,4))&gt;'設定'!$B$11),AND('設定'!$B$10="",'設定'!$B$11="")),"要確認","許容内"))))</f>
        <v/>
      </c>
      <c r="P279" s="29">
        <f>IF($O279&lt;&gt;"要確認","",IF($Q279=0,"済",IF(COUNTIF('差異の原因'!$B$5:$B$204,$B279)=0,"未記録","一部")))</f>
        <v/>
      </c>
      <c r="Q279" s="27">
        <f>IF($L279="","",IF(AND($L279=0,COUNTIF('差異の原因'!$B$5:$B$204,$B279)=0),"",ROUND($L279-SUMIF('差異の原因'!$B$5:$B$204,$B279,'差異の原因'!$G$5:$G$204),6)))</f>
        <v/>
      </c>
      <c r="R279" s="30" t="n"/>
      <c r="S279" s="23" t="n"/>
      <c r="T279" s="29">
        <f>IF(OR($B279="",NOT(ISNUMBER($R279))),"",IF(IF(ISNUMBER($I279),$I279,N($H279))&lt;=0,"",IF($R279&lt;'設定'!$B$6,"期限切れ",IF($R279='設定'!$B$6,"当日",IF($R279-'設定'!$B$6&lt;=N('設定'!$B$14),"あと"&amp;($R279-'設定'!$B$6)&amp;"日","")))))</f>
        <v/>
      </c>
      <c r="U279" s="61" t="n"/>
      <c r="V279" s="31">
        <f>IF(AND($B279&lt;&gt;"",$E279&lt;&gt;"",$E279='数える用紙'!$C$2),ROW(),"")</f>
        <v/>
      </c>
      <c r="W279" s="74">
        <f>IF(AND($B279&lt;&gt;"",ISNUMBER($R279)),IF(AND($R279&lt;='設定'!$B$6+N('設定'!$B$14),IF(ISNUMBER($I279),$I279,N($H279))&gt;0),$R279+ROW()/100000,""),"")</f>
        <v/>
      </c>
    </row>
    <row r="280" ht="18" customHeight="1">
      <c r="A280" s="22" t="n">
        <v>276</v>
      </c>
      <c r="B280" s="23" t="n"/>
      <c r="C280" s="24" t="n"/>
      <c r="D280" s="24" t="n"/>
      <c r="E280" s="23" t="n"/>
      <c r="F280" s="23" t="n"/>
      <c r="G280" s="25" t="n"/>
      <c r="H280" s="25" t="n"/>
      <c r="I280" s="25" t="n"/>
      <c r="J280" s="72">
        <f>IF(OR($B280="",$H280=""),"",N($G280)*$H280)</f>
        <v/>
      </c>
      <c r="K280" s="72">
        <f>IF(OR($B280="",$I280=""),"",N($G280)*$I280)</f>
        <v/>
      </c>
      <c r="L280" s="27">
        <f>IF(OR($B280="",$H280="",$I280=""),"",$I280-$H280)</f>
        <v/>
      </c>
      <c r="M280" s="72">
        <f>IF($L280="","",$L280*N($G280))</f>
        <v/>
      </c>
      <c r="N280" s="73">
        <f>IF($L280="","",IF($H280&gt;0,ROUND($L280/$H280,4),"－"))</f>
        <v/>
      </c>
      <c r="O280" s="29">
        <f>IF($B280="","",IF($L280="","未入力",IF($L280=0,"一致",IF(OR(NOT(ISNUMBER($N280)),AND('設定'!$B$10&lt;&gt;"",ABS(N($N280))&gt;'設定'!$B$10),AND('設定'!$B$11&lt;&gt;"",ABS(ROUND($M280,4))&gt;'設定'!$B$11),AND('設定'!$B$10="",'設定'!$B$11="")),"要確認","許容内"))))</f>
        <v/>
      </c>
      <c r="P280" s="29">
        <f>IF($O280&lt;&gt;"要確認","",IF($Q280=0,"済",IF(COUNTIF('差異の原因'!$B$5:$B$204,$B280)=0,"未記録","一部")))</f>
        <v/>
      </c>
      <c r="Q280" s="27">
        <f>IF($L280="","",IF(AND($L280=0,COUNTIF('差異の原因'!$B$5:$B$204,$B280)=0),"",ROUND($L280-SUMIF('差異の原因'!$B$5:$B$204,$B280,'差異の原因'!$G$5:$G$204),6)))</f>
        <v/>
      </c>
      <c r="R280" s="30" t="n"/>
      <c r="S280" s="23" t="n"/>
      <c r="T280" s="29">
        <f>IF(OR($B280="",NOT(ISNUMBER($R280))),"",IF(IF(ISNUMBER($I280),$I280,N($H280))&lt;=0,"",IF($R280&lt;'設定'!$B$6,"期限切れ",IF($R280='設定'!$B$6,"当日",IF($R280-'設定'!$B$6&lt;=N('設定'!$B$14),"あと"&amp;($R280-'設定'!$B$6)&amp;"日","")))))</f>
        <v/>
      </c>
      <c r="U280" s="61" t="n"/>
      <c r="V280" s="31">
        <f>IF(AND($B280&lt;&gt;"",$E280&lt;&gt;"",$E280='数える用紙'!$C$2),ROW(),"")</f>
        <v/>
      </c>
      <c r="W280" s="74">
        <f>IF(AND($B280&lt;&gt;"",ISNUMBER($R280)),IF(AND($R280&lt;='設定'!$B$6+N('設定'!$B$14),IF(ISNUMBER($I280),$I280,N($H280))&gt;0),$R280+ROW()/100000,""),"")</f>
        <v/>
      </c>
    </row>
    <row r="281" ht="18" customHeight="1">
      <c r="A281" s="22" t="n">
        <v>277</v>
      </c>
      <c r="B281" s="23" t="n"/>
      <c r="C281" s="24" t="n"/>
      <c r="D281" s="24" t="n"/>
      <c r="E281" s="23" t="n"/>
      <c r="F281" s="23" t="n"/>
      <c r="G281" s="25" t="n"/>
      <c r="H281" s="25" t="n"/>
      <c r="I281" s="25" t="n"/>
      <c r="J281" s="72">
        <f>IF(OR($B281="",$H281=""),"",N($G281)*$H281)</f>
        <v/>
      </c>
      <c r="K281" s="72">
        <f>IF(OR($B281="",$I281=""),"",N($G281)*$I281)</f>
        <v/>
      </c>
      <c r="L281" s="27">
        <f>IF(OR($B281="",$H281="",$I281=""),"",$I281-$H281)</f>
        <v/>
      </c>
      <c r="M281" s="72">
        <f>IF($L281="","",$L281*N($G281))</f>
        <v/>
      </c>
      <c r="N281" s="73">
        <f>IF($L281="","",IF($H281&gt;0,ROUND($L281/$H281,4),"－"))</f>
        <v/>
      </c>
      <c r="O281" s="29">
        <f>IF($B281="","",IF($L281="","未入力",IF($L281=0,"一致",IF(OR(NOT(ISNUMBER($N281)),AND('設定'!$B$10&lt;&gt;"",ABS(N($N281))&gt;'設定'!$B$10),AND('設定'!$B$11&lt;&gt;"",ABS(ROUND($M281,4))&gt;'設定'!$B$11),AND('設定'!$B$10="",'設定'!$B$11="")),"要確認","許容内"))))</f>
        <v/>
      </c>
      <c r="P281" s="29">
        <f>IF($O281&lt;&gt;"要確認","",IF($Q281=0,"済",IF(COUNTIF('差異の原因'!$B$5:$B$204,$B281)=0,"未記録","一部")))</f>
        <v/>
      </c>
      <c r="Q281" s="27">
        <f>IF($L281="","",IF(AND($L281=0,COUNTIF('差異の原因'!$B$5:$B$204,$B281)=0),"",ROUND($L281-SUMIF('差異の原因'!$B$5:$B$204,$B281,'差異の原因'!$G$5:$G$204),6)))</f>
        <v/>
      </c>
      <c r="R281" s="30" t="n"/>
      <c r="S281" s="23" t="n"/>
      <c r="T281" s="29">
        <f>IF(OR($B281="",NOT(ISNUMBER($R281))),"",IF(IF(ISNUMBER($I281),$I281,N($H281))&lt;=0,"",IF($R281&lt;'設定'!$B$6,"期限切れ",IF($R281='設定'!$B$6,"当日",IF($R281-'設定'!$B$6&lt;=N('設定'!$B$14),"あと"&amp;($R281-'設定'!$B$6)&amp;"日","")))))</f>
        <v/>
      </c>
      <c r="U281" s="61" t="n"/>
      <c r="V281" s="31">
        <f>IF(AND($B281&lt;&gt;"",$E281&lt;&gt;"",$E281='数える用紙'!$C$2),ROW(),"")</f>
        <v/>
      </c>
      <c r="W281" s="74">
        <f>IF(AND($B281&lt;&gt;"",ISNUMBER($R281)),IF(AND($R281&lt;='設定'!$B$6+N('設定'!$B$14),IF(ISNUMBER($I281),$I281,N($H281))&gt;0),$R281+ROW()/100000,""),"")</f>
        <v/>
      </c>
    </row>
    <row r="282" ht="18" customHeight="1">
      <c r="A282" s="22" t="n">
        <v>278</v>
      </c>
      <c r="B282" s="23" t="n"/>
      <c r="C282" s="24" t="n"/>
      <c r="D282" s="24" t="n"/>
      <c r="E282" s="23" t="n"/>
      <c r="F282" s="23" t="n"/>
      <c r="G282" s="25" t="n"/>
      <c r="H282" s="25" t="n"/>
      <c r="I282" s="25" t="n"/>
      <c r="J282" s="72">
        <f>IF(OR($B282="",$H282=""),"",N($G282)*$H282)</f>
        <v/>
      </c>
      <c r="K282" s="72">
        <f>IF(OR($B282="",$I282=""),"",N($G282)*$I282)</f>
        <v/>
      </c>
      <c r="L282" s="27">
        <f>IF(OR($B282="",$H282="",$I282=""),"",$I282-$H282)</f>
        <v/>
      </c>
      <c r="M282" s="72">
        <f>IF($L282="","",$L282*N($G282))</f>
        <v/>
      </c>
      <c r="N282" s="73">
        <f>IF($L282="","",IF($H282&gt;0,ROUND($L282/$H282,4),"－"))</f>
        <v/>
      </c>
      <c r="O282" s="29">
        <f>IF($B282="","",IF($L282="","未入力",IF($L282=0,"一致",IF(OR(NOT(ISNUMBER($N282)),AND('設定'!$B$10&lt;&gt;"",ABS(N($N282))&gt;'設定'!$B$10),AND('設定'!$B$11&lt;&gt;"",ABS(ROUND($M282,4))&gt;'設定'!$B$11),AND('設定'!$B$10="",'設定'!$B$11="")),"要確認","許容内"))))</f>
        <v/>
      </c>
      <c r="P282" s="29">
        <f>IF($O282&lt;&gt;"要確認","",IF($Q282=0,"済",IF(COUNTIF('差異の原因'!$B$5:$B$204,$B282)=0,"未記録","一部")))</f>
        <v/>
      </c>
      <c r="Q282" s="27">
        <f>IF($L282="","",IF(AND($L282=0,COUNTIF('差異の原因'!$B$5:$B$204,$B282)=0),"",ROUND($L282-SUMIF('差異の原因'!$B$5:$B$204,$B282,'差異の原因'!$G$5:$G$204),6)))</f>
        <v/>
      </c>
      <c r="R282" s="30" t="n"/>
      <c r="S282" s="23" t="n"/>
      <c r="T282" s="29">
        <f>IF(OR($B282="",NOT(ISNUMBER($R282))),"",IF(IF(ISNUMBER($I282),$I282,N($H282))&lt;=0,"",IF($R282&lt;'設定'!$B$6,"期限切れ",IF($R282='設定'!$B$6,"当日",IF($R282-'設定'!$B$6&lt;=N('設定'!$B$14),"あと"&amp;($R282-'設定'!$B$6)&amp;"日","")))))</f>
        <v/>
      </c>
      <c r="U282" s="61" t="n"/>
      <c r="V282" s="31">
        <f>IF(AND($B282&lt;&gt;"",$E282&lt;&gt;"",$E282='数える用紙'!$C$2),ROW(),"")</f>
        <v/>
      </c>
      <c r="W282" s="74">
        <f>IF(AND($B282&lt;&gt;"",ISNUMBER($R282)),IF(AND($R282&lt;='設定'!$B$6+N('設定'!$B$14),IF(ISNUMBER($I282),$I282,N($H282))&gt;0),$R282+ROW()/100000,""),"")</f>
        <v/>
      </c>
    </row>
    <row r="283" ht="18" customHeight="1">
      <c r="A283" s="22" t="n">
        <v>279</v>
      </c>
      <c r="B283" s="23" t="n"/>
      <c r="C283" s="24" t="n"/>
      <c r="D283" s="24" t="n"/>
      <c r="E283" s="23" t="n"/>
      <c r="F283" s="23" t="n"/>
      <c r="G283" s="25" t="n"/>
      <c r="H283" s="25" t="n"/>
      <c r="I283" s="25" t="n"/>
      <c r="J283" s="72">
        <f>IF(OR($B283="",$H283=""),"",N($G283)*$H283)</f>
        <v/>
      </c>
      <c r="K283" s="72">
        <f>IF(OR($B283="",$I283=""),"",N($G283)*$I283)</f>
        <v/>
      </c>
      <c r="L283" s="27">
        <f>IF(OR($B283="",$H283="",$I283=""),"",$I283-$H283)</f>
        <v/>
      </c>
      <c r="M283" s="72">
        <f>IF($L283="","",$L283*N($G283))</f>
        <v/>
      </c>
      <c r="N283" s="73">
        <f>IF($L283="","",IF($H283&gt;0,ROUND($L283/$H283,4),"－"))</f>
        <v/>
      </c>
      <c r="O283" s="29">
        <f>IF($B283="","",IF($L283="","未入力",IF($L283=0,"一致",IF(OR(NOT(ISNUMBER($N283)),AND('設定'!$B$10&lt;&gt;"",ABS(N($N283))&gt;'設定'!$B$10),AND('設定'!$B$11&lt;&gt;"",ABS(ROUND($M283,4))&gt;'設定'!$B$11),AND('設定'!$B$10="",'設定'!$B$11="")),"要確認","許容内"))))</f>
        <v/>
      </c>
      <c r="P283" s="29">
        <f>IF($O283&lt;&gt;"要確認","",IF($Q283=0,"済",IF(COUNTIF('差異の原因'!$B$5:$B$204,$B283)=0,"未記録","一部")))</f>
        <v/>
      </c>
      <c r="Q283" s="27">
        <f>IF($L283="","",IF(AND($L283=0,COUNTIF('差異の原因'!$B$5:$B$204,$B283)=0),"",ROUND($L283-SUMIF('差異の原因'!$B$5:$B$204,$B283,'差異の原因'!$G$5:$G$204),6)))</f>
        <v/>
      </c>
      <c r="R283" s="30" t="n"/>
      <c r="S283" s="23" t="n"/>
      <c r="T283" s="29">
        <f>IF(OR($B283="",NOT(ISNUMBER($R283))),"",IF(IF(ISNUMBER($I283),$I283,N($H283))&lt;=0,"",IF($R283&lt;'設定'!$B$6,"期限切れ",IF($R283='設定'!$B$6,"当日",IF($R283-'設定'!$B$6&lt;=N('設定'!$B$14),"あと"&amp;($R283-'設定'!$B$6)&amp;"日","")))))</f>
        <v/>
      </c>
      <c r="U283" s="61" t="n"/>
      <c r="V283" s="31">
        <f>IF(AND($B283&lt;&gt;"",$E283&lt;&gt;"",$E283='数える用紙'!$C$2),ROW(),"")</f>
        <v/>
      </c>
      <c r="W283" s="74">
        <f>IF(AND($B283&lt;&gt;"",ISNUMBER($R283)),IF(AND($R283&lt;='設定'!$B$6+N('設定'!$B$14),IF(ISNUMBER($I283),$I283,N($H283))&gt;0),$R283+ROW()/100000,""),"")</f>
        <v/>
      </c>
    </row>
    <row r="284" ht="18" customHeight="1">
      <c r="A284" s="22" t="n">
        <v>280</v>
      </c>
      <c r="B284" s="23" t="n"/>
      <c r="C284" s="24" t="n"/>
      <c r="D284" s="24" t="n"/>
      <c r="E284" s="23" t="n"/>
      <c r="F284" s="23" t="n"/>
      <c r="G284" s="25" t="n"/>
      <c r="H284" s="25" t="n"/>
      <c r="I284" s="25" t="n"/>
      <c r="J284" s="72">
        <f>IF(OR($B284="",$H284=""),"",N($G284)*$H284)</f>
        <v/>
      </c>
      <c r="K284" s="72">
        <f>IF(OR($B284="",$I284=""),"",N($G284)*$I284)</f>
        <v/>
      </c>
      <c r="L284" s="27">
        <f>IF(OR($B284="",$H284="",$I284=""),"",$I284-$H284)</f>
        <v/>
      </c>
      <c r="M284" s="72">
        <f>IF($L284="","",$L284*N($G284))</f>
        <v/>
      </c>
      <c r="N284" s="73">
        <f>IF($L284="","",IF($H284&gt;0,ROUND($L284/$H284,4),"－"))</f>
        <v/>
      </c>
      <c r="O284" s="29">
        <f>IF($B284="","",IF($L284="","未入力",IF($L284=0,"一致",IF(OR(NOT(ISNUMBER($N284)),AND('設定'!$B$10&lt;&gt;"",ABS(N($N284))&gt;'設定'!$B$10),AND('設定'!$B$11&lt;&gt;"",ABS(ROUND($M284,4))&gt;'設定'!$B$11),AND('設定'!$B$10="",'設定'!$B$11="")),"要確認","許容内"))))</f>
        <v/>
      </c>
      <c r="P284" s="29">
        <f>IF($O284&lt;&gt;"要確認","",IF($Q284=0,"済",IF(COUNTIF('差異の原因'!$B$5:$B$204,$B284)=0,"未記録","一部")))</f>
        <v/>
      </c>
      <c r="Q284" s="27">
        <f>IF($L284="","",IF(AND($L284=0,COUNTIF('差異の原因'!$B$5:$B$204,$B284)=0),"",ROUND($L284-SUMIF('差異の原因'!$B$5:$B$204,$B284,'差異の原因'!$G$5:$G$204),6)))</f>
        <v/>
      </c>
      <c r="R284" s="30" t="n"/>
      <c r="S284" s="23" t="n"/>
      <c r="T284" s="29">
        <f>IF(OR($B284="",NOT(ISNUMBER($R284))),"",IF(IF(ISNUMBER($I284),$I284,N($H284))&lt;=0,"",IF($R284&lt;'設定'!$B$6,"期限切れ",IF($R284='設定'!$B$6,"当日",IF($R284-'設定'!$B$6&lt;=N('設定'!$B$14),"あと"&amp;($R284-'設定'!$B$6)&amp;"日","")))))</f>
        <v/>
      </c>
      <c r="U284" s="61" t="n"/>
      <c r="V284" s="31">
        <f>IF(AND($B284&lt;&gt;"",$E284&lt;&gt;"",$E284='数える用紙'!$C$2),ROW(),"")</f>
        <v/>
      </c>
      <c r="W284" s="74">
        <f>IF(AND($B284&lt;&gt;"",ISNUMBER($R284)),IF(AND($R284&lt;='設定'!$B$6+N('設定'!$B$14),IF(ISNUMBER($I284),$I284,N($H284))&gt;0),$R284+ROW()/100000,""),"")</f>
        <v/>
      </c>
    </row>
    <row r="285" ht="18" customHeight="1">
      <c r="A285" s="22" t="n">
        <v>281</v>
      </c>
      <c r="B285" s="23" t="n"/>
      <c r="C285" s="24" t="n"/>
      <c r="D285" s="24" t="n"/>
      <c r="E285" s="23" t="n"/>
      <c r="F285" s="23" t="n"/>
      <c r="G285" s="25" t="n"/>
      <c r="H285" s="25" t="n"/>
      <c r="I285" s="25" t="n"/>
      <c r="J285" s="72">
        <f>IF(OR($B285="",$H285=""),"",N($G285)*$H285)</f>
        <v/>
      </c>
      <c r="K285" s="72">
        <f>IF(OR($B285="",$I285=""),"",N($G285)*$I285)</f>
        <v/>
      </c>
      <c r="L285" s="27">
        <f>IF(OR($B285="",$H285="",$I285=""),"",$I285-$H285)</f>
        <v/>
      </c>
      <c r="M285" s="72">
        <f>IF($L285="","",$L285*N($G285))</f>
        <v/>
      </c>
      <c r="N285" s="73">
        <f>IF($L285="","",IF($H285&gt;0,ROUND($L285/$H285,4),"－"))</f>
        <v/>
      </c>
      <c r="O285" s="29">
        <f>IF($B285="","",IF($L285="","未入力",IF($L285=0,"一致",IF(OR(NOT(ISNUMBER($N285)),AND('設定'!$B$10&lt;&gt;"",ABS(N($N285))&gt;'設定'!$B$10),AND('設定'!$B$11&lt;&gt;"",ABS(ROUND($M285,4))&gt;'設定'!$B$11),AND('設定'!$B$10="",'設定'!$B$11="")),"要確認","許容内"))))</f>
        <v/>
      </c>
      <c r="P285" s="29">
        <f>IF($O285&lt;&gt;"要確認","",IF($Q285=0,"済",IF(COUNTIF('差異の原因'!$B$5:$B$204,$B285)=0,"未記録","一部")))</f>
        <v/>
      </c>
      <c r="Q285" s="27">
        <f>IF($L285="","",IF(AND($L285=0,COUNTIF('差異の原因'!$B$5:$B$204,$B285)=0),"",ROUND($L285-SUMIF('差異の原因'!$B$5:$B$204,$B285,'差異の原因'!$G$5:$G$204),6)))</f>
        <v/>
      </c>
      <c r="R285" s="30" t="n"/>
      <c r="S285" s="23" t="n"/>
      <c r="T285" s="29">
        <f>IF(OR($B285="",NOT(ISNUMBER($R285))),"",IF(IF(ISNUMBER($I285),$I285,N($H285))&lt;=0,"",IF($R285&lt;'設定'!$B$6,"期限切れ",IF($R285='設定'!$B$6,"当日",IF($R285-'設定'!$B$6&lt;=N('設定'!$B$14),"あと"&amp;($R285-'設定'!$B$6)&amp;"日","")))))</f>
        <v/>
      </c>
      <c r="U285" s="61" t="n"/>
      <c r="V285" s="31">
        <f>IF(AND($B285&lt;&gt;"",$E285&lt;&gt;"",$E285='数える用紙'!$C$2),ROW(),"")</f>
        <v/>
      </c>
      <c r="W285" s="74">
        <f>IF(AND($B285&lt;&gt;"",ISNUMBER($R285)),IF(AND($R285&lt;='設定'!$B$6+N('設定'!$B$14),IF(ISNUMBER($I285),$I285,N($H285))&gt;0),$R285+ROW()/100000,""),"")</f>
        <v/>
      </c>
    </row>
    <row r="286" ht="18" customHeight="1">
      <c r="A286" s="22" t="n">
        <v>282</v>
      </c>
      <c r="B286" s="23" t="n"/>
      <c r="C286" s="24" t="n"/>
      <c r="D286" s="24" t="n"/>
      <c r="E286" s="23" t="n"/>
      <c r="F286" s="23" t="n"/>
      <c r="G286" s="25" t="n"/>
      <c r="H286" s="25" t="n"/>
      <c r="I286" s="25" t="n"/>
      <c r="J286" s="72">
        <f>IF(OR($B286="",$H286=""),"",N($G286)*$H286)</f>
        <v/>
      </c>
      <c r="K286" s="72">
        <f>IF(OR($B286="",$I286=""),"",N($G286)*$I286)</f>
        <v/>
      </c>
      <c r="L286" s="27">
        <f>IF(OR($B286="",$H286="",$I286=""),"",$I286-$H286)</f>
        <v/>
      </c>
      <c r="M286" s="72">
        <f>IF($L286="","",$L286*N($G286))</f>
        <v/>
      </c>
      <c r="N286" s="73">
        <f>IF($L286="","",IF($H286&gt;0,ROUND($L286/$H286,4),"－"))</f>
        <v/>
      </c>
      <c r="O286" s="29">
        <f>IF($B286="","",IF($L286="","未入力",IF($L286=0,"一致",IF(OR(NOT(ISNUMBER($N286)),AND('設定'!$B$10&lt;&gt;"",ABS(N($N286))&gt;'設定'!$B$10),AND('設定'!$B$11&lt;&gt;"",ABS(ROUND($M286,4))&gt;'設定'!$B$11),AND('設定'!$B$10="",'設定'!$B$11="")),"要確認","許容内"))))</f>
        <v/>
      </c>
      <c r="P286" s="29">
        <f>IF($O286&lt;&gt;"要確認","",IF($Q286=0,"済",IF(COUNTIF('差異の原因'!$B$5:$B$204,$B286)=0,"未記録","一部")))</f>
        <v/>
      </c>
      <c r="Q286" s="27">
        <f>IF($L286="","",IF(AND($L286=0,COUNTIF('差異の原因'!$B$5:$B$204,$B286)=0),"",ROUND($L286-SUMIF('差異の原因'!$B$5:$B$204,$B286,'差異の原因'!$G$5:$G$204),6)))</f>
        <v/>
      </c>
      <c r="R286" s="30" t="n"/>
      <c r="S286" s="23" t="n"/>
      <c r="T286" s="29">
        <f>IF(OR($B286="",NOT(ISNUMBER($R286))),"",IF(IF(ISNUMBER($I286),$I286,N($H286))&lt;=0,"",IF($R286&lt;'設定'!$B$6,"期限切れ",IF($R286='設定'!$B$6,"当日",IF($R286-'設定'!$B$6&lt;=N('設定'!$B$14),"あと"&amp;($R286-'設定'!$B$6)&amp;"日","")))))</f>
        <v/>
      </c>
      <c r="U286" s="61" t="n"/>
      <c r="V286" s="31">
        <f>IF(AND($B286&lt;&gt;"",$E286&lt;&gt;"",$E286='数える用紙'!$C$2),ROW(),"")</f>
        <v/>
      </c>
      <c r="W286" s="74">
        <f>IF(AND($B286&lt;&gt;"",ISNUMBER($R286)),IF(AND($R286&lt;='設定'!$B$6+N('設定'!$B$14),IF(ISNUMBER($I286),$I286,N($H286))&gt;0),$R286+ROW()/100000,""),"")</f>
        <v/>
      </c>
    </row>
    <row r="287" ht="18" customHeight="1">
      <c r="A287" s="22" t="n">
        <v>283</v>
      </c>
      <c r="B287" s="23" t="n"/>
      <c r="C287" s="24" t="n"/>
      <c r="D287" s="24" t="n"/>
      <c r="E287" s="23" t="n"/>
      <c r="F287" s="23" t="n"/>
      <c r="G287" s="25" t="n"/>
      <c r="H287" s="25" t="n"/>
      <c r="I287" s="25" t="n"/>
      <c r="J287" s="72">
        <f>IF(OR($B287="",$H287=""),"",N($G287)*$H287)</f>
        <v/>
      </c>
      <c r="K287" s="72">
        <f>IF(OR($B287="",$I287=""),"",N($G287)*$I287)</f>
        <v/>
      </c>
      <c r="L287" s="27">
        <f>IF(OR($B287="",$H287="",$I287=""),"",$I287-$H287)</f>
        <v/>
      </c>
      <c r="M287" s="72">
        <f>IF($L287="","",$L287*N($G287))</f>
        <v/>
      </c>
      <c r="N287" s="73">
        <f>IF($L287="","",IF($H287&gt;0,ROUND($L287/$H287,4),"－"))</f>
        <v/>
      </c>
      <c r="O287" s="29">
        <f>IF($B287="","",IF($L287="","未入力",IF($L287=0,"一致",IF(OR(NOT(ISNUMBER($N287)),AND('設定'!$B$10&lt;&gt;"",ABS(N($N287))&gt;'設定'!$B$10),AND('設定'!$B$11&lt;&gt;"",ABS(ROUND($M287,4))&gt;'設定'!$B$11),AND('設定'!$B$10="",'設定'!$B$11="")),"要確認","許容内"))))</f>
        <v/>
      </c>
      <c r="P287" s="29">
        <f>IF($O287&lt;&gt;"要確認","",IF($Q287=0,"済",IF(COUNTIF('差異の原因'!$B$5:$B$204,$B287)=0,"未記録","一部")))</f>
        <v/>
      </c>
      <c r="Q287" s="27">
        <f>IF($L287="","",IF(AND($L287=0,COUNTIF('差異の原因'!$B$5:$B$204,$B287)=0),"",ROUND($L287-SUMIF('差異の原因'!$B$5:$B$204,$B287,'差異の原因'!$G$5:$G$204),6)))</f>
        <v/>
      </c>
      <c r="R287" s="30" t="n"/>
      <c r="S287" s="23" t="n"/>
      <c r="T287" s="29">
        <f>IF(OR($B287="",NOT(ISNUMBER($R287))),"",IF(IF(ISNUMBER($I287),$I287,N($H287))&lt;=0,"",IF($R287&lt;'設定'!$B$6,"期限切れ",IF($R287='設定'!$B$6,"当日",IF($R287-'設定'!$B$6&lt;=N('設定'!$B$14),"あと"&amp;($R287-'設定'!$B$6)&amp;"日","")))))</f>
        <v/>
      </c>
      <c r="U287" s="61" t="n"/>
      <c r="V287" s="31">
        <f>IF(AND($B287&lt;&gt;"",$E287&lt;&gt;"",$E287='数える用紙'!$C$2),ROW(),"")</f>
        <v/>
      </c>
      <c r="W287" s="74">
        <f>IF(AND($B287&lt;&gt;"",ISNUMBER($R287)),IF(AND($R287&lt;='設定'!$B$6+N('設定'!$B$14),IF(ISNUMBER($I287),$I287,N($H287))&gt;0),$R287+ROW()/100000,""),"")</f>
        <v/>
      </c>
    </row>
    <row r="288" ht="18" customHeight="1">
      <c r="A288" s="22" t="n">
        <v>284</v>
      </c>
      <c r="B288" s="23" t="n"/>
      <c r="C288" s="24" t="n"/>
      <c r="D288" s="24" t="n"/>
      <c r="E288" s="23" t="n"/>
      <c r="F288" s="23" t="n"/>
      <c r="G288" s="25" t="n"/>
      <c r="H288" s="25" t="n"/>
      <c r="I288" s="25" t="n"/>
      <c r="J288" s="72">
        <f>IF(OR($B288="",$H288=""),"",N($G288)*$H288)</f>
        <v/>
      </c>
      <c r="K288" s="72">
        <f>IF(OR($B288="",$I288=""),"",N($G288)*$I288)</f>
        <v/>
      </c>
      <c r="L288" s="27">
        <f>IF(OR($B288="",$H288="",$I288=""),"",$I288-$H288)</f>
        <v/>
      </c>
      <c r="M288" s="72">
        <f>IF($L288="","",$L288*N($G288))</f>
        <v/>
      </c>
      <c r="N288" s="73">
        <f>IF($L288="","",IF($H288&gt;0,ROUND($L288/$H288,4),"－"))</f>
        <v/>
      </c>
      <c r="O288" s="29">
        <f>IF($B288="","",IF($L288="","未入力",IF($L288=0,"一致",IF(OR(NOT(ISNUMBER($N288)),AND('設定'!$B$10&lt;&gt;"",ABS(N($N288))&gt;'設定'!$B$10),AND('設定'!$B$11&lt;&gt;"",ABS(ROUND($M288,4))&gt;'設定'!$B$11),AND('設定'!$B$10="",'設定'!$B$11="")),"要確認","許容内"))))</f>
        <v/>
      </c>
      <c r="P288" s="29">
        <f>IF($O288&lt;&gt;"要確認","",IF($Q288=0,"済",IF(COUNTIF('差異の原因'!$B$5:$B$204,$B288)=0,"未記録","一部")))</f>
        <v/>
      </c>
      <c r="Q288" s="27">
        <f>IF($L288="","",IF(AND($L288=0,COUNTIF('差異の原因'!$B$5:$B$204,$B288)=0),"",ROUND($L288-SUMIF('差異の原因'!$B$5:$B$204,$B288,'差異の原因'!$G$5:$G$204),6)))</f>
        <v/>
      </c>
      <c r="R288" s="30" t="n"/>
      <c r="S288" s="23" t="n"/>
      <c r="T288" s="29">
        <f>IF(OR($B288="",NOT(ISNUMBER($R288))),"",IF(IF(ISNUMBER($I288),$I288,N($H288))&lt;=0,"",IF($R288&lt;'設定'!$B$6,"期限切れ",IF($R288='設定'!$B$6,"当日",IF($R288-'設定'!$B$6&lt;=N('設定'!$B$14),"あと"&amp;($R288-'設定'!$B$6)&amp;"日","")))))</f>
        <v/>
      </c>
      <c r="U288" s="61" t="n"/>
      <c r="V288" s="31">
        <f>IF(AND($B288&lt;&gt;"",$E288&lt;&gt;"",$E288='数える用紙'!$C$2),ROW(),"")</f>
        <v/>
      </c>
      <c r="W288" s="74">
        <f>IF(AND($B288&lt;&gt;"",ISNUMBER($R288)),IF(AND($R288&lt;='設定'!$B$6+N('設定'!$B$14),IF(ISNUMBER($I288),$I288,N($H288))&gt;0),$R288+ROW()/100000,""),"")</f>
        <v/>
      </c>
    </row>
    <row r="289" ht="18" customHeight="1">
      <c r="A289" s="22" t="n">
        <v>285</v>
      </c>
      <c r="B289" s="23" t="n"/>
      <c r="C289" s="24" t="n"/>
      <c r="D289" s="24" t="n"/>
      <c r="E289" s="23" t="n"/>
      <c r="F289" s="23" t="n"/>
      <c r="G289" s="25" t="n"/>
      <c r="H289" s="25" t="n"/>
      <c r="I289" s="25" t="n"/>
      <c r="J289" s="72">
        <f>IF(OR($B289="",$H289=""),"",N($G289)*$H289)</f>
        <v/>
      </c>
      <c r="K289" s="72">
        <f>IF(OR($B289="",$I289=""),"",N($G289)*$I289)</f>
        <v/>
      </c>
      <c r="L289" s="27">
        <f>IF(OR($B289="",$H289="",$I289=""),"",$I289-$H289)</f>
        <v/>
      </c>
      <c r="M289" s="72">
        <f>IF($L289="","",$L289*N($G289))</f>
        <v/>
      </c>
      <c r="N289" s="73">
        <f>IF($L289="","",IF($H289&gt;0,ROUND($L289/$H289,4),"－"))</f>
        <v/>
      </c>
      <c r="O289" s="29">
        <f>IF($B289="","",IF($L289="","未入力",IF($L289=0,"一致",IF(OR(NOT(ISNUMBER($N289)),AND('設定'!$B$10&lt;&gt;"",ABS(N($N289))&gt;'設定'!$B$10),AND('設定'!$B$11&lt;&gt;"",ABS(ROUND($M289,4))&gt;'設定'!$B$11),AND('設定'!$B$10="",'設定'!$B$11="")),"要確認","許容内"))))</f>
        <v/>
      </c>
      <c r="P289" s="29">
        <f>IF($O289&lt;&gt;"要確認","",IF($Q289=0,"済",IF(COUNTIF('差異の原因'!$B$5:$B$204,$B289)=0,"未記録","一部")))</f>
        <v/>
      </c>
      <c r="Q289" s="27">
        <f>IF($L289="","",IF(AND($L289=0,COUNTIF('差異の原因'!$B$5:$B$204,$B289)=0),"",ROUND($L289-SUMIF('差異の原因'!$B$5:$B$204,$B289,'差異の原因'!$G$5:$G$204),6)))</f>
        <v/>
      </c>
      <c r="R289" s="30" t="n"/>
      <c r="S289" s="23" t="n"/>
      <c r="T289" s="29">
        <f>IF(OR($B289="",NOT(ISNUMBER($R289))),"",IF(IF(ISNUMBER($I289),$I289,N($H289))&lt;=0,"",IF($R289&lt;'設定'!$B$6,"期限切れ",IF($R289='設定'!$B$6,"当日",IF($R289-'設定'!$B$6&lt;=N('設定'!$B$14),"あと"&amp;($R289-'設定'!$B$6)&amp;"日","")))))</f>
        <v/>
      </c>
      <c r="U289" s="61" t="n"/>
      <c r="V289" s="31">
        <f>IF(AND($B289&lt;&gt;"",$E289&lt;&gt;"",$E289='数える用紙'!$C$2),ROW(),"")</f>
        <v/>
      </c>
      <c r="W289" s="74">
        <f>IF(AND($B289&lt;&gt;"",ISNUMBER($R289)),IF(AND($R289&lt;='設定'!$B$6+N('設定'!$B$14),IF(ISNUMBER($I289),$I289,N($H289))&gt;0),$R289+ROW()/100000,""),"")</f>
        <v/>
      </c>
    </row>
    <row r="290" ht="18" customHeight="1">
      <c r="A290" s="22" t="n">
        <v>286</v>
      </c>
      <c r="B290" s="23" t="n"/>
      <c r="C290" s="24" t="n"/>
      <c r="D290" s="24" t="n"/>
      <c r="E290" s="23" t="n"/>
      <c r="F290" s="23" t="n"/>
      <c r="G290" s="25" t="n"/>
      <c r="H290" s="25" t="n"/>
      <c r="I290" s="25" t="n"/>
      <c r="J290" s="72">
        <f>IF(OR($B290="",$H290=""),"",N($G290)*$H290)</f>
        <v/>
      </c>
      <c r="K290" s="72">
        <f>IF(OR($B290="",$I290=""),"",N($G290)*$I290)</f>
        <v/>
      </c>
      <c r="L290" s="27">
        <f>IF(OR($B290="",$H290="",$I290=""),"",$I290-$H290)</f>
        <v/>
      </c>
      <c r="M290" s="72">
        <f>IF($L290="","",$L290*N($G290))</f>
        <v/>
      </c>
      <c r="N290" s="73">
        <f>IF($L290="","",IF($H290&gt;0,ROUND($L290/$H290,4),"－"))</f>
        <v/>
      </c>
      <c r="O290" s="29">
        <f>IF($B290="","",IF($L290="","未入力",IF($L290=0,"一致",IF(OR(NOT(ISNUMBER($N290)),AND('設定'!$B$10&lt;&gt;"",ABS(N($N290))&gt;'設定'!$B$10),AND('設定'!$B$11&lt;&gt;"",ABS(ROUND($M290,4))&gt;'設定'!$B$11),AND('設定'!$B$10="",'設定'!$B$11="")),"要確認","許容内"))))</f>
        <v/>
      </c>
      <c r="P290" s="29">
        <f>IF($O290&lt;&gt;"要確認","",IF($Q290=0,"済",IF(COUNTIF('差異の原因'!$B$5:$B$204,$B290)=0,"未記録","一部")))</f>
        <v/>
      </c>
      <c r="Q290" s="27">
        <f>IF($L290="","",IF(AND($L290=0,COUNTIF('差異の原因'!$B$5:$B$204,$B290)=0),"",ROUND($L290-SUMIF('差異の原因'!$B$5:$B$204,$B290,'差異の原因'!$G$5:$G$204),6)))</f>
        <v/>
      </c>
      <c r="R290" s="30" t="n"/>
      <c r="S290" s="23" t="n"/>
      <c r="T290" s="29">
        <f>IF(OR($B290="",NOT(ISNUMBER($R290))),"",IF(IF(ISNUMBER($I290),$I290,N($H290))&lt;=0,"",IF($R290&lt;'設定'!$B$6,"期限切れ",IF($R290='設定'!$B$6,"当日",IF($R290-'設定'!$B$6&lt;=N('設定'!$B$14),"あと"&amp;($R290-'設定'!$B$6)&amp;"日","")))))</f>
        <v/>
      </c>
      <c r="U290" s="61" t="n"/>
      <c r="V290" s="31">
        <f>IF(AND($B290&lt;&gt;"",$E290&lt;&gt;"",$E290='数える用紙'!$C$2),ROW(),"")</f>
        <v/>
      </c>
      <c r="W290" s="74">
        <f>IF(AND($B290&lt;&gt;"",ISNUMBER($R290)),IF(AND($R290&lt;='設定'!$B$6+N('設定'!$B$14),IF(ISNUMBER($I290),$I290,N($H290))&gt;0),$R290+ROW()/100000,""),"")</f>
        <v/>
      </c>
    </row>
    <row r="291" ht="18" customHeight="1">
      <c r="A291" s="22" t="n">
        <v>287</v>
      </c>
      <c r="B291" s="23" t="n"/>
      <c r="C291" s="24" t="n"/>
      <c r="D291" s="24" t="n"/>
      <c r="E291" s="23" t="n"/>
      <c r="F291" s="23" t="n"/>
      <c r="G291" s="25" t="n"/>
      <c r="H291" s="25" t="n"/>
      <c r="I291" s="25" t="n"/>
      <c r="J291" s="72">
        <f>IF(OR($B291="",$H291=""),"",N($G291)*$H291)</f>
        <v/>
      </c>
      <c r="K291" s="72">
        <f>IF(OR($B291="",$I291=""),"",N($G291)*$I291)</f>
        <v/>
      </c>
      <c r="L291" s="27">
        <f>IF(OR($B291="",$H291="",$I291=""),"",$I291-$H291)</f>
        <v/>
      </c>
      <c r="M291" s="72">
        <f>IF($L291="","",$L291*N($G291))</f>
        <v/>
      </c>
      <c r="N291" s="73">
        <f>IF($L291="","",IF($H291&gt;0,ROUND($L291/$H291,4),"－"))</f>
        <v/>
      </c>
      <c r="O291" s="29">
        <f>IF($B291="","",IF($L291="","未入力",IF($L291=0,"一致",IF(OR(NOT(ISNUMBER($N291)),AND('設定'!$B$10&lt;&gt;"",ABS(N($N291))&gt;'設定'!$B$10),AND('設定'!$B$11&lt;&gt;"",ABS(ROUND($M291,4))&gt;'設定'!$B$11),AND('設定'!$B$10="",'設定'!$B$11="")),"要確認","許容内"))))</f>
        <v/>
      </c>
      <c r="P291" s="29">
        <f>IF($O291&lt;&gt;"要確認","",IF($Q291=0,"済",IF(COUNTIF('差異の原因'!$B$5:$B$204,$B291)=0,"未記録","一部")))</f>
        <v/>
      </c>
      <c r="Q291" s="27">
        <f>IF($L291="","",IF(AND($L291=0,COUNTIF('差異の原因'!$B$5:$B$204,$B291)=0),"",ROUND($L291-SUMIF('差異の原因'!$B$5:$B$204,$B291,'差異の原因'!$G$5:$G$204),6)))</f>
        <v/>
      </c>
      <c r="R291" s="30" t="n"/>
      <c r="S291" s="23" t="n"/>
      <c r="T291" s="29">
        <f>IF(OR($B291="",NOT(ISNUMBER($R291))),"",IF(IF(ISNUMBER($I291),$I291,N($H291))&lt;=0,"",IF($R291&lt;'設定'!$B$6,"期限切れ",IF($R291='設定'!$B$6,"当日",IF($R291-'設定'!$B$6&lt;=N('設定'!$B$14),"あと"&amp;($R291-'設定'!$B$6)&amp;"日","")))))</f>
        <v/>
      </c>
      <c r="U291" s="61" t="n"/>
      <c r="V291" s="31">
        <f>IF(AND($B291&lt;&gt;"",$E291&lt;&gt;"",$E291='数える用紙'!$C$2),ROW(),"")</f>
        <v/>
      </c>
      <c r="W291" s="74">
        <f>IF(AND($B291&lt;&gt;"",ISNUMBER($R291)),IF(AND($R291&lt;='設定'!$B$6+N('設定'!$B$14),IF(ISNUMBER($I291),$I291,N($H291))&gt;0),$R291+ROW()/100000,""),"")</f>
        <v/>
      </c>
    </row>
    <row r="292" ht="18" customHeight="1">
      <c r="A292" s="22" t="n">
        <v>288</v>
      </c>
      <c r="B292" s="23" t="n"/>
      <c r="C292" s="24" t="n"/>
      <c r="D292" s="24" t="n"/>
      <c r="E292" s="23" t="n"/>
      <c r="F292" s="23" t="n"/>
      <c r="G292" s="25" t="n"/>
      <c r="H292" s="25" t="n"/>
      <c r="I292" s="25" t="n"/>
      <c r="J292" s="72">
        <f>IF(OR($B292="",$H292=""),"",N($G292)*$H292)</f>
        <v/>
      </c>
      <c r="K292" s="72">
        <f>IF(OR($B292="",$I292=""),"",N($G292)*$I292)</f>
        <v/>
      </c>
      <c r="L292" s="27">
        <f>IF(OR($B292="",$H292="",$I292=""),"",$I292-$H292)</f>
        <v/>
      </c>
      <c r="M292" s="72">
        <f>IF($L292="","",$L292*N($G292))</f>
        <v/>
      </c>
      <c r="N292" s="73">
        <f>IF($L292="","",IF($H292&gt;0,ROUND($L292/$H292,4),"－"))</f>
        <v/>
      </c>
      <c r="O292" s="29">
        <f>IF($B292="","",IF($L292="","未入力",IF($L292=0,"一致",IF(OR(NOT(ISNUMBER($N292)),AND('設定'!$B$10&lt;&gt;"",ABS(N($N292))&gt;'設定'!$B$10),AND('設定'!$B$11&lt;&gt;"",ABS(ROUND($M292,4))&gt;'設定'!$B$11),AND('設定'!$B$10="",'設定'!$B$11="")),"要確認","許容内"))))</f>
        <v/>
      </c>
      <c r="P292" s="29">
        <f>IF($O292&lt;&gt;"要確認","",IF($Q292=0,"済",IF(COUNTIF('差異の原因'!$B$5:$B$204,$B292)=0,"未記録","一部")))</f>
        <v/>
      </c>
      <c r="Q292" s="27">
        <f>IF($L292="","",IF(AND($L292=0,COUNTIF('差異の原因'!$B$5:$B$204,$B292)=0),"",ROUND($L292-SUMIF('差異の原因'!$B$5:$B$204,$B292,'差異の原因'!$G$5:$G$204),6)))</f>
        <v/>
      </c>
      <c r="R292" s="30" t="n"/>
      <c r="S292" s="23" t="n"/>
      <c r="T292" s="29">
        <f>IF(OR($B292="",NOT(ISNUMBER($R292))),"",IF(IF(ISNUMBER($I292),$I292,N($H292))&lt;=0,"",IF($R292&lt;'設定'!$B$6,"期限切れ",IF($R292='設定'!$B$6,"当日",IF($R292-'設定'!$B$6&lt;=N('設定'!$B$14),"あと"&amp;($R292-'設定'!$B$6)&amp;"日","")))))</f>
        <v/>
      </c>
      <c r="U292" s="61" t="n"/>
      <c r="V292" s="31">
        <f>IF(AND($B292&lt;&gt;"",$E292&lt;&gt;"",$E292='数える用紙'!$C$2),ROW(),"")</f>
        <v/>
      </c>
      <c r="W292" s="74">
        <f>IF(AND($B292&lt;&gt;"",ISNUMBER($R292)),IF(AND($R292&lt;='設定'!$B$6+N('設定'!$B$14),IF(ISNUMBER($I292),$I292,N($H292))&gt;0),$R292+ROW()/100000,""),"")</f>
        <v/>
      </c>
    </row>
    <row r="293" ht="18" customHeight="1">
      <c r="A293" s="22" t="n">
        <v>289</v>
      </c>
      <c r="B293" s="23" t="n"/>
      <c r="C293" s="24" t="n"/>
      <c r="D293" s="24" t="n"/>
      <c r="E293" s="23" t="n"/>
      <c r="F293" s="23" t="n"/>
      <c r="G293" s="25" t="n"/>
      <c r="H293" s="25" t="n"/>
      <c r="I293" s="25" t="n"/>
      <c r="J293" s="72">
        <f>IF(OR($B293="",$H293=""),"",N($G293)*$H293)</f>
        <v/>
      </c>
      <c r="K293" s="72">
        <f>IF(OR($B293="",$I293=""),"",N($G293)*$I293)</f>
        <v/>
      </c>
      <c r="L293" s="27">
        <f>IF(OR($B293="",$H293="",$I293=""),"",$I293-$H293)</f>
        <v/>
      </c>
      <c r="M293" s="72">
        <f>IF($L293="","",$L293*N($G293))</f>
        <v/>
      </c>
      <c r="N293" s="73">
        <f>IF($L293="","",IF($H293&gt;0,ROUND($L293/$H293,4),"－"))</f>
        <v/>
      </c>
      <c r="O293" s="29">
        <f>IF($B293="","",IF($L293="","未入力",IF($L293=0,"一致",IF(OR(NOT(ISNUMBER($N293)),AND('設定'!$B$10&lt;&gt;"",ABS(N($N293))&gt;'設定'!$B$10),AND('設定'!$B$11&lt;&gt;"",ABS(ROUND($M293,4))&gt;'設定'!$B$11),AND('設定'!$B$10="",'設定'!$B$11="")),"要確認","許容内"))))</f>
        <v/>
      </c>
      <c r="P293" s="29">
        <f>IF($O293&lt;&gt;"要確認","",IF($Q293=0,"済",IF(COUNTIF('差異の原因'!$B$5:$B$204,$B293)=0,"未記録","一部")))</f>
        <v/>
      </c>
      <c r="Q293" s="27">
        <f>IF($L293="","",IF(AND($L293=0,COUNTIF('差異の原因'!$B$5:$B$204,$B293)=0),"",ROUND($L293-SUMIF('差異の原因'!$B$5:$B$204,$B293,'差異の原因'!$G$5:$G$204),6)))</f>
        <v/>
      </c>
      <c r="R293" s="30" t="n"/>
      <c r="S293" s="23" t="n"/>
      <c r="T293" s="29">
        <f>IF(OR($B293="",NOT(ISNUMBER($R293))),"",IF(IF(ISNUMBER($I293),$I293,N($H293))&lt;=0,"",IF($R293&lt;'設定'!$B$6,"期限切れ",IF($R293='設定'!$B$6,"当日",IF($R293-'設定'!$B$6&lt;=N('設定'!$B$14),"あと"&amp;($R293-'設定'!$B$6)&amp;"日","")))))</f>
        <v/>
      </c>
      <c r="U293" s="61" t="n"/>
      <c r="V293" s="31">
        <f>IF(AND($B293&lt;&gt;"",$E293&lt;&gt;"",$E293='数える用紙'!$C$2),ROW(),"")</f>
        <v/>
      </c>
      <c r="W293" s="74">
        <f>IF(AND($B293&lt;&gt;"",ISNUMBER($R293)),IF(AND($R293&lt;='設定'!$B$6+N('設定'!$B$14),IF(ISNUMBER($I293),$I293,N($H293))&gt;0),$R293+ROW()/100000,""),"")</f>
        <v/>
      </c>
    </row>
    <row r="294" ht="18" customHeight="1">
      <c r="A294" s="22" t="n">
        <v>290</v>
      </c>
      <c r="B294" s="23" t="n"/>
      <c r="C294" s="24" t="n"/>
      <c r="D294" s="24" t="n"/>
      <c r="E294" s="23" t="n"/>
      <c r="F294" s="23" t="n"/>
      <c r="G294" s="25" t="n"/>
      <c r="H294" s="25" t="n"/>
      <c r="I294" s="25" t="n"/>
      <c r="J294" s="72">
        <f>IF(OR($B294="",$H294=""),"",N($G294)*$H294)</f>
        <v/>
      </c>
      <c r="K294" s="72">
        <f>IF(OR($B294="",$I294=""),"",N($G294)*$I294)</f>
        <v/>
      </c>
      <c r="L294" s="27">
        <f>IF(OR($B294="",$H294="",$I294=""),"",$I294-$H294)</f>
        <v/>
      </c>
      <c r="M294" s="72">
        <f>IF($L294="","",$L294*N($G294))</f>
        <v/>
      </c>
      <c r="N294" s="73">
        <f>IF($L294="","",IF($H294&gt;0,ROUND($L294/$H294,4),"－"))</f>
        <v/>
      </c>
      <c r="O294" s="29">
        <f>IF($B294="","",IF($L294="","未入力",IF($L294=0,"一致",IF(OR(NOT(ISNUMBER($N294)),AND('設定'!$B$10&lt;&gt;"",ABS(N($N294))&gt;'設定'!$B$10),AND('設定'!$B$11&lt;&gt;"",ABS(ROUND($M294,4))&gt;'設定'!$B$11),AND('設定'!$B$10="",'設定'!$B$11="")),"要確認","許容内"))))</f>
        <v/>
      </c>
      <c r="P294" s="29">
        <f>IF($O294&lt;&gt;"要確認","",IF($Q294=0,"済",IF(COUNTIF('差異の原因'!$B$5:$B$204,$B294)=0,"未記録","一部")))</f>
        <v/>
      </c>
      <c r="Q294" s="27">
        <f>IF($L294="","",IF(AND($L294=0,COUNTIF('差異の原因'!$B$5:$B$204,$B294)=0),"",ROUND($L294-SUMIF('差異の原因'!$B$5:$B$204,$B294,'差異の原因'!$G$5:$G$204),6)))</f>
        <v/>
      </c>
      <c r="R294" s="30" t="n"/>
      <c r="S294" s="23" t="n"/>
      <c r="T294" s="29">
        <f>IF(OR($B294="",NOT(ISNUMBER($R294))),"",IF(IF(ISNUMBER($I294),$I294,N($H294))&lt;=0,"",IF($R294&lt;'設定'!$B$6,"期限切れ",IF($R294='設定'!$B$6,"当日",IF($R294-'設定'!$B$6&lt;=N('設定'!$B$14),"あと"&amp;($R294-'設定'!$B$6)&amp;"日","")))))</f>
        <v/>
      </c>
      <c r="U294" s="61" t="n"/>
      <c r="V294" s="31">
        <f>IF(AND($B294&lt;&gt;"",$E294&lt;&gt;"",$E294='数える用紙'!$C$2),ROW(),"")</f>
        <v/>
      </c>
      <c r="W294" s="74">
        <f>IF(AND($B294&lt;&gt;"",ISNUMBER($R294)),IF(AND($R294&lt;='設定'!$B$6+N('設定'!$B$14),IF(ISNUMBER($I294),$I294,N($H294))&gt;0),$R294+ROW()/100000,""),"")</f>
        <v/>
      </c>
    </row>
    <row r="295" ht="18" customHeight="1">
      <c r="A295" s="22" t="n">
        <v>291</v>
      </c>
      <c r="B295" s="23" t="n"/>
      <c r="C295" s="24" t="n"/>
      <c r="D295" s="24" t="n"/>
      <c r="E295" s="23" t="n"/>
      <c r="F295" s="23" t="n"/>
      <c r="G295" s="25" t="n"/>
      <c r="H295" s="25" t="n"/>
      <c r="I295" s="25" t="n"/>
      <c r="J295" s="72">
        <f>IF(OR($B295="",$H295=""),"",N($G295)*$H295)</f>
        <v/>
      </c>
      <c r="K295" s="72">
        <f>IF(OR($B295="",$I295=""),"",N($G295)*$I295)</f>
        <v/>
      </c>
      <c r="L295" s="27">
        <f>IF(OR($B295="",$H295="",$I295=""),"",$I295-$H295)</f>
        <v/>
      </c>
      <c r="M295" s="72">
        <f>IF($L295="","",$L295*N($G295))</f>
        <v/>
      </c>
      <c r="N295" s="73">
        <f>IF($L295="","",IF($H295&gt;0,ROUND($L295/$H295,4),"－"))</f>
        <v/>
      </c>
      <c r="O295" s="29">
        <f>IF($B295="","",IF($L295="","未入力",IF($L295=0,"一致",IF(OR(NOT(ISNUMBER($N295)),AND('設定'!$B$10&lt;&gt;"",ABS(N($N295))&gt;'設定'!$B$10),AND('設定'!$B$11&lt;&gt;"",ABS(ROUND($M295,4))&gt;'設定'!$B$11),AND('設定'!$B$10="",'設定'!$B$11="")),"要確認","許容内"))))</f>
        <v/>
      </c>
      <c r="P295" s="29">
        <f>IF($O295&lt;&gt;"要確認","",IF($Q295=0,"済",IF(COUNTIF('差異の原因'!$B$5:$B$204,$B295)=0,"未記録","一部")))</f>
        <v/>
      </c>
      <c r="Q295" s="27">
        <f>IF($L295="","",IF(AND($L295=0,COUNTIF('差異の原因'!$B$5:$B$204,$B295)=0),"",ROUND($L295-SUMIF('差異の原因'!$B$5:$B$204,$B295,'差異の原因'!$G$5:$G$204),6)))</f>
        <v/>
      </c>
      <c r="R295" s="30" t="n"/>
      <c r="S295" s="23" t="n"/>
      <c r="T295" s="29">
        <f>IF(OR($B295="",NOT(ISNUMBER($R295))),"",IF(IF(ISNUMBER($I295),$I295,N($H295))&lt;=0,"",IF($R295&lt;'設定'!$B$6,"期限切れ",IF($R295='設定'!$B$6,"当日",IF($R295-'設定'!$B$6&lt;=N('設定'!$B$14),"あと"&amp;($R295-'設定'!$B$6)&amp;"日","")))))</f>
        <v/>
      </c>
      <c r="U295" s="61" t="n"/>
      <c r="V295" s="31">
        <f>IF(AND($B295&lt;&gt;"",$E295&lt;&gt;"",$E295='数える用紙'!$C$2),ROW(),"")</f>
        <v/>
      </c>
      <c r="W295" s="74">
        <f>IF(AND($B295&lt;&gt;"",ISNUMBER($R295)),IF(AND($R295&lt;='設定'!$B$6+N('設定'!$B$14),IF(ISNUMBER($I295),$I295,N($H295))&gt;0),$R295+ROW()/100000,""),"")</f>
        <v/>
      </c>
    </row>
    <row r="296" ht="18" customHeight="1">
      <c r="A296" s="22" t="n">
        <v>292</v>
      </c>
      <c r="B296" s="23" t="n"/>
      <c r="C296" s="24" t="n"/>
      <c r="D296" s="24" t="n"/>
      <c r="E296" s="23" t="n"/>
      <c r="F296" s="23" t="n"/>
      <c r="G296" s="25" t="n"/>
      <c r="H296" s="25" t="n"/>
      <c r="I296" s="25" t="n"/>
      <c r="J296" s="72">
        <f>IF(OR($B296="",$H296=""),"",N($G296)*$H296)</f>
        <v/>
      </c>
      <c r="K296" s="72">
        <f>IF(OR($B296="",$I296=""),"",N($G296)*$I296)</f>
        <v/>
      </c>
      <c r="L296" s="27">
        <f>IF(OR($B296="",$H296="",$I296=""),"",$I296-$H296)</f>
        <v/>
      </c>
      <c r="M296" s="72">
        <f>IF($L296="","",$L296*N($G296))</f>
        <v/>
      </c>
      <c r="N296" s="73">
        <f>IF($L296="","",IF($H296&gt;0,ROUND($L296/$H296,4),"－"))</f>
        <v/>
      </c>
      <c r="O296" s="29">
        <f>IF($B296="","",IF($L296="","未入力",IF($L296=0,"一致",IF(OR(NOT(ISNUMBER($N296)),AND('設定'!$B$10&lt;&gt;"",ABS(N($N296))&gt;'設定'!$B$10),AND('設定'!$B$11&lt;&gt;"",ABS(ROUND($M296,4))&gt;'設定'!$B$11),AND('設定'!$B$10="",'設定'!$B$11="")),"要確認","許容内"))))</f>
        <v/>
      </c>
      <c r="P296" s="29">
        <f>IF($O296&lt;&gt;"要確認","",IF($Q296=0,"済",IF(COUNTIF('差異の原因'!$B$5:$B$204,$B296)=0,"未記録","一部")))</f>
        <v/>
      </c>
      <c r="Q296" s="27">
        <f>IF($L296="","",IF(AND($L296=0,COUNTIF('差異の原因'!$B$5:$B$204,$B296)=0),"",ROUND($L296-SUMIF('差異の原因'!$B$5:$B$204,$B296,'差異の原因'!$G$5:$G$204),6)))</f>
        <v/>
      </c>
      <c r="R296" s="30" t="n"/>
      <c r="S296" s="23" t="n"/>
      <c r="T296" s="29">
        <f>IF(OR($B296="",NOT(ISNUMBER($R296))),"",IF(IF(ISNUMBER($I296),$I296,N($H296))&lt;=0,"",IF($R296&lt;'設定'!$B$6,"期限切れ",IF($R296='設定'!$B$6,"当日",IF($R296-'設定'!$B$6&lt;=N('設定'!$B$14),"あと"&amp;($R296-'設定'!$B$6)&amp;"日","")))))</f>
        <v/>
      </c>
      <c r="U296" s="61" t="n"/>
      <c r="V296" s="31">
        <f>IF(AND($B296&lt;&gt;"",$E296&lt;&gt;"",$E296='数える用紙'!$C$2),ROW(),"")</f>
        <v/>
      </c>
      <c r="W296" s="74">
        <f>IF(AND($B296&lt;&gt;"",ISNUMBER($R296)),IF(AND($R296&lt;='設定'!$B$6+N('設定'!$B$14),IF(ISNUMBER($I296),$I296,N($H296))&gt;0),$R296+ROW()/100000,""),"")</f>
        <v/>
      </c>
    </row>
    <row r="297" ht="18" customHeight="1">
      <c r="A297" s="22" t="n">
        <v>293</v>
      </c>
      <c r="B297" s="23" t="n"/>
      <c r="C297" s="24" t="n"/>
      <c r="D297" s="24" t="n"/>
      <c r="E297" s="23" t="n"/>
      <c r="F297" s="23" t="n"/>
      <c r="G297" s="25" t="n"/>
      <c r="H297" s="25" t="n"/>
      <c r="I297" s="25" t="n"/>
      <c r="J297" s="72">
        <f>IF(OR($B297="",$H297=""),"",N($G297)*$H297)</f>
        <v/>
      </c>
      <c r="K297" s="72">
        <f>IF(OR($B297="",$I297=""),"",N($G297)*$I297)</f>
        <v/>
      </c>
      <c r="L297" s="27">
        <f>IF(OR($B297="",$H297="",$I297=""),"",$I297-$H297)</f>
        <v/>
      </c>
      <c r="M297" s="72">
        <f>IF($L297="","",$L297*N($G297))</f>
        <v/>
      </c>
      <c r="N297" s="73">
        <f>IF($L297="","",IF($H297&gt;0,ROUND($L297/$H297,4),"－"))</f>
        <v/>
      </c>
      <c r="O297" s="29">
        <f>IF($B297="","",IF($L297="","未入力",IF($L297=0,"一致",IF(OR(NOT(ISNUMBER($N297)),AND('設定'!$B$10&lt;&gt;"",ABS(N($N297))&gt;'設定'!$B$10),AND('設定'!$B$11&lt;&gt;"",ABS(ROUND($M297,4))&gt;'設定'!$B$11),AND('設定'!$B$10="",'設定'!$B$11="")),"要確認","許容内"))))</f>
        <v/>
      </c>
      <c r="P297" s="29">
        <f>IF($O297&lt;&gt;"要確認","",IF($Q297=0,"済",IF(COUNTIF('差異の原因'!$B$5:$B$204,$B297)=0,"未記録","一部")))</f>
        <v/>
      </c>
      <c r="Q297" s="27">
        <f>IF($L297="","",IF(AND($L297=0,COUNTIF('差異の原因'!$B$5:$B$204,$B297)=0),"",ROUND($L297-SUMIF('差異の原因'!$B$5:$B$204,$B297,'差異の原因'!$G$5:$G$204),6)))</f>
        <v/>
      </c>
      <c r="R297" s="30" t="n"/>
      <c r="S297" s="23" t="n"/>
      <c r="T297" s="29">
        <f>IF(OR($B297="",NOT(ISNUMBER($R297))),"",IF(IF(ISNUMBER($I297),$I297,N($H297))&lt;=0,"",IF($R297&lt;'設定'!$B$6,"期限切れ",IF($R297='設定'!$B$6,"当日",IF($R297-'設定'!$B$6&lt;=N('設定'!$B$14),"あと"&amp;($R297-'設定'!$B$6)&amp;"日","")))))</f>
        <v/>
      </c>
      <c r="U297" s="61" t="n"/>
      <c r="V297" s="31">
        <f>IF(AND($B297&lt;&gt;"",$E297&lt;&gt;"",$E297='数える用紙'!$C$2),ROW(),"")</f>
        <v/>
      </c>
      <c r="W297" s="74">
        <f>IF(AND($B297&lt;&gt;"",ISNUMBER($R297)),IF(AND($R297&lt;='設定'!$B$6+N('設定'!$B$14),IF(ISNUMBER($I297),$I297,N($H297))&gt;0),$R297+ROW()/100000,""),"")</f>
        <v/>
      </c>
    </row>
    <row r="298" ht="18" customHeight="1">
      <c r="A298" s="22" t="n">
        <v>294</v>
      </c>
      <c r="B298" s="23" t="n"/>
      <c r="C298" s="24" t="n"/>
      <c r="D298" s="24" t="n"/>
      <c r="E298" s="23" t="n"/>
      <c r="F298" s="23" t="n"/>
      <c r="G298" s="25" t="n"/>
      <c r="H298" s="25" t="n"/>
      <c r="I298" s="25" t="n"/>
      <c r="J298" s="72">
        <f>IF(OR($B298="",$H298=""),"",N($G298)*$H298)</f>
        <v/>
      </c>
      <c r="K298" s="72">
        <f>IF(OR($B298="",$I298=""),"",N($G298)*$I298)</f>
        <v/>
      </c>
      <c r="L298" s="27">
        <f>IF(OR($B298="",$H298="",$I298=""),"",$I298-$H298)</f>
        <v/>
      </c>
      <c r="M298" s="72">
        <f>IF($L298="","",$L298*N($G298))</f>
        <v/>
      </c>
      <c r="N298" s="73">
        <f>IF($L298="","",IF($H298&gt;0,ROUND($L298/$H298,4),"－"))</f>
        <v/>
      </c>
      <c r="O298" s="29">
        <f>IF($B298="","",IF($L298="","未入力",IF($L298=0,"一致",IF(OR(NOT(ISNUMBER($N298)),AND('設定'!$B$10&lt;&gt;"",ABS(N($N298))&gt;'設定'!$B$10),AND('設定'!$B$11&lt;&gt;"",ABS(ROUND($M298,4))&gt;'設定'!$B$11),AND('設定'!$B$10="",'設定'!$B$11="")),"要確認","許容内"))))</f>
        <v/>
      </c>
      <c r="P298" s="29">
        <f>IF($O298&lt;&gt;"要確認","",IF($Q298=0,"済",IF(COUNTIF('差異の原因'!$B$5:$B$204,$B298)=0,"未記録","一部")))</f>
        <v/>
      </c>
      <c r="Q298" s="27">
        <f>IF($L298="","",IF(AND($L298=0,COUNTIF('差異の原因'!$B$5:$B$204,$B298)=0),"",ROUND($L298-SUMIF('差異の原因'!$B$5:$B$204,$B298,'差異の原因'!$G$5:$G$204),6)))</f>
        <v/>
      </c>
      <c r="R298" s="30" t="n"/>
      <c r="S298" s="23" t="n"/>
      <c r="T298" s="29">
        <f>IF(OR($B298="",NOT(ISNUMBER($R298))),"",IF(IF(ISNUMBER($I298),$I298,N($H298))&lt;=0,"",IF($R298&lt;'設定'!$B$6,"期限切れ",IF($R298='設定'!$B$6,"当日",IF($R298-'設定'!$B$6&lt;=N('設定'!$B$14),"あと"&amp;($R298-'設定'!$B$6)&amp;"日","")))))</f>
        <v/>
      </c>
      <c r="U298" s="61" t="n"/>
      <c r="V298" s="31">
        <f>IF(AND($B298&lt;&gt;"",$E298&lt;&gt;"",$E298='数える用紙'!$C$2),ROW(),"")</f>
        <v/>
      </c>
      <c r="W298" s="74">
        <f>IF(AND($B298&lt;&gt;"",ISNUMBER($R298)),IF(AND($R298&lt;='設定'!$B$6+N('設定'!$B$14),IF(ISNUMBER($I298),$I298,N($H298))&gt;0),$R298+ROW()/100000,""),"")</f>
        <v/>
      </c>
    </row>
    <row r="299" ht="18" customHeight="1">
      <c r="A299" s="22" t="n">
        <v>295</v>
      </c>
      <c r="B299" s="23" t="n"/>
      <c r="C299" s="24" t="n"/>
      <c r="D299" s="24" t="n"/>
      <c r="E299" s="23" t="n"/>
      <c r="F299" s="23" t="n"/>
      <c r="G299" s="25" t="n"/>
      <c r="H299" s="25" t="n"/>
      <c r="I299" s="25" t="n"/>
      <c r="J299" s="72">
        <f>IF(OR($B299="",$H299=""),"",N($G299)*$H299)</f>
        <v/>
      </c>
      <c r="K299" s="72">
        <f>IF(OR($B299="",$I299=""),"",N($G299)*$I299)</f>
        <v/>
      </c>
      <c r="L299" s="27">
        <f>IF(OR($B299="",$H299="",$I299=""),"",$I299-$H299)</f>
        <v/>
      </c>
      <c r="M299" s="72">
        <f>IF($L299="","",$L299*N($G299))</f>
        <v/>
      </c>
      <c r="N299" s="73">
        <f>IF($L299="","",IF($H299&gt;0,ROUND($L299/$H299,4),"－"))</f>
        <v/>
      </c>
      <c r="O299" s="29">
        <f>IF($B299="","",IF($L299="","未入力",IF($L299=0,"一致",IF(OR(NOT(ISNUMBER($N299)),AND('設定'!$B$10&lt;&gt;"",ABS(N($N299))&gt;'設定'!$B$10),AND('設定'!$B$11&lt;&gt;"",ABS(ROUND($M299,4))&gt;'設定'!$B$11),AND('設定'!$B$10="",'設定'!$B$11="")),"要確認","許容内"))))</f>
        <v/>
      </c>
      <c r="P299" s="29">
        <f>IF($O299&lt;&gt;"要確認","",IF($Q299=0,"済",IF(COUNTIF('差異の原因'!$B$5:$B$204,$B299)=0,"未記録","一部")))</f>
        <v/>
      </c>
      <c r="Q299" s="27">
        <f>IF($L299="","",IF(AND($L299=0,COUNTIF('差異の原因'!$B$5:$B$204,$B299)=0),"",ROUND($L299-SUMIF('差異の原因'!$B$5:$B$204,$B299,'差異の原因'!$G$5:$G$204),6)))</f>
        <v/>
      </c>
      <c r="R299" s="30" t="n"/>
      <c r="S299" s="23" t="n"/>
      <c r="T299" s="29">
        <f>IF(OR($B299="",NOT(ISNUMBER($R299))),"",IF(IF(ISNUMBER($I299),$I299,N($H299))&lt;=0,"",IF($R299&lt;'設定'!$B$6,"期限切れ",IF($R299='設定'!$B$6,"当日",IF($R299-'設定'!$B$6&lt;=N('設定'!$B$14),"あと"&amp;($R299-'設定'!$B$6)&amp;"日","")))))</f>
        <v/>
      </c>
      <c r="U299" s="61" t="n"/>
      <c r="V299" s="31">
        <f>IF(AND($B299&lt;&gt;"",$E299&lt;&gt;"",$E299='数える用紙'!$C$2),ROW(),"")</f>
        <v/>
      </c>
      <c r="W299" s="74">
        <f>IF(AND($B299&lt;&gt;"",ISNUMBER($R299)),IF(AND($R299&lt;='設定'!$B$6+N('設定'!$B$14),IF(ISNUMBER($I299),$I299,N($H299))&gt;0),$R299+ROW()/100000,""),"")</f>
        <v/>
      </c>
    </row>
    <row r="300" ht="18" customHeight="1">
      <c r="A300" s="22" t="n">
        <v>296</v>
      </c>
      <c r="B300" s="23" t="n"/>
      <c r="C300" s="24" t="n"/>
      <c r="D300" s="24" t="n"/>
      <c r="E300" s="23" t="n"/>
      <c r="F300" s="23" t="n"/>
      <c r="G300" s="25" t="n"/>
      <c r="H300" s="25" t="n"/>
      <c r="I300" s="25" t="n"/>
      <c r="J300" s="72">
        <f>IF(OR($B300="",$H300=""),"",N($G300)*$H300)</f>
        <v/>
      </c>
      <c r="K300" s="72">
        <f>IF(OR($B300="",$I300=""),"",N($G300)*$I300)</f>
        <v/>
      </c>
      <c r="L300" s="27">
        <f>IF(OR($B300="",$H300="",$I300=""),"",$I300-$H300)</f>
        <v/>
      </c>
      <c r="M300" s="72">
        <f>IF($L300="","",$L300*N($G300))</f>
        <v/>
      </c>
      <c r="N300" s="73">
        <f>IF($L300="","",IF($H300&gt;0,ROUND($L300/$H300,4),"－"))</f>
        <v/>
      </c>
      <c r="O300" s="29">
        <f>IF($B300="","",IF($L300="","未入力",IF($L300=0,"一致",IF(OR(NOT(ISNUMBER($N300)),AND('設定'!$B$10&lt;&gt;"",ABS(N($N300))&gt;'設定'!$B$10),AND('設定'!$B$11&lt;&gt;"",ABS(ROUND($M300,4))&gt;'設定'!$B$11),AND('設定'!$B$10="",'設定'!$B$11="")),"要確認","許容内"))))</f>
        <v/>
      </c>
      <c r="P300" s="29">
        <f>IF($O300&lt;&gt;"要確認","",IF($Q300=0,"済",IF(COUNTIF('差異の原因'!$B$5:$B$204,$B300)=0,"未記録","一部")))</f>
        <v/>
      </c>
      <c r="Q300" s="27">
        <f>IF($L300="","",IF(AND($L300=0,COUNTIF('差異の原因'!$B$5:$B$204,$B300)=0),"",ROUND($L300-SUMIF('差異の原因'!$B$5:$B$204,$B300,'差異の原因'!$G$5:$G$204),6)))</f>
        <v/>
      </c>
      <c r="R300" s="30" t="n"/>
      <c r="S300" s="23" t="n"/>
      <c r="T300" s="29">
        <f>IF(OR($B300="",NOT(ISNUMBER($R300))),"",IF(IF(ISNUMBER($I300),$I300,N($H300))&lt;=0,"",IF($R300&lt;'設定'!$B$6,"期限切れ",IF($R300='設定'!$B$6,"当日",IF($R300-'設定'!$B$6&lt;=N('設定'!$B$14),"あと"&amp;($R300-'設定'!$B$6)&amp;"日","")))))</f>
        <v/>
      </c>
      <c r="U300" s="61" t="n"/>
      <c r="V300" s="31">
        <f>IF(AND($B300&lt;&gt;"",$E300&lt;&gt;"",$E300='数える用紙'!$C$2),ROW(),"")</f>
        <v/>
      </c>
      <c r="W300" s="74">
        <f>IF(AND($B300&lt;&gt;"",ISNUMBER($R300)),IF(AND($R300&lt;='設定'!$B$6+N('設定'!$B$14),IF(ISNUMBER($I300),$I300,N($H300))&gt;0),$R300+ROW()/100000,""),"")</f>
        <v/>
      </c>
    </row>
    <row r="301" ht="18" customHeight="1">
      <c r="A301" s="22" t="n">
        <v>297</v>
      </c>
      <c r="B301" s="23" t="n"/>
      <c r="C301" s="24" t="n"/>
      <c r="D301" s="24" t="n"/>
      <c r="E301" s="23" t="n"/>
      <c r="F301" s="23" t="n"/>
      <c r="G301" s="25" t="n"/>
      <c r="H301" s="25" t="n"/>
      <c r="I301" s="25" t="n"/>
      <c r="J301" s="72">
        <f>IF(OR($B301="",$H301=""),"",N($G301)*$H301)</f>
        <v/>
      </c>
      <c r="K301" s="72">
        <f>IF(OR($B301="",$I301=""),"",N($G301)*$I301)</f>
        <v/>
      </c>
      <c r="L301" s="27">
        <f>IF(OR($B301="",$H301="",$I301=""),"",$I301-$H301)</f>
        <v/>
      </c>
      <c r="M301" s="72">
        <f>IF($L301="","",$L301*N($G301))</f>
        <v/>
      </c>
      <c r="N301" s="73">
        <f>IF($L301="","",IF($H301&gt;0,ROUND($L301/$H301,4),"－"))</f>
        <v/>
      </c>
      <c r="O301" s="29">
        <f>IF($B301="","",IF($L301="","未入力",IF($L301=0,"一致",IF(OR(NOT(ISNUMBER($N301)),AND('設定'!$B$10&lt;&gt;"",ABS(N($N301))&gt;'設定'!$B$10),AND('設定'!$B$11&lt;&gt;"",ABS(ROUND($M301,4))&gt;'設定'!$B$11),AND('設定'!$B$10="",'設定'!$B$11="")),"要確認","許容内"))))</f>
        <v/>
      </c>
      <c r="P301" s="29">
        <f>IF($O301&lt;&gt;"要確認","",IF($Q301=0,"済",IF(COUNTIF('差異の原因'!$B$5:$B$204,$B301)=0,"未記録","一部")))</f>
        <v/>
      </c>
      <c r="Q301" s="27">
        <f>IF($L301="","",IF(AND($L301=0,COUNTIF('差異の原因'!$B$5:$B$204,$B301)=0),"",ROUND($L301-SUMIF('差異の原因'!$B$5:$B$204,$B301,'差異の原因'!$G$5:$G$204),6)))</f>
        <v/>
      </c>
      <c r="R301" s="30" t="n"/>
      <c r="S301" s="23" t="n"/>
      <c r="T301" s="29">
        <f>IF(OR($B301="",NOT(ISNUMBER($R301))),"",IF(IF(ISNUMBER($I301),$I301,N($H301))&lt;=0,"",IF($R301&lt;'設定'!$B$6,"期限切れ",IF($R301='設定'!$B$6,"当日",IF($R301-'設定'!$B$6&lt;=N('設定'!$B$14),"あと"&amp;($R301-'設定'!$B$6)&amp;"日","")))))</f>
        <v/>
      </c>
      <c r="U301" s="61" t="n"/>
      <c r="V301" s="31">
        <f>IF(AND($B301&lt;&gt;"",$E301&lt;&gt;"",$E301='数える用紙'!$C$2),ROW(),"")</f>
        <v/>
      </c>
      <c r="W301" s="74">
        <f>IF(AND($B301&lt;&gt;"",ISNUMBER($R301)),IF(AND($R301&lt;='設定'!$B$6+N('設定'!$B$14),IF(ISNUMBER($I301),$I301,N($H301))&gt;0),$R301+ROW()/100000,""),"")</f>
        <v/>
      </c>
    </row>
    <row r="302" ht="18" customHeight="1">
      <c r="A302" s="22" t="n">
        <v>298</v>
      </c>
      <c r="B302" s="23" t="n"/>
      <c r="C302" s="24" t="n"/>
      <c r="D302" s="24" t="n"/>
      <c r="E302" s="23" t="n"/>
      <c r="F302" s="23" t="n"/>
      <c r="G302" s="25" t="n"/>
      <c r="H302" s="25" t="n"/>
      <c r="I302" s="25" t="n"/>
      <c r="J302" s="72">
        <f>IF(OR($B302="",$H302=""),"",N($G302)*$H302)</f>
        <v/>
      </c>
      <c r="K302" s="72">
        <f>IF(OR($B302="",$I302=""),"",N($G302)*$I302)</f>
        <v/>
      </c>
      <c r="L302" s="27">
        <f>IF(OR($B302="",$H302="",$I302=""),"",$I302-$H302)</f>
        <v/>
      </c>
      <c r="M302" s="72">
        <f>IF($L302="","",$L302*N($G302))</f>
        <v/>
      </c>
      <c r="N302" s="73">
        <f>IF($L302="","",IF($H302&gt;0,ROUND($L302/$H302,4),"－"))</f>
        <v/>
      </c>
      <c r="O302" s="29">
        <f>IF($B302="","",IF($L302="","未入力",IF($L302=0,"一致",IF(OR(NOT(ISNUMBER($N302)),AND('設定'!$B$10&lt;&gt;"",ABS(N($N302))&gt;'設定'!$B$10),AND('設定'!$B$11&lt;&gt;"",ABS(ROUND($M302,4))&gt;'設定'!$B$11),AND('設定'!$B$10="",'設定'!$B$11="")),"要確認","許容内"))))</f>
        <v/>
      </c>
      <c r="P302" s="29">
        <f>IF($O302&lt;&gt;"要確認","",IF($Q302=0,"済",IF(COUNTIF('差異の原因'!$B$5:$B$204,$B302)=0,"未記録","一部")))</f>
        <v/>
      </c>
      <c r="Q302" s="27">
        <f>IF($L302="","",IF(AND($L302=0,COUNTIF('差異の原因'!$B$5:$B$204,$B302)=0),"",ROUND($L302-SUMIF('差異の原因'!$B$5:$B$204,$B302,'差異の原因'!$G$5:$G$204),6)))</f>
        <v/>
      </c>
      <c r="R302" s="30" t="n"/>
      <c r="S302" s="23" t="n"/>
      <c r="T302" s="29">
        <f>IF(OR($B302="",NOT(ISNUMBER($R302))),"",IF(IF(ISNUMBER($I302),$I302,N($H302))&lt;=0,"",IF($R302&lt;'設定'!$B$6,"期限切れ",IF($R302='設定'!$B$6,"当日",IF($R302-'設定'!$B$6&lt;=N('設定'!$B$14),"あと"&amp;($R302-'設定'!$B$6)&amp;"日","")))))</f>
        <v/>
      </c>
      <c r="U302" s="61" t="n"/>
      <c r="V302" s="31">
        <f>IF(AND($B302&lt;&gt;"",$E302&lt;&gt;"",$E302='数える用紙'!$C$2),ROW(),"")</f>
        <v/>
      </c>
      <c r="W302" s="74">
        <f>IF(AND($B302&lt;&gt;"",ISNUMBER($R302)),IF(AND($R302&lt;='設定'!$B$6+N('設定'!$B$14),IF(ISNUMBER($I302),$I302,N($H302))&gt;0),$R302+ROW()/100000,""),"")</f>
        <v/>
      </c>
    </row>
    <row r="303" ht="18" customHeight="1">
      <c r="A303" s="22" t="n">
        <v>299</v>
      </c>
      <c r="B303" s="23" t="n"/>
      <c r="C303" s="24" t="n"/>
      <c r="D303" s="24" t="n"/>
      <c r="E303" s="23" t="n"/>
      <c r="F303" s="23" t="n"/>
      <c r="G303" s="25" t="n"/>
      <c r="H303" s="25" t="n"/>
      <c r="I303" s="25" t="n"/>
      <c r="J303" s="72">
        <f>IF(OR($B303="",$H303=""),"",N($G303)*$H303)</f>
        <v/>
      </c>
      <c r="K303" s="72">
        <f>IF(OR($B303="",$I303=""),"",N($G303)*$I303)</f>
        <v/>
      </c>
      <c r="L303" s="27">
        <f>IF(OR($B303="",$H303="",$I303=""),"",$I303-$H303)</f>
        <v/>
      </c>
      <c r="M303" s="72">
        <f>IF($L303="","",$L303*N($G303))</f>
        <v/>
      </c>
      <c r="N303" s="73">
        <f>IF($L303="","",IF($H303&gt;0,ROUND($L303/$H303,4),"－"))</f>
        <v/>
      </c>
      <c r="O303" s="29">
        <f>IF($B303="","",IF($L303="","未入力",IF($L303=0,"一致",IF(OR(NOT(ISNUMBER($N303)),AND('設定'!$B$10&lt;&gt;"",ABS(N($N303))&gt;'設定'!$B$10),AND('設定'!$B$11&lt;&gt;"",ABS(ROUND($M303,4))&gt;'設定'!$B$11),AND('設定'!$B$10="",'設定'!$B$11="")),"要確認","許容内"))))</f>
        <v/>
      </c>
      <c r="P303" s="29">
        <f>IF($O303&lt;&gt;"要確認","",IF($Q303=0,"済",IF(COUNTIF('差異の原因'!$B$5:$B$204,$B303)=0,"未記録","一部")))</f>
        <v/>
      </c>
      <c r="Q303" s="27">
        <f>IF($L303="","",IF(AND($L303=0,COUNTIF('差異の原因'!$B$5:$B$204,$B303)=0),"",ROUND($L303-SUMIF('差異の原因'!$B$5:$B$204,$B303,'差異の原因'!$G$5:$G$204),6)))</f>
        <v/>
      </c>
      <c r="R303" s="30" t="n"/>
      <c r="S303" s="23" t="n"/>
      <c r="T303" s="29">
        <f>IF(OR($B303="",NOT(ISNUMBER($R303))),"",IF(IF(ISNUMBER($I303),$I303,N($H303))&lt;=0,"",IF($R303&lt;'設定'!$B$6,"期限切れ",IF($R303='設定'!$B$6,"当日",IF($R303-'設定'!$B$6&lt;=N('設定'!$B$14),"あと"&amp;($R303-'設定'!$B$6)&amp;"日","")))))</f>
        <v/>
      </c>
      <c r="U303" s="61" t="n"/>
      <c r="V303" s="31">
        <f>IF(AND($B303&lt;&gt;"",$E303&lt;&gt;"",$E303='数える用紙'!$C$2),ROW(),"")</f>
        <v/>
      </c>
      <c r="W303" s="74">
        <f>IF(AND($B303&lt;&gt;"",ISNUMBER($R303)),IF(AND($R303&lt;='設定'!$B$6+N('設定'!$B$14),IF(ISNUMBER($I303),$I303,N($H303))&gt;0),$R303+ROW()/100000,""),"")</f>
        <v/>
      </c>
    </row>
    <row r="304" ht="18" customHeight="1">
      <c r="A304" s="22" t="n">
        <v>300</v>
      </c>
      <c r="B304" s="23" t="n"/>
      <c r="C304" s="24" t="n"/>
      <c r="D304" s="24" t="n"/>
      <c r="E304" s="23" t="n"/>
      <c r="F304" s="23" t="n"/>
      <c r="G304" s="25" t="n"/>
      <c r="H304" s="25" t="n"/>
      <c r="I304" s="25" t="n"/>
      <c r="J304" s="72">
        <f>IF(OR($B304="",$H304=""),"",N($G304)*$H304)</f>
        <v/>
      </c>
      <c r="K304" s="72">
        <f>IF(OR($B304="",$I304=""),"",N($G304)*$I304)</f>
        <v/>
      </c>
      <c r="L304" s="27">
        <f>IF(OR($B304="",$H304="",$I304=""),"",$I304-$H304)</f>
        <v/>
      </c>
      <c r="M304" s="72">
        <f>IF($L304="","",$L304*N($G304))</f>
        <v/>
      </c>
      <c r="N304" s="73">
        <f>IF($L304="","",IF($H304&gt;0,ROUND($L304/$H304,4),"－"))</f>
        <v/>
      </c>
      <c r="O304" s="29">
        <f>IF($B304="","",IF($L304="","未入力",IF($L304=0,"一致",IF(OR(NOT(ISNUMBER($N304)),AND('設定'!$B$10&lt;&gt;"",ABS(N($N304))&gt;'設定'!$B$10),AND('設定'!$B$11&lt;&gt;"",ABS(ROUND($M304,4))&gt;'設定'!$B$11),AND('設定'!$B$10="",'設定'!$B$11="")),"要確認","許容内"))))</f>
        <v/>
      </c>
      <c r="P304" s="29">
        <f>IF($O304&lt;&gt;"要確認","",IF($Q304=0,"済",IF(COUNTIF('差異の原因'!$B$5:$B$204,$B304)=0,"未記録","一部")))</f>
        <v/>
      </c>
      <c r="Q304" s="27">
        <f>IF($L304="","",IF(AND($L304=0,COUNTIF('差異の原因'!$B$5:$B$204,$B304)=0),"",ROUND($L304-SUMIF('差異の原因'!$B$5:$B$204,$B304,'差異の原因'!$G$5:$G$204),6)))</f>
        <v/>
      </c>
      <c r="R304" s="30" t="n"/>
      <c r="S304" s="23" t="n"/>
      <c r="T304" s="29">
        <f>IF(OR($B304="",NOT(ISNUMBER($R304))),"",IF(IF(ISNUMBER($I304),$I304,N($H304))&lt;=0,"",IF($R304&lt;'設定'!$B$6,"期限切れ",IF($R304='設定'!$B$6,"当日",IF($R304-'設定'!$B$6&lt;=N('設定'!$B$14),"あと"&amp;($R304-'設定'!$B$6)&amp;"日","")))))</f>
        <v/>
      </c>
      <c r="U304" s="61" t="n"/>
      <c r="V304" s="31">
        <f>IF(AND($B304&lt;&gt;"",$E304&lt;&gt;"",$E304='数える用紙'!$C$2),ROW(),"")</f>
        <v/>
      </c>
      <c r="W304" s="74">
        <f>IF(AND($B304&lt;&gt;"",ISNUMBER($R304)),IF(AND($R304&lt;='設定'!$B$6+N('設定'!$B$14),IF(ISNUMBER($I304),$I304,N($H304))&gt;0),$R304+ROW()/100000,""),"")</f>
        <v/>
      </c>
    </row>
    <row r="305" ht="18" customHeight="1">
      <c r="A305" s="22" t="n">
        <v>301</v>
      </c>
      <c r="B305" s="23" t="n"/>
      <c r="C305" s="24" t="n"/>
      <c r="D305" s="24" t="n"/>
      <c r="E305" s="23" t="n"/>
      <c r="F305" s="23" t="n"/>
      <c r="G305" s="25" t="n"/>
      <c r="H305" s="25" t="n"/>
      <c r="I305" s="25" t="n"/>
      <c r="J305" s="72">
        <f>IF(OR($B305="",$H305=""),"",N($G305)*$H305)</f>
        <v/>
      </c>
      <c r="K305" s="72">
        <f>IF(OR($B305="",$I305=""),"",N($G305)*$I305)</f>
        <v/>
      </c>
      <c r="L305" s="27">
        <f>IF(OR($B305="",$H305="",$I305=""),"",$I305-$H305)</f>
        <v/>
      </c>
      <c r="M305" s="72">
        <f>IF($L305="","",$L305*N($G305))</f>
        <v/>
      </c>
      <c r="N305" s="73">
        <f>IF($L305="","",IF($H305&gt;0,ROUND($L305/$H305,4),"－"))</f>
        <v/>
      </c>
      <c r="O305" s="29">
        <f>IF($B305="","",IF($L305="","未入力",IF($L305=0,"一致",IF(OR(NOT(ISNUMBER($N305)),AND('設定'!$B$10&lt;&gt;"",ABS(N($N305))&gt;'設定'!$B$10),AND('設定'!$B$11&lt;&gt;"",ABS(ROUND($M305,4))&gt;'設定'!$B$11),AND('設定'!$B$10="",'設定'!$B$11="")),"要確認","許容内"))))</f>
        <v/>
      </c>
      <c r="P305" s="29">
        <f>IF($O305&lt;&gt;"要確認","",IF($Q305=0,"済",IF(COUNTIF('差異の原因'!$B$5:$B$204,$B305)=0,"未記録","一部")))</f>
        <v/>
      </c>
      <c r="Q305" s="27">
        <f>IF($L305="","",IF(AND($L305=0,COUNTIF('差異の原因'!$B$5:$B$204,$B305)=0),"",ROUND($L305-SUMIF('差異の原因'!$B$5:$B$204,$B305,'差異の原因'!$G$5:$G$204),6)))</f>
        <v/>
      </c>
      <c r="R305" s="30" t="n"/>
      <c r="S305" s="23" t="n"/>
      <c r="T305" s="29">
        <f>IF(OR($B305="",NOT(ISNUMBER($R305))),"",IF(IF(ISNUMBER($I305),$I305,N($H305))&lt;=0,"",IF($R305&lt;'設定'!$B$6,"期限切れ",IF($R305='設定'!$B$6,"当日",IF($R305-'設定'!$B$6&lt;=N('設定'!$B$14),"あと"&amp;($R305-'設定'!$B$6)&amp;"日","")))))</f>
        <v/>
      </c>
      <c r="U305" s="61" t="n"/>
      <c r="V305" s="31">
        <f>IF(AND($B305&lt;&gt;"",$E305&lt;&gt;"",$E305='数える用紙'!$C$2),ROW(),"")</f>
        <v/>
      </c>
      <c r="W305" s="74">
        <f>IF(AND($B305&lt;&gt;"",ISNUMBER($R305)),IF(AND($R305&lt;='設定'!$B$6+N('設定'!$B$14),IF(ISNUMBER($I305),$I305,N($H305))&gt;0),$R305+ROW()/100000,""),"")</f>
        <v/>
      </c>
    </row>
    <row r="306" ht="18" customHeight="1">
      <c r="A306" s="22" t="n">
        <v>302</v>
      </c>
      <c r="B306" s="23" t="n"/>
      <c r="C306" s="24" t="n"/>
      <c r="D306" s="24" t="n"/>
      <c r="E306" s="23" t="n"/>
      <c r="F306" s="23" t="n"/>
      <c r="G306" s="25" t="n"/>
      <c r="H306" s="25" t="n"/>
      <c r="I306" s="25" t="n"/>
      <c r="J306" s="72">
        <f>IF(OR($B306="",$H306=""),"",N($G306)*$H306)</f>
        <v/>
      </c>
      <c r="K306" s="72">
        <f>IF(OR($B306="",$I306=""),"",N($G306)*$I306)</f>
        <v/>
      </c>
      <c r="L306" s="27">
        <f>IF(OR($B306="",$H306="",$I306=""),"",$I306-$H306)</f>
        <v/>
      </c>
      <c r="M306" s="72">
        <f>IF($L306="","",$L306*N($G306))</f>
        <v/>
      </c>
      <c r="N306" s="73">
        <f>IF($L306="","",IF($H306&gt;0,ROUND($L306/$H306,4),"－"))</f>
        <v/>
      </c>
      <c r="O306" s="29">
        <f>IF($B306="","",IF($L306="","未入力",IF($L306=0,"一致",IF(OR(NOT(ISNUMBER($N306)),AND('設定'!$B$10&lt;&gt;"",ABS(N($N306))&gt;'設定'!$B$10),AND('設定'!$B$11&lt;&gt;"",ABS(ROUND($M306,4))&gt;'設定'!$B$11),AND('設定'!$B$10="",'設定'!$B$11="")),"要確認","許容内"))))</f>
        <v/>
      </c>
      <c r="P306" s="29">
        <f>IF($O306&lt;&gt;"要確認","",IF($Q306=0,"済",IF(COUNTIF('差異の原因'!$B$5:$B$204,$B306)=0,"未記録","一部")))</f>
        <v/>
      </c>
      <c r="Q306" s="27">
        <f>IF($L306="","",IF(AND($L306=0,COUNTIF('差異の原因'!$B$5:$B$204,$B306)=0),"",ROUND($L306-SUMIF('差異の原因'!$B$5:$B$204,$B306,'差異の原因'!$G$5:$G$204),6)))</f>
        <v/>
      </c>
      <c r="R306" s="30" t="n"/>
      <c r="S306" s="23" t="n"/>
      <c r="T306" s="29">
        <f>IF(OR($B306="",NOT(ISNUMBER($R306))),"",IF(IF(ISNUMBER($I306),$I306,N($H306))&lt;=0,"",IF($R306&lt;'設定'!$B$6,"期限切れ",IF($R306='設定'!$B$6,"当日",IF($R306-'設定'!$B$6&lt;=N('設定'!$B$14),"あと"&amp;($R306-'設定'!$B$6)&amp;"日","")))))</f>
        <v/>
      </c>
      <c r="U306" s="61" t="n"/>
      <c r="V306" s="31">
        <f>IF(AND($B306&lt;&gt;"",$E306&lt;&gt;"",$E306='数える用紙'!$C$2),ROW(),"")</f>
        <v/>
      </c>
      <c r="W306" s="74">
        <f>IF(AND($B306&lt;&gt;"",ISNUMBER($R306)),IF(AND($R306&lt;='設定'!$B$6+N('設定'!$B$14),IF(ISNUMBER($I306),$I306,N($H306))&gt;0),$R306+ROW()/100000,""),"")</f>
        <v/>
      </c>
    </row>
    <row r="307" ht="18" customHeight="1">
      <c r="A307" s="22" t="n">
        <v>303</v>
      </c>
      <c r="B307" s="23" t="n"/>
      <c r="C307" s="24" t="n"/>
      <c r="D307" s="24" t="n"/>
      <c r="E307" s="23" t="n"/>
      <c r="F307" s="23" t="n"/>
      <c r="G307" s="25" t="n"/>
      <c r="H307" s="25" t="n"/>
      <c r="I307" s="25" t="n"/>
      <c r="J307" s="72">
        <f>IF(OR($B307="",$H307=""),"",N($G307)*$H307)</f>
        <v/>
      </c>
      <c r="K307" s="72">
        <f>IF(OR($B307="",$I307=""),"",N($G307)*$I307)</f>
        <v/>
      </c>
      <c r="L307" s="27">
        <f>IF(OR($B307="",$H307="",$I307=""),"",$I307-$H307)</f>
        <v/>
      </c>
      <c r="M307" s="72">
        <f>IF($L307="","",$L307*N($G307))</f>
        <v/>
      </c>
      <c r="N307" s="73">
        <f>IF($L307="","",IF($H307&gt;0,ROUND($L307/$H307,4),"－"))</f>
        <v/>
      </c>
      <c r="O307" s="29">
        <f>IF($B307="","",IF($L307="","未入力",IF($L307=0,"一致",IF(OR(NOT(ISNUMBER($N307)),AND('設定'!$B$10&lt;&gt;"",ABS(N($N307))&gt;'設定'!$B$10),AND('設定'!$B$11&lt;&gt;"",ABS(ROUND($M307,4))&gt;'設定'!$B$11),AND('設定'!$B$10="",'設定'!$B$11="")),"要確認","許容内"))))</f>
        <v/>
      </c>
      <c r="P307" s="29">
        <f>IF($O307&lt;&gt;"要確認","",IF($Q307=0,"済",IF(COUNTIF('差異の原因'!$B$5:$B$204,$B307)=0,"未記録","一部")))</f>
        <v/>
      </c>
      <c r="Q307" s="27">
        <f>IF($L307="","",IF(AND($L307=0,COUNTIF('差異の原因'!$B$5:$B$204,$B307)=0),"",ROUND($L307-SUMIF('差異の原因'!$B$5:$B$204,$B307,'差異の原因'!$G$5:$G$204),6)))</f>
        <v/>
      </c>
      <c r="R307" s="30" t="n"/>
      <c r="S307" s="23" t="n"/>
      <c r="T307" s="29">
        <f>IF(OR($B307="",NOT(ISNUMBER($R307))),"",IF(IF(ISNUMBER($I307),$I307,N($H307))&lt;=0,"",IF($R307&lt;'設定'!$B$6,"期限切れ",IF($R307='設定'!$B$6,"当日",IF($R307-'設定'!$B$6&lt;=N('設定'!$B$14),"あと"&amp;($R307-'設定'!$B$6)&amp;"日","")))))</f>
        <v/>
      </c>
      <c r="U307" s="61" t="n"/>
      <c r="V307" s="31">
        <f>IF(AND($B307&lt;&gt;"",$E307&lt;&gt;"",$E307='数える用紙'!$C$2),ROW(),"")</f>
        <v/>
      </c>
      <c r="W307" s="74">
        <f>IF(AND($B307&lt;&gt;"",ISNUMBER($R307)),IF(AND($R307&lt;='設定'!$B$6+N('設定'!$B$14),IF(ISNUMBER($I307),$I307,N($H307))&gt;0),$R307+ROW()/100000,""),"")</f>
        <v/>
      </c>
    </row>
    <row r="308" ht="18" customHeight="1">
      <c r="A308" s="22" t="n">
        <v>304</v>
      </c>
      <c r="B308" s="23" t="n"/>
      <c r="C308" s="24" t="n"/>
      <c r="D308" s="24" t="n"/>
      <c r="E308" s="23" t="n"/>
      <c r="F308" s="23" t="n"/>
      <c r="G308" s="25" t="n"/>
      <c r="H308" s="25" t="n"/>
      <c r="I308" s="25" t="n"/>
      <c r="J308" s="72">
        <f>IF(OR($B308="",$H308=""),"",N($G308)*$H308)</f>
        <v/>
      </c>
      <c r="K308" s="72">
        <f>IF(OR($B308="",$I308=""),"",N($G308)*$I308)</f>
        <v/>
      </c>
      <c r="L308" s="27">
        <f>IF(OR($B308="",$H308="",$I308=""),"",$I308-$H308)</f>
        <v/>
      </c>
      <c r="M308" s="72">
        <f>IF($L308="","",$L308*N($G308))</f>
        <v/>
      </c>
      <c r="N308" s="73">
        <f>IF($L308="","",IF($H308&gt;0,ROUND($L308/$H308,4),"－"))</f>
        <v/>
      </c>
      <c r="O308" s="29">
        <f>IF($B308="","",IF($L308="","未入力",IF($L308=0,"一致",IF(OR(NOT(ISNUMBER($N308)),AND('設定'!$B$10&lt;&gt;"",ABS(N($N308))&gt;'設定'!$B$10),AND('設定'!$B$11&lt;&gt;"",ABS(ROUND($M308,4))&gt;'設定'!$B$11),AND('設定'!$B$10="",'設定'!$B$11="")),"要確認","許容内"))))</f>
        <v/>
      </c>
      <c r="P308" s="29">
        <f>IF($O308&lt;&gt;"要確認","",IF($Q308=0,"済",IF(COUNTIF('差異の原因'!$B$5:$B$204,$B308)=0,"未記録","一部")))</f>
        <v/>
      </c>
      <c r="Q308" s="27">
        <f>IF($L308="","",IF(AND($L308=0,COUNTIF('差異の原因'!$B$5:$B$204,$B308)=0),"",ROUND($L308-SUMIF('差異の原因'!$B$5:$B$204,$B308,'差異の原因'!$G$5:$G$204),6)))</f>
        <v/>
      </c>
      <c r="R308" s="30" t="n"/>
      <c r="S308" s="23" t="n"/>
      <c r="T308" s="29">
        <f>IF(OR($B308="",NOT(ISNUMBER($R308))),"",IF(IF(ISNUMBER($I308),$I308,N($H308))&lt;=0,"",IF($R308&lt;'設定'!$B$6,"期限切れ",IF($R308='設定'!$B$6,"当日",IF($R308-'設定'!$B$6&lt;=N('設定'!$B$14),"あと"&amp;($R308-'設定'!$B$6)&amp;"日","")))))</f>
        <v/>
      </c>
      <c r="U308" s="61" t="n"/>
      <c r="V308" s="31">
        <f>IF(AND($B308&lt;&gt;"",$E308&lt;&gt;"",$E308='数える用紙'!$C$2),ROW(),"")</f>
        <v/>
      </c>
      <c r="W308" s="74">
        <f>IF(AND($B308&lt;&gt;"",ISNUMBER($R308)),IF(AND($R308&lt;='設定'!$B$6+N('設定'!$B$14),IF(ISNUMBER($I308),$I308,N($H308))&gt;0),$R308+ROW()/100000,""),"")</f>
        <v/>
      </c>
    </row>
    <row r="309" ht="18" customHeight="1">
      <c r="A309" s="22" t="n">
        <v>305</v>
      </c>
      <c r="B309" s="23" t="n"/>
      <c r="C309" s="24" t="n"/>
      <c r="D309" s="24" t="n"/>
      <c r="E309" s="23" t="n"/>
      <c r="F309" s="23" t="n"/>
      <c r="G309" s="25" t="n"/>
      <c r="H309" s="25" t="n"/>
      <c r="I309" s="25" t="n"/>
      <c r="J309" s="72">
        <f>IF(OR($B309="",$H309=""),"",N($G309)*$H309)</f>
        <v/>
      </c>
      <c r="K309" s="72">
        <f>IF(OR($B309="",$I309=""),"",N($G309)*$I309)</f>
        <v/>
      </c>
      <c r="L309" s="27">
        <f>IF(OR($B309="",$H309="",$I309=""),"",$I309-$H309)</f>
        <v/>
      </c>
      <c r="M309" s="72">
        <f>IF($L309="","",$L309*N($G309))</f>
        <v/>
      </c>
      <c r="N309" s="73">
        <f>IF($L309="","",IF($H309&gt;0,ROUND($L309/$H309,4),"－"))</f>
        <v/>
      </c>
      <c r="O309" s="29">
        <f>IF($B309="","",IF($L309="","未入力",IF($L309=0,"一致",IF(OR(NOT(ISNUMBER($N309)),AND('設定'!$B$10&lt;&gt;"",ABS(N($N309))&gt;'設定'!$B$10),AND('設定'!$B$11&lt;&gt;"",ABS(ROUND($M309,4))&gt;'設定'!$B$11),AND('設定'!$B$10="",'設定'!$B$11="")),"要確認","許容内"))))</f>
        <v/>
      </c>
      <c r="P309" s="29">
        <f>IF($O309&lt;&gt;"要確認","",IF($Q309=0,"済",IF(COUNTIF('差異の原因'!$B$5:$B$204,$B309)=0,"未記録","一部")))</f>
        <v/>
      </c>
      <c r="Q309" s="27">
        <f>IF($L309="","",IF(AND($L309=0,COUNTIF('差異の原因'!$B$5:$B$204,$B309)=0),"",ROUND($L309-SUMIF('差異の原因'!$B$5:$B$204,$B309,'差異の原因'!$G$5:$G$204),6)))</f>
        <v/>
      </c>
      <c r="R309" s="30" t="n"/>
      <c r="S309" s="23" t="n"/>
      <c r="T309" s="29">
        <f>IF(OR($B309="",NOT(ISNUMBER($R309))),"",IF(IF(ISNUMBER($I309),$I309,N($H309))&lt;=0,"",IF($R309&lt;'設定'!$B$6,"期限切れ",IF($R309='設定'!$B$6,"当日",IF($R309-'設定'!$B$6&lt;=N('設定'!$B$14),"あと"&amp;($R309-'設定'!$B$6)&amp;"日","")))))</f>
        <v/>
      </c>
      <c r="U309" s="61" t="n"/>
      <c r="V309" s="31">
        <f>IF(AND($B309&lt;&gt;"",$E309&lt;&gt;"",$E309='数える用紙'!$C$2),ROW(),"")</f>
        <v/>
      </c>
      <c r="W309" s="74">
        <f>IF(AND($B309&lt;&gt;"",ISNUMBER($R309)),IF(AND($R309&lt;='設定'!$B$6+N('設定'!$B$14),IF(ISNUMBER($I309),$I309,N($H309))&gt;0),$R309+ROW()/100000,""),"")</f>
        <v/>
      </c>
    </row>
    <row r="310" ht="18" customHeight="1">
      <c r="A310" s="22" t="n">
        <v>306</v>
      </c>
      <c r="B310" s="23" t="n"/>
      <c r="C310" s="24" t="n"/>
      <c r="D310" s="24" t="n"/>
      <c r="E310" s="23" t="n"/>
      <c r="F310" s="23" t="n"/>
      <c r="G310" s="25" t="n"/>
      <c r="H310" s="25" t="n"/>
      <c r="I310" s="25" t="n"/>
      <c r="J310" s="72">
        <f>IF(OR($B310="",$H310=""),"",N($G310)*$H310)</f>
        <v/>
      </c>
      <c r="K310" s="72">
        <f>IF(OR($B310="",$I310=""),"",N($G310)*$I310)</f>
        <v/>
      </c>
      <c r="L310" s="27">
        <f>IF(OR($B310="",$H310="",$I310=""),"",$I310-$H310)</f>
        <v/>
      </c>
      <c r="M310" s="72">
        <f>IF($L310="","",$L310*N($G310))</f>
        <v/>
      </c>
      <c r="N310" s="73">
        <f>IF($L310="","",IF($H310&gt;0,ROUND($L310/$H310,4),"－"))</f>
        <v/>
      </c>
      <c r="O310" s="29">
        <f>IF($B310="","",IF($L310="","未入力",IF($L310=0,"一致",IF(OR(NOT(ISNUMBER($N310)),AND('設定'!$B$10&lt;&gt;"",ABS(N($N310))&gt;'設定'!$B$10),AND('設定'!$B$11&lt;&gt;"",ABS(ROUND($M310,4))&gt;'設定'!$B$11),AND('設定'!$B$10="",'設定'!$B$11="")),"要確認","許容内"))))</f>
        <v/>
      </c>
      <c r="P310" s="29">
        <f>IF($O310&lt;&gt;"要確認","",IF($Q310=0,"済",IF(COUNTIF('差異の原因'!$B$5:$B$204,$B310)=0,"未記録","一部")))</f>
        <v/>
      </c>
      <c r="Q310" s="27">
        <f>IF($L310="","",IF(AND($L310=0,COUNTIF('差異の原因'!$B$5:$B$204,$B310)=0),"",ROUND($L310-SUMIF('差異の原因'!$B$5:$B$204,$B310,'差異の原因'!$G$5:$G$204),6)))</f>
        <v/>
      </c>
      <c r="R310" s="30" t="n"/>
      <c r="S310" s="23" t="n"/>
      <c r="T310" s="29">
        <f>IF(OR($B310="",NOT(ISNUMBER($R310))),"",IF(IF(ISNUMBER($I310),$I310,N($H310))&lt;=0,"",IF($R310&lt;'設定'!$B$6,"期限切れ",IF($R310='設定'!$B$6,"当日",IF($R310-'設定'!$B$6&lt;=N('設定'!$B$14),"あと"&amp;($R310-'設定'!$B$6)&amp;"日","")))))</f>
        <v/>
      </c>
      <c r="U310" s="61" t="n"/>
      <c r="V310" s="31">
        <f>IF(AND($B310&lt;&gt;"",$E310&lt;&gt;"",$E310='数える用紙'!$C$2),ROW(),"")</f>
        <v/>
      </c>
      <c r="W310" s="74">
        <f>IF(AND($B310&lt;&gt;"",ISNUMBER($R310)),IF(AND($R310&lt;='設定'!$B$6+N('設定'!$B$14),IF(ISNUMBER($I310),$I310,N($H310))&gt;0),$R310+ROW()/100000,""),"")</f>
        <v/>
      </c>
    </row>
    <row r="311" ht="18" customHeight="1">
      <c r="A311" s="22" t="n">
        <v>307</v>
      </c>
      <c r="B311" s="23" t="n"/>
      <c r="C311" s="24" t="n"/>
      <c r="D311" s="24" t="n"/>
      <c r="E311" s="23" t="n"/>
      <c r="F311" s="23" t="n"/>
      <c r="G311" s="25" t="n"/>
      <c r="H311" s="25" t="n"/>
      <c r="I311" s="25" t="n"/>
      <c r="J311" s="72">
        <f>IF(OR($B311="",$H311=""),"",N($G311)*$H311)</f>
        <v/>
      </c>
      <c r="K311" s="72">
        <f>IF(OR($B311="",$I311=""),"",N($G311)*$I311)</f>
        <v/>
      </c>
      <c r="L311" s="27">
        <f>IF(OR($B311="",$H311="",$I311=""),"",$I311-$H311)</f>
        <v/>
      </c>
      <c r="M311" s="72">
        <f>IF($L311="","",$L311*N($G311))</f>
        <v/>
      </c>
      <c r="N311" s="73">
        <f>IF($L311="","",IF($H311&gt;0,ROUND($L311/$H311,4),"－"))</f>
        <v/>
      </c>
      <c r="O311" s="29">
        <f>IF($B311="","",IF($L311="","未入力",IF($L311=0,"一致",IF(OR(NOT(ISNUMBER($N311)),AND('設定'!$B$10&lt;&gt;"",ABS(N($N311))&gt;'設定'!$B$10),AND('設定'!$B$11&lt;&gt;"",ABS(ROUND($M311,4))&gt;'設定'!$B$11),AND('設定'!$B$10="",'設定'!$B$11="")),"要確認","許容内"))))</f>
        <v/>
      </c>
      <c r="P311" s="29">
        <f>IF($O311&lt;&gt;"要確認","",IF($Q311=0,"済",IF(COUNTIF('差異の原因'!$B$5:$B$204,$B311)=0,"未記録","一部")))</f>
        <v/>
      </c>
      <c r="Q311" s="27">
        <f>IF($L311="","",IF(AND($L311=0,COUNTIF('差異の原因'!$B$5:$B$204,$B311)=0),"",ROUND($L311-SUMIF('差異の原因'!$B$5:$B$204,$B311,'差異の原因'!$G$5:$G$204),6)))</f>
        <v/>
      </c>
      <c r="R311" s="30" t="n"/>
      <c r="S311" s="23" t="n"/>
      <c r="T311" s="29">
        <f>IF(OR($B311="",NOT(ISNUMBER($R311))),"",IF(IF(ISNUMBER($I311),$I311,N($H311))&lt;=0,"",IF($R311&lt;'設定'!$B$6,"期限切れ",IF($R311='設定'!$B$6,"当日",IF($R311-'設定'!$B$6&lt;=N('設定'!$B$14),"あと"&amp;($R311-'設定'!$B$6)&amp;"日","")))))</f>
        <v/>
      </c>
      <c r="U311" s="61" t="n"/>
      <c r="V311" s="31">
        <f>IF(AND($B311&lt;&gt;"",$E311&lt;&gt;"",$E311='数える用紙'!$C$2),ROW(),"")</f>
        <v/>
      </c>
      <c r="W311" s="74">
        <f>IF(AND($B311&lt;&gt;"",ISNUMBER($R311)),IF(AND($R311&lt;='設定'!$B$6+N('設定'!$B$14),IF(ISNUMBER($I311),$I311,N($H311))&gt;0),$R311+ROW()/100000,""),"")</f>
        <v/>
      </c>
    </row>
    <row r="312" ht="18" customHeight="1">
      <c r="A312" s="22" t="n">
        <v>308</v>
      </c>
      <c r="B312" s="23" t="n"/>
      <c r="C312" s="24" t="n"/>
      <c r="D312" s="24" t="n"/>
      <c r="E312" s="23" t="n"/>
      <c r="F312" s="23" t="n"/>
      <c r="G312" s="25" t="n"/>
      <c r="H312" s="25" t="n"/>
      <c r="I312" s="25" t="n"/>
      <c r="J312" s="72">
        <f>IF(OR($B312="",$H312=""),"",N($G312)*$H312)</f>
        <v/>
      </c>
      <c r="K312" s="72">
        <f>IF(OR($B312="",$I312=""),"",N($G312)*$I312)</f>
        <v/>
      </c>
      <c r="L312" s="27">
        <f>IF(OR($B312="",$H312="",$I312=""),"",$I312-$H312)</f>
        <v/>
      </c>
      <c r="M312" s="72">
        <f>IF($L312="","",$L312*N($G312))</f>
        <v/>
      </c>
      <c r="N312" s="73">
        <f>IF($L312="","",IF($H312&gt;0,ROUND($L312/$H312,4),"－"))</f>
        <v/>
      </c>
      <c r="O312" s="29">
        <f>IF($B312="","",IF($L312="","未入力",IF($L312=0,"一致",IF(OR(NOT(ISNUMBER($N312)),AND('設定'!$B$10&lt;&gt;"",ABS(N($N312))&gt;'設定'!$B$10),AND('設定'!$B$11&lt;&gt;"",ABS(ROUND($M312,4))&gt;'設定'!$B$11),AND('設定'!$B$10="",'設定'!$B$11="")),"要確認","許容内"))))</f>
        <v/>
      </c>
      <c r="P312" s="29">
        <f>IF($O312&lt;&gt;"要確認","",IF($Q312=0,"済",IF(COUNTIF('差異の原因'!$B$5:$B$204,$B312)=0,"未記録","一部")))</f>
        <v/>
      </c>
      <c r="Q312" s="27">
        <f>IF($L312="","",IF(AND($L312=0,COUNTIF('差異の原因'!$B$5:$B$204,$B312)=0),"",ROUND($L312-SUMIF('差異の原因'!$B$5:$B$204,$B312,'差異の原因'!$G$5:$G$204),6)))</f>
        <v/>
      </c>
      <c r="R312" s="30" t="n"/>
      <c r="S312" s="23" t="n"/>
      <c r="T312" s="29">
        <f>IF(OR($B312="",NOT(ISNUMBER($R312))),"",IF(IF(ISNUMBER($I312),$I312,N($H312))&lt;=0,"",IF($R312&lt;'設定'!$B$6,"期限切れ",IF($R312='設定'!$B$6,"当日",IF($R312-'設定'!$B$6&lt;=N('設定'!$B$14),"あと"&amp;($R312-'設定'!$B$6)&amp;"日","")))))</f>
        <v/>
      </c>
      <c r="U312" s="61" t="n"/>
      <c r="V312" s="31">
        <f>IF(AND($B312&lt;&gt;"",$E312&lt;&gt;"",$E312='数える用紙'!$C$2),ROW(),"")</f>
        <v/>
      </c>
      <c r="W312" s="74">
        <f>IF(AND($B312&lt;&gt;"",ISNUMBER($R312)),IF(AND($R312&lt;='設定'!$B$6+N('設定'!$B$14),IF(ISNUMBER($I312),$I312,N($H312))&gt;0),$R312+ROW()/100000,""),"")</f>
        <v/>
      </c>
    </row>
    <row r="313" ht="18" customHeight="1">
      <c r="A313" s="22" t="n">
        <v>309</v>
      </c>
      <c r="B313" s="23" t="n"/>
      <c r="C313" s="24" t="n"/>
      <c r="D313" s="24" t="n"/>
      <c r="E313" s="23" t="n"/>
      <c r="F313" s="23" t="n"/>
      <c r="G313" s="25" t="n"/>
      <c r="H313" s="25" t="n"/>
      <c r="I313" s="25" t="n"/>
      <c r="J313" s="72">
        <f>IF(OR($B313="",$H313=""),"",N($G313)*$H313)</f>
        <v/>
      </c>
      <c r="K313" s="72">
        <f>IF(OR($B313="",$I313=""),"",N($G313)*$I313)</f>
        <v/>
      </c>
      <c r="L313" s="27">
        <f>IF(OR($B313="",$H313="",$I313=""),"",$I313-$H313)</f>
        <v/>
      </c>
      <c r="M313" s="72">
        <f>IF($L313="","",$L313*N($G313))</f>
        <v/>
      </c>
      <c r="N313" s="73">
        <f>IF($L313="","",IF($H313&gt;0,ROUND($L313/$H313,4),"－"))</f>
        <v/>
      </c>
      <c r="O313" s="29">
        <f>IF($B313="","",IF($L313="","未入力",IF($L313=0,"一致",IF(OR(NOT(ISNUMBER($N313)),AND('設定'!$B$10&lt;&gt;"",ABS(N($N313))&gt;'設定'!$B$10),AND('設定'!$B$11&lt;&gt;"",ABS(ROUND($M313,4))&gt;'設定'!$B$11),AND('設定'!$B$10="",'設定'!$B$11="")),"要確認","許容内"))))</f>
        <v/>
      </c>
      <c r="P313" s="29">
        <f>IF($O313&lt;&gt;"要確認","",IF($Q313=0,"済",IF(COUNTIF('差異の原因'!$B$5:$B$204,$B313)=0,"未記録","一部")))</f>
        <v/>
      </c>
      <c r="Q313" s="27">
        <f>IF($L313="","",IF(AND($L313=0,COUNTIF('差異の原因'!$B$5:$B$204,$B313)=0),"",ROUND($L313-SUMIF('差異の原因'!$B$5:$B$204,$B313,'差異の原因'!$G$5:$G$204),6)))</f>
        <v/>
      </c>
      <c r="R313" s="30" t="n"/>
      <c r="S313" s="23" t="n"/>
      <c r="T313" s="29">
        <f>IF(OR($B313="",NOT(ISNUMBER($R313))),"",IF(IF(ISNUMBER($I313),$I313,N($H313))&lt;=0,"",IF($R313&lt;'設定'!$B$6,"期限切れ",IF($R313='設定'!$B$6,"当日",IF($R313-'設定'!$B$6&lt;=N('設定'!$B$14),"あと"&amp;($R313-'設定'!$B$6)&amp;"日","")))))</f>
        <v/>
      </c>
      <c r="U313" s="61" t="n"/>
      <c r="V313" s="31">
        <f>IF(AND($B313&lt;&gt;"",$E313&lt;&gt;"",$E313='数える用紙'!$C$2),ROW(),"")</f>
        <v/>
      </c>
      <c r="W313" s="74">
        <f>IF(AND($B313&lt;&gt;"",ISNUMBER($R313)),IF(AND($R313&lt;='設定'!$B$6+N('設定'!$B$14),IF(ISNUMBER($I313),$I313,N($H313))&gt;0),$R313+ROW()/100000,""),"")</f>
        <v/>
      </c>
    </row>
    <row r="314" ht="18" customHeight="1">
      <c r="A314" s="22" t="n">
        <v>310</v>
      </c>
      <c r="B314" s="23" t="n"/>
      <c r="C314" s="24" t="n"/>
      <c r="D314" s="24" t="n"/>
      <c r="E314" s="23" t="n"/>
      <c r="F314" s="23" t="n"/>
      <c r="G314" s="25" t="n"/>
      <c r="H314" s="25" t="n"/>
      <c r="I314" s="25" t="n"/>
      <c r="J314" s="72">
        <f>IF(OR($B314="",$H314=""),"",N($G314)*$H314)</f>
        <v/>
      </c>
      <c r="K314" s="72">
        <f>IF(OR($B314="",$I314=""),"",N($G314)*$I314)</f>
        <v/>
      </c>
      <c r="L314" s="27">
        <f>IF(OR($B314="",$H314="",$I314=""),"",$I314-$H314)</f>
        <v/>
      </c>
      <c r="M314" s="72">
        <f>IF($L314="","",$L314*N($G314))</f>
        <v/>
      </c>
      <c r="N314" s="73">
        <f>IF($L314="","",IF($H314&gt;0,ROUND($L314/$H314,4),"－"))</f>
        <v/>
      </c>
      <c r="O314" s="29">
        <f>IF($B314="","",IF($L314="","未入力",IF($L314=0,"一致",IF(OR(NOT(ISNUMBER($N314)),AND('設定'!$B$10&lt;&gt;"",ABS(N($N314))&gt;'設定'!$B$10),AND('設定'!$B$11&lt;&gt;"",ABS(ROUND($M314,4))&gt;'設定'!$B$11),AND('設定'!$B$10="",'設定'!$B$11="")),"要確認","許容内"))))</f>
        <v/>
      </c>
      <c r="P314" s="29">
        <f>IF($O314&lt;&gt;"要確認","",IF($Q314=0,"済",IF(COUNTIF('差異の原因'!$B$5:$B$204,$B314)=0,"未記録","一部")))</f>
        <v/>
      </c>
      <c r="Q314" s="27">
        <f>IF($L314="","",IF(AND($L314=0,COUNTIF('差異の原因'!$B$5:$B$204,$B314)=0),"",ROUND($L314-SUMIF('差異の原因'!$B$5:$B$204,$B314,'差異の原因'!$G$5:$G$204),6)))</f>
        <v/>
      </c>
      <c r="R314" s="30" t="n"/>
      <c r="S314" s="23" t="n"/>
      <c r="T314" s="29">
        <f>IF(OR($B314="",NOT(ISNUMBER($R314))),"",IF(IF(ISNUMBER($I314),$I314,N($H314))&lt;=0,"",IF($R314&lt;'設定'!$B$6,"期限切れ",IF($R314='設定'!$B$6,"当日",IF($R314-'設定'!$B$6&lt;=N('設定'!$B$14),"あと"&amp;($R314-'設定'!$B$6)&amp;"日","")))))</f>
        <v/>
      </c>
      <c r="U314" s="61" t="n"/>
      <c r="V314" s="31">
        <f>IF(AND($B314&lt;&gt;"",$E314&lt;&gt;"",$E314='数える用紙'!$C$2),ROW(),"")</f>
        <v/>
      </c>
      <c r="W314" s="74">
        <f>IF(AND($B314&lt;&gt;"",ISNUMBER($R314)),IF(AND($R314&lt;='設定'!$B$6+N('設定'!$B$14),IF(ISNUMBER($I314),$I314,N($H314))&gt;0),$R314+ROW()/100000,""),"")</f>
        <v/>
      </c>
    </row>
    <row r="315" ht="18" customHeight="1">
      <c r="A315" s="22" t="n">
        <v>311</v>
      </c>
      <c r="B315" s="23" t="n"/>
      <c r="C315" s="24" t="n"/>
      <c r="D315" s="24" t="n"/>
      <c r="E315" s="23" t="n"/>
      <c r="F315" s="23" t="n"/>
      <c r="G315" s="25" t="n"/>
      <c r="H315" s="25" t="n"/>
      <c r="I315" s="25" t="n"/>
      <c r="J315" s="72">
        <f>IF(OR($B315="",$H315=""),"",N($G315)*$H315)</f>
        <v/>
      </c>
      <c r="K315" s="72">
        <f>IF(OR($B315="",$I315=""),"",N($G315)*$I315)</f>
        <v/>
      </c>
      <c r="L315" s="27">
        <f>IF(OR($B315="",$H315="",$I315=""),"",$I315-$H315)</f>
        <v/>
      </c>
      <c r="M315" s="72">
        <f>IF($L315="","",$L315*N($G315))</f>
        <v/>
      </c>
      <c r="N315" s="73">
        <f>IF($L315="","",IF($H315&gt;0,ROUND($L315/$H315,4),"－"))</f>
        <v/>
      </c>
      <c r="O315" s="29">
        <f>IF($B315="","",IF($L315="","未入力",IF($L315=0,"一致",IF(OR(NOT(ISNUMBER($N315)),AND('設定'!$B$10&lt;&gt;"",ABS(N($N315))&gt;'設定'!$B$10),AND('設定'!$B$11&lt;&gt;"",ABS(ROUND($M315,4))&gt;'設定'!$B$11),AND('設定'!$B$10="",'設定'!$B$11="")),"要確認","許容内"))))</f>
        <v/>
      </c>
      <c r="P315" s="29">
        <f>IF($O315&lt;&gt;"要確認","",IF($Q315=0,"済",IF(COUNTIF('差異の原因'!$B$5:$B$204,$B315)=0,"未記録","一部")))</f>
        <v/>
      </c>
      <c r="Q315" s="27">
        <f>IF($L315="","",IF(AND($L315=0,COUNTIF('差異の原因'!$B$5:$B$204,$B315)=0),"",ROUND($L315-SUMIF('差異の原因'!$B$5:$B$204,$B315,'差異の原因'!$G$5:$G$204),6)))</f>
        <v/>
      </c>
      <c r="R315" s="30" t="n"/>
      <c r="S315" s="23" t="n"/>
      <c r="T315" s="29">
        <f>IF(OR($B315="",NOT(ISNUMBER($R315))),"",IF(IF(ISNUMBER($I315),$I315,N($H315))&lt;=0,"",IF($R315&lt;'設定'!$B$6,"期限切れ",IF($R315='設定'!$B$6,"当日",IF($R315-'設定'!$B$6&lt;=N('設定'!$B$14),"あと"&amp;($R315-'設定'!$B$6)&amp;"日","")))))</f>
        <v/>
      </c>
      <c r="U315" s="61" t="n"/>
      <c r="V315" s="31">
        <f>IF(AND($B315&lt;&gt;"",$E315&lt;&gt;"",$E315='数える用紙'!$C$2),ROW(),"")</f>
        <v/>
      </c>
      <c r="W315" s="74">
        <f>IF(AND($B315&lt;&gt;"",ISNUMBER($R315)),IF(AND($R315&lt;='設定'!$B$6+N('設定'!$B$14),IF(ISNUMBER($I315),$I315,N($H315))&gt;0),$R315+ROW()/100000,""),"")</f>
        <v/>
      </c>
    </row>
    <row r="316" ht="18" customHeight="1">
      <c r="A316" s="22" t="n">
        <v>312</v>
      </c>
      <c r="B316" s="23" t="n"/>
      <c r="C316" s="24" t="n"/>
      <c r="D316" s="24" t="n"/>
      <c r="E316" s="23" t="n"/>
      <c r="F316" s="23" t="n"/>
      <c r="G316" s="25" t="n"/>
      <c r="H316" s="25" t="n"/>
      <c r="I316" s="25" t="n"/>
      <c r="J316" s="72">
        <f>IF(OR($B316="",$H316=""),"",N($G316)*$H316)</f>
        <v/>
      </c>
      <c r="K316" s="72">
        <f>IF(OR($B316="",$I316=""),"",N($G316)*$I316)</f>
        <v/>
      </c>
      <c r="L316" s="27">
        <f>IF(OR($B316="",$H316="",$I316=""),"",$I316-$H316)</f>
        <v/>
      </c>
      <c r="M316" s="72">
        <f>IF($L316="","",$L316*N($G316))</f>
        <v/>
      </c>
      <c r="N316" s="73">
        <f>IF($L316="","",IF($H316&gt;0,ROUND($L316/$H316,4),"－"))</f>
        <v/>
      </c>
      <c r="O316" s="29">
        <f>IF($B316="","",IF($L316="","未入力",IF($L316=0,"一致",IF(OR(NOT(ISNUMBER($N316)),AND('設定'!$B$10&lt;&gt;"",ABS(N($N316))&gt;'設定'!$B$10),AND('設定'!$B$11&lt;&gt;"",ABS(ROUND($M316,4))&gt;'設定'!$B$11),AND('設定'!$B$10="",'設定'!$B$11="")),"要確認","許容内"))))</f>
        <v/>
      </c>
      <c r="P316" s="29">
        <f>IF($O316&lt;&gt;"要確認","",IF($Q316=0,"済",IF(COUNTIF('差異の原因'!$B$5:$B$204,$B316)=0,"未記録","一部")))</f>
        <v/>
      </c>
      <c r="Q316" s="27">
        <f>IF($L316="","",IF(AND($L316=0,COUNTIF('差異の原因'!$B$5:$B$204,$B316)=0),"",ROUND($L316-SUMIF('差異の原因'!$B$5:$B$204,$B316,'差異の原因'!$G$5:$G$204),6)))</f>
        <v/>
      </c>
      <c r="R316" s="30" t="n"/>
      <c r="S316" s="23" t="n"/>
      <c r="T316" s="29">
        <f>IF(OR($B316="",NOT(ISNUMBER($R316))),"",IF(IF(ISNUMBER($I316),$I316,N($H316))&lt;=0,"",IF($R316&lt;'設定'!$B$6,"期限切れ",IF($R316='設定'!$B$6,"当日",IF($R316-'設定'!$B$6&lt;=N('設定'!$B$14),"あと"&amp;($R316-'設定'!$B$6)&amp;"日","")))))</f>
        <v/>
      </c>
      <c r="U316" s="61" t="n"/>
      <c r="V316" s="31">
        <f>IF(AND($B316&lt;&gt;"",$E316&lt;&gt;"",$E316='数える用紙'!$C$2),ROW(),"")</f>
        <v/>
      </c>
      <c r="W316" s="74">
        <f>IF(AND($B316&lt;&gt;"",ISNUMBER($R316)),IF(AND($R316&lt;='設定'!$B$6+N('設定'!$B$14),IF(ISNUMBER($I316),$I316,N($H316))&gt;0),$R316+ROW()/100000,""),"")</f>
        <v/>
      </c>
    </row>
    <row r="317" ht="18" customHeight="1">
      <c r="A317" s="22" t="n">
        <v>313</v>
      </c>
      <c r="B317" s="23" t="n"/>
      <c r="C317" s="24" t="n"/>
      <c r="D317" s="24" t="n"/>
      <c r="E317" s="23" t="n"/>
      <c r="F317" s="23" t="n"/>
      <c r="G317" s="25" t="n"/>
      <c r="H317" s="25" t="n"/>
      <c r="I317" s="25" t="n"/>
      <c r="J317" s="72">
        <f>IF(OR($B317="",$H317=""),"",N($G317)*$H317)</f>
        <v/>
      </c>
      <c r="K317" s="72">
        <f>IF(OR($B317="",$I317=""),"",N($G317)*$I317)</f>
        <v/>
      </c>
      <c r="L317" s="27">
        <f>IF(OR($B317="",$H317="",$I317=""),"",$I317-$H317)</f>
        <v/>
      </c>
      <c r="M317" s="72">
        <f>IF($L317="","",$L317*N($G317))</f>
        <v/>
      </c>
      <c r="N317" s="73">
        <f>IF($L317="","",IF($H317&gt;0,ROUND($L317/$H317,4),"－"))</f>
        <v/>
      </c>
      <c r="O317" s="29">
        <f>IF($B317="","",IF($L317="","未入力",IF($L317=0,"一致",IF(OR(NOT(ISNUMBER($N317)),AND('設定'!$B$10&lt;&gt;"",ABS(N($N317))&gt;'設定'!$B$10),AND('設定'!$B$11&lt;&gt;"",ABS(ROUND($M317,4))&gt;'設定'!$B$11),AND('設定'!$B$10="",'設定'!$B$11="")),"要確認","許容内"))))</f>
        <v/>
      </c>
      <c r="P317" s="29">
        <f>IF($O317&lt;&gt;"要確認","",IF($Q317=0,"済",IF(COUNTIF('差異の原因'!$B$5:$B$204,$B317)=0,"未記録","一部")))</f>
        <v/>
      </c>
      <c r="Q317" s="27">
        <f>IF($L317="","",IF(AND($L317=0,COUNTIF('差異の原因'!$B$5:$B$204,$B317)=0),"",ROUND($L317-SUMIF('差異の原因'!$B$5:$B$204,$B317,'差異の原因'!$G$5:$G$204),6)))</f>
        <v/>
      </c>
      <c r="R317" s="30" t="n"/>
      <c r="S317" s="23" t="n"/>
      <c r="T317" s="29">
        <f>IF(OR($B317="",NOT(ISNUMBER($R317))),"",IF(IF(ISNUMBER($I317),$I317,N($H317))&lt;=0,"",IF($R317&lt;'設定'!$B$6,"期限切れ",IF($R317='設定'!$B$6,"当日",IF($R317-'設定'!$B$6&lt;=N('設定'!$B$14),"あと"&amp;($R317-'設定'!$B$6)&amp;"日","")))))</f>
        <v/>
      </c>
      <c r="U317" s="61" t="n"/>
      <c r="V317" s="31">
        <f>IF(AND($B317&lt;&gt;"",$E317&lt;&gt;"",$E317='数える用紙'!$C$2),ROW(),"")</f>
        <v/>
      </c>
      <c r="W317" s="74">
        <f>IF(AND($B317&lt;&gt;"",ISNUMBER($R317)),IF(AND($R317&lt;='設定'!$B$6+N('設定'!$B$14),IF(ISNUMBER($I317),$I317,N($H317))&gt;0),$R317+ROW()/100000,""),"")</f>
        <v/>
      </c>
    </row>
    <row r="318" ht="18" customHeight="1">
      <c r="A318" s="22" t="n">
        <v>314</v>
      </c>
      <c r="B318" s="23" t="n"/>
      <c r="C318" s="24" t="n"/>
      <c r="D318" s="24" t="n"/>
      <c r="E318" s="23" t="n"/>
      <c r="F318" s="23" t="n"/>
      <c r="G318" s="25" t="n"/>
      <c r="H318" s="25" t="n"/>
      <c r="I318" s="25" t="n"/>
      <c r="J318" s="72">
        <f>IF(OR($B318="",$H318=""),"",N($G318)*$H318)</f>
        <v/>
      </c>
      <c r="K318" s="72">
        <f>IF(OR($B318="",$I318=""),"",N($G318)*$I318)</f>
        <v/>
      </c>
      <c r="L318" s="27">
        <f>IF(OR($B318="",$H318="",$I318=""),"",$I318-$H318)</f>
        <v/>
      </c>
      <c r="M318" s="72">
        <f>IF($L318="","",$L318*N($G318))</f>
        <v/>
      </c>
      <c r="N318" s="73">
        <f>IF($L318="","",IF($H318&gt;0,ROUND($L318/$H318,4),"－"))</f>
        <v/>
      </c>
      <c r="O318" s="29">
        <f>IF($B318="","",IF($L318="","未入力",IF($L318=0,"一致",IF(OR(NOT(ISNUMBER($N318)),AND('設定'!$B$10&lt;&gt;"",ABS(N($N318))&gt;'設定'!$B$10),AND('設定'!$B$11&lt;&gt;"",ABS(ROUND($M318,4))&gt;'設定'!$B$11),AND('設定'!$B$10="",'設定'!$B$11="")),"要確認","許容内"))))</f>
        <v/>
      </c>
      <c r="P318" s="29">
        <f>IF($O318&lt;&gt;"要確認","",IF($Q318=0,"済",IF(COUNTIF('差異の原因'!$B$5:$B$204,$B318)=0,"未記録","一部")))</f>
        <v/>
      </c>
      <c r="Q318" s="27">
        <f>IF($L318="","",IF(AND($L318=0,COUNTIF('差異の原因'!$B$5:$B$204,$B318)=0),"",ROUND($L318-SUMIF('差異の原因'!$B$5:$B$204,$B318,'差異の原因'!$G$5:$G$204),6)))</f>
        <v/>
      </c>
      <c r="R318" s="30" t="n"/>
      <c r="S318" s="23" t="n"/>
      <c r="T318" s="29">
        <f>IF(OR($B318="",NOT(ISNUMBER($R318))),"",IF(IF(ISNUMBER($I318),$I318,N($H318))&lt;=0,"",IF($R318&lt;'設定'!$B$6,"期限切れ",IF($R318='設定'!$B$6,"当日",IF($R318-'設定'!$B$6&lt;=N('設定'!$B$14),"あと"&amp;($R318-'設定'!$B$6)&amp;"日","")))))</f>
        <v/>
      </c>
      <c r="U318" s="61" t="n"/>
      <c r="V318" s="31">
        <f>IF(AND($B318&lt;&gt;"",$E318&lt;&gt;"",$E318='数える用紙'!$C$2),ROW(),"")</f>
        <v/>
      </c>
      <c r="W318" s="74">
        <f>IF(AND($B318&lt;&gt;"",ISNUMBER($R318)),IF(AND($R318&lt;='設定'!$B$6+N('設定'!$B$14),IF(ISNUMBER($I318),$I318,N($H318))&gt;0),$R318+ROW()/100000,""),"")</f>
        <v/>
      </c>
    </row>
    <row r="319" ht="18" customHeight="1">
      <c r="A319" s="22" t="n">
        <v>315</v>
      </c>
      <c r="B319" s="23" t="n"/>
      <c r="C319" s="24" t="n"/>
      <c r="D319" s="24" t="n"/>
      <c r="E319" s="23" t="n"/>
      <c r="F319" s="23" t="n"/>
      <c r="G319" s="25" t="n"/>
      <c r="H319" s="25" t="n"/>
      <c r="I319" s="25" t="n"/>
      <c r="J319" s="72">
        <f>IF(OR($B319="",$H319=""),"",N($G319)*$H319)</f>
        <v/>
      </c>
      <c r="K319" s="72">
        <f>IF(OR($B319="",$I319=""),"",N($G319)*$I319)</f>
        <v/>
      </c>
      <c r="L319" s="27">
        <f>IF(OR($B319="",$H319="",$I319=""),"",$I319-$H319)</f>
        <v/>
      </c>
      <c r="M319" s="72">
        <f>IF($L319="","",$L319*N($G319))</f>
        <v/>
      </c>
      <c r="N319" s="73">
        <f>IF($L319="","",IF($H319&gt;0,ROUND($L319/$H319,4),"－"))</f>
        <v/>
      </c>
      <c r="O319" s="29">
        <f>IF($B319="","",IF($L319="","未入力",IF($L319=0,"一致",IF(OR(NOT(ISNUMBER($N319)),AND('設定'!$B$10&lt;&gt;"",ABS(N($N319))&gt;'設定'!$B$10),AND('設定'!$B$11&lt;&gt;"",ABS(ROUND($M319,4))&gt;'設定'!$B$11),AND('設定'!$B$10="",'設定'!$B$11="")),"要確認","許容内"))))</f>
        <v/>
      </c>
      <c r="P319" s="29">
        <f>IF($O319&lt;&gt;"要確認","",IF($Q319=0,"済",IF(COUNTIF('差異の原因'!$B$5:$B$204,$B319)=0,"未記録","一部")))</f>
        <v/>
      </c>
      <c r="Q319" s="27">
        <f>IF($L319="","",IF(AND($L319=0,COUNTIF('差異の原因'!$B$5:$B$204,$B319)=0),"",ROUND($L319-SUMIF('差異の原因'!$B$5:$B$204,$B319,'差異の原因'!$G$5:$G$204),6)))</f>
        <v/>
      </c>
      <c r="R319" s="30" t="n"/>
      <c r="S319" s="23" t="n"/>
      <c r="T319" s="29">
        <f>IF(OR($B319="",NOT(ISNUMBER($R319))),"",IF(IF(ISNUMBER($I319),$I319,N($H319))&lt;=0,"",IF($R319&lt;'設定'!$B$6,"期限切れ",IF($R319='設定'!$B$6,"当日",IF($R319-'設定'!$B$6&lt;=N('設定'!$B$14),"あと"&amp;($R319-'設定'!$B$6)&amp;"日","")))))</f>
        <v/>
      </c>
      <c r="U319" s="61" t="n"/>
      <c r="V319" s="31">
        <f>IF(AND($B319&lt;&gt;"",$E319&lt;&gt;"",$E319='数える用紙'!$C$2),ROW(),"")</f>
        <v/>
      </c>
      <c r="W319" s="74">
        <f>IF(AND($B319&lt;&gt;"",ISNUMBER($R319)),IF(AND($R319&lt;='設定'!$B$6+N('設定'!$B$14),IF(ISNUMBER($I319),$I319,N($H319))&gt;0),$R319+ROW()/100000,""),"")</f>
        <v/>
      </c>
    </row>
    <row r="320" ht="18" customHeight="1">
      <c r="A320" s="22" t="n">
        <v>316</v>
      </c>
      <c r="B320" s="23" t="n"/>
      <c r="C320" s="24" t="n"/>
      <c r="D320" s="24" t="n"/>
      <c r="E320" s="23" t="n"/>
      <c r="F320" s="23" t="n"/>
      <c r="G320" s="25" t="n"/>
      <c r="H320" s="25" t="n"/>
      <c r="I320" s="25" t="n"/>
      <c r="J320" s="72">
        <f>IF(OR($B320="",$H320=""),"",N($G320)*$H320)</f>
        <v/>
      </c>
      <c r="K320" s="72">
        <f>IF(OR($B320="",$I320=""),"",N($G320)*$I320)</f>
        <v/>
      </c>
      <c r="L320" s="27">
        <f>IF(OR($B320="",$H320="",$I320=""),"",$I320-$H320)</f>
        <v/>
      </c>
      <c r="M320" s="72">
        <f>IF($L320="","",$L320*N($G320))</f>
        <v/>
      </c>
      <c r="N320" s="73">
        <f>IF($L320="","",IF($H320&gt;0,ROUND($L320/$H320,4),"－"))</f>
        <v/>
      </c>
      <c r="O320" s="29">
        <f>IF($B320="","",IF($L320="","未入力",IF($L320=0,"一致",IF(OR(NOT(ISNUMBER($N320)),AND('設定'!$B$10&lt;&gt;"",ABS(N($N320))&gt;'設定'!$B$10),AND('設定'!$B$11&lt;&gt;"",ABS(ROUND($M320,4))&gt;'設定'!$B$11),AND('設定'!$B$10="",'設定'!$B$11="")),"要確認","許容内"))))</f>
        <v/>
      </c>
      <c r="P320" s="29">
        <f>IF($O320&lt;&gt;"要確認","",IF($Q320=0,"済",IF(COUNTIF('差異の原因'!$B$5:$B$204,$B320)=0,"未記録","一部")))</f>
        <v/>
      </c>
      <c r="Q320" s="27">
        <f>IF($L320="","",IF(AND($L320=0,COUNTIF('差異の原因'!$B$5:$B$204,$B320)=0),"",ROUND($L320-SUMIF('差異の原因'!$B$5:$B$204,$B320,'差異の原因'!$G$5:$G$204),6)))</f>
        <v/>
      </c>
      <c r="R320" s="30" t="n"/>
      <c r="S320" s="23" t="n"/>
      <c r="T320" s="29">
        <f>IF(OR($B320="",NOT(ISNUMBER($R320))),"",IF(IF(ISNUMBER($I320),$I320,N($H320))&lt;=0,"",IF($R320&lt;'設定'!$B$6,"期限切れ",IF($R320='設定'!$B$6,"当日",IF($R320-'設定'!$B$6&lt;=N('設定'!$B$14),"あと"&amp;($R320-'設定'!$B$6)&amp;"日","")))))</f>
        <v/>
      </c>
      <c r="U320" s="61" t="n"/>
      <c r="V320" s="31">
        <f>IF(AND($B320&lt;&gt;"",$E320&lt;&gt;"",$E320='数える用紙'!$C$2),ROW(),"")</f>
        <v/>
      </c>
      <c r="W320" s="74">
        <f>IF(AND($B320&lt;&gt;"",ISNUMBER($R320)),IF(AND($R320&lt;='設定'!$B$6+N('設定'!$B$14),IF(ISNUMBER($I320),$I320,N($H320))&gt;0),$R320+ROW()/100000,""),"")</f>
        <v/>
      </c>
    </row>
    <row r="321" ht="18" customHeight="1">
      <c r="A321" s="22" t="n">
        <v>317</v>
      </c>
      <c r="B321" s="23" t="n"/>
      <c r="C321" s="24" t="n"/>
      <c r="D321" s="24" t="n"/>
      <c r="E321" s="23" t="n"/>
      <c r="F321" s="23" t="n"/>
      <c r="G321" s="25" t="n"/>
      <c r="H321" s="25" t="n"/>
      <c r="I321" s="25" t="n"/>
      <c r="J321" s="72">
        <f>IF(OR($B321="",$H321=""),"",N($G321)*$H321)</f>
        <v/>
      </c>
      <c r="K321" s="72">
        <f>IF(OR($B321="",$I321=""),"",N($G321)*$I321)</f>
        <v/>
      </c>
      <c r="L321" s="27">
        <f>IF(OR($B321="",$H321="",$I321=""),"",$I321-$H321)</f>
        <v/>
      </c>
      <c r="M321" s="72">
        <f>IF($L321="","",$L321*N($G321))</f>
        <v/>
      </c>
      <c r="N321" s="73">
        <f>IF($L321="","",IF($H321&gt;0,ROUND($L321/$H321,4),"－"))</f>
        <v/>
      </c>
      <c r="O321" s="29">
        <f>IF($B321="","",IF($L321="","未入力",IF($L321=0,"一致",IF(OR(NOT(ISNUMBER($N321)),AND('設定'!$B$10&lt;&gt;"",ABS(N($N321))&gt;'設定'!$B$10),AND('設定'!$B$11&lt;&gt;"",ABS(ROUND($M321,4))&gt;'設定'!$B$11),AND('設定'!$B$10="",'設定'!$B$11="")),"要確認","許容内"))))</f>
        <v/>
      </c>
      <c r="P321" s="29">
        <f>IF($O321&lt;&gt;"要確認","",IF($Q321=0,"済",IF(COUNTIF('差異の原因'!$B$5:$B$204,$B321)=0,"未記録","一部")))</f>
        <v/>
      </c>
      <c r="Q321" s="27">
        <f>IF($L321="","",IF(AND($L321=0,COUNTIF('差異の原因'!$B$5:$B$204,$B321)=0),"",ROUND($L321-SUMIF('差異の原因'!$B$5:$B$204,$B321,'差異の原因'!$G$5:$G$204),6)))</f>
        <v/>
      </c>
      <c r="R321" s="30" t="n"/>
      <c r="S321" s="23" t="n"/>
      <c r="T321" s="29">
        <f>IF(OR($B321="",NOT(ISNUMBER($R321))),"",IF(IF(ISNUMBER($I321),$I321,N($H321))&lt;=0,"",IF($R321&lt;'設定'!$B$6,"期限切れ",IF($R321='設定'!$B$6,"当日",IF($R321-'設定'!$B$6&lt;=N('設定'!$B$14),"あと"&amp;($R321-'設定'!$B$6)&amp;"日","")))))</f>
        <v/>
      </c>
      <c r="U321" s="61" t="n"/>
      <c r="V321" s="31">
        <f>IF(AND($B321&lt;&gt;"",$E321&lt;&gt;"",$E321='数える用紙'!$C$2),ROW(),"")</f>
        <v/>
      </c>
      <c r="W321" s="74">
        <f>IF(AND($B321&lt;&gt;"",ISNUMBER($R321)),IF(AND($R321&lt;='設定'!$B$6+N('設定'!$B$14),IF(ISNUMBER($I321),$I321,N($H321))&gt;0),$R321+ROW()/100000,""),"")</f>
        <v/>
      </c>
    </row>
    <row r="322" ht="18" customHeight="1">
      <c r="A322" s="22" t="n">
        <v>318</v>
      </c>
      <c r="B322" s="23" t="n"/>
      <c r="C322" s="24" t="n"/>
      <c r="D322" s="24" t="n"/>
      <c r="E322" s="23" t="n"/>
      <c r="F322" s="23" t="n"/>
      <c r="G322" s="25" t="n"/>
      <c r="H322" s="25" t="n"/>
      <c r="I322" s="25" t="n"/>
      <c r="J322" s="72">
        <f>IF(OR($B322="",$H322=""),"",N($G322)*$H322)</f>
        <v/>
      </c>
      <c r="K322" s="72">
        <f>IF(OR($B322="",$I322=""),"",N($G322)*$I322)</f>
        <v/>
      </c>
      <c r="L322" s="27">
        <f>IF(OR($B322="",$H322="",$I322=""),"",$I322-$H322)</f>
        <v/>
      </c>
      <c r="M322" s="72">
        <f>IF($L322="","",$L322*N($G322))</f>
        <v/>
      </c>
      <c r="N322" s="73">
        <f>IF($L322="","",IF($H322&gt;0,ROUND($L322/$H322,4),"－"))</f>
        <v/>
      </c>
      <c r="O322" s="29">
        <f>IF($B322="","",IF($L322="","未入力",IF($L322=0,"一致",IF(OR(NOT(ISNUMBER($N322)),AND('設定'!$B$10&lt;&gt;"",ABS(N($N322))&gt;'設定'!$B$10),AND('設定'!$B$11&lt;&gt;"",ABS(ROUND($M322,4))&gt;'設定'!$B$11),AND('設定'!$B$10="",'設定'!$B$11="")),"要確認","許容内"))))</f>
        <v/>
      </c>
      <c r="P322" s="29">
        <f>IF($O322&lt;&gt;"要確認","",IF($Q322=0,"済",IF(COUNTIF('差異の原因'!$B$5:$B$204,$B322)=0,"未記録","一部")))</f>
        <v/>
      </c>
      <c r="Q322" s="27">
        <f>IF($L322="","",IF(AND($L322=0,COUNTIF('差異の原因'!$B$5:$B$204,$B322)=0),"",ROUND($L322-SUMIF('差異の原因'!$B$5:$B$204,$B322,'差異の原因'!$G$5:$G$204),6)))</f>
        <v/>
      </c>
      <c r="R322" s="30" t="n"/>
      <c r="S322" s="23" t="n"/>
      <c r="T322" s="29">
        <f>IF(OR($B322="",NOT(ISNUMBER($R322))),"",IF(IF(ISNUMBER($I322),$I322,N($H322))&lt;=0,"",IF($R322&lt;'設定'!$B$6,"期限切れ",IF($R322='設定'!$B$6,"当日",IF($R322-'設定'!$B$6&lt;=N('設定'!$B$14),"あと"&amp;($R322-'設定'!$B$6)&amp;"日","")))))</f>
        <v/>
      </c>
      <c r="U322" s="61" t="n"/>
      <c r="V322" s="31">
        <f>IF(AND($B322&lt;&gt;"",$E322&lt;&gt;"",$E322='数える用紙'!$C$2),ROW(),"")</f>
        <v/>
      </c>
      <c r="W322" s="74">
        <f>IF(AND($B322&lt;&gt;"",ISNUMBER($R322)),IF(AND($R322&lt;='設定'!$B$6+N('設定'!$B$14),IF(ISNUMBER($I322),$I322,N($H322))&gt;0),$R322+ROW()/100000,""),"")</f>
        <v/>
      </c>
    </row>
    <row r="323" ht="18" customHeight="1">
      <c r="A323" s="22" t="n">
        <v>319</v>
      </c>
      <c r="B323" s="23" t="n"/>
      <c r="C323" s="24" t="n"/>
      <c r="D323" s="24" t="n"/>
      <c r="E323" s="23" t="n"/>
      <c r="F323" s="23" t="n"/>
      <c r="G323" s="25" t="n"/>
      <c r="H323" s="25" t="n"/>
      <c r="I323" s="25" t="n"/>
      <c r="J323" s="72">
        <f>IF(OR($B323="",$H323=""),"",N($G323)*$H323)</f>
        <v/>
      </c>
      <c r="K323" s="72">
        <f>IF(OR($B323="",$I323=""),"",N($G323)*$I323)</f>
        <v/>
      </c>
      <c r="L323" s="27">
        <f>IF(OR($B323="",$H323="",$I323=""),"",$I323-$H323)</f>
        <v/>
      </c>
      <c r="M323" s="72">
        <f>IF($L323="","",$L323*N($G323))</f>
        <v/>
      </c>
      <c r="N323" s="73">
        <f>IF($L323="","",IF($H323&gt;0,ROUND($L323/$H323,4),"－"))</f>
        <v/>
      </c>
      <c r="O323" s="29">
        <f>IF($B323="","",IF($L323="","未入力",IF($L323=0,"一致",IF(OR(NOT(ISNUMBER($N323)),AND('設定'!$B$10&lt;&gt;"",ABS(N($N323))&gt;'設定'!$B$10),AND('設定'!$B$11&lt;&gt;"",ABS(ROUND($M323,4))&gt;'設定'!$B$11),AND('設定'!$B$10="",'設定'!$B$11="")),"要確認","許容内"))))</f>
        <v/>
      </c>
      <c r="P323" s="29">
        <f>IF($O323&lt;&gt;"要確認","",IF($Q323=0,"済",IF(COUNTIF('差異の原因'!$B$5:$B$204,$B323)=0,"未記録","一部")))</f>
        <v/>
      </c>
      <c r="Q323" s="27">
        <f>IF($L323="","",IF(AND($L323=0,COUNTIF('差異の原因'!$B$5:$B$204,$B323)=0),"",ROUND($L323-SUMIF('差異の原因'!$B$5:$B$204,$B323,'差異の原因'!$G$5:$G$204),6)))</f>
        <v/>
      </c>
      <c r="R323" s="30" t="n"/>
      <c r="S323" s="23" t="n"/>
      <c r="T323" s="29">
        <f>IF(OR($B323="",NOT(ISNUMBER($R323))),"",IF(IF(ISNUMBER($I323),$I323,N($H323))&lt;=0,"",IF($R323&lt;'設定'!$B$6,"期限切れ",IF($R323='設定'!$B$6,"当日",IF($R323-'設定'!$B$6&lt;=N('設定'!$B$14),"あと"&amp;($R323-'設定'!$B$6)&amp;"日","")))))</f>
        <v/>
      </c>
      <c r="U323" s="61" t="n"/>
      <c r="V323" s="31">
        <f>IF(AND($B323&lt;&gt;"",$E323&lt;&gt;"",$E323='数える用紙'!$C$2),ROW(),"")</f>
        <v/>
      </c>
      <c r="W323" s="74">
        <f>IF(AND($B323&lt;&gt;"",ISNUMBER($R323)),IF(AND($R323&lt;='設定'!$B$6+N('設定'!$B$14),IF(ISNUMBER($I323),$I323,N($H323))&gt;0),$R323+ROW()/100000,""),"")</f>
        <v/>
      </c>
    </row>
    <row r="324" ht="18" customHeight="1">
      <c r="A324" s="22" t="n">
        <v>320</v>
      </c>
      <c r="B324" s="23" t="n"/>
      <c r="C324" s="24" t="n"/>
      <c r="D324" s="24" t="n"/>
      <c r="E324" s="23" t="n"/>
      <c r="F324" s="23" t="n"/>
      <c r="G324" s="25" t="n"/>
      <c r="H324" s="25" t="n"/>
      <c r="I324" s="25" t="n"/>
      <c r="J324" s="72">
        <f>IF(OR($B324="",$H324=""),"",N($G324)*$H324)</f>
        <v/>
      </c>
      <c r="K324" s="72">
        <f>IF(OR($B324="",$I324=""),"",N($G324)*$I324)</f>
        <v/>
      </c>
      <c r="L324" s="27">
        <f>IF(OR($B324="",$H324="",$I324=""),"",$I324-$H324)</f>
        <v/>
      </c>
      <c r="M324" s="72">
        <f>IF($L324="","",$L324*N($G324))</f>
        <v/>
      </c>
      <c r="N324" s="73">
        <f>IF($L324="","",IF($H324&gt;0,ROUND($L324/$H324,4),"－"))</f>
        <v/>
      </c>
      <c r="O324" s="29">
        <f>IF($B324="","",IF($L324="","未入力",IF($L324=0,"一致",IF(OR(NOT(ISNUMBER($N324)),AND('設定'!$B$10&lt;&gt;"",ABS(N($N324))&gt;'設定'!$B$10),AND('設定'!$B$11&lt;&gt;"",ABS(ROUND($M324,4))&gt;'設定'!$B$11),AND('設定'!$B$10="",'設定'!$B$11="")),"要確認","許容内"))))</f>
        <v/>
      </c>
      <c r="P324" s="29">
        <f>IF($O324&lt;&gt;"要確認","",IF($Q324=0,"済",IF(COUNTIF('差異の原因'!$B$5:$B$204,$B324)=0,"未記録","一部")))</f>
        <v/>
      </c>
      <c r="Q324" s="27">
        <f>IF($L324="","",IF(AND($L324=0,COUNTIF('差異の原因'!$B$5:$B$204,$B324)=0),"",ROUND($L324-SUMIF('差異の原因'!$B$5:$B$204,$B324,'差異の原因'!$G$5:$G$204),6)))</f>
        <v/>
      </c>
      <c r="R324" s="30" t="n"/>
      <c r="S324" s="23" t="n"/>
      <c r="T324" s="29">
        <f>IF(OR($B324="",NOT(ISNUMBER($R324))),"",IF(IF(ISNUMBER($I324),$I324,N($H324))&lt;=0,"",IF($R324&lt;'設定'!$B$6,"期限切れ",IF($R324='設定'!$B$6,"当日",IF($R324-'設定'!$B$6&lt;=N('設定'!$B$14),"あと"&amp;($R324-'設定'!$B$6)&amp;"日","")))))</f>
        <v/>
      </c>
      <c r="U324" s="61" t="n"/>
      <c r="V324" s="31">
        <f>IF(AND($B324&lt;&gt;"",$E324&lt;&gt;"",$E324='数える用紙'!$C$2),ROW(),"")</f>
        <v/>
      </c>
      <c r="W324" s="74">
        <f>IF(AND($B324&lt;&gt;"",ISNUMBER($R324)),IF(AND($R324&lt;='設定'!$B$6+N('設定'!$B$14),IF(ISNUMBER($I324),$I324,N($H324))&gt;0),$R324+ROW()/100000,""),"")</f>
        <v/>
      </c>
    </row>
    <row r="325" ht="18" customHeight="1">
      <c r="A325" s="22" t="n">
        <v>321</v>
      </c>
      <c r="B325" s="23" t="n"/>
      <c r="C325" s="24" t="n"/>
      <c r="D325" s="24" t="n"/>
      <c r="E325" s="23" t="n"/>
      <c r="F325" s="23" t="n"/>
      <c r="G325" s="25" t="n"/>
      <c r="H325" s="25" t="n"/>
      <c r="I325" s="25" t="n"/>
      <c r="J325" s="72">
        <f>IF(OR($B325="",$H325=""),"",N($G325)*$H325)</f>
        <v/>
      </c>
      <c r="K325" s="72">
        <f>IF(OR($B325="",$I325=""),"",N($G325)*$I325)</f>
        <v/>
      </c>
      <c r="L325" s="27">
        <f>IF(OR($B325="",$H325="",$I325=""),"",$I325-$H325)</f>
        <v/>
      </c>
      <c r="M325" s="72">
        <f>IF($L325="","",$L325*N($G325))</f>
        <v/>
      </c>
      <c r="N325" s="73">
        <f>IF($L325="","",IF($H325&gt;0,ROUND($L325/$H325,4),"－"))</f>
        <v/>
      </c>
      <c r="O325" s="29">
        <f>IF($B325="","",IF($L325="","未入力",IF($L325=0,"一致",IF(OR(NOT(ISNUMBER($N325)),AND('設定'!$B$10&lt;&gt;"",ABS(N($N325))&gt;'設定'!$B$10),AND('設定'!$B$11&lt;&gt;"",ABS(ROUND($M325,4))&gt;'設定'!$B$11),AND('設定'!$B$10="",'設定'!$B$11="")),"要確認","許容内"))))</f>
        <v/>
      </c>
      <c r="P325" s="29">
        <f>IF($O325&lt;&gt;"要確認","",IF($Q325=0,"済",IF(COUNTIF('差異の原因'!$B$5:$B$204,$B325)=0,"未記録","一部")))</f>
        <v/>
      </c>
      <c r="Q325" s="27">
        <f>IF($L325="","",IF(AND($L325=0,COUNTIF('差異の原因'!$B$5:$B$204,$B325)=0),"",ROUND($L325-SUMIF('差異の原因'!$B$5:$B$204,$B325,'差異の原因'!$G$5:$G$204),6)))</f>
        <v/>
      </c>
      <c r="R325" s="30" t="n"/>
      <c r="S325" s="23" t="n"/>
      <c r="T325" s="29">
        <f>IF(OR($B325="",NOT(ISNUMBER($R325))),"",IF(IF(ISNUMBER($I325),$I325,N($H325))&lt;=0,"",IF($R325&lt;'設定'!$B$6,"期限切れ",IF($R325='設定'!$B$6,"当日",IF($R325-'設定'!$B$6&lt;=N('設定'!$B$14),"あと"&amp;($R325-'設定'!$B$6)&amp;"日","")))))</f>
        <v/>
      </c>
      <c r="U325" s="61" t="n"/>
      <c r="V325" s="31">
        <f>IF(AND($B325&lt;&gt;"",$E325&lt;&gt;"",$E325='数える用紙'!$C$2),ROW(),"")</f>
        <v/>
      </c>
      <c r="W325" s="74">
        <f>IF(AND($B325&lt;&gt;"",ISNUMBER($R325)),IF(AND($R325&lt;='設定'!$B$6+N('設定'!$B$14),IF(ISNUMBER($I325),$I325,N($H325))&gt;0),$R325+ROW()/100000,""),"")</f>
        <v/>
      </c>
    </row>
    <row r="326" ht="18" customHeight="1">
      <c r="A326" s="22" t="n">
        <v>322</v>
      </c>
      <c r="B326" s="23" t="n"/>
      <c r="C326" s="24" t="n"/>
      <c r="D326" s="24" t="n"/>
      <c r="E326" s="23" t="n"/>
      <c r="F326" s="23" t="n"/>
      <c r="G326" s="25" t="n"/>
      <c r="H326" s="25" t="n"/>
      <c r="I326" s="25" t="n"/>
      <c r="J326" s="72">
        <f>IF(OR($B326="",$H326=""),"",N($G326)*$H326)</f>
        <v/>
      </c>
      <c r="K326" s="72">
        <f>IF(OR($B326="",$I326=""),"",N($G326)*$I326)</f>
        <v/>
      </c>
      <c r="L326" s="27">
        <f>IF(OR($B326="",$H326="",$I326=""),"",$I326-$H326)</f>
        <v/>
      </c>
      <c r="M326" s="72">
        <f>IF($L326="","",$L326*N($G326))</f>
        <v/>
      </c>
      <c r="N326" s="73">
        <f>IF($L326="","",IF($H326&gt;0,ROUND($L326/$H326,4),"－"))</f>
        <v/>
      </c>
      <c r="O326" s="29">
        <f>IF($B326="","",IF($L326="","未入力",IF($L326=0,"一致",IF(OR(NOT(ISNUMBER($N326)),AND('設定'!$B$10&lt;&gt;"",ABS(N($N326))&gt;'設定'!$B$10),AND('設定'!$B$11&lt;&gt;"",ABS(ROUND($M326,4))&gt;'設定'!$B$11),AND('設定'!$B$10="",'設定'!$B$11="")),"要確認","許容内"))))</f>
        <v/>
      </c>
      <c r="P326" s="29">
        <f>IF($O326&lt;&gt;"要確認","",IF($Q326=0,"済",IF(COUNTIF('差異の原因'!$B$5:$B$204,$B326)=0,"未記録","一部")))</f>
        <v/>
      </c>
      <c r="Q326" s="27">
        <f>IF($L326="","",IF(AND($L326=0,COUNTIF('差異の原因'!$B$5:$B$204,$B326)=0),"",ROUND($L326-SUMIF('差異の原因'!$B$5:$B$204,$B326,'差異の原因'!$G$5:$G$204),6)))</f>
        <v/>
      </c>
      <c r="R326" s="30" t="n"/>
      <c r="S326" s="23" t="n"/>
      <c r="T326" s="29">
        <f>IF(OR($B326="",NOT(ISNUMBER($R326))),"",IF(IF(ISNUMBER($I326),$I326,N($H326))&lt;=0,"",IF($R326&lt;'設定'!$B$6,"期限切れ",IF($R326='設定'!$B$6,"当日",IF($R326-'設定'!$B$6&lt;=N('設定'!$B$14),"あと"&amp;($R326-'設定'!$B$6)&amp;"日","")))))</f>
        <v/>
      </c>
      <c r="U326" s="61" t="n"/>
      <c r="V326" s="31">
        <f>IF(AND($B326&lt;&gt;"",$E326&lt;&gt;"",$E326='数える用紙'!$C$2),ROW(),"")</f>
        <v/>
      </c>
      <c r="W326" s="74">
        <f>IF(AND($B326&lt;&gt;"",ISNUMBER($R326)),IF(AND($R326&lt;='設定'!$B$6+N('設定'!$B$14),IF(ISNUMBER($I326),$I326,N($H326))&gt;0),$R326+ROW()/100000,""),"")</f>
        <v/>
      </c>
    </row>
    <row r="327" ht="18" customHeight="1">
      <c r="A327" s="22" t="n">
        <v>323</v>
      </c>
      <c r="B327" s="23" t="n"/>
      <c r="C327" s="24" t="n"/>
      <c r="D327" s="24" t="n"/>
      <c r="E327" s="23" t="n"/>
      <c r="F327" s="23" t="n"/>
      <c r="G327" s="25" t="n"/>
      <c r="H327" s="25" t="n"/>
      <c r="I327" s="25" t="n"/>
      <c r="J327" s="72">
        <f>IF(OR($B327="",$H327=""),"",N($G327)*$H327)</f>
        <v/>
      </c>
      <c r="K327" s="72">
        <f>IF(OR($B327="",$I327=""),"",N($G327)*$I327)</f>
        <v/>
      </c>
      <c r="L327" s="27">
        <f>IF(OR($B327="",$H327="",$I327=""),"",$I327-$H327)</f>
        <v/>
      </c>
      <c r="M327" s="72">
        <f>IF($L327="","",$L327*N($G327))</f>
        <v/>
      </c>
      <c r="N327" s="73">
        <f>IF($L327="","",IF($H327&gt;0,ROUND($L327/$H327,4),"－"))</f>
        <v/>
      </c>
      <c r="O327" s="29">
        <f>IF($B327="","",IF($L327="","未入力",IF($L327=0,"一致",IF(OR(NOT(ISNUMBER($N327)),AND('設定'!$B$10&lt;&gt;"",ABS(N($N327))&gt;'設定'!$B$10),AND('設定'!$B$11&lt;&gt;"",ABS(ROUND($M327,4))&gt;'設定'!$B$11),AND('設定'!$B$10="",'設定'!$B$11="")),"要確認","許容内"))))</f>
        <v/>
      </c>
      <c r="P327" s="29">
        <f>IF($O327&lt;&gt;"要確認","",IF($Q327=0,"済",IF(COUNTIF('差異の原因'!$B$5:$B$204,$B327)=0,"未記録","一部")))</f>
        <v/>
      </c>
      <c r="Q327" s="27">
        <f>IF($L327="","",IF(AND($L327=0,COUNTIF('差異の原因'!$B$5:$B$204,$B327)=0),"",ROUND($L327-SUMIF('差異の原因'!$B$5:$B$204,$B327,'差異の原因'!$G$5:$G$204),6)))</f>
        <v/>
      </c>
      <c r="R327" s="30" t="n"/>
      <c r="S327" s="23" t="n"/>
      <c r="T327" s="29">
        <f>IF(OR($B327="",NOT(ISNUMBER($R327))),"",IF(IF(ISNUMBER($I327),$I327,N($H327))&lt;=0,"",IF($R327&lt;'設定'!$B$6,"期限切れ",IF($R327='設定'!$B$6,"当日",IF($R327-'設定'!$B$6&lt;=N('設定'!$B$14),"あと"&amp;($R327-'設定'!$B$6)&amp;"日","")))))</f>
        <v/>
      </c>
      <c r="U327" s="61" t="n"/>
      <c r="V327" s="31">
        <f>IF(AND($B327&lt;&gt;"",$E327&lt;&gt;"",$E327='数える用紙'!$C$2),ROW(),"")</f>
        <v/>
      </c>
      <c r="W327" s="74">
        <f>IF(AND($B327&lt;&gt;"",ISNUMBER($R327)),IF(AND($R327&lt;='設定'!$B$6+N('設定'!$B$14),IF(ISNUMBER($I327),$I327,N($H327))&gt;0),$R327+ROW()/100000,""),"")</f>
        <v/>
      </c>
    </row>
    <row r="328" ht="18" customHeight="1">
      <c r="A328" s="22" t="n">
        <v>324</v>
      </c>
      <c r="B328" s="23" t="n"/>
      <c r="C328" s="24" t="n"/>
      <c r="D328" s="24" t="n"/>
      <c r="E328" s="23" t="n"/>
      <c r="F328" s="23" t="n"/>
      <c r="G328" s="25" t="n"/>
      <c r="H328" s="25" t="n"/>
      <c r="I328" s="25" t="n"/>
      <c r="J328" s="72">
        <f>IF(OR($B328="",$H328=""),"",N($G328)*$H328)</f>
        <v/>
      </c>
      <c r="K328" s="72">
        <f>IF(OR($B328="",$I328=""),"",N($G328)*$I328)</f>
        <v/>
      </c>
      <c r="L328" s="27">
        <f>IF(OR($B328="",$H328="",$I328=""),"",$I328-$H328)</f>
        <v/>
      </c>
      <c r="M328" s="72">
        <f>IF($L328="","",$L328*N($G328))</f>
        <v/>
      </c>
      <c r="N328" s="73">
        <f>IF($L328="","",IF($H328&gt;0,ROUND($L328/$H328,4),"－"))</f>
        <v/>
      </c>
      <c r="O328" s="29">
        <f>IF($B328="","",IF($L328="","未入力",IF($L328=0,"一致",IF(OR(NOT(ISNUMBER($N328)),AND('設定'!$B$10&lt;&gt;"",ABS(N($N328))&gt;'設定'!$B$10),AND('設定'!$B$11&lt;&gt;"",ABS(ROUND($M328,4))&gt;'設定'!$B$11),AND('設定'!$B$10="",'設定'!$B$11="")),"要確認","許容内"))))</f>
        <v/>
      </c>
      <c r="P328" s="29">
        <f>IF($O328&lt;&gt;"要確認","",IF($Q328=0,"済",IF(COUNTIF('差異の原因'!$B$5:$B$204,$B328)=0,"未記録","一部")))</f>
        <v/>
      </c>
      <c r="Q328" s="27">
        <f>IF($L328="","",IF(AND($L328=0,COUNTIF('差異の原因'!$B$5:$B$204,$B328)=0),"",ROUND($L328-SUMIF('差異の原因'!$B$5:$B$204,$B328,'差異の原因'!$G$5:$G$204),6)))</f>
        <v/>
      </c>
      <c r="R328" s="30" t="n"/>
      <c r="S328" s="23" t="n"/>
      <c r="T328" s="29">
        <f>IF(OR($B328="",NOT(ISNUMBER($R328))),"",IF(IF(ISNUMBER($I328),$I328,N($H328))&lt;=0,"",IF($R328&lt;'設定'!$B$6,"期限切れ",IF($R328='設定'!$B$6,"当日",IF($R328-'設定'!$B$6&lt;=N('設定'!$B$14),"あと"&amp;($R328-'設定'!$B$6)&amp;"日","")))))</f>
        <v/>
      </c>
      <c r="U328" s="61" t="n"/>
      <c r="V328" s="31">
        <f>IF(AND($B328&lt;&gt;"",$E328&lt;&gt;"",$E328='数える用紙'!$C$2),ROW(),"")</f>
        <v/>
      </c>
      <c r="W328" s="74">
        <f>IF(AND($B328&lt;&gt;"",ISNUMBER($R328)),IF(AND($R328&lt;='設定'!$B$6+N('設定'!$B$14),IF(ISNUMBER($I328),$I328,N($H328))&gt;0),$R328+ROW()/100000,""),"")</f>
        <v/>
      </c>
    </row>
    <row r="329" ht="18" customHeight="1">
      <c r="A329" s="22" t="n">
        <v>325</v>
      </c>
      <c r="B329" s="23" t="n"/>
      <c r="C329" s="24" t="n"/>
      <c r="D329" s="24" t="n"/>
      <c r="E329" s="23" t="n"/>
      <c r="F329" s="23" t="n"/>
      <c r="G329" s="25" t="n"/>
      <c r="H329" s="25" t="n"/>
      <c r="I329" s="25" t="n"/>
      <c r="J329" s="72">
        <f>IF(OR($B329="",$H329=""),"",N($G329)*$H329)</f>
        <v/>
      </c>
      <c r="K329" s="72">
        <f>IF(OR($B329="",$I329=""),"",N($G329)*$I329)</f>
        <v/>
      </c>
      <c r="L329" s="27">
        <f>IF(OR($B329="",$H329="",$I329=""),"",$I329-$H329)</f>
        <v/>
      </c>
      <c r="M329" s="72">
        <f>IF($L329="","",$L329*N($G329))</f>
        <v/>
      </c>
      <c r="N329" s="73">
        <f>IF($L329="","",IF($H329&gt;0,ROUND($L329/$H329,4),"－"))</f>
        <v/>
      </c>
      <c r="O329" s="29">
        <f>IF($B329="","",IF($L329="","未入力",IF($L329=0,"一致",IF(OR(NOT(ISNUMBER($N329)),AND('設定'!$B$10&lt;&gt;"",ABS(N($N329))&gt;'設定'!$B$10),AND('設定'!$B$11&lt;&gt;"",ABS(ROUND($M329,4))&gt;'設定'!$B$11),AND('設定'!$B$10="",'設定'!$B$11="")),"要確認","許容内"))))</f>
        <v/>
      </c>
      <c r="P329" s="29">
        <f>IF($O329&lt;&gt;"要確認","",IF($Q329=0,"済",IF(COUNTIF('差異の原因'!$B$5:$B$204,$B329)=0,"未記録","一部")))</f>
        <v/>
      </c>
      <c r="Q329" s="27">
        <f>IF($L329="","",IF(AND($L329=0,COUNTIF('差異の原因'!$B$5:$B$204,$B329)=0),"",ROUND($L329-SUMIF('差異の原因'!$B$5:$B$204,$B329,'差異の原因'!$G$5:$G$204),6)))</f>
        <v/>
      </c>
      <c r="R329" s="30" t="n"/>
      <c r="S329" s="23" t="n"/>
      <c r="T329" s="29">
        <f>IF(OR($B329="",NOT(ISNUMBER($R329))),"",IF(IF(ISNUMBER($I329),$I329,N($H329))&lt;=0,"",IF($R329&lt;'設定'!$B$6,"期限切れ",IF($R329='設定'!$B$6,"当日",IF($R329-'設定'!$B$6&lt;=N('設定'!$B$14),"あと"&amp;($R329-'設定'!$B$6)&amp;"日","")))))</f>
        <v/>
      </c>
      <c r="U329" s="61" t="n"/>
      <c r="V329" s="31">
        <f>IF(AND($B329&lt;&gt;"",$E329&lt;&gt;"",$E329='数える用紙'!$C$2),ROW(),"")</f>
        <v/>
      </c>
      <c r="W329" s="74">
        <f>IF(AND($B329&lt;&gt;"",ISNUMBER($R329)),IF(AND($R329&lt;='設定'!$B$6+N('設定'!$B$14),IF(ISNUMBER($I329),$I329,N($H329))&gt;0),$R329+ROW()/100000,""),"")</f>
        <v/>
      </c>
    </row>
    <row r="330" ht="18" customHeight="1">
      <c r="A330" s="22" t="n">
        <v>326</v>
      </c>
      <c r="B330" s="23" t="n"/>
      <c r="C330" s="24" t="n"/>
      <c r="D330" s="24" t="n"/>
      <c r="E330" s="23" t="n"/>
      <c r="F330" s="23" t="n"/>
      <c r="G330" s="25" t="n"/>
      <c r="H330" s="25" t="n"/>
      <c r="I330" s="25" t="n"/>
      <c r="J330" s="72">
        <f>IF(OR($B330="",$H330=""),"",N($G330)*$H330)</f>
        <v/>
      </c>
      <c r="K330" s="72">
        <f>IF(OR($B330="",$I330=""),"",N($G330)*$I330)</f>
        <v/>
      </c>
      <c r="L330" s="27">
        <f>IF(OR($B330="",$H330="",$I330=""),"",$I330-$H330)</f>
        <v/>
      </c>
      <c r="M330" s="72">
        <f>IF($L330="","",$L330*N($G330))</f>
        <v/>
      </c>
      <c r="N330" s="73">
        <f>IF($L330="","",IF($H330&gt;0,ROUND($L330/$H330,4),"－"))</f>
        <v/>
      </c>
      <c r="O330" s="29">
        <f>IF($B330="","",IF($L330="","未入力",IF($L330=0,"一致",IF(OR(NOT(ISNUMBER($N330)),AND('設定'!$B$10&lt;&gt;"",ABS(N($N330))&gt;'設定'!$B$10),AND('設定'!$B$11&lt;&gt;"",ABS(ROUND($M330,4))&gt;'設定'!$B$11),AND('設定'!$B$10="",'設定'!$B$11="")),"要確認","許容内"))))</f>
        <v/>
      </c>
      <c r="P330" s="29">
        <f>IF($O330&lt;&gt;"要確認","",IF($Q330=0,"済",IF(COUNTIF('差異の原因'!$B$5:$B$204,$B330)=0,"未記録","一部")))</f>
        <v/>
      </c>
      <c r="Q330" s="27">
        <f>IF($L330="","",IF(AND($L330=0,COUNTIF('差異の原因'!$B$5:$B$204,$B330)=0),"",ROUND($L330-SUMIF('差異の原因'!$B$5:$B$204,$B330,'差異の原因'!$G$5:$G$204),6)))</f>
        <v/>
      </c>
      <c r="R330" s="30" t="n"/>
      <c r="S330" s="23" t="n"/>
      <c r="T330" s="29">
        <f>IF(OR($B330="",NOT(ISNUMBER($R330))),"",IF(IF(ISNUMBER($I330),$I330,N($H330))&lt;=0,"",IF($R330&lt;'設定'!$B$6,"期限切れ",IF($R330='設定'!$B$6,"当日",IF($R330-'設定'!$B$6&lt;=N('設定'!$B$14),"あと"&amp;($R330-'設定'!$B$6)&amp;"日","")))))</f>
        <v/>
      </c>
      <c r="U330" s="61" t="n"/>
      <c r="V330" s="31">
        <f>IF(AND($B330&lt;&gt;"",$E330&lt;&gt;"",$E330='数える用紙'!$C$2),ROW(),"")</f>
        <v/>
      </c>
      <c r="W330" s="74">
        <f>IF(AND($B330&lt;&gt;"",ISNUMBER($R330)),IF(AND($R330&lt;='設定'!$B$6+N('設定'!$B$14),IF(ISNUMBER($I330),$I330,N($H330))&gt;0),$R330+ROW()/100000,""),"")</f>
        <v/>
      </c>
    </row>
    <row r="331" ht="18" customHeight="1">
      <c r="A331" s="22" t="n">
        <v>327</v>
      </c>
      <c r="B331" s="23" t="n"/>
      <c r="C331" s="24" t="n"/>
      <c r="D331" s="24" t="n"/>
      <c r="E331" s="23" t="n"/>
      <c r="F331" s="23" t="n"/>
      <c r="G331" s="25" t="n"/>
      <c r="H331" s="25" t="n"/>
      <c r="I331" s="25" t="n"/>
      <c r="J331" s="72">
        <f>IF(OR($B331="",$H331=""),"",N($G331)*$H331)</f>
        <v/>
      </c>
      <c r="K331" s="72">
        <f>IF(OR($B331="",$I331=""),"",N($G331)*$I331)</f>
        <v/>
      </c>
      <c r="L331" s="27">
        <f>IF(OR($B331="",$H331="",$I331=""),"",$I331-$H331)</f>
        <v/>
      </c>
      <c r="M331" s="72">
        <f>IF($L331="","",$L331*N($G331))</f>
        <v/>
      </c>
      <c r="N331" s="73">
        <f>IF($L331="","",IF($H331&gt;0,ROUND($L331/$H331,4),"－"))</f>
        <v/>
      </c>
      <c r="O331" s="29">
        <f>IF($B331="","",IF($L331="","未入力",IF($L331=0,"一致",IF(OR(NOT(ISNUMBER($N331)),AND('設定'!$B$10&lt;&gt;"",ABS(N($N331))&gt;'設定'!$B$10),AND('設定'!$B$11&lt;&gt;"",ABS(ROUND($M331,4))&gt;'設定'!$B$11),AND('設定'!$B$10="",'設定'!$B$11="")),"要確認","許容内"))))</f>
        <v/>
      </c>
      <c r="P331" s="29">
        <f>IF($O331&lt;&gt;"要確認","",IF($Q331=0,"済",IF(COUNTIF('差異の原因'!$B$5:$B$204,$B331)=0,"未記録","一部")))</f>
        <v/>
      </c>
      <c r="Q331" s="27">
        <f>IF($L331="","",IF(AND($L331=0,COUNTIF('差異の原因'!$B$5:$B$204,$B331)=0),"",ROUND($L331-SUMIF('差異の原因'!$B$5:$B$204,$B331,'差異の原因'!$G$5:$G$204),6)))</f>
        <v/>
      </c>
      <c r="R331" s="30" t="n"/>
      <c r="S331" s="23" t="n"/>
      <c r="T331" s="29">
        <f>IF(OR($B331="",NOT(ISNUMBER($R331))),"",IF(IF(ISNUMBER($I331),$I331,N($H331))&lt;=0,"",IF($R331&lt;'設定'!$B$6,"期限切れ",IF($R331='設定'!$B$6,"当日",IF($R331-'設定'!$B$6&lt;=N('設定'!$B$14),"あと"&amp;($R331-'設定'!$B$6)&amp;"日","")))))</f>
        <v/>
      </c>
      <c r="U331" s="61" t="n"/>
      <c r="V331" s="31">
        <f>IF(AND($B331&lt;&gt;"",$E331&lt;&gt;"",$E331='数える用紙'!$C$2),ROW(),"")</f>
        <v/>
      </c>
      <c r="W331" s="74">
        <f>IF(AND($B331&lt;&gt;"",ISNUMBER($R331)),IF(AND($R331&lt;='設定'!$B$6+N('設定'!$B$14),IF(ISNUMBER($I331),$I331,N($H331))&gt;0),$R331+ROW()/100000,""),"")</f>
        <v/>
      </c>
    </row>
    <row r="332" ht="18" customHeight="1">
      <c r="A332" s="22" t="n">
        <v>328</v>
      </c>
      <c r="B332" s="23" t="n"/>
      <c r="C332" s="24" t="n"/>
      <c r="D332" s="24" t="n"/>
      <c r="E332" s="23" t="n"/>
      <c r="F332" s="23" t="n"/>
      <c r="G332" s="25" t="n"/>
      <c r="H332" s="25" t="n"/>
      <c r="I332" s="25" t="n"/>
      <c r="J332" s="72">
        <f>IF(OR($B332="",$H332=""),"",N($G332)*$H332)</f>
        <v/>
      </c>
      <c r="K332" s="72">
        <f>IF(OR($B332="",$I332=""),"",N($G332)*$I332)</f>
        <v/>
      </c>
      <c r="L332" s="27">
        <f>IF(OR($B332="",$H332="",$I332=""),"",$I332-$H332)</f>
        <v/>
      </c>
      <c r="M332" s="72">
        <f>IF($L332="","",$L332*N($G332))</f>
        <v/>
      </c>
      <c r="N332" s="73">
        <f>IF($L332="","",IF($H332&gt;0,ROUND($L332/$H332,4),"－"))</f>
        <v/>
      </c>
      <c r="O332" s="29">
        <f>IF($B332="","",IF($L332="","未入力",IF($L332=0,"一致",IF(OR(NOT(ISNUMBER($N332)),AND('設定'!$B$10&lt;&gt;"",ABS(N($N332))&gt;'設定'!$B$10),AND('設定'!$B$11&lt;&gt;"",ABS(ROUND($M332,4))&gt;'設定'!$B$11),AND('設定'!$B$10="",'設定'!$B$11="")),"要確認","許容内"))))</f>
        <v/>
      </c>
      <c r="P332" s="29">
        <f>IF($O332&lt;&gt;"要確認","",IF($Q332=0,"済",IF(COUNTIF('差異の原因'!$B$5:$B$204,$B332)=0,"未記録","一部")))</f>
        <v/>
      </c>
      <c r="Q332" s="27">
        <f>IF($L332="","",IF(AND($L332=0,COUNTIF('差異の原因'!$B$5:$B$204,$B332)=0),"",ROUND($L332-SUMIF('差異の原因'!$B$5:$B$204,$B332,'差異の原因'!$G$5:$G$204),6)))</f>
        <v/>
      </c>
      <c r="R332" s="30" t="n"/>
      <c r="S332" s="23" t="n"/>
      <c r="T332" s="29">
        <f>IF(OR($B332="",NOT(ISNUMBER($R332))),"",IF(IF(ISNUMBER($I332),$I332,N($H332))&lt;=0,"",IF($R332&lt;'設定'!$B$6,"期限切れ",IF($R332='設定'!$B$6,"当日",IF($R332-'設定'!$B$6&lt;=N('設定'!$B$14),"あと"&amp;($R332-'設定'!$B$6)&amp;"日","")))))</f>
        <v/>
      </c>
      <c r="U332" s="61" t="n"/>
      <c r="V332" s="31">
        <f>IF(AND($B332&lt;&gt;"",$E332&lt;&gt;"",$E332='数える用紙'!$C$2),ROW(),"")</f>
        <v/>
      </c>
      <c r="W332" s="74">
        <f>IF(AND($B332&lt;&gt;"",ISNUMBER($R332)),IF(AND($R332&lt;='設定'!$B$6+N('設定'!$B$14),IF(ISNUMBER($I332),$I332,N($H332))&gt;0),$R332+ROW()/100000,""),"")</f>
        <v/>
      </c>
    </row>
    <row r="333" ht="18" customHeight="1">
      <c r="A333" s="22" t="n">
        <v>329</v>
      </c>
      <c r="B333" s="23" t="n"/>
      <c r="C333" s="24" t="n"/>
      <c r="D333" s="24" t="n"/>
      <c r="E333" s="23" t="n"/>
      <c r="F333" s="23" t="n"/>
      <c r="G333" s="25" t="n"/>
      <c r="H333" s="25" t="n"/>
      <c r="I333" s="25" t="n"/>
      <c r="J333" s="72">
        <f>IF(OR($B333="",$H333=""),"",N($G333)*$H333)</f>
        <v/>
      </c>
      <c r="K333" s="72">
        <f>IF(OR($B333="",$I333=""),"",N($G333)*$I333)</f>
        <v/>
      </c>
      <c r="L333" s="27">
        <f>IF(OR($B333="",$H333="",$I333=""),"",$I333-$H333)</f>
        <v/>
      </c>
      <c r="M333" s="72">
        <f>IF($L333="","",$L333*N($G333))</f>
        <v/>
      </c>
      <c r="N333" s="73">
        <f>IF($L333="","",IF($H333&gt;0,ROUND($L333/$H333,4),"－"))</f>
        <v/>
      </c>
      <c r="O333" s="29">
        <f>IF($B333="","",IF($L333="","未入力",IF($L333=0,"一致",IF(OR(NOT(ISNUMBER($N333)),AND('設定'!$B$10&lt;&gt;"",ABS(N($N333))&gt;'設定'!$B$10),AND('設定'!$B$11&lt;&gt;"",ABS(ROUND($M333,4))&gt;'設定'!$B$11),AND('設定'!$B$10="",'設定'!$B$11="")),"要確認","許容内"))))</f>
        <v/>
      </c>
      <c r="P333" s="29">
        <f>IF($O333&lt;&gt;"要確認","",IF($Q333=0,"済",IF(COUNTIF('差異の原因'!$B$5:$B$204,$B333)=0,"未記録","一部")))</f>
        <v/>
      </c>
      <c r="Q333" s="27">
        <f>IF($L333="","",IF(AND($L333=0,COUNTIF('差異の原因'!$B$5:$B$204,$B333)=0),"",ROUND($L333-SUMIF('差異の原因'!$B$5:$B$204,$B333,'差異の原因'!$G$5:$G$204),6)))</f>
        <v/>
      </c>
      <c r="R333" s="30" t="n"/>
      <c r="S333" s="23" t="n"/>
      <c r="T333" s="29">
        <f>IF(OR($B333="",NOT(ISNUMBER($R333))),"",IF(IF(ISNUMBER($I333),$I333,N($H333))&lt;=0,"",IF($R333&lt;'設定'!$B$6,"期限切れ",IF($R333='設定'!$B$6,"当日",IF($R333-'設定'!$B$6&lt;=N('設定'!$B$14),"あと"&amp;($R333-'設定'!$B$6)&amp;"日","")))))</f>
        <v/>
      </c>
      <c r="U333" s="61" t="n"/>
      <c r="V333" s="31">
        <f>IF(AND($B333&lt;&gt;"",$E333&lt;&gt;"",$E333='数える用紙'!$C$2),ROW(),"")</f>
        <v/>
      </c>
      <c r="W333" s="74">
        <f>IF(AND($B333&lt;&gt;"",ISNUMBER($R333)),IF(AND($R333&lt;='設定'!$B$6+N('設定'!$B$14),IF(ISNUMBER($I333),$I333,N($H333))&gt;0),$R333+ROW()/100000,""),"")</f>
        <v/>
      </c>
    </row>
    <row r="334" ht="18" customHeight="1">
      <c r="A334" s="22" t="n">
        <v>330</v>
      </c>
      <c r="B334" s="23" t="n"/>
      <c r="C334" s="24" t="n"/>
      <c r="D334" s="24" t="n"/>
      <c r="E334" s="23" t="n"/>
      <c r="F334" s="23" t="n"/>
      <c r="G334" s="25" t="n"/>
      <c r="H334" s="25" t="n"/>
      <c r="I334" s="25" t="n"/>
      <c r="J334" s="72">
        <f>IF(OR($B334="",$H334=""),"",N($G334)*$H334)</f>
        <v/>
      </c>
      <c r="K334" s="72">
        <f>IF(OR($B334="",$I334=""),"",N($G334)*$I334)</f>
        <v/>
      </c>
      <c r="L334" s="27">
        <f>IF(OR($B334="",$H334="",$I334=""),"",$I334-$H334)</f>
        <v/>
      </c>
      <c r="M334" s="72">
        <f>IF($L334="","",$L334*N($G334))</f>
        <v/>
      </c>
      <c r="N334" s="73">
        <f>IF($L334="","",IF($H334&gt;0,ROUND($L334/$H334,4),"－"))</f>
        <v/>
      </c>
      <c r="O334" s="29">
        <f>IF($B334="","",IF($L334="","未入力",IF($L334=0,"一致",IF(OR(NOT(ISNUMBER($N334)),AND('設定'!$B$10&lt;&gt;"",ABS(N($N334))&gt;'設定'!$B$10),AND('設定'!$B$11&lt;&gt;"",ABS(ROUND($M334,4))&gt;'設定'!$B$11),AND('設定'!$B$10="",'設定'!$B$11="")),"要確認","許容内"))))</f>
        <v/>
      </c>
      <c r="P334" s="29">
        <f>IF($O334&lt;&gt;"要確認","",IF($Q334=0,"済",IF(COUNTIF('差異の原因'!$B$5:$B$204,$B334)=0,"未記録","一部")))</f>
        <v/>
      </c>
      <c r="Q334" s="27">
        <f>IF($L334="","",IF(AND($L334=0,COUNTIF('差異の原因'!$B$5:$B$204,$B334)=0),"",ROUND($L334-SUMIF('差異の原因'!$B$5:$B$204,$B334,'差異の原因'!$G$5:$G$204),6)))</f>
        <v/>
      </c>
      <c r="R334" s="30" t="n"/>
      <c r="S334" s="23" t="n"/>
      <c r="T334" s="29">
        <f>IF(OR($B334="",NOT(ISNUMBER($R334))),"",IF(IF(ISNUMBER($I334),$I334,N($H334))&lt;=0,"",IF($R334&lt;'設定'!$B$6,"期限切れ",IF($R334='設定'!$B$6,"当日",IF($R334-'設定'!$B$6&lt;=N('設定'!$B$14),"あと"&amp;($R334-'設定'!$B$6)&amp;"日","")))))</f>
        <v/>
      </c>
      <c r="U334" s="61" t="n"/>
      <c r="V334" s="31">
        <f>IF(AND($B334&lt;&gt;"",$E334&lt;&gt;"",$E334='数える用紙'!$C$2),ROW(),"")</f>
        <v/>
      </c>
      <c r="W334" s="74">
        <f>IF(AND($B334&lt;&gt;"",ISNUMBER($R334)),IF(AND($R334&lt;='設定'!$B$6+N('設定'!$B$14),IF(ISNUMBER($I334),$I334,N($H334))&gt;0),$R334+ROW()/100000,""),"")</f>
        <v/>
      </c>
    </row>
    <row r="335" ht="18" customHeight="1">
      <c r="A335" s="22" t="n">
        <v>331</v>
      </c>
      <c r="B335" s="23" t="n"/>
      <c r="C335" s="24" t="n"/>
      <c r="D335" s="24" t="n"/>
      <c r="E335" s="23" t="n"/>
      <c r="F335" s="23" t="n"/>
      <c r="G335" s="25" t="n"/>
      <c r="H335" s="25" t="n"/>
      <c r="I335" s="25" t="n"/>
      <c r="J335" s="72">
        <f>IF(OR($B335="",$H335=""),"",N($G335)*$H335)</f>
        <v/>
      </c>
      <c r="K335" s="72">
        <f>IF(OR($B335="",$I335=""),"",N($G335)*$I335)</f>
        <v/>
      </c>
      <c r="L335" s="27">
        <f>IF(OR($B335="",$H335="",$I335=""),"",$I335-$H335)</f>
        <v/>
      </c>
      <c r="M335" s="72">
        <f>IF($L335="","",$L335*N($G335))</f>
        <v/>
      </c>
      <c r="N335" s="73">
        <f>IF($L335="","",IF($H335&gt;0,ROUND($L335/$H335,4),"－"))</f>
        <v/>
      </c>
      <c r="O335" s="29">
        <f>IF($B335="","",IF($L335="","未入力",IF($L335=0,"一致",IF(OR(NOT(ISNUMBER($N335)),AND('設定'!$B$10&lt;&gt;"",ABS(N($N335))&gt;'設定'!$B$10),AND('設定'!$B$11&lt;&gt;"",ABS(ROUND($M335,4))&gt;'設定'!$B$11),AND('設定'!$B$10="",'設定'!$B$11="")),"要確認","許容内"))))</f>
        <v/>
      </c>
      <c r="P335" s="29">
        <f>IF($O335&lt;&gt;"要確認","",IF($Q335=0,"済",IF(COUNTIF('差異の原因'!$B$5:$B$204,$B335)=0,"未記録","一部")))</f>
        <v/>
      </c>
      <c r="Q335" s="27">
        <f>IF($L335="","",IF(AND($L335=0,COUNTIF('差異の原因'!$B$5:$B$204,$B335)=0),"",ROUND($L335-SUMIF('差異の原因'!$B$5:$B$204,$B335,'差異の原因'!$G$5:$G$204),6)))</f>
        <v/>
      </c>
      <c r="R335" s="30" t="n"/>
      <c r="S335" s="23" t="n"/>
      <c r="T335" s="29">
        <f>IF(OR($B335="",NOT(ISNUMBER($R335))),"",IF(IF(ISNUMBER($I335),$I335,N($H335))&lt;=0,"",IF($R335&lt;'設定'!$B$6,"期限切れ",IF($R335='設定'!$B$6,"当日",IF($R335-'設定'!$B$6&lt;=N('設定'!$B$14),"あと"&amp;($R335-'設定'!$B$6)&amp;"日","")))))</f>
        <v/>
      </c>
      <c r="U335" s="61" t="n"/>
      <c r="V335" s="31">
        <f>IF(AND($B335&lt;&gt;"",$E335&lt;&gt;"",$E335='数える用紙'!$C$2),ROW(),"")</f>
        <v/>
      </c>
      <c r="W335" s="74">
        <f>IF(AND($B335&lt;&gt;"",ISNUMBER($R335)),IF(AND($R335&lt;='設定'!$B$6+N('設定'!$B$14),IF(ISNUMBER($I335),$I335,N($H335))&gt;0),$R335+ROW()/100000,""),"")</f>
        <v/>
      </c>
    </row>
    <row r="336" ht="18" customHeight="1">
      <c r="A336" s="22" t="n">
        <v>332</v>
      </c>
      <c r="B336" s="23" t="n"/>
      <c r="C336" s="24" t="n"/>
      <c r="D336" s="24" t="n"/>
      <c r="E336" s="23" t="n"/>
      <c r="F336" s="23" t="n"/>
      <c r="G336" s="25" t="n"/>
      <c r="H336" s="25" t="n"/>
      <c r="I336" s="25" t="n"/>
      <c r="J336" s="72">
        <f>IF(OR($B336="",$H336=""),"",N($G336)*$H336)</f>
        <v/>
      </c>
      <c r="K336" s="72">
        <f>IF(OR($B336="",$I336=""),"",N($G336)*$I336)</f>
        <v/>
      </c>
      <c r="L336" s="27">
        <f>IF(OR($B336="",$H336="",$I336=""),"",$I336-$H336)</f>
        <v/>
      </c>
      <c r="M336" s="72">
        <f>IF($L336="","",$L336*N($G336))</f>
        <v/>
      </c>
      <c r="N336" s="73">
        <f>IF($L336="","",IF($H336&gt;0,ROUND($L336/$H336,4),"－"))</f>
        <v/>
      </c>
      <c r="O336" s="29">
        <f>IF($B336="","",IF($L336="","未入力",IF($L336=0,"一致",IF(OR(NOT(ISNUMBER($N336)),AND('設定'!$B$10&lt;&gt;"",ABS(N($N336))&gt;'設定'!$B$10),AND('設定'!$B$11&lt;&gt;"",ABS(ROUND($M336,4))&gt;'設定'!$B$11),AND('設定'!$B$10="",'設定'!$B$11="")),"要確認","許容内"))))</f>
        <v/>
      </c>
      <c r="P336" s="29">
        <f>IF($O336&lt;&gt;"要確認","",IF($Q336=0,"済",IF(COUNTIF('差異の原因'!$B$5:$B$204,$B336)=0,"未記録","一部")))</f>
        <v/>
      </c>
      <c r="Q336" s="27">
        <f>IF($L336="","",IF(AND($L336=0,COUNTIF('差異の原因'!$B$5:$B$204,$B336)=0),"",ROUND($L336-SUMIF('差異の原因'!$B$5:$B$204,$B336,'差異の原因'!$G$5:$G$204),6)))</f>
        <v/>
      </c>
      <c r="R336" s="30" t="n"/>
      <c r="S336" s="23" t="n"/>
      <c r="T336" s="29">
        <f>IF(OR($B336="",NOT(ISNUMBER($R336))),"",IF(IF(ISNUMBER($I336),$I336,N($H336))&lt;=0,"",IF($R336&lt;'設定'!$B$6,"期限切れ",IF($R336='設定'!$B$6,"当日",IF($R336-'設定'!$B$6&lt;=N('設定'!$B$14),"あと"&amp;($R336-'設定'!$B$6)&amp;"日","")))))</f>
        <v/>
      </c>
      <c r="U336" s="61" t="n"/>
      <c r="V336" s="31">
        <f>IF(AND($B336&lt;&gt;"",$E336&lt;&gt;"",$E336='数える用紙'!$C$2),ROW(),"")</f>
        <v/>
      </c>
      <c r="W336" s="74">
        <f>IF(AND($B336&lt;&gt;"",ISNUMBER($R336)),IF(AND($R336&lt;='設定'!$B$6+N('設定'!$B$14),IF(ISNUMBER($I336),$I336,N($H336))&gt;0),$R336+ROW()/100000,""),"")</f>
        <v/>
      </c>
    </row>
    <row r="337" ht="18" customHeight="1">
      <c r="A337" s="22" t="n">
        <v>333</v>
      </c>
      <c r="B337" s="23" t="n"/>
      <c r="C337" s="24" t="n"/>
      <c r="D337" s="24" t="n"/>
      <c r="E337" s="23" t="n"/>
      <c r="F337" s="23" t="n"/>
      <c r="G337" s="25" t="n"/>
      <c r="H337" s="25" t="n"/>
      <c r="I337" s="25" t="n"/>
      <c r="J337" s="72">
        <f>IF(OR($B337="",$H337=""),"",N($G337)*$H337)</f>
        <v/>
      </c>
      <c r="K337" s="72">
        <f>IF(OR($B337="",$I337=""),"",N($G337)*$I337)</f>
        <v/>
      </c>
      <c r="L337" s="27">
        <f>IF(OR($B337="",$H337="",$I337=""),"",$I337-$H337)</f>
        <v/>
      </c>
      <c r="M337" s="72">
        <f>IF($L337="","",$L337*N($G337))</f>
        <v/>
      </c>
      <c r="N337" s="73">
        <f>IF($L337="","",IF($H337&gt;0,ROUND($L337/$H337,4),"－"))</f>
        <v/>
      </c>
      <c r="O337" s="29">
        <f>IF($B337="","",IF($L337="","未入力",IF($L337=0,"一致",IF(OR(NOT(ISNUMBER($N337)),AND('設定'!$B$10&lt;&gt;"",ABS(N($N337))&gt;'設定'!$B$10),AND('設定'!$B$11&lt;&gt;"",ABS(ROUND($M337,4))&gt;'設定'!$B$11),AND('設定'!$B$10="",'設定'!$B$11="")),"要確認","許容内"))))</f>
        <v/>
      </c>
      <c r="P337" s="29">
        <f>IF($O337&lt;&gt;"要確認","",IF($Q337=0,"済",IF(COUNTIF('差異の原因'!$B$5:$B$204,$B337)=0,"未記録","一部")))</f>
        <v/>
      </c>
      <c r="Q337" s="27">
        <f>IF($L337="","",IF(AND($L337=0,COUNTIF('差異の原因'!$B$5:$B$204,$B337)=0),"",ROUND($L337-SUMIF('差異の原因'!$B$5:$B$204,$B337,'差異の原因'!$G$5:$G$204),6)))</f>
        <v/>
      </c>
      <c r="R337" s="30" t="n"/>
      <c r="S337" s="23" t="n"/>
      <c r="T337" s="29">
        <f>IF(OR($B337="",NOT(ISNUMBER($R337))),"",IF(IF(ISNUMBER($I337),$I337,N($H337))&lt;=0,"",IF($R337&lt;'設定'!$B$6,"期限切れ",IF($R337='設定'!$B$6,"当日",IF($R337-'設定'!$B$6&lt;=N('設定'!$B$14),"あと"&amp;($R337-'設定'!$B$6)&amp;"日","")))))</f>
        <v/>
      </c>
      <c r="U337" s="61" t="n"/>
      <c r="V337" s="31">
        <f>IF(AND($B337&lt;&gt;"",$E337&lt;&gt;"",$E337='数える用紙'!$C$2),ROW(),"")</f>
        <v/>
      </c>
      <c r="W337" s="74">
        <f>IF(AND($B337&lt;&gt;"",ISNUMBER($R337)),IF(AND($R337&lt;='設定'!$B$6+N('設定'!$B$14),IF(ISNUMBER($I337),$I337,N($H337))&gt;0),$R337+ROW()/100000,""),"")</f>
        <v/>
      </c>
    </row>
    <row r="338" ht="18" customHeight="1">
      <c r="A338" s="22" t="n">
        <v>334</v>
      </c>
      <c r="B338" s="23" t="n"/>
      <c r="C338" s="24" t="n"/>
      <c r="D338" s="24" t="n"/>
      <c r="E338" s="23" t="n"/>
      <c r="F338" s="23" t="n"/>
      <c r="G338" s="25" t="n"/>
      <c r="H338" s="25" t="n"/>
      <c r="I338" s="25" t="n"/>
      <c r="J338" s="72">
        <f>IF(OR($B338="",$H338=""),"",N($G338)*$H338)</f>
        <v/>
      </c>
      <c r="K338" s="72">
        <f>IF(OR($B338="",$I338=""),"",N($G338)*$I338)</f>
        <v/>
      </c>
      <c r="L338" s="27">
        <f>IF(OR($B338="",$H338="",$I338=""),"",$I338-$H338)</f>
        <v/>
      </c>
      <c r="M338" s="72">
        <f>IF($L338="","",$L338*N($G338))</f>
        <v/>
      </c>
      <c r="N338" s="73">
        <f>IF($L338="","",IF($H338&gt;0,ROUND($L338/$H338,4),"－"))</f>
        <v/>
      </c>
      <c r="O338" s="29">
        <f>IF($B338="","",IF($L338="","未入力",IF($L338=0,"一致",IF(OR(NOT(ISNUMBER($N338)),AND('設定'!$B$10&lt;&gt;"",ABS(N($N338))&gt;'設定'!$B$10),AND('設定'!$B$11&lt;&gt;"",ABS(ROUND($M338,4))&gt;'設定'!$B$11),AND('設定'!$B$10="",'設定'!$B$11="")),"要確認","許容内"))))</f>
        <v/>
      </c>
      <c r="P338" s="29">
        <f>IF($O338&lt;&gt;"要確認","",IF($Q338=0,"済",IF(COUNTIF('差異の原因'!$B$5:$B$204,$B338)=0,"未記録","一部")))</f>
        <v/>
      </c>
      <c r="Q338" s="27">
        <f>IF($L338="","",IF(AND($L338=0,COUNTIF('差異の原因'!$B$5:$B$204,$B338)=0),"",ROUND($L338-SUMIF('差異の原因'!$B$5:$B$204,$B338,'差異の原因'!$G$5:$G$204),6)))</f>
        <v/>
      </c>
      <c r="R338" s="30" t="n"/>
      <c r="S338" s="23" t="n"/>
      <c r="T338" s="29">
        <f>IF(OR($B338="",NOT(ISNUMBER($R338))),"",IF(IF(ISNUMBER($I338),$I338,N($H338))&lt;=0,"",IF($R338&lt;'設定'!$B$6,"期限切れ",IF($R338='設定'!$B$6,"当日",IF($R338-'設定'!$B$6&lt;=N('設定'!$B$14),"あと"&amp;($R338-'設定'!$B$6)&amp;"日","")))))</f>
        <v/>
      </c>
      <c r="U338" s="61" t="n"/>
      <c r="V338" s="31">
        <f>IF(AND($B338&lt;&gt;"",$E338&lt;&gt;"",$E338='数える用紙'!$C$2),ROW(),"")</f>
        <v/>
      </c>
      <c r="W338" s="74">
        <f>IF(AND($B338&lt;&gt;"",ISNUMBER($R338)),IF(AND($R338&lt;='設定'!$B$6+N('設定'!$B$14),IF(ISNUMBER($I338),$I338,N($H338))&gt;0),$R338+ROW()/100000,""),"")</f>
        <v/>
      </c>
    </row>
    <row r="339" ht="18" customHeight="1">
      <c r="A339" s="22" t="n">
        <v>335</v>
      </c>
      <c r="B339" s="23" t="n"/>
      <c r="C339" s="24" t="n"/>
      <c r="D339" s="24" t="n"/>
      <c r="E339" s="23" t="n"/>
      <c r="F339" s="23" t="n"/>
      <c r="G339" s="25" t="n"/>
      <c r="H339" s="25" t="n"/>
      <c r="I339" s="25" t="n"/>
      <c r="J339" s="72">
        <f>IF(OR($B339="",$H339=""),"",N($G339)*$H339)</f>
        <v/>
      </c>
      <c r="K339" s="72">
        <f>IF(OR($B339="",$I339=""),"",N($G339)*$I339)</f>
        <v/>
      </c>
      <c r="L339" s="27">
        <f>IF(OR($B339="",$H339="",$I339=""),"",$I339-$H339)</f>
        <v/>
      </c>
      <c r="M339" s="72">
        <f>IF($L339="","",$L339*N($G339))</f>
        <v/>
      </c>
      <c r="N339" s="73">
        <f>IF($L339="","",IF($H339&gt;0,ROUND($L339/$H339,4),"－"))</f>
        <v/>
      </c>
      <c r="O339" s="29">
        <f>IF($B339="","",IF($L339="","未入力",IF($L339=0,"一致",IF(OR(NOT(ISNUMBER($N339)),AND('設定'!$B$10&lt;&gt;"",ABS(N($N339))&gt;'設定'!$B$10),AND('設定'!$B$11&lt;&gt;"",ABS(ROUND($M339,4))&gt;'設定'!$B$11),AND('設定'!$B$10="",'設定'!$B$11="")),"要確認","許容内"))))</f>
        <v/>
      </c>
      <c r="P339" s="29">
        <f>IF($O339&lt;&gt;"要確認","",IF($Q339=0,"済",IF(COUNTIF('差異の原因'!$B$5:$B$204,$B339)=0,"未記録","一部")))</f>
        <v/>
      </c>
      <c r="Q339" s="27">
        <f>IF($L339="","",IF(AND($L339=0,COUNTIF('差異の原因'!$B$5:$B$204,$B339)=0),"",ROUND($L339-SUMIF('差異の原因'!$B$5:$B$204,$B339,'差異の原因'!$G$5:$G$204),6)))</f>
        <v/>
      </c>
      <c r="R339" s="30" t="n"/>
      <c r="S339" s="23" t="n"/>
      <c r="T339" s="29">
        <f>IF(OR($B339="",NOT(ISNUMBER($R339))),"",IF(IF(ISNUMBER($I339),$I339,N($H339))&lt;=0,"",IF($R339&lt;'設定'!$B$6,"期限切れ",IF($R339='設定'!$B$6,"当日",IF($R339-'設定'!$B$6&lt;=N('設定'!$B$14),"あと"&amp;($R339-'設定'!$B$6)&amp;"日","")))))</f>
        <v/>
      </c>
      <c r="U339" s="61" t="n"/>
      <c r="V339" s="31">
        <f>IF(AND($B339&lt;&gt;"",$E339&lt;&gt;"",$E339='数える用紙'!$C$2),ROW(),"")</f>
        <v/>
      </c>
      <c r="W339" s="74">
        <f>IF(AND($B339&lt;&gt;"",ISNUMBER($R339)),IF(AND($R339&lt;='設定'!$B$6+N('設定'!$B$14),IF(ISNUMBER($I339),$I339,N($H339))&gt;0),$R339+ROW()/100000,""),"")</f>
        <v/>
      </c>
    </row>
    <row r="340" ht="18" customHeight="1">
      <c r="A340" s="22" t="n">
        <v>336</v>
      </c>
      <c r="B340" s="23" t="n"/>
      <c r="C340" s="24" t="n"/>
      <c r="D340" s="24" t="n"/>
      <c r="E340" s="23" t="n"/>
      <c r="F340" s="23" t="n"/>
      <c r="G340" s="25" t="n"/>
      <c r="H340" s="25" t="n"/>
      <c r="I340" s="25" t="n"/>
      <c r="J340" s="72">
        <f>IF(OR($B340="",$H340=""),"",N($G340)*$H340)</f>
        <v/>
      </c>
      <c r="K340" s="72">
        <f>IF(OR($B340="",$I340=""),"",N($G340)*$I340)</f>
        <v/>
      </c>
      <c r="L340" s="27">
        <f>IF(OR($B340="",$H340="",$I340=""),"",$I340-$H340)</f>
        <v/>
      </c>
      <c r="M340" s="72">
        <f>IF($L340="","",$L340*N($G340))</f>
        <v/>
      </c>
      <c r="N340" s="73">
        <f>IF($L340="","",IF($H340&gt;0,ROUND($L340/$H340,4),"－"))</f>
        <v/>
      </c>
      <c r="O340" s="29">
        <f>IF($B340="","",IF($L340="","未入力",IF($L340=0,"一致",IF(OR(NOT(ISNUMBER($N340)),AND('設定'!$B$10&lt;&gt;"",ABS(N($N340))&gt;'設定'!$B$10),AND('設定'!$B$11&lt;&gt;"",ABS(ROUND($M340,4))&gt;'設定'!$B$11),AND('設定'!$B$10="",'設定'!$B$11="")),"要確認","許容内"))))</f>
        <v/>
      </c>
      <c r="P340" s="29">
        <f>IF($O340&lt;&gt;"要確認","",IF($Q340=0,"済",IF(COUNTIF('差異の原因'!$B$5:$B$204,$B340)=0,"未記録","一部")))</f>
        <v/>
      </c>
      <c r="Q340" s="27">
        <f>IF($L340="","",IF(AND($L340=0,COUNTIF('差異の原因'!$B$5:$B$204,$B340)=0),"",ROUND($L340-SUMIF('差異の原因'!$B$5:$B$204,$B340,'差異の原因'!$G$5:$G$204),6)))</f>
        <v/>
      </c>
      <c r="R340" s="30" t="n"/>
      <c r="S340" s="23" t="n"/>
      <c r="T340" s="29">
        <f>IF(OR($B340="",NOT(ISNUMBER($R340))),"",IF(IF(ISNUMBER($I340),$I340,N($H340))&lt;=0,"",IF($R340&lt;'設定'!$B$6,"期限切れ",IF($R340='設定'!$B$6,"当日",IF($R340-'設定'!$B$6&lt;=N('設定'!$B$14),"あと"&amp;($R340-'設定'!$B$6)&amp;"日","")))))</f>
        <v/>
      </c>
      <c r="U340" s="61" t="n"/>
      <c r="V340" s="31">
        <f>IF(AND($B340&lt;&gt;"",$E340&lt;&gt;"",$E340='数える用紙'!$C$2),ROW(),"")</f>
        <v/>
      </c>
      <c r="W340" s="74">
        <f>IF(AND($B340&lt;&gt;"",ISNUMBER($R340)),IF(AND($R340&lt;='設定'!$B$6+N('設定'!$B$14),IF(ISNUMBER($I340),$I340,N($H340))&gt;0),$R340+ROW()/100000,""),"")</f>
        <v/>
      </c>
    </row>
    <row r="341" ht="18" customHeight="1">
      <c r="A341" s="22" t="n">
        <v>337</v>
      </c>
      <c r="B341" s="23" t="n"/>
      <c r="C341" s="24" t="n"/>
      <c r="D341" s="24" t="n"/>
      <c r="E341" s="23" t="n"/>
      <c r="F341" s="23" t="n"/>
      <c r="G341" s="25" t="n"/>
      <c r="H341" s="25" t="n"/>
      <c r="I341" s="25" t="n"/>
      <c r="J341" s="72">
        <f>IF(OR($B341="",$H341=""),"",N($G341)*$H341)</f>
        <v/>
      </c>
      <c r="K341" s="72">
        <f>IF(OR($B341="",$I341=""),"",N($G341)*$I341)</f>
        <v/>
      </c>
      <c r="L341" s="27">
        <f>IF(OR($B341="",$H341="",$I341=""),"",$I341-$H341)</f>
        <v/>
      </c>
      <c r="M341" s="72">
        <f>IF($L341="","",$L341*N($G341))</f>
        <v/>
      </c>
      <c r="N341" s="73">
        <f>IF($L341="","",IF($H341&gt;0,ROUND($L341/$H341,4),"－"))</f>
        <v/>
      </c>
      <c r="O341" s="29">
        <f>IF($B341="","",IF($L341="","未入力",IF($L341=0,"一致",IF(OR(NOT(ISNUMBER($N341)),AND('設定'!$B$10&lt;&gt;"",ABS(N($N341))&gt;'設定'!$B$10),AND('設定'!$B$11&lt;&gt;"",ABS(ROUND($M341,4))&gt;'設定'!$B$11),AND('設定'!$B$10="",'設定'!$B$11="")),"要確認","許容内"))))</f>
        <v/>
      </c>
      <c r="P341" s="29">
        <f>IF($O341&lt;&gt;"要確認","",IF($Q341=0,"済",IF(COUNTIF('差異の原因'!$B$5:$B$204,$B341)=0,"未記録","一部")))</f>
        <v/>
      </c>
      <c r="Q341" s="27">
        <f>IF($L341="","",IF(AND($L341=0,COUNTIF('差異の原因'!$B$5:$B$204,$B341)=0),"",ROUND($L341-SUMIF('差異の原因'!$B$5:$B$204,$B341,'差異の原因'!$G$5:$G$204),6)))</f>
        <v/>
      </c>
      <c r="R341" s="30" t="n"/>
      <c r="S341" s="23" t="n"/>
      <c r="T341" s="29">
        <f>IF(OR($B341="",NOT(ISNUMBER($R341))),"",IF(IF(ISNUMBER($I341),$I341,N($H341))&lt;=0,"",IF($R341&lt;'設定'!$B$6,"期限切れ",IF($R341='設定'!$B$6,"当日",IF($R341-'設定'!$B$6&lt;=N('設定'!$B$14),"あと"&amp;($R341-'設定'!$B$6)&amp;"日","")))))</f>
        <v/>
      </c>
      <c r="U341" s="61" t="n"/>
      <c r="V341" s="31">
        <f>IF(AND($B341&lt;&gt;"",$E341&lt;&gt;"",$E341='数える用紙'!$C$2),ROW(),"")</f>
        <v/>
      </c>
      <c r="W341" s="74">
        <f>IF(AND($B341&lt;&gt;"",ISNUMBER($R341)),IF(AND($R341&lt;='設定'!$B$6+N('設定'!$B$14),IF(ISNUMBER($I341),$I341,N($H341))&gt;0),$R341+ROW()/100000,""),"")</f>
        <v/>
      </c>
    </row>
    <row r="342" ht="18" customHeight="1">
      <c r="A342" s="22" t="n">
        <v>338</v>
      </c>
      <c r="B342" s="23" t="n"/>
      <c r="C342" s="24" t="n"/>
      <c r="D342" s="24" t="n"/>
      <c r="E342" s="23" t="n"/>
      <c r="F342" s="23" t="n"/>
      <c r="G342" s="25" t="n"/>
      <c r="H342" s="25" t="n"/>
      <c r="I342" s="25" t="n"/>
      <c r="J342" s="72">
        <f>IF(OR($B342="",$H342=""),"",N($G342)*$H342)</f>
        <v/>
      </c>
      <c r="K342" s="72">
        <f>IF(OR($B342="",$I342=""),"",N($G342)*$I342)</f>
        <v/>
      </c>
      <c r="L342" s="27">
        <f>IF(OR($B342="",$H342="",$I342=""),"",$I342-$H342)</f>
        <v/>
      </c>
      <c r="M342" s="72">
        <f>IF($L342="","",$L342*N($G342))</f>
        <v/>
      </c>
      <c r="N342" s="73">
        <f>IF($L342="","",IF($H342&gt;0,ROUND($L342/$H342,4),"－"))</f>
        <v/>
      </c>
      <c r="O342" s="29">
        <f>IF($B342="","",IF($L342="","未入力",IF($L342=0,"一致",IF(OR(NOT(ISNUMBER($N342)),AND('設定'!$B$10&lt;&gt;"",ABS(N($N342))&gt;'設定'!$B$10),AND('設定'!$B$11&lt;&gt;"",ABS(ROUND($M342,4))&gt;'設定'!$B$11),AND('設定'!$B$10="",'設定'!$B$11="")),"要確認","許容内"))))</f>
        <v/>
      </c>
      <c r="P342" s="29">
        <f>IF($O342&lt;&gt;"要確認","",IF($Q342=0,"済",IF(COUNTIF('差異の原因'!$B$5:$B$204,$B342)=0,"未記録","一部")))</f>
        <v/>
      </c>
      <c r="Q342" s="27">
        <f>IF($L342="","",IF(AND($L342=0,COUNTIF('差異の原因'!$B$5:$B$204,$B342)=0),"",ROUND($L342-SUMIF('差異の原因'!$B$5:$B$204,$B342,'差異の原因'!$G$5:$G$204),6)))</f>
        <v/>
      </c>
      <c r="R342" s="30" t="n"/>
      <c r="S342" s="23" t="n"/>
      <c r="T342" s="29">
        <f>IF(OR($B342="",NOT(ISNUMBER($R342))),"",IF(IF(ISNUMBER($I342),$I342,N($H342))&lt;=0,"",IF($R342&lt;'設定'!$B$6,"期限切れ",IF($R342='設定'!$B$6,"当日",IF($R342-'設定'!$B$6&lt;=N('設定'!$B$14),"あと"&amp;($R342-'設定'!$B$6)&amp;"日","")))))</f>
        <v/>
      </c>
      <c r="U342" s="61" t="n"/>
      <c r="V342" s="31">
        <f>IF(AND($B342&lt;&gt;"",$E342&lt;&gt;"",$E342='数える用紙'!$C$2),ROW(),"")</f>
        <v/>
      </c>
      <c r="W342" s="74">
        <f>IF(AND($B342&lt;&gt;"",ISNUMBER($R342)),IF(AND($R342&lt;='設定'!$B$6+N('設定'!$B$14),IF(ISNUMBER($I342),$I342,N($H342))&gt;0),$R342+ROW()/100000,""),"")</f>
        <v/>
      </c>
    </row>
    <row r="343" ht="18" customHeight="1">
      <c r="A343" s="22" t="n">
        <v>339</v>
      </c>
      <c r="B343" s="23" t="n"/>
      <c r="C343" s="24" t="n"/>
      <c r="D343" s="24" t="n"/>
      <c r="E343" s="23" t="n"/>
      <c r="F343" s="23" t="n"/>
      <c r="G343" s="25" t="n"/>
      <c r="H343" s="25" t="n"/>
      <c r="I343" s="25" t="n"/>
      <c r="J343" s="72">
        <f>IF(OR($B343="",$H343=""),"",N($G343)*$H343)</f>
        <v/>
      </c>
      <c r="K343" s="72">
        <f>IF(OR($B343="",$I343=""),"",N($G343)*$I343)</f>
        <v/>
      </c>
      <c r="L343" s="27">
        <f>IF(OR($B343="",$H343="",$I343=""),"",$I343-$H343)</f>
        <v/>
      </c>
      <c r="M343" s="72">
        <f>IF($L343="","",$L343*N($G343))</f>
        <v/>
      </c>
      <c r="N343" s="73">
        <f>IF($L343="","",IF($H343&gt;0,ROUND($L343/$H343,4),"－"))</f>
        <v/>
      </c>
      <c r="O343" s="29">
        <f>IF($B343="","",IF($L343="","未入力",IF($L343=0,"一致",IF(OR(NOT(ISNUMBER($N343)),AND('設定'!$B$10&lt;&gt;"",ABS(N($N343))&gt;'設定'!$B$10),AND('設定'!$B$11&lt;&gt;"",ABS(ROUND($M343,4))&gt;'設定'!$B$11),AND('設定'!$B$10="",'設定'!$B$11="")),"要確認","許容内"))))</f>
        <v/>
      </c>
      <c r="P343" s="29">
        <f>IF($O343&lt;&gt;"要確認","",IF($Q343=0,"済",IF(COUNTIF('差異の原因'!$B$5:$B$204,$B343)=0,"未記録","一部")))</f>
        <v/>
      </c>
      <c r="Q343" s="27">
        <f>IF($L343="","",IF(AND($L343=0,COUNTIF('差異の原因'!$B$5:$B$204,$B343)=0),"",ROUND($L343-SUMIF('差異の原因'!$B$5:$B$204,$B343,'差異の原因'!$G$5:$G$204),6)))</f>
        <v/>
      </c>
      <c r="R343" s="30" t="n"/>
      <c r="S343" s="23" t="n"/>
      <c r="T343" s="29">
        <f>IF(OR($B343="",NOT(ISNUMBER($R343))),"",IF(IF(ISNUMBER($I343),$I343,N($H343))&lt;=0,"",IF($R343&lt;'設定'!$B$6,"期限切れ",IF($R343='設定'!$B$6,"当日",IF($R343-'設定'!$B$6&lt;=N('設定'!$B$14),"あと"&amp;($R343-'設定'!$B$6)&amp;"日","")))))</f>
        <v/>
      </c>
      <c r="U343" s="61" t="n"/>
      <c r="V343" s="31">
        <f>IF(AND($B343&lt;&gt;"",$E343&lt;&gt;"",$E343='数える用紙'!$C$2),ROW(),"")</f>
        <v/>
      </c>
      <c r="W343" s="74">
        <f>IF(AND($B343&lt;&gt;"",ISNUMBER($R343)),IF(AND($R343&lt;='設定'!$B$6+N('設定'!$B$14),IF(ISNUMBER($I343),$I343,N($H343))&gt;0),$R343+ROW()/100000,""),"")</f>
        <v/>
      </c>
    </row>
    <row r="344" ht="18" customHeight="1">
      <c r="A344" s="22" t="n">
        <v>340</v>
      </c>
      <c r="B344" s="23" t="n"/>
      <c r="C344" s="24" t="n"/>
      <c r="D344" s="24" t="n"/>
      <c r="E344" s="23" t="n"/>
      <c r="F344" s="23" t="n"/>
      <c r="G344" s="25" t="n"/>
      <c r="H344" s="25" t="n"/>
      <c r="I344" s="25" t="n"/>
      <c r="J344" s="72">
        <f>IF(OR($B344="",$H344=""),"",N($G344)*$H344)</f>
        <v/>
      </c>
      <c r="K344" s="72">
        <f>IF(OR($B344="",$I344=""),"",N($G344)*$I344)</f>
        <v/>
      </c>
      <c r="L344" s="27">
        <f>IF(OR($B344="",$H344="",$I344=""),"",$I344-$H344)</f>
        <v/>
      </c>
      <c r="M344" s="72">
        <f>IF($L344="","",$L344*N($G344))</f>
        <v/>
      </c>
      <c r="N344" s="73">
        <f>IF($L344="","",IF($H344&gt;0,ROUND($L344/$H344,4),"－"))</f>
        <v/>
      </c>
      <c r="O344" s="29">
        <f>IF($B344="","",IF($L344="","未入力",IF($L344=0,"一致",IF(OR(NOT(ISNUMBER($N344)),AND('設定'!$B$10&lt;&gt;"",ABS(N($N344))&gt;'設定'!$B$10),AND('設定'!$B$11&lt;&gt;"",ABS(ROUND($M344,4))&gt;'設定'!$B$11),AND('設定'!$B$10="",'設定'!$B$11="")),"要確認","許容内"))))</f>
        <v/>
      </c>
      <c r="P344" s="29">
        <f>IF($O344&lt;&gt;"要確認","",IF($Q344=0,"済",IF(COUNTIF('差異の原因'!$B$5:$B$204,$B344)=0,"未記録","一部")))</f>
        <v/>
      </c>
      <c r="Q344" s="27">
        <f>IF($L344="","",IF(AND($L344=0,COUNTIF('差異の原因'!$B$5:$B$204,$B344)=0),"",ROUND($L344-SUMIF('差異の原因'!$B$5:$B$204,$B344,'差異の原因'!$G$5:$G$204),6)))</f>
        <v/>
      </c>
      <c r="R344" s="30" t="n"/>
      <c r="S344" s="23" t="n"/>
      <c r="T344" s="29">
        <f>IF(OR($B344="",NOT(ISNUMBER($R344))),"",IF(IF(ISNUMBER($I344),$I344,N($H344))&lt;=0,"",IF($R344&lt;'設定'!$B$6,"期限切れ",IF($R344='設定'!$B$6,"当日",IF($R344-'設定'!$B$6&lt;=N('設定'!$B$14),"あと"&amp;($R344-'設定'!$B$6)&amp;"日","")))))</f>
        <v/>
      </c>
      <c r="U344" s="61" t="n"/>
      <c r="V344" s="31">
        <f>IF(AND($B344&lt;&gt;"",$E344&lt;&gt;"",$E344='数える用紙'!$C$2),ROW(),"")</f>
        <v/>
      </c>
      <c r="W344" s="74">
        <f>IF(AND($B344&lt;&gt;"",ISNUMBER($R344)),IF(AND($R344&lt;='設定'!$B$6+N('設定'!$B$14),IF(ISNUMBER($I344),$I344,N($H344))&gt;0),$R344+ROW()/100000,""),"")</f>
        <v/>
      </c>
    </row>
    <row r="345" ht="18" customHeight="1">
      <c r="A345" s="22" t="n">
        <v>341</v>
      </c>
      <c r="B345" s="23" t="n"/>
      <c r="C345" s="24" t="n"/>
      <c r="D345" s="24" t="n"/>
      <c r="E345" s="23" t="n"/>
      <c r="F345" s="23" t="n"/>
      <c r="G345" s="25" t="n"/>
      <c r="H345" s="25" t="n"/>
      <c r="I345" s="25" t="n"/>
      <c r="J345" s="72">
        <f>IF(OR($B345="",$H345=""),"",N($G345)*$H345)</f>
        <v/>
      </c>
      <c r="K345" s="72">
        <f>IF(OR($B345="",$I345=""),"",N($G345)*$I345)</f>
        <v/>
      </c>
      <c r="L345" s="27">
        <f>IF(OR($B345="",$H345="",$I345=""),"",$I345-$H345)</f>
        <v/>
      </c>
      <c r="M345" s="72">
        <f>IF($L345="","",$L345*N($G345))</f>
        <v/>
      </c>
      <c r="N345" s="73">
        <f>IF($L345="","",IF($H345&gt;0,ROUND($L345/$H345,4),"－"))</f>
        <v/>
      </c>
      <c r="O345" s="29">
        <f>IF($B345="","",IF($L345="","未入力",IF($L345=0,"一致",IF(OR(NOT(ISNUMBER($N345)),AND('設定'!$B$10&lt;&gt;"",ABS(N($N345))&gt;'設定'!$B$10),AND('設定'!$B$11&lt;&gt;"",ABS(ROUND($M345,4))&gt;'設定'!$B$11),AND('設定'!$B$10="",'設定'!$B$11="")),"要確認","許容内"))))</f>
        <v/>
      </c>
      <c r="P345" s="29">
        <f>IF($O345&lt;&gt;"要確認","",IF($Q345=0,"済",IF(COUNTIF('差異の原因'!$B$5:$B$204,$B345)=0,"未記録","一部")))</f>
        <v/>
      </c>
      <c r="Q345" s="27">
        <f>IF($L345="","",IF(AND($L345=0,COUNTIF('差異の原因'!$B$5:$B$204,$B345)=0),"",ROUND($L345-SUMIF('差異の原因'!$B$5:$B$204,$B345,'差異の原因'!$G$5:$G$204),6)))</f>
        <v/>
      </c>
      <c r="R345" s="30" t="n"/>
      <c r="S345" s="23" t="n"/>
      <c r="T345" s="29">
        <f>IF(OR($B345="",NOT(ISNUMBER($R345))),"",IF(IF(ISNUMBER($I345),$I345,N($H345))&lt;=0,"",IF($R345&lt;'設定'!$B$6,"期限切れ",IF($R345='設定'!$B$6,"当日",IF($R345-'設定'!$B$6&lt;=N('設定'!$B$14),"あと"&amp;($R345-'設定'!$B$6)&amp;"日","")))))</f>
        <v/>
      </c>
      <c r="U345" s="61" t="n"/>
      <c r="V345" s="31">
        <f>IF(AND($B345&lt;&gt;"",$E345&lt;&gt;"",$E345='数える用紙'!$C$2),ROW(),"")</f>
        <v/>
      </c>
      <c r="W345" s="74">
        <f>IF(AND($B345&lt;&gt;"",ISNUMBER($R345)),IF(AND($R345&lt;='設定'!$B$6+N('設定'!$B$14),IF(ISNUMBER($I345),$I345,N($H345))&gt;0),$R345+ROW()/100000,""),"")</f>
        <v/>
      </c>
    </row>
    <row r="346" ht="18" customHeight="1">
      <c r="A346" s="22" t="n">
        <v>342</v>
      </c>
      <c r="B346" s="23" t="n"/>
      <c r="C346" s="24" t="n"/>
      <c r="D346" s="24" t="n"/>
      <c r="E346" s="23" t="n"/>
      <c r="F346" s="23" t="n"/>
      <c r="G346" s="25" t="n"/>
      <c r="H346" s="25" t="n"/>
      <c r="I346" s="25" t="n"/>
      <c r="J346" s="72">
        <f>IF(OR($B346="",$H346=""),"",N($G346)*$H346)</f>
        <v/>
      </c>
      <c r="K346" s="72">
        <f>IF(OR($B346="",$I346=""),"",N($G346)*$I346)</f>
        <v/>
      </c>
      <c r="L346" s="27">
        <f>IF(OR($B346="",$H346="",$I346=""),"",$I346-$H346)</f>
        <v/>
      </c>
      <c r="M346" s="72">
        <f>IF($L346="","",$L346*N($G346))</f>
        <v/>
      </c>
      <c r="N346" s="73">
        <f>IF($L346="","",IF($H346&gt;0,ROUND($L346/$H346,4),"－"))</f>
        <v/>
      </c>
      <c r="O346" s="29">
        <f>IF($B346="","",IF($L346="","未入力",IF($L346=0,"一致",IF(OR(NOT(ISNUMBER($N346)),AND('設定'!$B$10&lt;&gt;"",ABS(N($N346))&gt;'設定'!$B$10),AND('設定'!$B$11&lt;&gt;"",ABS(ROUND($M346,4))&gt;'設定'!$B$11),AND('設定'!$B$10="",'設定'!$B$11="")),"要確認","許容内"))))</f>
        <v/>
      </c>
      <c r="P346" s="29">
        <f>IF($O346&lt;&gt;"要確認","",IF($Q346=0,"済",IF(COUNTIF('差異の原因'!$B$5:$B$204,$B346)=0,"未記録","一部")))</f>
        <v/>
      </c>
      <c r="Q346" s="27">
        <f>IF($L346="","",IF(AND($L346=0,COUNTIF('差異の原因'!$B$5:$B$204,$B346)=0),"",ROUND($L346-SUMIF('差異の原因'!$B$5:$B$204,$B346,'差異の原因'!$G$5:$G$204),6)))</f>
        <v/>
      </c>
      <c r="R346" s="30" t="n"/>
      <c r="S346" s="23" t="n"/>
      <c r="T346" s="29">
        <f>IF(OR($B346="",NOT(ISNUMBER($R346))),"",IF(IF(ISNUMBER($I346),$I346,N($H346))&lt;=0,"",IF($R346&lt;'設定'!$B$6,"期限切れ",IF($R346='設定'!$B$6,"当日",IF($R346-'設定'!$B$6&lt;=N('設定'!$B$14),"あと"&amp;($R346-'設定'!$B$6)&amp;"日","")))))</f>
        <v/>
      </c>
      <c r="U346" s="61" t="n"/>
      <c r="V346" s="31">
        <f>IF(AND($B346&lt;&gt;"",$E346&lt;&gt;"",$E346='数える用紙'!$C$2),ROW(),"")</f>
        <v/>
      </c>
      <c r="W346" s="74">
        <f>IF(AND($B346&lt;&gt;"",ISNUMBER($R346)),IF(AND($R346&lt;='設定'!$B$6+N('設定'!$B$14),IF(ISNUMBER($I346),$I346,N($H346))&gt;0),$R346+ROW()/100000,""),"")</f>
        <v/>
      </c>
    </row>
    <row r="347" ht="18" customHeight="1">
      <c r="A347" s="22" t="n">
        <v>343</v>
      </c>
      <c r="B347" s="23" t="n"/>
      <c r="C347" s="24" t="n"/>
      <c r="D347" s="24" t="n"/>
      <c r="E347" s="23" t="n"/>
      <c r="F347" s="23" t="n"/>
      <c r="G347" s="25" t="n"/>
      <c r="H347" s="25" t="n"/>
      <c r="I347" s="25" t="n"/>
      <c r="J347" s="72">
        <f>IF(OR($B347="",$H347=""),"",N($G347)*$H347)</f>
        <v/>
      </c>
      <c r="K347" s="72">
        <f>IF(OR($B347="",$I347=""),"",N($G347)*$I347)</f>
        <v/>
      </c>
      <c r="L347" s="27">
        <f>IF(OR($B347="",$H347="",$I347=""),"",$I347-$H347)</f>
        <v/>
      </c>
      <c r="M347" s="72">
        <f>IF($L347="","",$L347*N($G347))</f>
        <v/>
      </c>
      <c r="N347" s="73">
        <f>IF($L347="","",IF($H347&gt;0,ROUND($L347/$H347,4),"－"))</f>
        <v/>
      </c>
      <c r="O347" s="29">
        <f>IF($B347="","",IF($L347="","未入力",IF($L347=0,"一致",IF(OR(NOT(ISNUMBER($N347)),AND('設定'!$B$10&lt;&gt;"",ABS(N($N347))&gt;'設定'!$B$10),AND('設定'!$B$11&lt;&gt;"",ABS(ROUND($M347,4))&gt;'設定'!$B$11),AND('設定'!$B$10="",'設定'!$B$11="")),"要確認","許容内"))))</f>
        <v/>
      </c>
      <c r="P347" s="29">
        <f>IF($O347&lt;&gt;"要確認","",IF($Q347=0,"済",IF(COUNTIF('差異の原因'!$B$5:$B$204,$B347)=0,"未記録","一部")))</f>
        <v/>
      </c>
      <c r="Q347" s="27">
        <f>IF($L347="","",IF(AND($L347=0,COUNTIF('差異の原因'!$B$5:$B$204,$B347)=0),"",ROUND($L347-SUMIF('差異の原因'!$B$5:$B$204,$B347,'差異の原因'!$G$5:$G$204),6)))</f>
        <v/>
      </c>
      <c r="R347" s="30" t="n"/>
      <c r="S347" s="23" t="n"/>
      <c r="T347" s="29">
        <f>IF(OR($B347="",NOT(ISNUMBER($R347))),"",IF(IF(ISNUMBER($I347),$I347,N($H347))&lt;=0,"",IF($R347&lt;'設定'!$B$6,"期限切れ",IF($R347='設定'!$B$6,"当日",IF($R347-'設定'!$B$6&lt;=N('設定'!$B$14),"あと"&amp;($R347-'設定'!$B$6)&amp;"日","")))))</f>
        <v/>
      </c>
      <c r="U347" s="61" t="n"/>
      <c r="V347" s="31">
        <f>IF(AND($B347&lt;&gt;"",$E347&lt;&gt;"",$E347='数える用紙'!$C$2),ROW(),"")</f>
        <v/>
      </c>
      <c r="W347" s="74">
        <f>IF(AND($B347&lt;&gt;"",ISNUMBER($R347)),IF(AND($R347&lt;='設定'!$B$6+N('設定'!$B$14),IF(ISNUMBER($I347),$I347,N($H347))&gt;0),$R347+ROW()/100000,""),"")</f>
        <v/>
      </c>
    </row>
    <row r="348" ht="18" customHeight="1">
      <c r="A348" s="22" t="n">
        <v>344</v>
      </c>
      <c r="B348" s="23" t="n"/>
      <c r="C348" s="24" t="n"/>
      <c r="D348" s="24" t="n"/>
      <c r="E348" s="23" t="n"/>
      <c r="F348" s="23" t="n"/>
      <c r="G348" s="25" t="n"/>
      <c r="H348" s="25" t="n"/>
      <c r="I348" s="25" t="n"/>
      <c r="J348" s="72">
        <f>IF(OR($B348="",$H348=""),"",N($G348)*$H348)</f>
        <v/>
      </c>
      <c r="K348" s="72">
        <f>IF(OR($B348="",$I348=""),"",N($G348)*$I348)</f>
        <v/>
      </c>
      <c r="L348" s="27">
        <f>IF(OR($B348="",$H348="",$I348=""),"",$I348-$H348)</f>
        <v/>
      </c>
      <c r="M348" s="72">
        <f>IF($L348="","",$L348*N($G348))</f>
        <v/>
      </c>
      <c r="N348" s="73">
        <f>IF($L348="","",IF($H348&gt;0,ROUND($L348/$H348,4),"－"))</f>
        <v/>
      </c>
      <c r="O348" s="29">
        <f>IF($B348="","",IF($L348="","未入力",IF($L348=0,"一致",IF(OR(NOT(ISNUMBER($N348)),AND('設定'!$B$10&lt;&gt;"",ABS(N($N348))&gt;'設定'!$B$10),AND('設定'!$B$11&lt;&gt;"",ABS(ROUND($M348,4))&gt;'設定'!$B$11),AND('設定'!$B$10="",'設定'!$B$11="")),"要確認","許容内"))))</f>
        <v/>
      </c>
      <c r="P348" s="29">
        <f>IF($O348&lt;&gt;"要確認","",IF($Q348=0,"済",IF(COUNTIF('差異の原因'!$B$5:$B$204,$B348)=0,"未記録","一部")))</f>
        <v/>
      </c>
      <c r="Q348" s="27">
        <f>IF($L348="","",IF(AND($L348=0,COUNTIF('差異の原因'!$B$5:$B$204,$B348)=0),"",ROUND($L348-SUMIF('差異の原因'!$B$5:$B$204,$B348,'差異の原因'!$G$5:$G$204),6)))</f>
        <v/>
      </c>
      <c r="R348" s="30" t="n"/>
      <c r="S348" s="23" t="n"/>
      <c r="T348" s="29">
        <f>IF(OR($B348="",NOT(ISNUMBER($R348))),"",IF(IF(ISNUMBER($I348),$I348,N($H348))&lt;=0,"",IF($R348&lt;'設定'!$B$6,"期限切れ",IF($R348='設定'!$B$6,"当日",IF($R348-'設定'!$B$6&lt;=N('設定'!$B$14),"あと"&amp;($R348-'設定'!$B$6)&amp;"日","")))))</f>
        <v/>
      </c>
      <c r="U348" s="61" t="n"/>
      <c r="V348" s="31">
        <f>IF(AND($B348&lt;&gt;"",$E348&lt;&gt;"",$E348='数える用紙'!$C$2),ROW(),"")</f>
        <v/>
      </c>
      <c r="W348" s="74">
        <f>IF(AND($B348&lt;&gt;"",ISNUMBER($R348)),IF(AND($R348&lt;='設定'!$B$6+N('設定'!$B$14),IF(ISNUMBER($I348),$I348,N($H348))&gt;0),$R348+ROW()/100000,""),"")</f>
        <v/>
      </c>
    </row>
    <row r="349" ht="18" customHeight="1">
      <c r="A349" s="22" t="n">
        <v>345</v>
      </c>
      <c r="B349" s="23" t="n"/>
      <c r="C349" s="24" t="n"/>
      <c r="D349" s="24" t="n"/>
      <c r="E349" s="23" t="n"/>
      <c r="F349" s="23" t="n"/>
      <c r="G349" s="25" t="n"/>
      <c r="H349" s="25" t="n"/>
      <c r="I349" s="25" t="n"/>
      <c r="J349" s="72">
        <f>IF(OR($B349="",$H349=""),"",N($G349)*$H349)</f>
        <v/>
      </c>
      <c r="K349" s="72">
        <f>IF(OR($B349="",$I349=""),"",N($G349)*$I349)</f>
        <v/>
      </c>
      <c r="L349" s="27">
        <f>IF(OR($B349="",$H349="",$I349=""),"",$I349-$H349)</f>
        <v/>
      </c>
      <c r="M349" s="72">
        <f>IF($L349="","",$L349*N($G349))</f>
        <v/>
      </c>
      <c r="N349" s="73">
        <f>IF($L349="","",IF($H349&gt;0,ROUND($L349/$H349,4),"－"))</f>
        <v/>
      </c>
      <c r="O349" s="29">
        <f>IF($B349="","",IF($L349="","未入力",IF($L349=0,"一致",IF(OR(NOT(ISNUMBER($N349)),AND('設定'!$B$10&lt;&gt;"",ABS(N($N349))&gt;'設定'!$B$10),AND('設定'!$B$11&lt;&gt;"",ABS(ROUND($M349,4))&gt;'設定'!$B$11),AND('設定'!$B$10="",'設定'!$B$11="")),"要確認","許容内"))))</f>
        <v/>
      </c>
      <c r="P349" s="29">
        <f>IF($O349&lt;&gt;"要確認","",IF($Q349=0,"済",IF(COUNTIF('差異の原因'!$B$5:$B$204,$B349)=0,"未記録","一部")))</f>
        <v/>
      </c>
      <c r="Q349" s="27">
        <f>IF($L349="","",IF(AND($L349=0,COUNTIF('差異の原因'!$B$5:$B$204,$B349)=0),"",ROUND($L349-SUMIF('差異の原因'!$B$5:$B$204,$B349,'差異の原因'!$G$5:$G$204),6)))</f>
        <v/>
      </c>
      <c r="R349" s="30" t="n"/>
      <c r="S349" s="23" t="n"/>
      <c r="T349" s="29">
        <f>IF(OR($B349="",NOT(ISNUMBER($R349))),"",IF(IF(ISNUMBER($I349),$I349,N($H349))&lt;=0,"",IF($R349&lt;'設定'!$B$6,"期限切れ",IF($R349='設定'!$B$6,"当日",IF($R349-'設定'!$B$6&lt;=N('設定'!$B$14),"あと"&amp;($R349-'設定'!$B$6)&amp;"日","")))))</f>
        <v/>
      </c>
      <c r="U349" s="61" t="n"/>
      <c r="V349" s="31">
        <f>IF(AND($B349&lt;&gt;"",$E349&lt;&gt;"",$E349='数える用紙'!$C$2),ROW(),"")</f>
        <v/>
      </c>
      <c r="W349" s="74">
        <f>IF(AND($B349&lt;&gt;"",ISNUMBER($R349)),IF(AND($R349&lt;='設定'!$B$6+N('設定'!$B$14),IF(ISNUMBER($I349),$I349,N($H349))&gt;0),$R349+ROW()/100000,""),"")</f>
        <v/>
      </c>
    </row>
    <row r="350" ht="18" customHeight="1">
      <c r="A350" s="22" t="n">
        <v>346</v>
      </c>
      <c r="B350" s="23" t="n"/>
      <c r="C350" s="24" t="n"/>
      <c r="D350" s="24" t="n"/>
      <c r="E350" s="23" t="n"/>
      <c r="F350" s="23" t="n"/>
      <c r="G350" s="25" t="n"/>
      <c r="H350" s="25" t="n"/>
      <c r="I350" s="25" t="n"/>
      <c r="J350" s="72">
        <f>IF(OR($B350="",$H350=""),"",N($G350)*$H350)</f>
        <v/>
      </c>
      <c r="K350" s="72">
        <f>IF(OR($B350="",$I350=""),"",N($G350)*$I350)</f>
        <v/>
      </c>
      <c r="L350" s="27">
        <f>IF(OR($B350="",$H350="",$I350=""),"",$I350-$H350)</f>
        <v/>
      </c>
      <c r="M350" s="72">
        <f>IF($L350="","",$L350*N($G350))</f>
        <v/>
      </c>
      <c r="N350" s="73">
        <f>IF($L350="","",IF($H350&gt;0,ROUND($L350/$H350,4),"－"))</f>
        <v/>
      </c>
      <c r="O350" s="29">
        <f>IF($B350="","",IF($L350="","未入力",IF($L350=0,"一致",IF(OR(NOT(ISNUMBER($N350)),AND('設定'!$B$10&lt;&gt;"",ABS(N($N350))&gt;'設定'!$B$10),AND('設定'!$B$11&lt;&gt;"",ABS(ROUND($M350,4))&gt;'設定'!$B$11),AND('設定'!$B$10="",'設定'!$B$11="")),"要確認","許容内"))))</f>
        <v/>
      </c>
      <c r="P350" s="29">
        <f>IF($O350&lt;&gt;"要確認","",IF($Q350=0,"済",IF(COUNTIF('差異の原因'!$B$5:$B$204,$B350)=0,"未記録","一部")))</f>
        <v/>
      </c>
      <c r="Q350" s="27">
        <f>IF($L350="","",IF(AND($L350=0,COUNTIF('差異の原因'!$B$5:$B$204,$B350)=0),"",ROUND($L350-SUMIF('差異の原因'!$B$5:$B$204,$B350,'差異の原因'!$G$5:$G$204),6)))</f>
        <v/>
      </c>
      <c r="R350" s="30" t="n"/>
      <c r="S350" s="23" t="n"/>
      <c r="T350" s="29">
        <f>IF(OR($B350="",NOT(ISNUMBER($R350))),"",IF(IF(ISNUMBER($I350),$I350,N($H350))&lt;=0,"",IF($R350&lt;'設定'!$B$6,"期限切れ",IF($R350='設定'!$B$6,"当日",IF($R350-'設定'!$B$6&lt;=N('設定'!$B$14),"あと"&amp;($R350-'設定'!$B$6)&amp;"日","")))))</f>
        <v/>
      </c>
      <c r="U350" s="61" t="n"/>
      <c r="V350" s="31">
        <f>IF(AND($B350&lt;&gt;"",$E350&lt;&gt;"",$E350='数える用紙'!$C$2),ROW(),"")</f>
        <v/>
      </c>
      <c r="W350" s="74">
        <f>IF(AND($B350&lt;&gt;"",ISNUMBER($R350)),IF(AND($R350&lt;='設定'!$B$6+N('設定'!$B$14),IF(ISNUMBER($I350),$I350,N($H350))&gt;0),$R350+ROW()/100000,""),"")</f>
        <v/>
      </c>
    </row>
    <row r="351" ht="18" customHeight="1">
      <c r="A351" s="22" t="n">
        <v>347</v>
      </c>
      <c r="B351" s="23" t="n"/>
      <c r="C351" s="24" t="n"/>
      <c r="D351" s="24" t="n"/>
      <c r="E351" s="23" t="n"/>
      <c r="F351" s="23" t="n"/>
      <c r="G351" s="25" t="n"/>
      <c r="H351" s="25" t="n"/>
      <c r="I351" s="25" t="n"/>
      <c r="J351" s="72">
        <f>IF(OR($B351="",$H351=""),"",N($G351)*$H351)</f>
        <v/>
      </c>
      <c r="K351" s="72">
        <f>IF(OR($B351="",$I351=""),"",N($G351)*$I351)</f>
        <v/>
      </c>
      <c r="L351" s="27">
        <f>IF(OR($B351="",$H351="",$I351=""),"",$I351-$H351)</f>
        <v/>
      </c>
      <c r="M351" s="72">
        <f>IF($L351="","",$L351*N($G351))</f>
        <v/>
      </c>
      <c r="N351" s="73">
        <f>IF($L351="","",IF($H351&gt;0,ROUND($L351/$H351,4),"－"))</f>
        <v/>
      </c>
      <c r="O351" s="29">
        <f>IF($B351="","",IF($L351="","未入力",IF($L351=0,"一致",IF(OR(NOT(ISNUMBER($N351)),AND('設定'!$B$10&lt;&gt;"",ABS(N($N351))&gt;'設定'!$B$10),AND('設定'!$B$11&lt;&gt;"",ABS(ROUND($M351,4))&gt;'設定'!$B$11),AND('設定'!$B$10="",'設定'!$B$11="")),"要確認","許容内"))))</f>
        <v/>
      </c>
      <c r="P351" s="29">
        <f>IF($O351&lt;&gt;"要確認","",IF($Q351=0,"済",IF(COUNTIF('差異の原因'!$B$5:$B$204,$B351)=0,"未記録","一部")))</f>
        <v/>
      </c>
      <c r="Q351" s="27">
        <f>IF($L351="","",IF(AND($L351=0,COUNTIF('差異の原因'!$B$5:$B$204,$B351)=0),"",ROUND($L351-SUMIF('差異の原因'!$B$5:$B$204,$B351,'差異の原因'!$G$5:$G$204),6)))</f>
        <v/>
      </c>
      <c r="R351" s="30" t="n"/>
      <c r="S351" s="23" t="n"/>
      <c r="T351" s="29">
        <f>IF(OR($B351="",NOT(ISNUMBER($R351))),"",IF(IF(ISNUMBER($I351),$I351,N($H351))&lt;=0,"",IF($R351&lt;'設定'!$B$6,"期限切れ",IF($R351='設定'!$B$6,"当日",IF($R351-'設定'!$B$6&lt;=N('設定'!$B$14),"あと"&amp;($R351-'設定'!$B$6)&amp;"日","")))))</f>
        <v/>
      </c>
      <c r="U351" s="61" t="n"/>
      <c r="V351" s="31">
        <f>IF(AND($B351&lt;&gt;"",$E351&lt;&gt;"",$E351='数える用紙'!$C$2),ROW(),"")</f>
        <v/>
      </c>
      <c r="W351" s="74">
        <f>IF(AND($B351&lt;&gt;"",ISNUMBER($R351)),IF(AND($R351&lt;='設定'!$B$6+N('設定'!$B$14),IF(ISNUMBER($I351),$I351,N($H351))&gt;0),$R351+ROW()/100000,""),"")</f>
        <v/>
      </c>
    </row>
    <row r="352" ht="18" customHeight="1">
      <c r="A352" s="22" t="n">
        <v>348</v>
      </c>
      <c r="B352" s="23" t="n"/>
      <c r="C352" s="24" t="n"/>
      <c r="D352" s="24" t="n"/>
      <c r="E352" s="23" t="n"/>
      <c r="F352" s="23" t="n"/>
      <c r="G352" s="25" t="n"/>
      <c r="H352" s="25" t="n"/>
      <c r="I352" s="25" t="n"/>
      <c r="J352" s="72">
        <f>IF(OR($B352="",$H352=""),"",N($G352)*$H352)</f>
        <v/>
      </c>
      <c r="K352" s="72">
        <f>IF(OR($B352="",$I352=""),"",N($G352)*$I352)</f>
        <v/>
      </c>
      <c r="L352" s="27">
        <f>IF(OR($B352="",$H352="",$I352=""),"",$I352-$H352)</f>
        <v/>
      </c>
      <c r="M352" s="72">
        <f>IF($L352="","",$L352*N($G352))</f>
        <v/>
      </c>
      <c r="N352" s="73">
        <f>IF($L352="","",IF($H352&gt;0,ROUND($L352/$H352,4),"－"))</f>
        <v/>
      </c>
      <c r="O352" s="29">
        <f>IF($B352="","",IF($L352="","未入力",IF($L352=0,"一致",IF(OR(NOT(ISNUMBER($N352)),AND('設定'!$B$10&lt;&gt;"",ABS(N($N352))&gt;'設定'!$B$10),AND('設定'!$B$11&lt;&gt;"",ABS(ROUND($M352,4))&gt;'設定'!$B$11),AND('設定'!$B$10="",'設定'!$B$11="")),"要確認","許容内"))))</f>
        <v/>
      </c>
      <c r="P352" s="29">
        <f>IF($O352&lt;&gt;"要確認","",IF($Q352=0,"済",IF(COUNTIF('差異の原因'!$B$5:$B$204,$B352)=0,"未記録","一部")))</f>
        <v/>
      </c>
      <c r="Q352" s="27">
        <f>IF($L352="","",IF(AND($L352=0,COUNTIF('差異の原因'!$B$5:$B$204,$B352)=0),"",ROUND($L352-SUMIF('差異の原因'!$B$5:$B$204,$B352,'差異の原因'!$G$5:$G$204),6)))</f>
        <v/>
      </c>
      <c r="R352" s="30" t="n"/>
      <c r="S352" s="23" t="n"/>
      <c r="T352" s="29">
        <f>IF(OR($B352="",NOT(ISNUMBER($R352))),"",IF(IF(ISNUMBER($I352),$I352,N($H352))&lt;=0,"",IF($R352&lt;'設定'!$B$6,"期限切れ",IF($R352='設定'!$B$6,"当日",IF($R352-'設定'!$B$6&lt;=N('設定'!$B$14),"あと"&amp;($R352-'設定'!$B$6)&amp;"日","")))))</f>
        <v/>
      </c>
      <c r="U352" s="61" t="n"/>
      <c r="V352" s="31">
        <f>IF(AND($B352&lt;&gt;"",$E352&lt;&gt;"",$E352='数える用紙'!$C$2),ROW(),"")</f>
        <v/>
      </c>
      <c r="W352" s="74">
        <f>IF(AND($B352&lt;&gt;"",ISNUMBER($R352)),IF(AND($R352&lt;='設定'!$B$6+N('設定'!$B$14),IF(ISNUMBER($I352),$I352,N($H352))&gt;0),$R352+ROW()/100000,""),"")</f>
        <v/>
      </c>
    </row>
    <row r="353" ht="18" customHeight="1">
      <c r="A353" s="22" t="n">
        <v>349</v>
      </c>
      <c r="B353" s="23" t="n"/>
      <c r="C353" s="24" t="n"/>
      <c r="D353" s="24" t="n"/>
      <c r="E353" s="23" t="n"/>
      <c r="F353" s="23" t="n"/>
      <c r="G353" s="25" t="n"/>
      <c r="H353" s="25" t="n"/>
      <c r="I353" s="25" t="n"/>
      <c r="J353" s="72">
        <f>IF(OR($B353="",$H353=""),"",N($G353)*$H353)</f>
        <v/>
      </c>
      <c r="K353" s="72">
        <f>IF(OR($B353="",$I353=""),"",N($G353)*$I353)</f>
        <v/>
      </c>
      <c r="L353" s="27">
        <f>IF(OR($B353="",$H353="",$I353=""),"",$I353-$H353)</f>
        <v/>
      </c>
      <c r="M353" s="72">
        <f>IF($L353="","",$L353*N($G353))</f>
        <v/>
      </c>
      <c r="N353" s="73">
        <f>IF($L353="","",IF($H353&gt;0,ROUND($L353/$H353,4),"－"))</f>
        <v/>
      </c>
      <c r="O353" s="29">
        <f>IF($B353="","",IF($L353="","未入力",IF($L353=0,"一致",IF(OR(NOT(ISNUMBER($N353)),AND('設定'!$B$10&lt;&gt;"",ABS(N($N353))&gt;'設定'!$B$10),AND('設定'!$B$11&lt;&gt;"",ABS(ROUND($M353,4))&gt;'設定'!$B$11),AND('設定'!$B$10="",'設定'!$B$11="")),"要確認","許容内"))))</f>
        <v/>
      </c>
      <c r="P353" s="29">
        <f>IF($O353&lt;&gt;"要確認","",IF($Q353=0,"済",IF(COUNTIF('差異の原因'!$B$5:$B$204,$B353)=0,"未記録","一部")))</f>
        <v/>
      </c>
      <c r="Q353" s="27">
        <f>IF($L353="","",IF(AND($L353=0,COUNTIF('差異の原因'!$B$5:$B$204,$B353)=0),"",ROUND($L353-SUMIF('差異の原因'!$B$5:$B$204,$B353,'差異の原因'!$G$5:$G$204),6)))</f>
        <v/>
      </c>
      <c r="R353" s="30" t="n"/>
      <c r="S353" s="23" t="n"/>
      <c r="T353" s="29">
        <f>IF(OR($B353="",NOT(ISNUMBER($R353))),"",IF(IF(ISNUMBER($I353),$I353,N($H353))&lt;=0,"",IF($R353&lt;'設定'!$B$6,"期限切れ",IF($R353='設定'!$B$6,"当日",IF($R353-'設定'!$B$6&lt;=N('設定'!$B$14),"あと"&amp;($R353-'設定'!$B$6)&amp;"日","")))))</f>
        <v/>
      </c>
      <c r="U353" s="61" t="n"/>
      <c r="V353" s="31">
        <f>IF(AND($B353&lt;&gt;"",$E353&lt;&gt;"",$E353='数える用紙'!$C$2),ROW(),"")</f>
        <v/>
      </c>
      <c r="W353" s="74">
        <f>IF(AND($B353&lt;&gt;"",ISNUMBER($R353)),IF(AND($R353&lt;='設定'!$B$6+N('設定'!$B$14),IF(ISNUMBER($I353),$I353,N($H353))&gt;0),$R353+ROW()/100000,""),"")</f>
        <v/>
      </c>
    </row>
    <row r="354" ht="18" customHeight="1">
      <c r="A354" s="22" t="n">
        <v>350</v>
      </c>
      <c r="B354" s="23" t="n"/>
      <c r="C354" s="24" t="n"/>
      <c r="D354" s="24" t="n"/>
      <c r="E354" s="23" t="n"/>
      <c r="F354" s="23" t="n"/>
      <c r="G354" s="25" t="n"/>
      <c r="H354" s="25" t="n"/>
      <c r="I354" s="25" t="n"/>
      <c r="J354" s="72">
        <f>IF(OR($B354="",$H354=""),"",N($G354)*$H354)</f>
        <v/>
      </c>
      <c r="K354" s="72">
        <f>IF(OR($B354="",$I354=""),"",N($G354)*$I354)</f>
        <v/>
      </c>
      <c r="L354" s="27">
        <f>IF(OR($B354="",$H354="",$I354=""),"",$I354-$H354)</f>
        <v/>
      </c>
      <c r="M354" s="72">
        <f>IF($L354="","",$L354*N($G354))</f>
        <v/>
      </c>
      <c r="N354" s="73">
        <f>IF($L354="","",IF($H354&gt;0,ROUND($L354/$H354,4),"－"))</f>
        <v/>
      </c>
      <c r="O354" s="29">
        <f>IF($B354="","",IF($L354="","未入力",IF($L354=0,"一致",IF(OR(NOT(ISNUMBER($N354)),AND('設定'!$B$10&lt;&gt;"",ABS(N($N354))&gt;'設定'!$B$10),AND('設定'!$B$11&lt;&gt;"",ABS(ROUND($M354,4))&gt;'設定'!$B$11),AND('設定'!$B$10="",'設定'!$B$11="")),"要確認","許容内"))))</f>
        <v/>
      </c>
      <c r="P354" s="29">
        <f>IF($O354&lt;&gt;"要確認","",IF($Q354=0,"済",IF(COUNTIF('差異の原因'!$B$5:$B$204,$B354)=0,"未記録","一部")))</f>
        <v/>
      </c>
      <c r="Q354" s="27">
        <f>IF($L354="","",IF(AND($L354=0,COUNTIF('差異の原因'!$B$5:$B$204,$B354)=0),"",ROUND($L354-SUMIF('差異の原因'!$B$5:$B$204,$B354,'差異の原因'!$G$5:$G$204),6)))</f>
        <v/>
      </c>
      <c r="R354" s="30" t="n"/>
      <c r="S354" s="23" t="n"/>
      <c r="T354" s="29">
        <f>IF(OR($B354="",NOT(ISNUMBER($R354))),"",IF(IF(ISNUMBER($I354),$I354,N($H354))&lt;=0,"",IF($R354&lt;'設定'!$B$6,"期限切れ",IF($R354='設定'!$B$6,"当日",IF($R354-'設定'!$B$6&lt;=N('設定'!$B$14),"あと"&amp;($R354-'設定'!$B$6)&amp;"日","")))))</f>
        <v/>
      </c>
      <c r="U354" s="61" t="n"/>
      <c r="V354" s="31">
        <f>IF(AND($B354&lt;&gt;"",$E354&lt;&gt;"",$E354='数える用紙'!$C$2),ROW(),"")</f>
        <v/>
      </c>
      <c r="W354" s="74">
        <f>IF(AND($B354&lt;&gt;"",ISNUMBER($R354)),IF(AND($R354&lt;='設定'!$B$6+N('設定'!$B$14),IF(ISNUMBER($I354),$I354,N($H354))&gt;0),$R354+ROW()/100000,""),"")</f>
        <v/>
      </c>
    </row>
    <row r="355" ht="18" customHeight="1">
      <c r="A355" s="22" t="n">
        <v>351</v>
      </c>
      <c r="B355" s="23" t="n"/>
      <c r="C355" s="24" t="n"/>
      <c r="D355" s="24" t="n"/>
      <c r="E355" s="23" t="n"/>
      <c r="F355" s="23" t="n"/>
      <c r="G355" s="25" t="n"/>
      <c r="H355" s="25" t="n"/>
      <c r="I355" s="25" t="n"/>
      <c r="J355" s="72">
        <f>IF(OR($B355="",$H355=""),"",N($G355)*$H355)</f>
        <v/>
      </c>
      <c r="K355" s="72">
        <f>IF(OR($B355="",$I355=""),"",N($G355)*$I355)</f>
        <v/>
      </c>
      <c r="L355" s="27">
        <f>IF(OR($B355="",$H355="",$I355=""),"",$I355-$H355)</f>
        <v/>
      </c>
      <c r="M355" s="72">
        <f>IF($L355="","",$L355*N($G355))</f>
        <v/>
      </c>
      <c r="N355" s="73">
        <f>IF($L355="","",IF($H355&gt;0,ROUND($L355/$H355,4),"－"))</f>
        <v/>
      </c>
      <c r="O355" s="29">
        <f>IF($B355="","",IF($L355="","未入力",IF($L355=0,"一致",IF(OR(NOT(ISNUMBER($N355)),AND('設定'!$B$10&lt;&gt;"",ABS(N($N355))&gt;'設定'!$B$10),AND('設定'!$B$11&lt;&gt;"",ABS(ROUND($M355,4))&gt;'設定'!$B$11),AND('設定'!$B$10="",'設定'!$B$11="")),"要確認","許容内"))))</f>
        <v/>
      </c>
      <c r="P355" s="29">
        <f>IF($O355&lt;&gt;"要確認","",IF($Q355=0,"済",IF(COUNTIF('差異の原因'!$B$5:$B$204,$B355)=0,"未記録","一部")))</f>
        <v/>
      </c>
      <c r="Q355" s="27">
        <f>IF($L355="","",IF(AND($L355=0,COUNTIF('差異の原因'!$B$5:$B$204,$B355)=0),"",ROUND($L355-SUMIF('差異の原因'!$B$5:$B$204,$B355,'差異の原因'!$G$5:$G$204),6)))</f>
        <v/>
      </c>
      <c r="R355" s="30" t="n"/>
      <c r="S355" s="23" t="n"/>
      <c r="T355" s="29">
        <f>IF(OR($B355="",NOT(ISNUMBER($R355))),"",IF(IF(ISNUMBER($I355),$I355,N($H355))&lt;=0,"",IF($R355&lt;'設定'!$B$6,"期限切れ",IF($R355='設定'!$B$6,"当日",IF($R355-'設定'!$B$6&lt;=N('設定'!$B$14),"あと"&amp;($R355-'設定'!$B$6)&amp;"日","")))))</f>
        <v/>
      </c>
      <c r="U355" s="61" t="n"/>
      <c r="V355" s="31">
        <f>IF(AND($B355&lt;&gt;"",$E355&lt;&gt;"",$E355='数える用紙'!$C$2),ROW(),"")</f>
        <v/>
      </c>
      <c r="W355" s="74">
        <f>IF(AND($B355&lt;&gt;"",ISNUMBER($R355)),IF(AND($R355&lt;='設定'!$B$6+N('設定'!$B$14),IF(ISNUMBER($I355),$I355,N($H355))&gt;0),$R355+ROW()/100000,""),"")</f>
        <v/>
      </c>
    </row>
    <row r="356" ht="18" customHeight="1">
      <c r="A356" s="22" t="n">
        <v>352</v>
      </c>
      <c r="B356" s="23" t="n"/>
      <c r="C356" s="24" t="n"/>
      <c r="D356" s="24" t="n"/>
      <c r="E356" s="23" t="n"/>
      <c r="F356" s="23" t="n"/>
      <c r="G356" s="25" t="n"/>
      <c r="H356" s="25" t="n"/>
      <c r="I356" s="25" t="n"/>
      <c r="J356" s="72">
        <f>IF(OR($B356="",$H356=""),"",N($G356)*$H356)</f>
        <v/>
      </c>
      <c r="K356" s="72">
        <f>IF(OR($B356="",$I356=""),"",N($G356)*$I356)</f>
        <v/>
      </c>
      <c r="L356" s="27">
        <f>IF(OR($B356="",$H356="",$I356=""),"",$I356-$H356)</f>
        <v/>
      </c>
      <c r="M356" s="72">
        <f>IF($L356="","",$L356*N($G356))</f>
        <v/>
      </c>
      <c r="N356" s="73">
        <f>IF($L356="","",IF($H356&gt;0,ROUND($L356/$H356,4),"－"))</f>
        <v/>
      </c>
      <c r="O356" s="29">
        <f>IF($B356="","",IF($L356="","未入力",IF($L356=0,"一致",IF(OR(NOT(ISNUMBER($N356)),AND('設定'!$B$10&lt;&gt;"",ABS(N($N356))&gt;'設定'!$B$10),AND('設定'!$B$11&lt;&gt;"",ABS(ROUND($M356,4))&gt;'設定'!$B$11),AND('設定'!$B$10="",'設定'!$B$11="")),"要確認","許容内"))))</f>
        <v/>
      </c>
      <c r="P356" s="29">
        <f>IF($O356&lt;&gt;"要確認","",IF($Q356=0,"済",IF(COUNTIF('差異の原因'!$B$5:$B$204,$B356)=0,"未記録","一部")))</f>
        <v/>
      </c>
      <c r="Q356" s="27">
        <f>IF($L356="","",IF(AND($L356=0,COUNTIF('差異の原因'!$B$5:$B$204,$B356)=0),"",ROUND($L356-SUMIF('差異の原因'!$B$5:$B$204,$B356,'差異の原因'!$G$5:$G$204),6)))</f>
        <v/>
      </c>
      <c r="R356" s="30" t="n"/>
      <c r="S356" s="23" t="n"/>
      <c r="T356" s="29">
        <f>IF(OR($B356="",NOT(ISNUMBER($R356))),"",IF(IF(ISNUMBER($I356),$I356,N($H356))&lt;=0,"",IF($R356&lt;'設定'!$B$6,"期限切れ",IF($R356='設定'!$B$6,"当日",IF($R356-'設定'!$B$6&lt;=N('設定'!$B$14),"あと"&amp;($R356-'設定'!$B$6)&amp;"日","")))))</f>
        <v/>
      </c>
      <c r="U356" s="61" t="n"/>
      <c r="V356" s="31">
        <f>IF(AND($B356&lt;&gt;"",$E356&lt;&gt;"",$E356='数える用紙'!$C$2),ROW(),"")</f>
        <v/>
      </c>
      <c r="W356" s="74">
        <f>IF(AND($B356&lt;&gt;"",ISNUMBER($R356)),IF(AND($R356&lt;='設定'!$B$6+N('設定'!$B$14),IF(ISNUMBER($I356),$I356,N($H356))&gt;0),$R356+ROW()/100000,""),"")</f>
        <v/>
      </c>
    </row>
    <row r="357" ht="18" customHeight="1">
      <c r="A357" s="22" t="n">
        <v>353</v>
      </c>
      <c r="B357" s="23" t="n"/>
      <c r="C357" s="24" t="n"/>
      <c r="D357" s="24" t="n"/>
      <c r="E357" s="23" t="n"/>
      <c r="F357" s="23" t="n"/>
      <c r="G357" s="25" t="n"/>
      <c r="H357" s="25" t="n"/>
      <c r="I357" s="25" t="n"/>
      <c r="J357" s="72">
        <f>IF(OR($B357="",$H357=""),"",N($G357)*$H357)</f>
        <v/>
      </c>
      <c r="K357" s="72">
        <f>IF(OR($B357="",$I357=""),"",N($G357)*$I357)</f>
        <v/>
      </c>
      <c r="L357" s="27">
        <f>IF(OR($B357="",$H357="",$I357=""),"",$I357-$H357)</f>
        <v/>
      </c>
      <c r="M357" s="72">
        <f>IF($L357="","",$L357*N($G357))</f>
        <v/>
      </c>
      <c r="N357" s="73">
        <f>IF($L357="","",IF($H357&gt;0,ROUND($L357/$H357,4),"－"))</f>
        <v/>
      </c>
      <c r="O357" s="29">
        <f>IF($B357="","",IF($L357="","未入力",IF($L357=0,"一致",IF(OR(NOT(ISNUMBER($N357)),AND('設定'!$B$10&lt;&gt;"",ABS(N($N357))&gt;'設定'!$B$10),AND('設定'!$B$11&lt;&gt;"",ABS(ROUND($M357,4))&gt;'設定'!$B$11),AND('設定'!$B$10="",'設定'!$B$11="")),"要確認","許容内"))))</f>
        <v/>
      </c>
      <c r="P357" s="29">
        <f>IF($O357&lt;&gt;"要確認","",IF($Q357=0,"済",IF(COUNTIF('差異の原因'!$B$5:$B$204,$B357)=0,"未記録","一部")))</f>
        <v/>
      </c>
      <c r="Q357" s="27">
        <f>IF($L357="","",IF(AND($L357=0,COUNTIF('差異の原因'!$B$5:$B$204,$B357)=0),"",ROUND($L357-SUMIF('差異の原因'!$B$5:$B$204,$B357,'差異の原因'!$G$5:$G$204),6)))</f>
        <v/>
      </c>
      <c r="R357" s="30" t="n"/>
      <c r="S357" s="23" t="n"/>
      <c r="T357" s="29">
        <f>IF(OR($B357="",NOT(ISNUMBER($R357))),"",IF(IF(ISNUMBER($I357),$I357,N($H357))&lt;=0,"",IF($R357&lt;'設定'!$B$6,"期限切れ",IF($R357='設定'!$B$6,"当日",IF($R357-'設定'!$B$6&lt;=N('設定'!$B$14),"あと"&amp;($R357-'設定'!$B$6)&amp;"日","")))))</f>
        <v/>
      </c>
      <c r="U357" s="61" t="n"/>
      <c r="V357" s="31">
        <f>IF(AND($B357&lt;&gt;"",$E357&lt;&gt;"",$E357='数える用紙'!$C$2),ROW(),"")</f>
        <v/>
      </c>
      <c r="W357" s="74">
        <f>IF(AND($B357&lt;&gt;"",ISNUMBER($R357)),IF(AND($R357&lt;='設定'!$B$6+N('設定'!$B$14),IF(ISNUMBER($I357),$I357,N($H357))&gt;0),$R357+ROW()/100000,""),"")</f>
        <v/>
      </c>
    </row>
    <row r="358" ht="18" customHeight="1">
      <c r="A358" s="22" t="n">
        <v>354</v>
      </c>
      <c r="B358" s="23" t="n"/>
      <c r="C358" s="24" t="n"/>
      <c r="D358" s="24" t="n"/>
      <c r="E358" s="23" t="n"/>
      <c r="F358" s="23" t="n"/>
      <c r="G358" s="25" t="n"/>
      <c r="H358" s="25" t="n"/>
      <c r="I358" s="25" t="n"/>
      <c r="J358" s="72">
        <f>IF(OR($B358="",$H358=""),"",N($G358)*$H358)</f>
        <v/>
      </c>
      <c r="K358" s="72">
        <f>IF(OR($B358="",$I358=""),"",N($G358)*$I358)</f>
        <v/>
      </c>
      <c r="L358" s="27">
        <f>IF(OR($B358="",$H358="",$I358=""),"",$I358-$H358)</f>
        <v/>
      </c>
      <c r="M358" s="72">
        <f>IF($L358="","",$L358*N($G358))</f>
        <v/>
      </c>
      <c r="N358" s="73">
        <f>IF($L358="","",IF($H358&gt;0,ROUND($L358/$H358,4),"－"))</f>
        <v/>
      </c>
      <c r="O358" s="29">
        <f>IF($B358="","",IF($L358="","未入力",IF($L358=0,"一致",IF(OR(NOT(ISNUMBER($N358)),AND('設定'!$B$10&lt;&gt;"",ABS(N($N358))&gt;'設定'!$B$10),AND('設定'!$B$11&lt;&gt;"",ABS(ROUND($M358,4))&gt;'設定'!$B$11),AND('設定'!$B$10="",'設定'!$B$11="")),"要確認","許容内"))))</f>
        <v/>
      </c>
      <c r="P358" s="29">
        <f>IF($O358&lt;&gt;"要確認","",IF($Q358=0,"済",IF(COUNTIF('差異の原因'!$B$5:$B$204,$B358)=0,"未記録","一部")))</f>
        <v/>
      </c>
      <c r="Q358" s="27">
        <f>IF($L358="","",IF(AND($L358=0,COUNTIF('差異の原因'!$B$5:$B$204,$B358)=0),"",ROUND($L358-SUMIF('差異の原因'!$B$5:$B$204,$B358,'差異の原因'!$G$5:$G$204),6)))</f>
        <v/>
      </c>
      <c r="R358" s="30" t="n"/>
      <c r="S358" s="23" t="n"/>
      <c r="T358" s="29">
        <f>IF(OR($B358="",NOT(ISNUMBER($R358))),"",IF(IF(ISNUMBER($I358),$I358,N($H358))&lt;=0,"",IF($R358&lt;'設定'!$B$6,"期限切れ",IF($R358='設定'!$B$6,"当日",IF($R358-'設定'!$B$6&lt;=N('設定'!$B$14),"あと"&amp;($R358-'設定'!$B$6)&amp;"日","")))))</f>
        <v/>
      </c>
      <c r="U358" s="61" t="n"/>
      <c r="V358" s="31">
        <f>IF(AND($B358&lt;&gt;"",$E358&lt;&gt;"",$E358='数える用紙'!$C$2),ROW(),"")</f>
        <v/>
      </c>
      <c r="W358" s="74">
        <f>IF(AND($B358&lt;&gt;"",ISNUMBER($R358)),IF(AND($R358&lt;='設定'!$B$6+N('設定'!$B$14),IF(ISNUMBER($I358),$I358,N($H358))&gt;0),$R358+ROW()/100000,""),"")</f>
        <v/>
      </c>
    </row>
    <row r="359" ht="18" customHeight="1">
      <c r="A359" s="22" t="n">
        <v>355</v>
      </c>
      <c r="B359" s="23" t="n"/>
      <c r="C359" s="24" t="n"/>
      <c r="D359" s="24" t="n"/>
      <c r="E359" s="23" t="n"/>
      <c r="F359" s="23" t="n"/>
      <c r="G359" s="25" t="n"/>
      <c r="H359" s="25" t="n"/>
      <c r="I359" s="25" t="n"/>
      <c r="J359" s="72">
        <f>IF(OR($B359="",$H359=""),"",N($G359)*$H359)</f>
        <v/>
      </c>
      <c r="K359" s="72">
        <f>IF(OR($B359="",$I359=""),"",N($G359)*$I359)</f>
        <v/>
      </c>
      <c r="L359" s="27">
        <f>IF(OR($B359="",$H359="",$I359=""),"",$I359-$H359)</f>
        <v/>
      </c>
      <c r="M359" s="72">
        <f>IF($L359="","",$L359*N($G359))</f>
        <v/>
      </c>
      <c r="N359" s="73">
        <f>IF($L359="","",IF($H359&gt;0,ROUND($L359/$H359,4),"－"))</f>
        <v/>
      </c>
      <c r="O359" s="29">
        <f>IF($B359="","",IF($L359="","未入力",IF($L359=0,"一致",IF(OR(NOT(ISNUMBER($N359)),AND('設定'!$B$10&lt;&gt;"",ABS(N($N359))&gt;'設定'!$B$10),AND('設定'!$B$11&lt;&gt;"",ABS(ROUND($M359,4))&gt;'設定'!$B$11),AND('設定'!$B$10="",'設定'!$B$11="")),"要確認","許容内"))))</f>
        <v/>
      </c>
      <c r="P359" s="29">
        <f>IF($O359&lt;&gt;"要確認","",IF($Q359=0,"済",IF(COUNTIF('差異の原因'!$B$5:$B$204,$B359)=0,"未記録","一部")))</f>
        <v/>
      </c>
      <c r="Q359" s="27">
        <f>IF($L359="","",IF(AND($L359=0,COUNTIF('差異の原因'!$B$5:$B$204,$B359)=0),"",ROUND($L359-SUMIF('差異の原因'!$B$5:$B$204,$B359,'差異の原因'!$G$5:$G$204),6)))</f>
        <v/>
      </c>
      <c r="R359" s="30" t="n"/>
      <c r="S359" s="23" t="n"/>
      <c r="T359" s="29">
        <f>IF(OR($B359="",NOT(ISNUMBER($R359))),"",IF(IF(ISNUMBER($I359),$I359,N($H359))&lt;=0,"",IF($R359&lt;'設定'!$B$6,"期限切れ",IF($R359='設定'!$B$6,"当日",IF($R359-'設定'!$B$6&lt;=N('設定'!$B$14),"あと"&amp;($R359-'設定'!$B$6)&amp;"日","")))))</f>
        <v/>
      </c>
      <c r="U359" s="61" t="n"/>
      <c r="V359" s="31">
        <f>IF(AND($B359&lt;&gt;"",$E359&lt;&gt;"",$E359='数える用紙'!$C$2),ROW(),"")</f>
        <v/>
      </c>
      <c r="W359" s="74">
        <f>IF(AND($B359&lt;&gt;"",ISNUMBER($R359)),IF(AND($R359&lt;='設定'!$B$6+N('設定'!$B$14),IF(ISNUMBER($I359),$I359,N($H359))&gt;0),$R359+ROW()/100000,""),"")</f>
        <v/>
      </c>
    </row>
    <row r="360" ht="18" customHeight="1">
      <c r="A360" s="22" t="n">
        <v>356</v>
      </c>
      <c r="B360" s="23" t="n"/>
      <c r="C360" s="24" t="n"/>
      <c r="D360" s="24" t="n"/>
      <c r="E360" s="23" t="n"/>
      <c r="F360" s="23" t="n"/>
      <c r="G360" s="25" t="n"/>
      <c r="H360" s="25" t="n"/>
      <c r="I360" s="25" t="n"/>
      <c r="J360" s="72">
        <f>IF(OR($B360="",$H360=""),"",N($G360)*$H360)</f>
        <v/>
      </c>
      <c r="K360" s="72">
        <f>IF(OR($B360="",$I360=""),"",N($G360)*$I360)</f>
        <v/>
      </c>
      <c r="L360" s="27">
        <f>IF(OR($B360="",$H360="",$I360=""),"",$I360-$H360)</f>
        <v/>
      </c>
      <c r="M360" s="72">
        <f>IF($L360="","",$L360*N($G360))</f>
        <v/>
      </c>
      <c r="N360" s="73">
        <f>IF($L360="","",IF($H360&gt;0,ROUND($L360/$H360,4),"－"))</f>
        <v/>
      </c>
      <c r="O360" s="29">
        <f>IF($B360="","",IF($L360="","未入力",IF($L360=0,"一致",IF(OR(NOT(ISNUMBER($N360)),AND('設定'!$B$10&lt;&gt;"",ABS(N($N360))&gt;'設定'!$B$10),AND('設定'!$B$11&lt;&gt;"",ABS(ROUND($M360,4))&gt;'設定'!$B$11),AND('設定'!$B$10="",'設定'!$B$11="")),"要確認","許容内"))))</f>
        <v/>
      </c>
      <c r="P360" s="29">
        <f>IF($O360&lt;&gt;"要確認","",IF($Q360=0,"済",IF(COUNTIF('差異の原因'!$B$5:$B$204,$B360)=0,"未記録","一部")))</f>
        <v/>
      </c>
      <c r="Q360" s="27">
        <f>IF($L360="","",IF(AND($L360=0,COUNTIF('差異の原因'!$B$5:$B$204,$B360)=0),"",ROUND($L360-SUMIF('差異の原因'!$B$5:$B$204,$B360,'差異の原因'!$G$5:$G$204),6)))</f>
        <v/>
      </c>
      <c r="R360" s="30" t="n"/>
      <c r="S360" s="23" t="n"/>
      <c r="T360" s="29">
        <f>IF(OR($B360="",NOT(ISNUMBER($R360))),"",IF(IF(ISNUMBER($I360),$I360,N($H360))&lt;=0,"",IF($R360&lt;'設定'!$B$6,"期限切れ",IF($R360='設定'!$B$6,"当日",IF($R360-'設定'!$B$6&lt;=N('設定'!$B$14),"あと"&amp;($R360-'設定'!$B$6)&amp;"日","")))))</f>
        <v/>
      </c>
      <c r="U360" s="61" t="n"/>
      <c r="V360" s="31">
        <f>IF(AND($B360&lt;&gt;"",$E360&lt;&gt;"",$E360='数える用紙'!$C$2),ROW(),"")</f>
        <v/>
      </c>
      <c r="W360" s="74">
        <f>IF(AND($B360&lt;&gt;"",ISNUMBER($R360)),IF(AND($R360&lt;='設定'!$B$6+N('設定'!$B$14),IF(ISNUMBER($I360),$I360,N($H360))&gt;0),$R360+ROW()/100000,""),"")</f>
        <v/>
      </c>
    </row>
    <row r="361" ht="18" customHeight="1">
      <c r="A361" s="22" t="n">
        <v>357</v>
      </c>
      <c r="B361" s="23" t="n"/>
      <c r="C361" s="24" t="n"/>
      <c r="D361" s="24" t="n"/>
      <c r="E361" s="23" t="n"/>
      <c r="F361" s="23" t="n"/>
      <c r="G361" s="25" t="n"/>
      <c r="H361" s="25" t="n"/>
      <c r="I361" s="25" t="n"/>
      <c r="J361" s="72">
        <f>IF(OR($B361="",$H361=""),"",N($G361)*$H361)</f>
        <v/>
      </c>
      <c r="K361" s="72">
        <f>IF(OR($B361="",$I361=""),"",N($G361)*$I361)</f>
        <v/>
      </c>
      <c r="L361" s="27">
        <f>IF(OR($B361="",$H361="",$I361=""),"",$I361-$H361)</f>
        <v/>
      </c>
      <c r="M361" s="72">
        <f>IF($L361="","",$L361*N($G361))</f>
        <v/>
      </c>
      <c r="N361" s="73">
        <f>IF($L361="","",IF($H361&gt;0,ROUND($L361/$H361,4),"－"))</f>
        <v/>
      </c>
      <c r="O361" s="29">
        <f>IF($B361="","",IF($L361="","未入力",IF($L361=0,"一致",IF(OR(NOT(ISNUMBER($N361)),AND('設定'!$B$10&lt;&gt;"",ABS(N($N361))&gt;'設定'!$B$10),AND('設定'!$B$11&lt;&gt;"",ABS(ROUND($M361,4))&gt;'設定'!$B$11),AND('設定'!$B$10="",'設定'!$B$11="")),"要確認","許容内"))))</f>
        <v/>
      </c>
      <c r="P361" s="29">
        <f>IF($O361&lt;&gt;"要確認","",IF($Q361=0,"済",IF(COUNTIF('差異の原因'!$B$5:$B$204,$B361)=0,"未記録","一部")))</f>
        <v/>
      </c>
      <c r="Q361" s="27">
        <f>IF($L361="","",IF(AND($L361=0,COUNTIF('差異の原因'!$B$5:$B$204,$B361)=0),"",ROUND($L361-SUMIF('差異の原因'!$B$5:$B$204,$B361,'差異の原因'!$G$5:$G$204),6)))</f>
        <v/>
      </c>
      <c r="R361" s="30" t="n"/>
      <c r="S361" s="23" t="n"/>
      <c r="T361" s="29">
        <f>IF(OR($B361="",NOT(ISNUMBER($R361))),"",IF(IF(ISNUMBER($I361),$I361,N($H361))&lt;=0,"",IF($R361&lt;'設定'!$B$6,"期限切れ",IF($R361='設定'!$B$6,"当日",IF($R361-'設定'!$B$6&lt;=N('設定'!$B$14),"あと"&amp;($R361-'設定'!$B$6)&amp;"日","")))))</f>
        <v/>
      </c>
      <c r="U361" s="61" t="n"/>
      <c r="V361" s="31">
        <f>IF(AND($B361&lt;&gt;"",$E361&lt;&gt;"",$E361='数える用紙'!$C$2),ROW(),"")</f>
        <v/>
      </c>
      <c r="W361" s="74">
        <f>IF(AND($B361&lt;&gt;"",ISNUMBER($R361)),IF(AND($R361&lt;='設定'!$B$6+N('設定'!$B$14),IF(ISNUMBER($I361),$I361,N($H361))&gt;0),$R361+ROW()/100000,""),"")</f>
        <v/>
      </c>
    </row>
    <row r="362" ht="18" customHeight="1">
      <c r="A362" s="22" t="n">
        <v>358</v>
      </c>
      <c r="B362" s="23" t="n"/>
      <c r="C362" s="24" t="n"/>
      <c r="D362" s="24" t="n"/>
      <c r="E362" s="23" t="n"/>
      <c r="F362" s="23" t="n"/>
      <c r="G362" s="25" t="n"/>
      <c r="H362" s="25" t="n"/>
      <c r="I362" s="25" t="n"/>
      <c r="J362" s="72">
        <f>IF(OR($B362="",$H362=""),"",N($G362)*$H362)</f>
        <v/>
      </c>
      <c r="K362" s="72">
        <f>IF(OR($B362="",$I362=""),"",N($G362)*$I362)</f>
        <v/>
      </c>
      <c r="L362" s="27">
        <f>IF(OR($B362="",$H362="",$I362=""),"",$I362-$H362)</f>
        <v/>
      </c>
      <c r="M362" s="72">
        <f>IF($L362="","",$L362*N($G362))</f>
        <v/>
      </c>
      <c r="N362" s="73">
        <f>IF($L362="","",IF($H362&gt;0,ROUND($L362/$H362,4),"－"))</f>
        <v/>
      </c>
      <c r="O362" s="29">
        <f>IF($B362="","",IF($L362="","未入力",IF($L362=0,"一致",IF(OR(NOT(ISNUMBER($N362)),AND('設定'!$B$10&lt;&gt;"",ABS(N($N362))&gt;'設定'!$B$10),AND('設定'!$B$11&lt;&gt;"",ABS(ROUND($M362,4))&gt;'設定'!$B$11),AND('設定'!$B$10="",'設定'!$B$11="")),"要確認","許容内"))))</f>
        <v/>
      </c>
      <c r="P362" s="29">
        <f>IF($O362&lt;&gt;"要確認","",IF($Q362=0,"済",IF(COUNTIF('差異の原因'!$B$5:$B$204,$B362)=0,"未記録","一部")))</f>
        <v/>
      </c>
      <c r="Q362" s="27">
        <f>IF($L362="","",IF(AND($L362=0,COUNTIF('差異の原因'!$B$5:$B$204,$B362)=0),"",ROUND($L362-SUMIF('差異の原因'!$B$5:$B$204,$B362,'差異の原因'!$G$5:$G$204),6)))</f>
        <v/>
      </c>
      <c r="R362" s="30" t="n"/>
      <c r="S362" s="23" t="n"/>
      <c r="T362" s="29">
        <f>IF(OR($B362="",NOT(ISNUMBER($R362))),"",IF(IF(ISNUMBER($I362),$I362,N($H362))&lt;=0,"",IF($R362&lt;'設定'!$B$6,"期限切れ",IF($R362='設定'!$B$6,"当日",IF($R362-'設定'!$B$6&lt;=N('設定'!$B$14),"あと"&amp;($R362-'設定'!$B$6)&amp;"日","")))))</f>
        <v/>
      </c>
      <c r="U362" s="61" t="n"/>
      <c r="V362" s="31">
        <f>IF(AND($B362&lt;&gt;"",$E362&lt;&gt;"",$E362='数える用紙'!$C$2),ROW(),"")</f>
        <v/>
      </c>
      <c r="W362" s="74">
        <f>IF(AND($B362&lt;&gt;"",ISNUMBER($R362)),IF(AND($R362&lt;='設定'!$B$6+N('設定'!$B$14),IF(ISNUMBER($I362),$I362,N($H362))&gt;0),$R362+ROW()/100000,""),"")</f>
        <v/>
      </c>
    </row>
    <row r="363" ht="18" customHeight="1">
      <c r="A363" s="22" t="n">
        <v>359</v>
      </c>
      <c r="B363" s="23" t="n"/>
      <c r="C363" s="24" t="n"/>
      <c r="D363" s="24" t="n"/>
      <c r="E363" s="23" t="n"/>
      <c r="F363" s="23" t="n"/>
      <c r="G363" s="25" t="n"/>
      <c r="H363" s="25" t="n"/>
      <c r="I363" s="25" t="n"/>
      <c r="J363" s="72">
        <f>IF(OR($B363="",$H363=""),"",N($G363)*$H363)</f>
        <v/>
      </c>
      <c r="K363" s="72">
        <f>IF(OR($B363="",$I363=""),"",N($G363)*$I363)</f>
        <v/>
      </c>
      <c r="L363" s="27">
        <f>IF(OR($B363="",$H363="",$I363=""),"",$I363-$H363)</f>
        <v/>
      </c>
      <c r="M363" s="72">
        <f>IF($L363="","",$L363*N($G363))</f>
        <v/>
      </c>
      <c r="N363" s="73">
        <f>IF($L363="","",IF($H363&gt;0,ROUND($L363/$H363,4),"－"))</f>
        <v/>
      </c>
      <c r="O363" s="29">
        <f>IF($B363="","",IF($L363="","未入力",IF($L363=0,"一致",IF(OR(NOT(ISNUMBER($N363)),AND('設定'!$B$10&lt;&gt;"",ABS(N($N363))&gt;'設定'!$B$10),AND('設定'!$B$11&lt;&gt;"",ABS(ROUND($M363,4))&gt;'設定'!$B$11),AND('設定'!$B$10="",'設定'!$B$11="")),"要確認","許容内"))))</f>
        <v/>
      </c>
      <c r="P363" s="29">
        <f>IF($O363&lt;&gt;"要確認","",IF($Q363=0,"済",IF(COUNTIF('差異の原因'!$B$5:$B$204,$B363)=0,"未記録","一部")))</f>
        <v/>
      </c>
      <c r="Q363" s="27">
        <f>IF($L363="","",IF(AND($L363=0,COUNTIF('差異の原因'!$B$5:$B$204,$B363)=0),"",ROUND($L363-SUMIF('差異の原因'!$B$5:$B$204,$B363,'差異の原因'!$G$5:$G$204),6)))</f>
        <v/>
      </c>
      <c r="R363" s="30" t="n"/>
      <c r="S363" s="23" t="n"/>
      <c r="T363" s="29">
        <f>IF(OR($B363="",NOT(ISNUMBER($R363))),"",IF(IF(ISNUMBER($I363),$I363,N($H363))&lt;=0,"",IF($R363&lt;'設定'!$B$6,"期限切れ",IF($R363='設定'!$B$6,"当日",IF($R363-'設定'!$B$6&lt;=N('設定'!$B$14),"あと"&amp;($R363-'設定'!$B$6)&amp;"日","")))))</f>
        <v/>
      </c>
      <c r="U363" s="61" t="n"/>
      <c r="V363" s="31">
        <f>IF(AND($B363&lt;&gt;"",$E363&lt;&gt;"",$E363='数える用紙'!$C$2),ROW(),"")</f>
        <v/>
      </c>
      <c r="W363" s="74">
        <f>IF(AND($B363&lt;&gt;"",ISNUMBER($R363)),IF(AND($R363&lt;='設定'!$B$6+N('設定'!$B$14),IF(ISNUMBER($I363),$I363,N($H363))&gt;0),$R363+ROW()/100000,""),"")</f>
        <v/>
      </c>
    </row>
    <row r="364" ht="18" customHeight="1">
      <c r="A364" s="22" t="n">
        <v>360</v>
      </c>
      <c r="B364" s="23" t="n"/>
      <c r="C364" s="24" t="n"/>
      <c r="D364" s="24" t="n"/>
      <c r="E364" s="23" t="n"/>
      <c r="F364" s="23" t="n"/>
      <c r="G364" s="25" t="n"/>
      <c r="H364" s="25" t="n"/>
      <c r="I364" s="25" t="n"/>
      <c r="J364" s="72">
        <f>IF(OR($B364="",$H364=""),"",N($G364)*$H364)</f>
        <v/>
      </c>
      <c r="K364" s="72">
        <f>IF(OR($B364="",$I364=""),"",N($G364)*$I364)</f>
        <v/>
      </c>
      <c r="L364" s="27">
        <f>IF(OR($B364="",$H364="",$I364=""),"",$I364-$H364)</f>
        <v/>
      </c>
      <c r="M364" s="72">
        <f>IF($L364="","",$L364*N($G364))</f>
        <v/>
      </c>
      <c r="N364" s="73">
        <f>IF($L364="","",IF($H364&gt;0,ROUND($L364/$H364,4),"－"))</f>
        <v/>
      </c>
      <c r="O364" s="29">
        <f>IF($B364="","",IF($L364="","未入力",IF($L364=0,"一致",IF(OR(NOT(ISNUMBER($N364)),AND('設定'!$B$10&lt;&gt;"",ABS(N($N364))&gt;'設定'!$B$10),AND('設定'!$B$11&lt;&gt;"",ABS(ROUND($M364,4))&gt;'設定'!$B$11),AND('設定'!$B$10="",'設定'!$B$11="")),"要確認","許容内"))))</f>
        <v/>
      </c>
      <c r="P364" s="29">
        <f>IF($O364&lt;&gt;"要確認","",IF($Q364=0,"済",IF(COUNTIF('差異の原因'!$B$5:$B$204,$B364)=0,"未記録","一部")))</f>
        <v/>
      </c>
      <c r="Q364" s="27">
        <f>IF($L364="","",IF(AND($L364=0,COUNTIF('差異の原因'!$B$5:$B$204,$B364)=0),"",ROUND($L364-SUMIF('差異の原因'!$B$5:$B$204,$B364,'差異の原因'!$G$5:$G$204),6)))</f>
        <v/>
      </c>
      <c r="R364" s="30" t="n"/>
      <c r="S364" s="23" t="n"/>
      <c r="T364" s="29">
        <f>IF(OR($B364="",NOT(ISNUMBER($R364))),"",IF(IF(ISNUMBER($I364),$I364,N($H364))&lt;=0,"",IF($R364&lt;'設定'!$B$6,"期限切れ",IF($R364='設定'!$B$6,"当日",IF($R364-'設定'!$B$6&lt;=N('設定'!$B$14),"あと"&amp;($R364-'設定'!$B$6)&amp;"日","")))))</f>
        <v/>
      </c>
      <c r="U364" s="61" t="n"/>
      <c r="V364" s="31">
        <f>IF(AND($B364&lt;&gt;"",$E364&lt;&gt;"",$E364='数える用紙'!$C$2),ROW(),"")</f>
        <v/>
      </c>
      <c r="W364" s="74">
        <f>IF(AND($B364&lt;&gt;"",ISNUMBER($R364)),IF(AND($R364&lt;='設定'!$B$6+N('設定'!$B$14),IF(ISNUMBER($I364),$I364,N($H364))&gt;0),$R364+ROW()/100000,""),"")</f>
        <v/>
      </c>
    </row>
    <row r="365" ht="18" customHeight="1">
      <c r="A365" s="22" t="n">
        <v>361</v>
      </c>
      <c r="B365" s="23" t="n"/>
      <c r="C365" s="24" t="n"/>
      <c r="D365" s="24" t="n"/>
      <c r="E365" s="23" t="n"/>
      <c r="F365" s="23" t="n"/>
      <c r="G365" s="25" t="n"/>
      <c r="H365" s="25" t="n"/>
      <c r="I365" s="25" t="n"/>
      <c r="J365" s="72">
        <f>IF(OR($B365="",$H365=""),"",N($G365)*$H365)</f>
        <v/>
      </c>
      <c r="K365" s="72">
        <f>IF(OR($B365="",$I365=""),"",N($G365)*$I365)</f>
        <v/>
      </c>
      <c r="L365" s="27">
        <f>IF(OR($B365="",$H365="",$I365=""),"",$I365-$H365)</f>
        <v/>
      </c>
      <c r="M365" s="72">
        <f>IF($L365="","",$L365*N($G365))</f>
        <v/>
      </c>
      <c r="N365" s="73">
        <f>IF($L365="","",IF($H365&gt;0,ROUND($L365/$H365,4),"－"))</f>
        <v/>
      </c>
      <c r="O365" s="29">
        <f>IF($B365="","",IF($L365="","未入力",IF($L365=0,"一致",IF(OR(NOT(ISNUMBER($N365)),AND('設定'!$B$10&lt;&gt;"",ABS(N($N365))&gt;'設定'!$B$10),AND('設定'!$B$11&lt;&gt;"",ABS(ROUND($M365,4))&gt;'設定'!$B$11),AND('設定'!$B$10="",'設定'!$B$11="")),"要確認","許容内"))))</f>
        <v/>
      </c>
      <c r="P365" s="29">
        <f>IF($O365&lt;&gt;"要確認","",IF($Q365=0,"済",IF(COUNTIF('差異の原因'!$B$5:$B$204,$B365)=0,"未記録","一部")))</f>
        <v/>
      </c>
      <c r="Q365" s="27">
        <f>IF($L365="","",IF(AND($L365=0,COUNTIF('差異の原因'!$B$5:$B$204,$B365)=0),"",ROUND($L365-SUMIF('差異の原因'!$B$5:$B$204,$B365,'差異の原因'!$G$5:$G$204),6)))</f>
        <v/>
      </c>
      <c r="R365" s="30" t="n"/>
      <c r="S365" s="23" t="n"/>
      <c r="T365" s="29">
        <f>IF(OR($B365="",NOT(ISNUMBER($R365))),"",IF(IF(ISNUMBER($I365),$I365,N($H365))&lt;=0,"",IF($R365&lt;'設定'!$B$6,"期限切れ",IF($R365='設定'!$B$6,"当日",IF($R365-'設定'!$B$6&lt;=N('設定'!$B$14),"あと"&amp;($R365-'設定'!$B$6)&amp;"日","")))))</f>
        <v/>
      </c>
      <c r="U365" s="61" t="n"/>
      <c r="V365" s="31">
        <f>IF(AND($B365&lt;&gt;"",$E365&lt;&gt;"",$E365='数える用紙'!$C$2),ROW(),"")</f>
        <v/>
      </c>
      <c r="W365" s="74">
        <f>IF(AND($B365&lt;&gt;"",ISNUMBER($R365)),IF(AND($R365&lt;='設定'!$B$6+N('設定'!$B$14),IF(ISNUMBER($I365),$I365,N($H365))&gt;0),$R365+ROW()/100000,""),"")</f>
        <v/>
      </c>
    </row>
    <row r="366" ht="18" customHeight="1">
      <c r="A366" s="22" t="n">
        <v>362</v>
      </c>
      <c r="B366" s="23" t="n"/>
      <c r="C366" s="24" t="n"/>
      <c r="D366" s="24" t="n"/>
      <c r="E366" s="23" t="n"/>
      <c r="F366" s="23" t="n"/>
      <c r="G366" s="25" t="n"/>
      <c r="H366" s="25" t="n"/>
      <c r="I366" s="25" t="n"/>
      <c r="J366" s="72">
        <f>IF(OR($B366="",$H366=""),"",N($G366)*$H366)</f>
        <v/>
      </c>
      <c r="K366" s="72">
        <f>IF(OR($B366="",$I366=""),"",N($G366)*$I366)</f>
        <v/>
      </c>
      <c r="L366" s="27">
        <f>IF(OR($B366="",$H366="",$I366=""),"",$I366-$H366)</f>
        <v/>
      </c>
      <c r="M366" s="72">
        <f>IF($L366="","",$L366*N($G366))</f>
        <v/>
      </c>
      <c r="N366" s="73">
        <f>IF($L366="","",IF($H366&gt;0,ROUND($L366/$H366,4),"－"))</f>
        <v/>
      </c>
      <c r="O366" s="29">
        <f>IF($B366="","",IF($L366="","未入力",IF($L366=0,"一致",IF(OR(NOT(ISNUMBER($N366)),AND('設定'!$B$10&lt;&gt;"",ABS(N($N366))&gt;'設定'!$B$10),AND('設定'!$B$11&lt;&gt;"",ABS(ROUND($M366,4))&gt;'設定'!$B$11),AND('設定'!$B$10="",'設定'!$B$11="")),"要確認","許容内"))))</f>
        <v/>
      </c>
      <c r="P366" s="29">
        <f>IF($O366&lt;&gt;"要確認","",IF($Q366=0,"済",IF(COUNTIF('差異の原因'!$B$5:$B$204,$B366)=0,"未記録","一部")))</f>
        <v/>
      </c>
      <c r="Q366" s="27">
        <f>IF($L366="","",IF(AND($L366=0,COUNTIF('差異の原因'!$B$5:$B$204,$B366)=0),"",ROUND($L366-SUMIF('差異の原因'!$B$5:$B$204,$B366,'差異の原因'!$G$5:$G$204),6)))</f>
        <v/>
      </c>
      <c r="R366" s="30" t="n"/>
      <c r="S366" s="23" t="n"/>
      <c r="T366" s="29">
        <f>IF(OR($B366="",NOT(ISNUMBER($R366))),"",IF(IF(ISNUMBER($I366),$I366,N($H366))&lt;=0,"",IF($R366&lt;'設定'!$B$6,"期限切れ",IF($R366='設定'!$B$6,"当日",IF($R366-'設定'!$B$6&lt;=N('設定'!$B$14),"あと"&amp;($R366-'設定'!$B$6)&amp;"日","")))))</f>
        <v/>
      </c>
      <c r="U366" s="61" t="n"/>
      <c r="V366" s="31">
        <f>IF(AND($B366&lt;&gt;"",$E366&lt;&gt;"",$E366='数える用紙'!$C$2),ROW(),"")</f>
        <v/>
      </c>
      <c r="W366" s="74">
        <f>IF(AND($B366&lt;&gt;"",ISNUMBER($R366)),IF(AND($R366&lt;='設定'!$B$6+N('設定'!$B$14),IF(ISNUMBER($I366),$I366,N($H366))&gt;0),$R366+ROW()/100000,""),"")</f>
        <v/>
      </c>
    </row>
    <row r="367" ht="18" customHeight="1">
      <c r="A367" s="22" t="n">
        <v>363</v>
      </c>
      <c r="B367" s="23" t="n"/>
      <c r="C367" s="24" t="n"/>
      <c r="D367" s="24" t="n"/>
      <c r="E367" s="23" t="n"/>
      <c r="F367" s="23" t="n"/>
      <c r="G367" s="25" t="n"/>
      <c r="H367" s="25" t="n"/>
      <c r="I367" s="25" t="n"/>
      <c r="J367" s="72">
        <f>IF(OR($B367="",$H367=""),"",N($G367)*$H367)</f>
        <v/>
      </c>
      <c r="K367" s="72">
        <f>IF(OR($B367="",$I367=""),"",N($G367)*$I367)</f>
        <v/>
      </c>
      <c r="L367" s="27">
        <f>IF(OR($B367="",$H367="",$I367=""),"",$I367-$H367)</f>
        <v/>
      </c>
      <c r="M367" s="72">
        <f>IF($L367="","",$L367*N($G367))</f>
        <v/>
      </c>
      <c r="N367" s="73">
        <f>IF($L367="","",IF($H367&gt;0,ROUND($L367/$H367,4),"－"))</f>
        <v/>
      </c>
      <c r="O367" s="29">
        <f>IF($B367="","",IF($L367="","未入力",IF($L367=0,"一致",IF(OR(NOT(ISNUMBER($N367)),AND('設定'!$B$10&lt;&gt;"",ABS(N($N367))&gt;'設定'!$B$10),AND('設定'!$B$11&lt;&gt;"",ABS(ROUND($M367,4))&gt;'設定'!$B$11),AND('設定'!$B$10="",'設定'!$B$11="")),"要確認","許容内"))))</f>
        <v/>
      </c>
      <c r="P367" s="29">
        <f>IF($O367&lt;&gt;"要確認","",IF($Q367=0,"済",IF(COUNTIF('差異の原因'!$B$5:$B$204,$B367)=0,"未記録","一部")))</f>
        <v/>
      </c>
      <c r="Q367" s="27">
        <f>IF($L367="","",IF(AND($L367=0,COUNTIF('差異の原因'!$B$5:$B$204,$B367)=0),"",ROUND($L367-SUMIF('差異の原因'!$B$5:$B$204,$B367,'差異の原因'!$G$5:$G$204),6)))</f>
        <v/>
      </c>
      <c r="R367" s="30" t="n"/>
      <c r="S367" s="23" t="n"/>
      <c r="T367" s="29">
        <f>IF(OR($B367="",NOT(ISNUMBER($R367))),"",IF(IF(ISNUMBER($I367),$I367,N($H367))&lt;=0,"",IF($R367&lt;'設定'!$B$6,"期限切れ",IF($R367='設定'!$B$6,"当日",IF($R367-'設定'!$B$6&lt;=N('設定'!$B$14),"あと"&amp;($R367-'設定'!$B$6)&amp;"日","")))))</f>
        <v/>
      </c>
      <c r="U367" s="61" t="n"/>
      <c r="V367" s="31">
        <f>IF(AND($B367&lt;&gt;"",$E367&lt;&gt;"",$E367='数える用紙'!$C$2),ROW(),"")</f>
        <v/>
      </c>
      <c r="W367" s="74">
        <f>IF(AND($B367&lt;&gt;"",ISNUMBER($R367)),IF(AND($R367&lt;='設定'!$B$6+N('設定'!$B$14),IF(ISNUMBER($I367),$I367,N($H367))&gt;0),$R367+ROW()/100000,""),"")</f>
        <v/>
      </c>
    </row>
    <row r="368" ht="18" customHeight="1">
      <c r="A368" s="22" t="n">
        <v>364</v>
      </c>
      <c r="B368" s="23" t="n"/>
      <c r="C368" s="24" t="n"/>
      <c r="D368" s="24" t="n"/>
      <c r="E368" s="23" t="n"/>
      <c r="F368" s="23" t="n"/>
      <c r="G368" s="25" t="n"/>
      <c r="H368" s="25" t="n"/>
      <c r="I368" s="25" t="n"/>
      <c r="J368" s="72">
        <f>IF(OR($B368="",$H368=""),"",N($G368)*$H368)</f>
        <v/>
      </c>
      <c r="K368" s="72">
        <f>IF(OR($B368="",$I368=""),"",N($G368)*$I368)</f>
        <v/>
      </c>
      <c r="L368" s="27">
        <f>IF(OR($B368="",$H368="",$I368=""),"",$I368-$H368)</f>
        <v/>
      </c>
      <c r="M368" s="72">
        <f>IF($L368="","",$L368*N($G368))</f>
        <v/>
      </c>
      <c r="N368" s="73">
        <f>IF($L368="","",IF($H368&gt;0,ROUND($L368/$H368,4),"－"))</f>
        <v/>
      </c>
      <c r="O368" s="29">
        <f>IF($B368="","",IF($L368="","未入力",IF($L368=0,"一致",IF(OR(NOT(ISNUMBER($N368)),AND('設定'!$B$10&lt;&gt;"",ABS(N($N368))&gt;'設定'!$B$10),AND('設定'!$B$11&lt;&gt;"",ABS(ROUND($M368,4))&gt;'設定'!$B$11),AND('設定'!$B$10="",'設定'!$B$11="")),"要確認","許容内"))))</f>
        <v/>
      </c>
      <c r="P368" s="29">
        <f>IF($O368&lt;&gt;"要確認","",IF($Q368=0,"済",IF(COUNTIF('差異の原因'!$B$5:$B$204,$B368)=0,"未記録","一部")))</f>
        <v/>
      </c>
      <c r="Q368" s="27">
        <f>IF($L368="","",IF(AND($L368=0,COUNTIF('差異の原因'!$B$5:$B$204,$B368)=0),"",ROUND($L368-SUMIF('差異の原因'!$B$5:$B$204,$B368,'差異の原因'!$G$5:$G$204),6)))</f>
        <v/>
      </c>
      <c r="R368" s="30" t="n"/>
      <c r="S368" s="23" t="n"/>
      <c r="T368" s="29">
        <f>IF(OR($B368="",NOT(ISNUMBER($R368))),"",IF(IF(ISNUMBER($I368),$I368,N($H368))&lt;=0,"",IF($R368&lt;'設定'!$B$6,"期限切れ",IF($R368='設定'!$B$6,"当日",IF($R368-'設定'!$B$6&lt;=N('設定'!$B$14),"あと"&amp;($R368-'設定'!$B$6)&amp;"日","")))))</f>
        <v/>
      </c>
      <c r="U368" s="61" t="n"/>
      <c r="V368" s="31">
        <f>IF(AND($B368&lt;&gt;"",$E368&lt;&gt;"",$E368='数える用紙'!$C$2),ROW(),"")</f>
        <v/>
      </c>
      <c r="W368" s="74">
        <f>IF(AND($B368&lt;&gt;"",ISNUMBER($R368)),IF(AND($R368&lt;='設定'!$B$6+N('設定'!$B$14),IF(ISNUMBER($I368),$I368,N($H368))&gt;0),$R368+ROW()/100000,""),"")</f>
        <v/>
      </c>
    </row>
    <row r="369" ht="18" customHeight="1">
      <c r="A369" s="22" t="n">
        <v>365</v>
      </c>
      <c r="B369" s="23" t="n"/>
      <c r="C369" s="24" t="n"/>
      <c r="D369" s="24" t="n"/>
      <c r="E369" s="23" t="n"/>
      <c r="F369" s="23" t="n"/>
      <c r="G369" s="25" t="n"/>
      <c r="H369" s="25" t="n"/>
      <c r="I369" s="25" t="n"/>
      <c r="J369" s="72">
        <f>IF(OR($B369="",$H369=""),"",N($G369)*$H369)</f>
        <v/>
      </c>
      <c r="K369" s="72">
        <f>IF(OR($B369="",$I369=""),"",N($G369)*$I369)</f>
        <v/>
      </c>
      <c r="L369" s="27">
        <f>IF(OR($B369="",$H369="",$I369=""),"",$I369-$H369)</f>
        <v/>
      </c>
      <c r="M369" s="72">
        <f>IF($L369="","",$L369*N($G369))</f>
        <v/>
      </c>
      <c r="N369" s="73">
        <f>IF($L369="","",IF($H369&gt;0,ROUND($L369/$H369,4),"－"))</f>
        <v/>
      </c>
      <c r="O369" s="29">
        <f>IF($B369="","",IF($L369="","未入力",IF($L369=0,"一致",IF(OR(NOT(ISNUMBER($N369)),AND('設定'!$B$10&lt;&gt;"",ABS(N($N369))&gt;'設定'!$B$10),AND('設定'!$B$11&lt;&gt;"",ABS(ROUND($M369,4))&gt;'設定'!$B$11),AND('設定'!$B$10="",'設定'!$B$11="")),"要確認","許容内"))))</f>
        <v/>
      </c>
      <c r="P369" s="29">
        <f>IF($O369&lt;&gt;"要確認","",IF($Q369=0,"済",IF(COUNTIF('差異の原因'!$B$5:$B$204,$B369)=0,"未記録","一部")))</f>
        <v/>
      </c>
      <c r="Q369" s="27">
        <f>IF($L369="","",IF(AND($L369=0,COUNTIF('差異の原因'!$B$5:$B$204,$B369)=0),"",ROUND($L369-SUMIF('差異の原因'!$B$5:$B$204,$B369,'差異の原因'!$G$5:$G$204),6)))</f>
        <v/>
      </c>
      <c r="R369" s="30" t="n"/>
      <c r="S369" s="23" t="n"/>
      <c r="T369" s="29">
        <f>IF(OR($B369="",NOT(ISNUMBER($R369))),"",IF(IF(ISNUMBER($I369),$I369,N($H369))&lt;=0,"",IF($R369&lt;'設定'!$B$6,"期限切れ",IF($R369='設定'!$B$6,"当日",IF($R369-'設定'!$B$6&lt;=N('設定'!$B$14),"あと"&amp;($R369-'設定'!$B$6)&amp;"日","")))))</f>
        <v/>
      </c>
      <c r="U369" s="61" t="n"/>
      <c r="V369" s="31">
        <f>IF(AND($B369&lt;&gt;"",$E369&lt;&gt;"",$E369='数える用紙'!$C$2),ROW(),"")</f>
        <v/>
      </c>
      <c r="W369" s="74">
        <f>IF(AND($B369&lt;&gt;"",ISNUMBER($R369)),IF(AND($R369&lt;='設定'!$B$6+N('設定'!$B$14),IF(ISNUMBER($I369),$I369,N($H369))&gt;0),$R369+ROW()/100000,""),"")</f>
        <v/>
      </c>
    </row>
    <row r="370" ht="18" customHeight="1">
      <c r="A370" s="22" t="n">
        <v>366</v>
      </c>
      <c r="B370" s="23" t="n"/>
      <c r="C370" s="24" t="n"/>
      <c r="D370" s="24" t="n"/>
      <c r="E370" s="23" t="n"/>
      <c r="F370" s="23" t="n"/>
      <c r="G370" s="25" t="n"/>
      <c r="H370" s="25" t="n"/>
      <c r="I370" s="25" t="n"/>
      <c r="J370" s="72">
        <f>IF(OR($B370="",$H370=""),"",N($G370)*$H370)</f>
        <v/>
      </c>
      <c r="K370" s="72">
        <f>IF(OR($B370="",$I370=""),"",N($G370)*$I370)</f>
        <v/>
      </c>
      <c r="L370" s="27">
        <f>IF(OR($B370="",$H370="",$I370=""),"",$I370-$H370)</f>
        <v/>
      </c>
      <c r="M370" s="72">
        <f>IF($L370="","",$L370*N($G370))</f>
        <v/>
      </c>
      <c r="N370" s="73">
        <f>IF($L370="","",IF($H370&gt;0,ROUND($L370/$H370,4),"－"))</f>
        <v/>
      </c>
      <c r="O370" s="29">
        <f>IF($B370="","",IF($L370="","未入力",IF($L370=0,"一致",IF(OR(NOT(ISNUMBER($N370)),AND('設定'!$B$10&lt;&gt;"",ABS(N($N370))&gt;'設定'!$B$10),AND('設定'!$B$11&lt;&gt;"",ABS(ROUND($M370,4))&gt;'設定'!$B$11),AND('設定'!$B$10="",'設定'!$B$11="")),"要確認","許容内"))))</f>
        <v/>
      </c>
      <c r="P370" s="29">
        <f>IF($O370&lt;&gt;"要確認","",IF($Q370=0,"済",IF(COUNTIF('差異の原因'!$B$5:$B$204,$B370)=0,"未記録","一部")))</f>
        <v/>
      </c>
      <c r="Q370" s="27">
        <f>IF($L370="","",IF(AND($L370=0,COUNTIF('差異の原因'!$B$5:$B$204,$B370)=0),"",ROUND($L370-SUMIF('差異の原因'!$B$5:$B$204,$B370,'差異の原因'!$G$5:$G$204),6)))</f>
        <v/>
      </c>
      <c r="R370" s="30" t="n"/>
      <c r="S370" s="23" t="n"/>
      <c r="T370" s="29">
        <f>IF(OR($B370="",NOT(ISNUMBER($R370))),"",IF(IF(ISNUMBER($I370),$I370,N($H370))&lt;=0,"",IF($R370&lt;'設定'!$B$6,"期限切れ",IF($R370='設定'!$B$6,"当日",IF($R370-'設定'!$B$6&lt;=N('設定'!$B$14),"あと"&amp;($R370-'設定'!$B$6)&amp;"日","")))))</f>
        <v/>
      </c>
      <c r="U370" s="61" t="n"/>
      <c r="V370" s="31">
        <f>IF(AND($B370&lt;&gt;"",$E370&lt;&gt;"",$E370='数える用紙'!$C$2),ROW(),"")</f>
        <v/>
      </c>
      <c r="W370" s="74">
        <f>IF(AND($B370&lt;&gt;"",ISNUMBER($R370)),IF(AND($R370&lt;='設定'!$B$6+N('設定'!$B$14),IF(ISNUMBER($I370),$I370,N($H370))&gt;0),$R370+ROW()/100000,""),"")</f>
        <v/>
      </c>
    </row>
    <row r="371" ht="18" customHeight="1">
      <c r="A371" s="22" t="n">
        <v>367</v>
      </c>
      <c r="B371" s="23" t="n"/>
      <c r="C371" s="24" t="n"/>
      <c r="D371" s="24" t="n"/>
      <c r="E371" s="23" t="n"/>
      <c r="F371" s="23" t="n"/>
      <c r="G371" s="25" t="n"/>
      <c r="H371" s="25" t="n"/>
      <c r="I371" s="25" t="n"/>
      <c r="J371" s="72">
        <f>IF(OR($B371="",$H371=""),"",N($G371)*$H371)</f>
        <v/>
      </c>
      <c r="K371" s="72">
        <f>IF(OR($B371="",$I371=""),"",N($G371)*$I371)</f>
        <v/>
      </c>
      <c r="L371" s="27">
        <f>IF(OR($B371="",$H371="",$I371=""),"",$I371-$H371)</f>
        <v/>
      </c>
      <c r="M371" s="72">
        <f>IF($L371="","",$L371*N($G371))</f>
        <v/>
      </c>
      <c r="N371" s="73">
        <f>IF($L371="","",IF($H371&gt;0,ROUND($L371/$H371,4),"－"))</f>
        <v/>
      </c>
      <c r="O371" s="29">
        <f>IF($B371="","",IF($L371="","未入力",IF($L371=0,"一致",IF(OR(NOT(ISNUMBER($N371)),AND('設定'!$B$10&lt;&gt;"",ABS(N($N371))&gt;'設定'!$B$10),AND('設定'!$B$11&lt;&gt;"",ABS(ROUND($M371,4))&gt;'設定'!$B$11),AND('設定'!$B$10="",'設定'!$B$11="")),"要確認","許容内"))))</f>
        <v/>
      </c>
      <c r="P371" s="29">
        <f>IF($O371&lt;&gt;"要確認","",IF($Q371=0,"済",IF(COUNTIF('差異の原因'!$B$5:$B$204,$B371)=0,"未記録","一部")))</f>
        <v/>
      </c>
      <c r="Q371" s="27">
        <f>IF($L371="","",IF(AND($L371=0,COUNTIF('差異の原因'!$B$5:$B$204,$B371)=0),"",ROUND($L371-SUMIF('差異の原因'!$B$5:$B$204,$B371,'差異の原因'!$G$5:$G$204),6)))</f>
        <v/>
      </c>
      <c r="R371" s="30" t="n"/>
      <c r="S371" s="23" t="n"/>
      <c r="T371" s="29">
        <f>IF(OR($B371="",NOT(ISNUMBER($R371))),"",IF(IF(ISNUMBER($I371),$I371,N($H371))&lt;=0,"",IF($R371&lt;'設定'!$B$6,"期限切れ",IF($R371='設定'!$B$6,"当日",IF($R371-'設定'!$B$6&lt;=N('設定'!$B$14),"あと"&amp;($R371-'設定'!$B$6)&amp;"日","")))))</f>
        <v/>
      </c>
      <c r="U371" s="61" t="n"/>
      <c r="V371" s="31">
        <f>IF(AND($B371&lt;&gt;"",$E371&lt;&gt;"",$E371='数える用紙'!$C$2),ROW(),"")</f>
        <v/>
      </c>
      <c r="W371" s="74">
        <f>IF(AND($B371&lt;&gt;"",ISNUMBER($R371)),IF(AND($R371&lt;='設定'!$B$6+N('設定'!$B$14),IF(ISNUMBER($I371),$I371,N($H371))&gt;0),$R371+ROW()/100000,""),"")</f>
        <v/>
      </c>
    </row>
    <row r="372" ht="18" customHeight="1">
      <c r="A372" s="22" t="n">
        <v>368</v>
      </c>
      <c r="B372" s="23" t="n"/>
      <c r="C372" s="24" t="n"/>
      <c r="D372" s="24" t="n"/>
      <c r="E372" s="23" t="n"/>
      <c r="F372" s="23" t="n"/>
      <c r="G372" s="25" t="n"/>
      <c r="H372" s="25" t="n"/>
      <c r="I372" s="25" t="n"/>
      <c r="J372" s="72">
        <f>IF(OR($B372="",$H372=""),"",N($G372)*$H372)</f>
        <v/>
      </c>
      <c r="K372" s="72">
        <f>IF(OR($B372="",$I372=""),"",N($G372)*$I372)</f>
        <v/>
      </c>
      <c r="L372" s="27">
        <f>IF(OR($B372="",$H372="",$I372=""),"",$I372-$H372)</f>
        <v/>
      </c>
      <c r="M372" s="72">
        <f>IF($L372="","",$L372*N($G372))</f>
        <v/>
      </c>
      <c r="N372" s="73">
        <f>IF($L372="","",IF($H372&gt;0,ROUND($L372/$H372,4),"－"))</f>
        <v/>
      </c>
      <c r="O372" s="29">
        <f>IF($B372="","",IF($L372="","未入力",IF($L372=0,"一致",IF(OR(NOT(ISNUMBER($N372)),AND('設定'!$B$10&lt;&gt;"",ABS(N($N372))&gt;'設定'!$B$10),AND('設定'!$B$11&lt;&gt;"",ABS(ROUND($M372,4))&gt;'設定'!$B$11),AND('設定'!$B$10="",'設定'!$B$11="")),"要確認","許容内"))))</f>
        <v/>
      </c>
      <c r="P372" s="29">
        <f>IF($O372&lt;&gt;"要確認","",IF($Q372=0,"済",IF(COUNTIF('差異の原因'!$B$5:$B$204,$B372)=0,"未記録","一部")))</f>
        <v/>
      </c>
      <c r="Q372" s="27">
        <f>IF($L372="","",IF(AND($L372=0,COUNTIF('差異の原因'!$B$5:$B$204,$B372)=0),"",ROUND($L372-SUMIF('差異の原因'!$B$5:$B$204,$B372,'差異の原因'!$G$5:$G$204),6)))</f>
        <v/>
      </c>
      <c r="R372" s="30" t="n"/>
      <c r="S372" s="23" t="n"/>
      <c r="T372" s="29">
        <f>IF(OR($B372="",NOT(ISNUMBER($R372))),"",IF(IF(ISNUMBER($I372),$I372,N($H372))&lt;=0,"",IF($R372&lt;'設定'!$B$6,"期限切れ",IF($R372='設定'!$B$6,"当日",IF($R372-'設定'!$B$6&lt;=N('設定'!$B$14),"あと"&amp;($R372-'設定'!$B$6)&amp;"日","")))))</f>
        <v/>
      </c>
      <c r="U372" s="61" t="n"/>
      <c r="V372" s="31">
        <f>IF(AND($B372&lt;&gt;"",$E372&lt;&gt;"",$E372='数える用紙'!$C$2),ROW(),"")</f>
        <v/>
      </c>
      <c r="W372" s="74">
        <f>IF(AND($B372&lt;&gt;"",ISNUMBER($R372)),IF(AND($R372&lt;='設定'!$B$6+N('設定'!$B$14),IF(ISNUMBER($I372),$I372,N($H372))&gt;0),$R372+ROW()/100000,""),"")</f>
        <v/>
      </c>
    </row>
    <row r="373" ht="18" customHeight="1">
      <c r="A373" s="22" t="n">
        <v>369</v>
      </c>
      <c r="B373" s="23" t="n"/>
      <c r="C373" s="24" t="n"/>
      <c r="D373" s="24" t="n"/>
      <c r="E373" s="23" t="n"/>
      <c r="F373" s="23" t="n"/>
      <c r="G373" s="25" t="n"/>
      <c r="H373" s="25" t="n"/>
      <c r="I373" s="25" t="n"/>
      <c r="J373" s="72">
        <f>IF(OR($B373="",$H373=""),"",N($G373)*$H373)</f>
        <v/>
      </c>
      <c r="K373" s="72">
        <f>IF(OR($B373="",$I373=""),"",N($G373)*$I373)</f>
        <v/>
      </c>
      <c r="L373" s="27">
        <f>IF(OR($B373="",$H373="",$I373=""),"",$I373-$H373)</f>
        <v/>
      </c>
      <c r="M373" s="72">
        <f>IF($L373="","",$L373*N($G373))</f>
        <v/>
      </c>
      <c r="N373" s="73">
        <f>IF($L373="","",IF($H373&gt;0,ROUND($L373/$H373,4),"－"))</f>
        <v/>
      </c>
      <c r="O373" s="29">
        <f>IF($B373="","",IF($L373="","未入力",IF($L373=0,"一致",IF(OR(NOT(ISNUMBER($N373)),AND('設定'!$B$10&lt;&gt;"",ABS(N($N373))&gt;'設定'!$B$10),AND('設定'!$B$11&lt;&gt;"",ABS(ROUND($M373,4))&gt;'設定'!$B$11),AND('設定'!$B$10="",'設定'!$B$11="")),"要確認","許容内"))))</f>
        <v/>
      </c>
      <c r="P373" s="29">
        <f>IF($O373&lt;&gt;"要確認","",IF($Q373=0,"済",IF(COUNTIF('差異の原因'!$B$5:$B$204,$B373)=0,"未記録","一部")))</f>
        <v/>
      </c>
      <c r="Q373" s="27">
        <f>IF($L373="","",IF(AND($L373=0,COUNTIF('差異の原因'!$B$5:$B$204,$B373)=0),"",ROUND($L373-SUMIF('差異の原因'!$B$5:$B$204,$B373,'差異の原因'!$G$5:$G$204),6)))</f>
        <v/>
      </c>
      <c r="R373" s="30" t="n"/>
      <c r="S373" s="23" t="n"/>
      <c r="T373" s="29">
        <f>IF(OR($B373="",NOT(ISNUMBER($R373))),"",IF(IF(ISNUMBER($I373),$I373,N($H373))&lt;=0,"",IF($R373&lt;'設定'!$B$6,"期限切れ",IF($R373='設定'!$B$6,"当日",IF($R373-'設定'!$B$6&lt;=N('設定'!$B$14),"あと"&amp;($R373-'設定'!$B$6)&amp;"日","")))))</f>
        <v/>
      </c>
      <c r="U373" s="61" t="n"/>
      <c r="V373" s="31">
        <f>IF(AND($B373&lt;&gt;"",$E373&lt;&gt;"",$E373='数える用紙'!$C$2),ROW(),"")</f>
        <v/>
      </c>
      <c r="W373" s="74">
        <f>IF(AND($B373&lt;&gt;"",ISNUMBER($R373)),IF(AND($R373&lt;='設定'!$B$6+N('設定'!$B$14),IF(ISNUMBER($I373),$I373,N($H373))&gt;0),$R373+ROW()/100000,""),"")</f>
        <v/>
      </c>
    </row>
    <row r="374" ht="18" customHeight="1">
      <c r="A374" s="22" t="n">
        <v>370</v>
      </c>
      <c r="B374" s="23" t="n"/>
      <c r="C374" s="24" t="n"/>
      <c r="D374" s="24" t="n"/>
      <c r="E374" s="23" t="n"/>
      <c r="F374" s="23" t="n"/>
      <c r="G374" s="25" t="n"/>
      <c r="H374" s="25" t="n"/>
      <c r="I374" s="25" t="n"/>
      <c r="J374" s="72">
        <f>IF(OR($B374="",$H374=""),"",N($G374)*$H374)</f>
        <v/>
      </c>
      <c r="K374" s="72">
        <f>IF(OR($B374="",$I374=""),"",N($G374)*$I374)</f>
        <v/>
      </c>
      <c r="L374" s="27">
        <f>IF(OR($B374="",$H374="",$I374=""),"",$I374-$H374)</f>
        <v/>
      </c>
      <c r="M374" s="72">
        <f>IF($L374="","",$L374*N($G374))</f>
        <v/>
      </c>
      <c r="N374" s="73">
        <f>IF($L374="","",IF($H374&gt;0,ROUND($L374/$H374,4),"－"))</f>
        <v/>
      </c>
      <c r="O374" s="29">
        <f>IF($B374="","",IF($L374="","未入力",IF($L374=0,"一致",IF(OR(NOT(ISNUMBER($N374)),AND('設定'!$B$10&lt;&gt;"",ABS(N($N374))&gt;'設定'!$B$10),AND('設定'!$B$11&lt;&gt;"",ABS(ROUND($M374,4))&gt;'設定'!$B$11),AND('設定'!$B$10="",'設定'!$B$11="")),"要確認","許容内"))))</f>
        <v/>
      </c>
      <c r="P374" s="29">
        <f>IF($O374&lt;&gt;"要確認","",IF($Q374=0,"済",IF(COUNTIF('差異の原因'!$B$5:$B$204,$B374)=0,"未記録","一部")))</f>
        <v/>
      </c>
      <c r="Q374" s="27">
        <f>IF($L374="","",IF(AND($L374=0,COUNTIF('差異の原因'!$B$5:$B$204,$B374)=0),"",ROUND($L374-SUMIF('差異の原因'!$B$5:$B$204,$B374,'差異の原因'!$G$5:$G$204),6)))</f>
        <v/>
      </c>
      <c r="R374" s="30" t="n"/>
      <c r="S374" s="23" t="n"/>
      <c r="T374" s="29">
        <f>IF(OR($B374="",NOT(ISNUMBER($R374))),"",IF(IF(ISNUMBER($I374),$I374,N($H374))&lt;=0,"",IF($R374&lt;'設定'!$B$6,"期限切れ",IF($R374='設定'!$B$6,"当日",IF($R374-'設定'!$B$6&lt;=N('設定'!$B$14),"あと"&amp;($R374-'設定'!$B$6)&amp;"日","")))))</f>
        <v/>
      </c>
      <c r="U374" s="61" t="n"/>
      <c r="V374" s="31">
        <f>IF(AND($B374&lt;&gt;"",$E374&lt;&gt;"",$E374='数える用紙'!$C$2),ROW(),"")</f>
        <v/>
      </c>
      <c r="W374" s="74">
        <f>IF(AND($B374&lt;&gt;"",ISNUMBER($R374)),IF(AND($R374&lt;='設定'!$B$6+N('設定'!$B$14),IF(ISNUMBER($I374),$I374,N($H374))&gt;0),$R374+ROW()/100000,""),"")</f>
        <v/>
      </c>
    </row>
    <row r="375" ht="18" customHeight="1">
      <c r="A375" s="22" t="n">
        <v>371</v>
      </c>
      <c r="B375" s="23" t="n"/>
      <c r="C375" s="24" t="n"/>
      <c r="D375" s="24" t="n"/>
      <c r="E375" s="23" t="n"/>
      <c r="F375" s="23" t="n"/>
      <c r="G375" s="25" t="n"/>
      <c r="H375" s="25" t="n"/>
      <c r="I375" s="25" t="n"/>
      <c r="J375" s="72">
        <f>IF(OR($B375="",$H375=""),"",N($G375)*$H375)</f>
        <v/>
      </c>
      <c r="K375" s="72">
        <f>IF(OR($B375="",$I375=""),"",N($G375)*$I375)</f>
        <v/>
      </c>
      <c r="L375" s="27">
        <f>IF(OR($B375="",$H375="",$I375=""),"",$I375-$H375)</f>
        <v/>
      </c>
      <c r="M375" s="72">
        <f>IF($L375="","",$L375*N($G375))</f>
        <v/>
      </c>
      <c r="N375" s="73">
        <f>IF($L375="","",IF($H375&gt;0,ROUND($L375/$H375,4),"－"))</f>
        <v/>
      </c>
      <c r="O375" s="29">
        <f>IF($B375="","",IF($L375="","未入力",IF($L375=0,"一致",IF(OR(NOT(ISNUMBER($N375)),AND('設定'!$B$10&lt;&gt;"",ABS(N($N375))&gt;'設定'!$B$10),AND('設定'!$B$11&lt;&gt;"",ABS(ROUND($M375,4))&gt;'設定'!$B$11),AND('設定'!$B$10="",'設定'!$B$11="")),"要確認","許容内"))))</f>
        <v/>
      </c>
      <c r="P375" s="29">
        <f>IF($O375&lt;&gt;"要確認","",IF($Q375=0,"済",IF(COUNTIF('差異の原因'!$B$5:$B$204,$B375)=0,"未記録","一部")))</f>
        <v/>
      </c>
      <c r="Q375" s="27">
        <f>IF($L375="","",IF(AND($L375=0,COUNTIF('差異の原因'!$B$5:$B$204,$B375)=0),"",ROUND($L375-SUMIF('差異の原因'!$B$5:$B$204,$B375,'差異の原因'!$G$5:$G$204),6)))</f>
        <v/>
      </c>
      <c r="R375" s="30" t="n"/>
      <c r="S375" s="23" t="n"/>
      <c r="T375" s="29">
        <f>IF(OR($B375="",NOT(ISNUMBER($R375))),"",IF(IF(ISNUMBER($I375),$I375,N($H375))&lt;=0,"",IF($R375&lt;'設定'!$B$6,"期限切れ",IF($R375='設定'!$B$6,"当日",IF($R375-'設定'!$B$6&lt;=N('設定'!$B$14),"あと"&amp;($R375-'設定'!$B$6)&amp;"日","")))))</f>
        <v/>
      </c>
      <c r="U375" s="61" t="n"/>
      <c r="V375" s="31">
        <f>IF(AND($B375&lt;&gt;"",$E375&lt;&gt;"",$E375='数える用紙'!$C$2),ROW(),"")</f>
        <v/>
      </c>
      <c r="W375" s="74">
        <f>IF(AND($B375&lt;&gt;"",ISNUMBER($R375)),IF(AND($R375&lt;='設定'!$B$6+N('設定'!$B$14),IF(ISNUMBER($I375),$I375,N($H375))&gt;0),$R375+ROW()/100000,""),"")</f>
        <v/>
      </c>
    </row>
    <row r="376" ht="18" customHeight="1">
      <c r="A376" s="22" t="n">
        <v>372</v>
      </c>
      <c r="B376" s="23" t="n"/>
      <c r="C376" s="24" t="n"/>
      <c r="D376" s="24" t="n"/>
      <c r="E376" s="23" t="n"/>
      <c r="F376" s="23" t="n"/>
      <c r="G376" s="25" t="n"/>
      <c r="H376" s="25" t="n"/>
      <c r="I376" s="25" t="n"/>
      <c r="J376" s="72">
        <f>IF(OR($B376="",$H376=""),"",N($G376)*$H376)</f>
        <v/>
      </c>
      <c r="K376" s="72">
        <f>IF(OR($B376="",$I376=""),"",N($G376)*$I376)</f>
        <v/>
      </c>
      <c r="L376" s="27">
        <f>IF(OR($B376="",$H376="",$I376=""),"",$I376-$H376)</f>
        <v/>
      </c>
      <c r="M376" s="72">
        <f>IF($L376="","",$L376*N($G376))</f>
        <v/>
      </c>
      <c r="N376" s="73">
        <f>IF($L376="","",IF($H376&gt;0,ROUND($L376/$H376,4),"－"))</f>
        <v/>
      </c>
      <c r="O376" s="29">
        <f>IF($B376="","",IF($L376="","未入力",IF($L376=0,"一致",IF(OR(NOT(ISNUMBER($N376)),AND('設定'!$B$10&lt;&gt;"",ABS(N($N376))&gt;'設定'!$B$10),AND('設定'!$B$11&lt;&gt;"",ABS(ROUND($M376,4))&gt;'設定'!$B$11),AND('設定'!$B$10="",'設定'!$B$11="")),"要確認","許容内"))))</f>
        <v/>
      </c>
      <c r="P376" s="29">
        <f>IF($O376&lt;&gt;"要確認","",IF($Q376=0,"済",IF(COUNTIF('差異の原因'!$B$5:$B$204,$B376)=0,"未記録","一部")))</f>
        <v/>
      </c>
      <c r="Q376" s="27">
        <f>IF($L376="","",IF(AND($L376=0,COUNTIF('差異の原因'!$B$5:$B$204,$B376)=0),"",ROUND($L376-SUMIF('差異の原因'!$B$5:$B$204,$B376,'差異の原因'!$G$5:$G$204),6)))</f>
        <v/>
      </c>
      <c r="R376" s="30" t="n"/>
      <c r="S376" s="23" t="n"/>
      <c r="T376" s="29">
        <f>IF(OR($B376="",NOT(ISNUMBER($R376))),"",IF(IF(ISNUMBER($I376),$I376,N($H376))&lt;=0,"",IF($R376&lt;'設定'!$B$6,"期限切れ",IF($R376='設定'!$B$6,"当日",IF($R376-'設定'!$B$6&lt;=N('設定'!$B$14),"あと"&amp;($R376-'設定'!$B$6)&amp;"日","")))))</f>
        <v/>
      </c>
      <c r="U376" s="61" t="n"/>
      <c r="V376" s="31">
        <f>IF(AND($B376&lt;&gt;"",$E376&lt;&gt;"",$E376='数える用紙'!$C$2),ROW(),"")</f>
        <v/>
      </c>
      <c r="W376" s="74">
        <f>IF(AND($B376&lt;&gt;"",ISNUMBER($R376)),IF(AND($R376&lt;='設定'!$B$6+N('設定'!$B$14),IF(ISNUMBER($I376),$I376,N($H376))&gt;0),$R376+ROW()/100000,""),"")</f>
        <v/>
      </c>
    </row>
    <row r="377" ht="18" customHeight="1">
      <c r="A377" s="22" t="n">
        <v>373</v>
      </c>
      <c r="B377" s="23" t="n"/>
      <c r="C377" s="24" t="n"/>
      <c r="D377" s="24" t="n"/>
      <c r="E377" s="23" t="n"/>
      <c r="F377" s="23" t="n"/>
      <c r="G377" s="25" t="n"/>
      <c r="H377" s="25" t="n"/>
      <c r="I377" s="25" t="n"/>
      <c r="J377" s="72">
        <f>IF(OR($B377="",$H377=""),"",N($G377)*$H377)</f>
        <v/>
      </c>
      <c r="K377" s="72">
        <f>IF(OR($B377="",$I377=""),"",N($G377)*$I377)</f>
        <v/>
      </c>
      <c r="L377" s="27">
        <f>IF(OR($B377="",$H377="",$I377=""),"",$I377-$H377)</f>
        <v/>
      </c>
      <c r="M377" s="72">
        <f>IF($L377="","",$L377*N($G377))</f>
        <v/>
      </c>
      <c r="N377" s="73">
        <f>IF($L377="","",IF($H377&gt;0,ROUND($L377/$H377,4),"－"))</f>
        <v/>
      </c>
      <c r="O377" s="29">
        <f>IF($B377="","",IF($L377="","未入力",IF($L377=0,"一致",IF(OR(NOT(ISNUMBER($N377)),AND('設定'!$B$10&lt;&gt;"",ABS(N($N377))&gt;'設定'!$B$10),AND('設定'!$B$11&lt;&gt;"",ABS(ROUND($M377,4))&gt;'設定'!$B$11),AND('設定'!$B$10="",'設定'!$B$11="")),"要確認","許容内"))))</f>
        <v/>
      </c>
      <c r="P377" s="29">
        <f>IF($O377&lt;&gt;"要確認","",IF($Q377=0,"済",IF(COUNTIF('差異の原因'!$B$5:$B$204,$B377)=0,"未記録","一部")))</f>
        <v/>
      </c>
      <c r="Q377" s="27">
        <f>IF($L377="","",IF(AND($L377=0,COUNTIF('差異の原因'!$B$5:$B$204,$B377)=0),"",ROUND($L377-SUMIF('差異の原因'!$B$5:$B$204,$B377,'差異の原因'!$G$5:$G$204),6)))</f>
        <v/>
      </c>
      <c r="R377" s="30" t="n"/>
      <c r="S377" s="23" t="n"/>
      <c r="T377" s="29">
        <f>IF(OR($B377="",NOT(ISNUMBER($R377))),"",IF(IF(ISNUMBER($I377),$I377,N($H377))&lt;=0,"",IF($R377&lt;'設定'!$B$6,"期限切れ",IF($R377='設定'!$B$6,"当日",IF($R377-'設定'!$B$6&lt;=N('設定'!$B$14),"あと"&amp;($R377-'設定'!$B$6)&amp;"日","")))))</f>
        <v/>
      </c>
      <c r="U377" s="61" t="n"/>
      <c r="V377" s="31">
        <f>IF(AND($B377&lt;&gt;"",$E377&lt;&gt;"",$E377='数える用紙'!$C$2),ROW(),"")</f>
        <v/>
      </c>
      <c r="W377" s="74">
        <f>IF(AND($B377&lt;&gt;"",ISNUMBER($R377)),IF(AND($R377&lt;='設定'!$B$6+N('設定'!$B$14),IF(ISNUMBER($I377),$I377,N($H377))&gt;0),$R377+ROW()/100000,""),"")</f>
        <v/>
      </c>
    </row>
    <row r="378" ht="18" customHeight="1">
      <c r="A378" s="22" t="n">
        <v>374</v>
      </c>
      <c r="B378" s="23" t="n"/>
      <c r="C378" s="24" t="n"/>
      <c r="D378" s="24" t="n"/>
      <c r="E378" s="23" t="n"/>
      <c r="F378" s="23" t="n"/>
      <c r="G378" s="25" t="n"/>
      <c r="H378" s="25" t="n"/>
      <c r="I378" s="25" t="n"/>
      <c r="J378" s="72">
        <f>IF(OR($B378="",$H378=""),"",N($G378)*$H378)</f>
        <v/>
      </c>
      <c r="K378" s="72">
        <f>IF(OR($B378="",$I378=""),"",N($G378)*$I378)</f>
        <v/>
      </c>
      <c r="L378" s="27">
        <f>IF(OR($B378="",$H378="",$I378=""),"",$I378-$H378)</f>
        <v/>
      </c>
      <c r="M378" s="72">
        <f>IF($L378="","",$L378*N($G378))</f>
        <v/>
      </c>
      <c r="N378" s="73">
        <f>IF($L378="","",IF($H378&gt;0,ROUND($L378/$H378,4),"－"))</f>
        <v/>
      </c>
      <c r="O378" s="29">
        <f>IF($B378="","",IF($L378="","未入力",IF($L378=0,"一致",IF(OR(NOT(ISNUMBER($N378)),AND('設定'!$B$10&lt;&gt;"",ABS(N($N378))&gt;'設定'!$B$10),AND('設定'!$B$11&lt;&gt;"",ABS(ROUND($M378,4))&gt;'設定'!$B$11),AND('設定'!$B$10="",'設定'!$B$11="")),"要確認","許容内"))))</f>
        <v/>
      </c>
      <c r="P378" s="29">
        <f>IF($O378&lt;&gt;"要確認","",IF($Q378=0,"済",IF(COUNTIF('差異の原因'!$B$5:$B$204,$B378)=0,"未記録","一部")))</f>
        <v/>
      </c>
      <c r="Q378" s="27">
        <f>IF($L378="","",IF(AND($L378=0,COUNTIF('差異の原因'!$B$5:$B$204,$B378)=0),"",ROUND($L378-SUMIF('差異の原因'!$B$5:$B$204,$B378,'差異の原因'!$G$5:$G$204),6)))</f>
        <v/>
      </c>
      <c r="R378" s="30" t="n"/>
      <c r="S378" s="23" t="n"/>
      <c r="T378" s="29">
        <f>IF(OR($B378="",NOT(ISNUMBER($R378))),"",IF(IF(ISNUMBER($I378),$I378,N($H378))&lt;=0,"",IF($R378&lt;'設定'!$B$6,"期限切れ",IF($R378='設定'!$B$6,"当日",IF($R378-'設定'!$B$6&lt;=N('設定'!$B$14),"あと"&amp;($R378-'設定'!$B$6)&amp;"日","")))))</f>
        <v/>
      </c>
      <c r="U378" s="61" t="n"/>
      <c r="V378" s="31">
        <f>IF(AND($B378&lt;&gt;"",$E378&lt;&gt;"",$E378='数える用紙'!$C$2),ROW(),"")</f>
        <v/>
      </c>
      <c r="W378" s="74">
        <f>IF(AND($B378&lt;&gt;"",ISNUMBER($R378)),IF(AND($R378&lt;='設定'!$B$6+N('設定'!$B$14),IF(ISNUMBER($I378),$I378,N($H378))&gt;0),$R378+ROW()/100000,""),"")</f>
        <v/>
      </c>
    </row>
    <row r="379" ht="18" customHeight="1">
      <c r="A379" s="22" t="n">
        <v>375</v>
      </c>
      <c r="B379" s="23" t="n"/>
      <c r="C379" s="24" t="n"/>
      <c r="D379" s="24" t="n"/>
      <c r="E379" s="23" t="n"/>
      <c r="F379" s="23" t="n"/>
      <c r="G379" s="25" t="n"/>
      <c r="H379" s="25" t="n"/>
      <c r="I379" s="25" t="n"/>
      <c r="J379" s="72">
        <f>IF(OR($B379="",$H379=""),"",N($G379)*$H379)</f>
        <v/>
      </c>
      <c r="K379" s="72">
        <f>IF(OR($B379="",$I379=""),"",N($G379)*$I379)</f>
        <v/>
      </c>
      <c r="L379" s="27">
        <f>IF(OR($B379="",$H379="",$I379=""),"",$I379-$H379)</f>
        <v/>
      </c>
      <c r="M379" s="72">
        <f>IF($L379="","",$L379*N($G379))</f>
        <v/>
      </c>
      <c r="N379" s="73">
        <f>IF($L379="","",IF($H379&gt;0,ROUND($L379/$H379,4),"－"))</f>
        <v/>
      </c>
      <c r="O379" s="29">
        <f>IF($B379="","",IF($L379="","未入力",IF($L379=0,"一致",IF(OR(NOT(ISNUMBER($N379)),AND('設定'!$B$10&lt;&gt;"",ABS(N($N379))&gt;'設定'!$B$10),AND('設定'!$B$11&lt;&gt;"",ABS(ROUND($M379,4))&gt;'設定'!$B$11),AND('設定'!$B$10="",'設定'!$B$11="")),"要確認","許容内"))))</f>
        <v/>
      </c>
      <c r="P379" s="29">
        <f>IF($O379&lt;&gt;"要確認","",IF($Q379=0,"済",IF(COUNTIF('差異の原因'!$B$5:$B$204,$B379)=0,"未記録","一部")))</f>
        <v/>
      </c>
      <c r="Q379" s="27">
        <f>IF($L379="","",IF(AND($L379=0,COUNTIF('差異の原因'!$B$5:$B$204,$B379)=0),"",ROUND($L379-SUMIF('差異の原因'!$B$5:$B$204,$B379,'差異の原因'!$G$5:$G$204),6)))</f>
        <v/>
      </c>
      <c r="R379" s="30" t="n"/>
      <c r="S379" s="23" t="n"/>
      <c r="T379" s="29">
        <f>IF(OR($B379="",NOT(ISNUMBER($R379))),"",IF(IF(ISNUMBER($I379),$I379,N($H379))&lt;=0,"",IF($R379&lt;'設定'!$B$6,"期限切れ",IF($R379='設定'!$B$6,"当日",IF($R379-'設定'!$B$6&lt;=N('設定'!$B$14),"あと"&amp;($R379-'設定'!$B$6)&amp;"日","")))))</f>
        <v/>
      </c>
      <c r="U379" s="61" t="n"/>
      <c r="V379" s="31">
        <f>IF(AND($B379&lt;&gt;"",$E379&lt;&gt;"",$E379='数える用紙'!$C$2),ROW(),"")</f>
        <v/>
      </c>
      <c r="W379" s="74">
        <f>IF(AND($B379&lt;&gt;"",ISNUMBER($R379)),IF(AND($R379&lt;='設定'!$B$6+N('設定'!$B$14),IF(ISNUMBER($I379),$I379,N($H379))&gt;0),$R379+ROW()/100000,""),"")</f>
        <v/>
      </c>
    </row>
    <row r="380" ht="18" customHeight="1">
      <c r="A380" s="22" t="n">
        <v>376</v>
      </c>
      <c r="B380" s="23" t="n"/>
      <c r="C380" s="24" t="n"/>
      <c r="D380" s="24" t="n"/>
      <c r="E380" s="23" t="n"/>
      <c r="F380" s="23" t="n"/>
      <c r="G380" s="25" t="n"/>
      <c r="H380" s="25" t="n"/>
      <c r="I380" s="25" t="n"/>
      <c r="J380" s="72">
        <f>IF(OR($B380="",$H380=""),"",N($G380)*$H380)</f>
        <v/>
      </c>
      <c r="K380" s="72">
        <f>IF(OR($B380="",$I380=""),"",N($G380)*$I380)</f>
        <v/>
      </c>
      <c r="L380" s="27">
        <f>IF(OR($B380="",$H380="",$I380=""),"",$I380-$H380)</f>
        <v/>
      </c>
      <c r="M380" s="72">
        <f>IF($L380="","",$L380*N($G380))</f>
        <v/>
      </c>
      <c r="N380" s="73">
        <f>IF($L380="","",IF($H380&gt;0,ROUND($L380/$H380,4),"－"))</f>
        <v/>
      </c>
      <c r="O380" s="29">
        <f>IF($B380="","",IF($L380="","未入力",IF($L380=0,"一致",IF(OR(NOT(ISNUMBER($N380)),AND('設定'!$B$10&lt;&gt;"",ABS(N($N380))&gt;'設定'!$B$10),AND('設定'!$B$11&lt;&gt;"",ABS(ROUND($M380,4))&gt;'設定'!$B$11),AND('設定'!$B$10="",'設定'!$B$11="")),"要確認","許容内"))))</f>
        <v/>
      </c>
      <c r="P380" s="29">
        <f>IF($O380&lt;&gt;"要確認","",IF($Q380=0,"済",IF(COUNTIF('差異の原因'!$B$5:$B$204,$B380)=0,"未記録","一部")))</f>
        <v/>
      </c>
      <c r="Q380" s="27">
        <f>IF($L380="","",IF(AND($L380=0,COUNTIF('差異の原因'!$B$5:$B$204,$B380)=0),"",ROUND($L380-SUMIF('差異の原因'!$B$5:$B$204,$B380,'差異の原因'!$G$5:$G$204),6)))</f>
        <v/>
      </c>
      <c r="R380" s="30" t="n"/>
      <c r="S380" s="23" t="n"/>
      <c r="T380" s="29">
        <f>IF(OR($B380="",NOT(ISNUMBER($R380))),"",IF(IF(ISNUMBER($I380),$I380,N($H380))&lt;=0,"",IF($R380&lt;'設定'!$B$6,"期限切れ",IF($R380='設定'!$B$6,"当日",IF($R380-'設定'!$B$6&lt;=N('設定'!$B$14),"あと"&amp;($R380-'設定'!$B$6)&amp;"日","")))))</f>
        <v/>
      </c>
      <c r="U380" s="61" t="n"/>
      <c r="V380" s="31">
        <f>IF(AND($B380&lt;&gt;"",$E380&lt;&gt;"",$E380='数える用紙'!$C$2),ROW(),"")</f>
        <v/>
      </c>
      <c r="W380" s="74">
        <f>IF(AND($B380&lt;&gt;"",ISNUMBER($R380)),IF(AND($R380&lt;='設定'!$B$6+N('設定'!$B$14),IF(ISNUMBER($I380),$I380,N($H380))&gt;0),$R380+ROW()/100000,""),"")</f>
        <v/>
      </c>
    </row>
    <row r="381" ht="18" customHeight="1">
      <c r="A381" s="22" t="n">
        <v>377</v>
      </c>
      <c r="B381" s="23" t="n"/>
      <c r="C381" s="24" t="n"/>
      <c r="D381" s="24" t="n"/>
      <c r="E381" s="23" t="n"/>
      <c r="F381" s="23" t="n"/>
      <c r="G381" s="25" t="n"/>
      <c r="H381" s="25" t="n"/>
      <c r="I381" s="25" t="n"/>
      <c r="J381" s="72">
        <f>IF(OR($B381="",$H381=""),"",N($G381)*$H381)</f>
        <v/>
      </c>
      <c r="K381" s="72">
        <f>IF(OR($B381="",$I381=""),"",N($G381)*$I381)</f>
        <v/>
      </c>
      <c r="L381" s="27">
        <f>IF(OR($B381="",$H381="",$I381=""),"",$I381-$H381)</f>
        <v/>
      </c>
      <c r="M381" s="72">
        <f>IF($L381="","",$L381*N($G381))</f>
        <v/>
      </c>
      <c r="N381" s="73">
        <f>IF($L381="","",IF($H381&gt;0,ROUND($L381/$H381,4),"－"))</f>
        <v/>
      </c>
      <c r="O381" s="29">
        <f>IF($B381="","",IF($L381="","未入力",IF($L381=0,"一致",IF(OR(NOT(ISNUMBER($N381)),AND('設定'!$B$10&lt;&gt;"",ABS(N($N381))&gt;'設定'!$B$10),AND('設定'!$B$11&lt;&gt;"",ABS(ROUND($M381,4))&gt;'設定'!$B$11),AND('設定'!$B$10="",'設定'!$B$11="")),"要確認","許容内"))))</f>
        <v/>
      </c>
      <c r="P381" s="29">
        <f>IF($O381&lt;&gt;"要確認","",IF($Q381=0,"済",IF(COUNTIF('差異の原因'!$B$5:$B$204,$B381)=0,"未記録","一部")))</f>
        <v/>
      </c>
      <c r="Q381" s="27">
        <f>IF($L381="","",IF(AND($L381=0,COUNTIF('差異の原因'!$B$5:$B$204,$B381)=0),"",ROUND($L381-SUMIF('差異の原因'!$B$5:$B$204,$B381,'差異の原因'!$G$5:$G$204),6)))</f>
        <v/>
      </c>
      <c r="R381" s="30" t="n"/>
      <c r="S381" s="23" t="n"/>
      <c r="T381" s="29">
        <f>IF(OR($B381="",NOT(ISNUMBER($R381))),"",IF(IF(ISNUMBER($I381),$I381,N($H381))&lt;=0,"",IF($R381&lt;'設定'!$B$6,"期限切れ",IF($R381='設定'!$B$6,"当日",IF($R381-'設定'!$B$6&lt;=N('設定'!$B$14),"あと"&amp;($R381-'設定'!$B$6)&amp;"日","")))))</f>
        <v/>
      </c>
      <c r="U381" s="61" t="n"/>
      <c r="V381" s="31">
        <f>IF(AND($B381&lt;&gt;"",$E381&lt;&gt;"",$E381='数える用紙'!$C$2),ROW(),"")</f>
        <v/>
      </c>
      <c r="W381" s="74">
        <f>IF(AND($B381&lt;&gt;"",ISNUMBER($R381)),IF(AND($R381&lt;='設定'!$B$6+N('設定'!$B$14),IF(ISNUMBER($I381),$I381,N($H381))&gt;0),$R381+ROW()/100000,""),"")</f>
        <v/>
      </c>
    </row>
    <row r="382" ht="18" customHeight="1">
      <c r="A382" s="22" t="n">
        <v>378</v>
      </c>
      <c r="B382" s="23" t="n"/>
      <c r="C382" s="24" t="n"/>
      <c r="D382" s="24" t="n"/>
      <c r="E382" s="23" t="n"/>
      <c r="F382" s="23" t="n"/>
      <c r="G382" s="25" t="n"/>
      <c r="H382" s="25" t="n"/>
      <c r="I382" s="25" t="n"/>
      <c r="J382" s="72">
        <f>IF(OR($B382="",$H382=""),"",N($G382)*$H382)</f>
        <v/>
      </c>
      <c r="K382" s="72">
        <f>IF(OR($B382="",$I382=""),"",N($G382)*$I382)</f>
        <v/>
      </c>
      <c r="L382" s="27">
        <f>IF(OR($B382="",$H382="",$I382=""),"",$I382-$H382)</f>
        <v/>
      </c>
      <c r="M382" s="72">
        <f>IF($L382="","",$L382*N($G382))</f>
        <v/>
      </c>
      <c r="N382" s="73">
        <f>IF($L382="","",IF($H382&gt;0,ROUND($L382/$H382,4),"－"))</f>
        <v/>
      </c>
      <c r="O382" s="29">
        <f>IF($B382="","",IF($L382="","未入力",IF($L382=0,"一致",IF(OR(NOT(ISNUMBER($N382)),AND('設定'!$B$10&lt;&gt;"",ABS(N($N382))&gt;'設定'!$B$10),AND('設定'!$B$11&lt;&gt;"",ABS(ROUND($M382,4))&gt;'設定'!$B$11),AND('設定'!$B$10="",'設定'!$B$11="")),"要確認","許容内"))))</f>
        <v/>
      </c>
      <c r="P382" s="29">
        <f>IF($O382&lt;&gt;"要確認","",IF($Q382=0,"済",IF(COUNTIF('差異の原因'!$B$5:$B$204,$B382)=0,"未記録","一部")))</f>
        <v/>
      </c>
      <c r="Q382" s="27">
        <f>IF($L382="","",IF(AND($L382=0,COUNTIF('差異の原因'!$B$5:$B$204,$B382)=0),"",ROUND($L382-SUMIF('差異の原因'!$B$5:$B$204,$B382,'差異の原因'!$G$5:$G$204),6)))</f>
        <v/>
      </c>
      <c r="R382" s="30" t="n"/>
      <c r="S382" s="23" t="n"/>
      <c r="T382" s="29">
        <f>IF(OR($B382="",NOT(ISNUMBER($R382))),"",IF(IF(ISNUMBER($I382),$I382,N($H382))&lt;=0,"",IF($R382&lt;'設定'!$B$6,"期限切れ",IF($R382='設定'!$B$6,"当日",IF($R382-'設定'!$B$6&lt;=N('設定'!$B$14),"あと"&amp;($R382-'設定'!$B$6)&amp;"日","")))))</f>
        <v/>
      </c>
      <c r="U382" s="61" t="n"/>
      <c r="V382" s="31">
        <f>IF(AND($B382&lt;&gt;"",$E382&lt;&gt;"",$E382='数える用紙'!$C$2),ROW(),"")</f>
        <v/>
      </c>
      <c r="W382" s="74">
        <f>IF(AND($B382&lt;&gt;"",ISNUMBER($R382)),IF(AND($R382&lt;='設定'!$B$6+N('設定'!$B$14),IF(ISNUMBER($I382),$I382,N($H382))&gt;0),$R382+ROW()/100000,""),"")</f>
        <v/>
      </c>
    </row>
    <row r="383" ht="18" customHeight="1">
      <c r="A383" s="22" t="n">
        <v>379</v>
      </c>
      <c r="B383" s="23" t="n"/>
      <c r="C383" s="24" t="n"/>
      <c r="D383" s="24" t="n"/>
      <c r="E383" s="23" t="n"/>
      <c r="F383" s="23" t="n"/>
      <c r="G383" s="25" t="n"/>
      <c r="H383" s="25" t="n"/>
      <c r="I383" s="25" t="n"/>
      <c r="J383" s="72">
        <f>IF(OR($B383="",$H383=""),"",N($G383)*$H383)</f>
        <v/>
      </c>
      <c r="K383" s="72">
        <f>IF(OR($B383="",$I383=""),"",N($G383)*$I383)</f>
        <v/>
      </c>
      <c r="L383" s="27">
        <f>IF(OR($B383="",$H383="",$I383=""),"",$I383-$H383)</f>
        <v/>
      </c>
      <c r="M383" s="72">
        <f>IF($L383="","",$L383*N($G383))</f>
        <v/>
      </c>
      <c r="N383" s="73">
        <f>IF($L383="","",IF($H383&gt;0,ROUND($L383/$H383,4),"－"))</f>
        <v/>
      </c>
      <c r="O383" s="29">
        <f>IF($B383="","",IF($L383="","未入力",IF($L383=0,"一致",IF(OR(NOT(ISNUMBER($N383)),AND('設定'!$B$10&lt;&gt;"",ABS(N($N383))&gt;'設定'!$B$10),AND('設定'!$B$11&lt;&gt;"",ABS(ROUND($M383,4))&gt;'設定'!$B$11),AND('設定'!$B$10="",'設定'!$B$11="")),"要確認","許容内"))))</f>
        <v/>
      </c>
      <c r="P383" s="29">
        <f>IF($O383&lt;&gt;"要確認","",IF($Q383=0,"済",IF(COUNTIF('差異の原因'!$B$5:$B$204,$B383)=0,"未記録","一部")))</f>
        <v/>
      </c>
      <c r="Q383" s="27">
        <f>IF($L383="","",IF(AND($L383=0,COUNTIF('差異の原因'!$B$5:$B$204,$B383)=0),"",ROUND($L383-SUMIF('差異の原因'!$B$5:$B$204,$B383,'差異の原因'!$G$5:$G$204),6)))</f>
        <v/>
      </c>
      <c r="R383" s="30" t="n"/>
      <c r="S383" s="23" t="n"/>
      <c r="T383" s="29">
        <f>IF(OR($B383="",NOT(ISNUMBER($R383))),"",IF(IF(ISNUMBER($I383),$I383,N($H383))&lt;=0,"",IF($R383&lt;'設定'!$B$6,"期限切れ",IF($R383='設定'!$B$6,"当日",IF($R383-'設定'!$B$6&lt;=N('設定'!$B$14),"あと"&amp;($R383-'設定'!$B$6)&amp;"日","")))))</f>
        <v/>
      </c>
      <c r="U383" s="61" t="n"/>
      <c r="V383" s="31">
        <f>IF(AND($B383&lt;&gt;"",$E383&lt;&gt;"",$E383='数える用紙'!$C$2),ROW(),"")</f>
        <v/>
      </c>
      <c r="W383" s="74">
        <f>IF(AND($B383&lt;&gt;"",ISNUMBER($R383)),IF(AND($R383&lt;='設定'!$B$6+N('設定'!$B$14),IF(ISNUMBER($I383),$I383,N($H383))&gt;0),$R383+ROW()/100000,""),"")</f>
        <v/>
      </c>
    </row>
    <row r="384" ht="18" customHeight="1">
      <c r="A384" s="22" t="n">
        <v>380</v>
      </c>
      <c r="B384" s="23" t="n"/>
      <c r="C384" s="24" t="n"/>
      <c r="D384" s="24" t="n"/>
      <c r="E384" s="23" t="n"/>
      <c r="F384" s="23" t="n"/>
      <c r="G384" s="25" t="n"/>
      <c r="H384" s="25" t="n"/>
      <c r="I384" s="25" t="n"/>
      <c r="J384" s="72">
        <f>IF(OR($B384="",$H384=""),"",N($G384)*$H384)</f>
        <v/>
      </c>
      <c r="K384" s="72">
        <f>IF(OR($B384="",$I384=""),"",N($G384)*$I384)</f>
        <v/>
      </c>
      <c r="L384" s="27">
        <f>IF(OR($B384="",$H384="",$I384=""),"",$I384-$H384)</f>
        <v/>
      </c>
      <c r="M384" s="72">
        <f>IF($L384="","",$L384*N($G384))</f>
        <v/>
      </c>
      <c r="N384" s="73">
        <f>IF($L384="","",IF($H384&gt;0,ROUND($L384/$H384,4),"－"))</f>
        <v/>
      </c>
      <c r="O384" s="29">
        <f>IF($B384="","",IF($L384="","未入力",IF($L384=0,"一致",IF(OR(NOT(ISNUMBER($N384)),AND('設定'!$B$10&lt;&gt;"",ABS(N($N384))&gt;'設定'!$B$10),AND('設定'!$B$11&lt;&gt;"",ABS(ROUND($M384,4))&gt;'設定'!$B$11),AND('設定'!$B$10="",'設定'!$B$11="")),"要確認","許容内"))))</f>
        <v/>
      </c>
      <c r="P384" s="29">
        <f>IF($O384&lt;&gt;"要確認","",IF($Q384=0,"済",IF(COUNTIF('差異の原因'!$B$5:$B$204,$B384)=0,"未記録","一部")))</f>
        <v/>
      </c>
      <c r="Q384" s="27">
        <f>IF($L384="","",IF(AND($L384=0,COUNTIF('差異の原因'!$B$5:$B$204,$B384)=0),"",ROUND($L384-SUMIF('差異の原因'!$B$5:$B$204,$B384,'差異の原因'!$G$5:$G$204),6)))</f>
        <v/>
      </c>
      <c r="R384" s="30" t="n"/>
      <c r="S384" s="23" t="n"/>
      <c r="T384" s="29">
        <f>IF(OR($B384="",NOT(ISNUMBER($R384))),"",IF(IF(ISNUMBER($I384),$I384,N($H384))&lt;=0,"",IF($R384&lt;'設定'!$B$6,"期限切れ",IF($R384='設定'!$B$6,"当日",IF($R384-'設定'!$B$6&lt;=N('設定'!$B$14),"あと"&amp;($R384-'設定'!$B$6)&amp;"日","")))))</f>
        <v/>
      </c>
      <c r="U384" s="61" t="n"/>
      <c r="V384" s="31">
        <f>IF(AND($B384&lt;&gt;"",$E384&lt;&gt;"",$E384='数える用紙'!$C$2),ROW(),"")</f>
        <v/>
      </c>
      <c r="W384" s="74">
        <f>IF(AND($B384&lt;&gt;"",ISNUMBER($R384)),IF(AND($R384&lt;='設定'!$B$6+N('設定'!$B$14),IF(ISNUMBER($I384),$I384,N($H384))&gt;0),$R384+ROW()/100000,""),"")</f>
        <v/>
      </c>
    </row>
    <row r="385" ht="18" customHeight="1">
      <c r="A385" s="22" t="n">
        <v>381</v>
      </c>
      <c r="B385" s="23" t="n"/>
      <c r="C385" s="24" t="n"/>
      <c r="D385" s="24" t="n"/>
      <c r="E385" s="23" t="n"/>
      <c r="F385" s="23" t="n"/>
      <c r="G385" s="25" t="n"/>
      <c r="H385" s="25" t="n"/>
      <c r="I385" s="25" t="n"/>
      <c r="J385" s="72">
        <f>IF(OR($B385="",$H385=""),"",N($G385)*$H385)</f>
        <v/>
      </c>
      <c r="K385" s="72">
        <f>IF(OR($B385="",$I385=""),"",N($G385)*$I385)</f>
        <v/>
      </c>
      <c r="L385" s="27">
        <f>IF(OR($B385="",$H385="",$I385=""),"",$I385-$H385)</f>
        <v/>
      </c>
      <c r="M385" s="72">
        <f>IF($L385="","",$L385*N($G385))</f>
        <v/>
      </c>
      <c r="N385" s="73">
        <f>IF($L385="","",IF($H385&gt;0,ROUND($L385/$H385,4),"－"))</f>
        <v/>
      </c>
      <c r="O385" s="29">
        <f>IF($B385="","",IF($L385="","未入力",IF($L385=0,"一致",IF(OR(NOT(ISNUMBER($N385)),AND('設定'!$B$10&lt;&gt;"",ABS(N($N385))&gt;'設定'!$B$10),AND('設定'!$B$11&lt;&gt;"",ABS(ROUND($M385,4))&gt;'設定'!$B$11),AND('設定'!$B$10="",'設定'!$B$11="")),"要確認","許容内"))))</f>
        <v/>
      </c>
      <c r="P385" s="29">
        <f>IF($O385&lt;&gt;"要確認","",IF($Q385=0,"済",IF(COUNTIF('差異の原因'!$B$5:$B$204,$B385)=0,"未記録","一部")))</f>
        <v/>
      </c>
      <c r="Q385" s="27">
        <f>IF($L385="","",IF(AND($L385=0,COUNTIF('差異の原因'!$B$5:$B$204,$B385)=0),"",ROUND($L385-SUMIF('差異の原因'!$B$5:$B$204,$B385,'差異の原因'!$G$5:$G$204),6)))</f>
        <v/>
      </c>
      <c r="R385" s="30" t="n"/>
      <c r="S385" s="23" t="n"/>
      <c r="T385" s="29">
        <f>IF(OR($B385="",NOT(ISNUMBER($R385))),"",IF(IF(ISNUMBER($I385),$I385,N($H385))&lt;=0,"",IF($R385&lt;'設定'!$B$6,"期限切れ",IF($R385='設定'!$B$6,"当日",IF($R385-'設定'!$B$6&lt;=N('設定'!$B$14),"あと"&amp;($R385-'設定'!$B$6)&amp;"日","")))))</f>
        <v/>
      </c>
      <c r="U385" s="61" t="n"/>
      <c r="V385" s="31">
        <f>IF(AND($B385&lt;&gt;"",$E385&lt;&gt;"",$E385='数える用紙'!$C$2),ROW(),"")</f>
        <v/>
      </c>
      <c r="W385" s="74">
        <f>IF(AND($B385&lt;&gt;"",ISNUMBER($R385)),IF(AND($R385&lt;='設定'!$B$6+N('設定'!$B$14),IF(ISNUMBER($I385),$I385,N($H385))&gt;0),$R385+ROW()/100000,""),"")</f>
        <v/>
      </c>
    </row>
    <row r="386" ht="18" customHeight="1">
      <c r="A386" s="22" t="n">
        <v>382</v>
      </c>
      <c r="B386" s="23" t="n"/>
      <c r="C386" s="24" t="n"/>
      <c r="D386" s="24" t="n"/>
      <c r="E386" s="23" t="n"/>
      <c r="F386" s="23" t="n"/>
      <c r="G386" s="25" t="n"/>
      <c r="H386" s="25" t="n"/>
      <c r="I386" s="25" t="n"/>
      <c r="J386" s="72">
        <f>IF(OR($B386="",$H386=""),"",N($G386)*$H386)</f>
        <v/>
      </c>
      <c r="K386" s="72">
        <f>IF(OR($B386="",$I386=""),"",N($G386)*$I386)</f>
        <v/>
      </c>
      <c r="L386" s="27">
        <f>IF(OR($B386="",$H386="",$I386=""),"",$I386-$H386)</f>
        <v/>
      </c>
      <c r="M386" s="72">
        <f>IF($L386="","",$L386*N($G386))</f>
        <v/>
      </c>
      <c r="N386" s="73">
        <f>IF($L386="","",IF($H386&gt;0,ROUND($L386/$H386,4),"－"))</f>
        <v/>
      </c>
      <c r="O386" s="29">
        <f>IF($B386="","",IF($L386="","未入力",IF($L386=0,"一致",IF(OR(NOT(ISNUMBER($N386)),AND('設定'!$B$10&lt;&gt;"",ABS(N($N386))&gt;'設定'!$B$10),AND('設定'!$B$11&lt;&gt;"",ABS(ROUND($M386,4))&gt;'設定'!$B$11),AND('設定'!$B$10="",'設定'!$B$11="")),"要確認","許容内"))))</f>
        <v/>
      </c>
      <c r="P386" s="29">
        <f>IF($O386&lt;&gt;"要確認","",IF($Q386=0,"済",IF(COUNTIF('差異の原因'!$B$5:$B$204,$B386)=0,"未記録","一部")))</f>
        <v/>
      </c>
      <c r="Q386" s="27">
        <f>IF($L386="","",IF(AND($L386=0,COUNTIF('差異の原因'!$B$5:$B$204,$B386)=0),"",ROUND($L386-SUMIF('差異の原因'!$B$5:$B$204,$B386,'差異の原因'!$G$5:$G$204),6)))</f>
        <v/>
      </c>
      <c r="R386" s="30" t="n"/>
      <c r="S386" s="23" t="n"/>
      <c r="T386" s="29">
        <f>IF(OR($B386="",NOT(ISNUMBER($R386))),"",IF(IF(ISNUMBER($I386),$I386,N($H386))&lt;=0,"",IF($R386&lt;'設定'!$B$6,"期限切れ",IF($R386='設定'!$B$6,"当日",IF($R386-'設定'!$B$6&lt;=N('設定'!$B$14),"あと"&amp;($R386-'設定'!$B$6)&amp;"日","")))))</f>
        <v/>
      </c>
      <c r="U386" s="61" t="n"/>
      <c r="V386" s="31">
        <f>IF(AND($B386&lt;&gt;"",$E386&lt;&gt;"",$E386='数える用紙'!$C$2),ROW(),"")</f>
        <v/>
      </c>
      <c r="W386" s="74">
        <f>IF(AND($B386&lt;&gt;"",ISNUMBER($R386)),IF(AND($R386&lt;='設定'!$B$6+N('設定'!$B$14),IF(ISNUMBER($I386),$I386,N($H386))&gt;0),$R386+ROW()/100000,""),"")</f>
        <v/>
      </c>
    </row>
    <row r="387" ht="18" customHeight="1">
      <c r="A387" s="22" t="n">
        <v>383</v>
      </c>
      <c r="B387" s="23" t="n"/>
      <c r="C387" s="24" t="n"/>
      <c r="D387" s="24" t="n"/>
      <c r="E387" s="23" t="n"/>
      <c r="F387" s="23" t="n"/>
      <c r="G387" s="25" t="n"/>
      <c r="H387" s="25" t="n"/>
      <c r="I387" s="25" t="n"/>
      <c r="J387" s="72">
        <f>IF(OR($B387="",$H387=""),"",N($G387)*$H387)</f>
        <v/>
      </c>
      <c r="K387" s="72">
        <f>IF(OR($B387="",$I387=""),"",N($G387)*$I387)</f>
        <v/>
      </c>
      <c r="L387" s="27">
        <f>IF(OR($B387="",$H387="",$I387=""),"",$I387-$H387)</f>
        <v/>
      </c>
      <c r="M387" s="72">
        <f>IF($L387="","",$L387*N($G387))</f>
        <v/>
      </c>
      <c r="N387" s="73">
        <f>IF($L387="","",IF($H387&gt;0,ROUND($L387/$H387,4),"－"))</f>
        <v/>
      </c>
      <c r="O387" s="29">
        <f>IF($B387="","",IF($L387="","未入力",IF($L387=0,"一致",IF(OR(NOT(ISNUMBER($N387)),AND('設定'!$B$10&lt;&gt;"",ABS(N($N387))&gt;'設定'!$B$10),AND('設定'!$B$11&lt;&gt;"",ABS(ROUND($M387,4))&gt;'設定'!$B$11),AND('設定'!$B$10="",'設定'!$B$11="")),"要確認","許容内"))))</f>
        <v/>
      </c>
      <c r="P387" s="29">
        <f>IF($O387&lt;&gt;"要確認","",IF($Q387=0,"済",IF(COUNTIF('差異の原因'!$B$5:$B$204,$B387)=0,"未記録","一部")))</f>
        <v/>
      </c>
      <c r="Q387" s="27">
        <f>IF($L387="","",IF(AND($L387=0,COUNTIF('差異の原因'!$B$5:$B$204,$B387)=0),"",ROUND($L387-SUMIF('差異の原因'!$B$5:$B$204,$B387,'差異の原因'!$G$5:$G$204),6)))</f>
        <v/>
      </c>
      <c r="R387" s="30" t="n"/>
      <c r="S387" s="23" t="n"/>
      <c r="T387" s="29">
        <f>IF(OR($B387="",NOT(ISNUMBER($R387))),"",IF(IF(ISNUMBER($I387),$I387,N($H387))&lt;=0,"",IF($R387&lt;'設定'!$B$6,"期限切れ",IF($R387='設定'!$B$6,"当日",IF($R387-'設定'!$B$6&lt;=N('設定'!$B$14),"あと"&amp;($R387-'設定'!$B$6)&amp;"日","")))))</f>
        <v/>
      </c>
      <c r="U387" s="61" t="n"/>
      <c r="V387" s="31">
        <f>IF(AND($B387&lt;&gt;"",$E387&lt;&gt;"",$E387='数える用紙'!$C$2),ROW(),"")</f>
        <v/>
      </c>
      <c r="W387" s="74">
        <f>IF(AND($B387&lt;&gt;"",ISNUMBER($R387)),IF(AND($R387&lt;='設定'!$B$6+N('設定'!$B$14),IF(ISNUMBER($I387),$I387,N($H387))&gt;0),$R387+ROW()/100000,""),"")</f>
        <v/>
      </c>
    </row>
    <row r="388" ht="18" customHeight="1">
      <c r="A388" s="22" t="n">
        <v>384</v>
      </c>
      <c r="B388" s="23" t="n"/>
      <c r="C388" s="24" t="n"/>
      <c r="D388" s="24" t="n"/>
      <c r="E388" s="23" t="n"/>
      <c r="F388" s="23" t="n"/>
      <c r="G388" s="25" t="n"/>
      <c r="H388" s="25" t="n"/>
      <c r="I388" s="25" t="n"/>
      <c r="J388" s="72">
        <f>IF(OR($B388="",$H388=""),"",N($G388)*$H388)</f>
        <v/>
      </c>
      <c r="K388" s="72">
        <f>IF(OR($B388="",$I388=""),"",N($G388)*$I388)</f>
        <v/>
      </c>
      <c r="L388" s="27">
        <f>IF(OR($B388="",$H388="",$I388=""),"",$I388-$H388)</f>
        <v/>
      </c>
      <c r="M388" s="72">
        <f>IF($L388="","",$L388*N($G388))</f>
        <v/>
      </c>
      <c r="N388" s="73">
        <f>IF($L388="","",IF($H388&gt;0,ROUND($L388/$H388,4),"－"))</f>
        <v/>
      </c>
      <c r="O388" s="29">
        <f>IF($B388="","",IF($L388="","未入力",IF($L388=0,"一致",IF(OR(NOT(ISNUMBER($N388)),AND('設定'!$B$10&lt;&gt;"",ABS(N($N388))&gt;'設定'!$B$10),AND('設定'!$B$11&lt;&gt;"",ABS(ROUND($M388,4))&gt;'設定'!$B$11),AND('設定'!$B$10="",'設定'!$B$11="")),"要確認","許容内"))))</f>
        <v/>
      </c>
      <c r="P388" s="29">
        <f>IF($O388&lt;&gt;"要確認","",IF($Q388=0,"済",IF(COUNTIF('差異の原因'!$B$5:$B$204,$B388)=0,"未記録","一部")))</f>
        <v/>
      </c>
      <c r="Q388" s="27">
        <f>IF($L388="","",IF(AND($L388=0,COUNTIF('差異の原因'!$B$5:$B$204,$B388)=0),"",ROUND($L388-SUMIF('差異の原因'!$B$5:$B$204,$B388,'差異の原因'!$G$5:$G$204),6)))</f>
        <v/>
      </c>
      <c r="R388" s="30" t="n"/>
      <c r="S388" s="23" t="n"/>
      <c r="T388" s="29">
        <f>IF(OR($B388="",NOT(ISNUMBER($R388))),"",IF(IF(ISNUMBER($I388),$I388,N($H388))&lt;=0,"",IF($R388&lt;'設定'!$B$6,"期限切れ",IF($R388='設定'!$B$6,"当日",IF($R388-'設定'!$B$6&lt;=N('設定'!$B$14),"あと"&amp;($R388-'設定'!$B$6)&amp;"日","")))))</f>
        <v/>
      </c>
      <c r="U388" s="61" t="n"/>
      <c r="V388" s="31">
        <f>IF(AND($B388&lt;&gt;"",$E388&lt;&gt;"",$E388='数える用紙'!$C$2),ROW(),"")</f>
        <v/>
      </c>
      <c r="W388" s="74">
        <f>IF(AND($B388&lt;&gt;"",ISNUMBER($R388)),IF(AND($R388&lt;='設定'!$B$6+N('設定'!$B$14),IF(ISNUMBER($I388),$I388,N($H388))&gt;0),$R388+ROW()/100000,""),"")</f>
        <v/>
      </c>
    </row>
    <row r="389" ht="18" customHeight="1">
      <c r="A389" s="22" t="n">
        <v>385</v>
      </c>
      <c r="B389" s="23" t="n"/>
      <c r="C389" s="24" t="n"/>
      <c r="D389" s="24" t="n"/>
      <c r="E389" s="23" t="n"/>
      <c r="F389" s="23" t="n"/>
      <c r="G389" s="25" t="n"/>
      <c r="H389" s="25" t="n"/>
      <c r="I389" s="25" t="n"/>
      <c r="J389" s="72">
        <f>IF(OR($B389="",$H389=""),"",N($G389)*$H389)</f>
        <v/>
      </c>
      <c r="K389" s="72">
        <f>IF(OR($B389="",$I389=""),"",N($G389)*$I389)</f>
        <v/>
      </c>
      <c r="L389" s="27">
        <f>IF(OR($B389="",$H389="",$I389=""),"",$I389-$H389)</f>
        <v/>
      </c>
      <c r="M389" s="72">
        <f>IF($L389="","",$L389*N($G389))</f>
        <v/>
      </c>
      <c r="N389" s="73">
        <f>IF($L389="","",IF($H389&gt;0,ROUND($L389/$H389,4),"－"))</f>
        <v/>
      </c>
      <c r="O389" s="29">
        <f>IF($B389="","",IF($L389="","未入力",IF($L389=0,"一致",IF(OR(NOT(ISNUMBER($N389)),AND('設定'!$B$10&lt;&gt;"",ABS(N($N389))&gt;'設定'!$B$10),AND('設定'!$B$11&lt;&gt;"",ABS(ROUND($M389,4))&gt;'設定'!$B$11),AND('設定'!$B$10="",'設定'!$B$11="")),"要確認","許容内"))))</f>
        <v/>
      </c>
      <c r="P389" s="29">
        <f>IF($O389&lt;&gt;"要確認","",IF($Q389=0,"済",IF(COUNTIF('差異の原因'!$B$5:$B$204,$B389)=0,"未記録","一部")))</f>
        <v/>
      </c>
      <c r="Q389" s="27">
        <f>IF($L389="","",IF(AND($L389=0,COUNTIF('差異の原因'!$B$5:$B$204,$B389)=0),"",ROUND($L389-SUMIF('差異の原因'!$B$5:$B$204,$B389,'差異の原因'!$G$5:$G$204),6)))</f>
        <v/>
      </c>
      <c r="R389" s="30" t="n"/>
      <c r="S389" s="23" t="n"/>
      <c r="T389" s="29">
        <f>IF(OR($B389="",NOT(ISNUMBER($R389))),"",IF(IF(ISNUMBER($I389),$I389,N($H389))&lt;=0,"",IF($R389&lt;'設定'!$B$6,"期限切れ",IF($R389='設定'!$B$6,"当日",IF($R389-'設定'!$B$6&lt;=N('設定'!$B$14),"あと"&amp;($R389-'設定'!$B$6)&amp;"日","")))))</f>
        <v/>
      </c>
      <c r="U389" s="61" t="n"/>
      <c r="V389" s="31">
        <f>IF(AND($B389&lt;&gt;"",$E389&lt;&gt;"",$E389='数える用紙'!$C$2),ROW(),"")</f>
        <v/>
      </c>
      <c r="W389" s="74">
        <f>IF(AND($B389&lt;&gt;"",ISNUMBER($R389)),IF(AND($R389&lt;='設定'!$B$6+N('設定'!$B$14),IF(ISNUMBER($I389),$I389,N($H389))&gt;0),$R389+ROW()/100000,""),"")</f>
        <v/>
      </c>
    </row>
    <row r="390" ht="18" customHeight="1">
      <c r="A390" s="22" t="n">
        <v>386</v>
      </c>
      <c r="B390" s="23" t="n"/>
      <c r="C390" s="24" t="n"/>
      <c r="D390" s="24" t="n"/>
      <c r="E390" s="23" t="n"/>
      <c r="F390" s="23" t="n"/>
      <c r="G390" s="25" t="n"/>
      <c r="H390" s="25" t="n"/>
      <c r="I390" s="25" t="n"/>
      <c r="J390" s="72">
        <f>IF(OR($B390="",$H390=""),"",N($G390)*$H390)</f>
        <v/>
      </c>
      <c r="K390" s="72">
        <f>IF(OR($B390="",$I390=""),"",N($G390)*$I390)</f>
        <v/>
      </c>
      <c r="L390" s="27">
        <f>IF(OR($B390="",$H390="",$I390=""),"",$I390-$H390)</f>
        <v/>
      </c>
      <c r="M390" s="72">
        <f>IF($L390="","",$L390*N($G390))</f>
        <v/>
      </c>
      <c r="N390" s="73">
        <f>IF($L390="","",IF($H390&gt;0,ROUND($L390/$H390,4),"－"))</f>
        <v/>
      </c>
      <c r="O390" s="29">
        <f>IF($B390="","",IF($L390="","未入力",IF($L390=0,"一致",IF(OR(NOT(ISNUMBER($N390)),AND('設定'!$B$10&lt;&gt;"",ABS(N($N390))&gt;'設定'!$B$10),AND('設定'!$B$11&lt;&gt;"",ABS(ROUND($M390,4))&gt;'設定'!$B$11),AND('設定'!$B$10="",'設定'!$B$11="")),"要確認","許容内"))))</f>
        <v/>
      </c>
      <c r="P390" s="29">
        <f>IF($O390&lt;&gt;"要確認","",IF($Q390=0,"済",IF(COUNTIF('差異の原因'!$B$5:$B$204,$B390)=0,"未記録","一部")))</f>
        <v/>
      </c>
      <c r="Q390" s="27">
        <f>IF($L390="","",IF(AND($L390=0,COUNTIF('差異の原因'!$B$5:$B$204,$B390)=0),"",ROUND($L390-SUMIF('差異の原因'!$B$5:$B$204,$B390,'差異の原因'!$G$5:$G$204),6)))</f>
        <v/>
      </c>
      <c r="R390" s="30" t="n"/>
      <c r="S390" s="23" t="n"/>
      <c r="T390" s="29">
        <f>IF(OR($B390="",NOT(ISNUMBER($R390))),"",IF(IF(ISNUMBER($I390),$I390,N($H390))&lt;=0,"",IF($R390&lt;'設定'!$B$6,"期限切れ",IF($R390='設定'!$B$6,"当日",IF($R390-'設定'!$B$6&lt;=N('設定'!$B$14),"あと"&amp;($R390-'設定'!$B$6)&amp;"日","")))))</f>
        <v/>
      </c>
      <c r="U390" s="61" t="n"/>
      <c r="V390" s="31">
        <f>IF(AND($B390&lt;&gt;"",$E390&lt;&gt;"",$E390='数える用紙'!$C$2),ROW(),"")</f>
        <v/>
      </c>
      <c r="W390" s="74">
        <f>IF(AND($B390&lt;&gt;"",ISNUMBER($R390)),IF(AND($R390&lt;='設定'!$B$6+N('設定'!$B$14),IF(ISNUMBER($I390),$I390,N($H390))&gt;0),$R390+ROW()/100000,""),"")</f>
        <v/>
      </c>
    </row>
    <row r="391" ht="18" customHeight="1">
      <c r="A391" s="22" t="n">
        <v>387</v>
      </c>
      <c r="B391" s="23" t="n"/>
      <c r="C391" s="24" t="n"/>
      <c r="D391" s="24" t="n"/>
      <c r="E391" s="23" t="n"/>
      <c r="F391" s="23" t="n"/>
      <c r="G391" s="25" t="n"/>
      <c r="H391" s="25" t="n"/>
      <c r="I391" s="25" t="n"/>
      <c r="J391" s="72">
        <f>IF(OR($B391="",$H391=""),"",N($G391)*$H391)</f>
        <v/>
      </c>
      <c r="K391" s="72">
        <f>IF(OR($B391="",$I391=""),"",N($G391)*$I391)</f>
        <v/>
      </c>
      <c r="L391" s="27">
        <f>IF(OR($B391="",$H391="",$I391=""),"",$I391-$H391)</f>
        <v/>
      </c>
      <c r="M391" s="72">
        <f>IF($L391="","",$L391*N($G391))</f>
        <v/>
      </c>
      <c r="N391" s="73">
        <f>IF($L391="","",IF($H391&gt;0,ROUND($L391/$H391,4),"－"))</f>
        <v/>
      </c>
      <c r="O391" s="29">
        <f>IF($B391="","",IF($L391="","未入力",IF($L391=0,"一致",IF(OR(NOT(ISNUMBER($N391)),AND('設定'!$B$10&lt;&gt;"",ABS(N($N391))&gt;'設定'!$B$10),AND('設定'!$B$11&lt;&gt;"",ABS(ROUND($M391,4))&gt;'設定'!$B$11),AND('設定'!$B$10="",'設定'!$B$11="")),"要確認","許容内"))))</f>
        <v/>
      </c>
      <c r="P391" s="29">
        <f>IF($O391&lt;&gt;"要確認","",IF($Q391=0,"済",IF(COUNTIF('差異の原因'!$B$5:$B$204,$B391)=0,"未記録","一部")))</f>
        <v/>
      </c>
      <c r="Q391" s="27">
        <f>IF($L391="","",IF(AND($L391=0,COUNTIF('差異の原因'!$B$5:$B$204,$B391)=0),"",ROUND($L391-SUMIF('差異の原因'!$B$5:$B$204,$B391,'差異の原因'!$G$5:$G$204),6)))</f>
        <v/>
      </c>
      <c r="R391" s="30" t="n"/>
      <c r="S391" s="23" t="n"/>
      <c r="T391" s="29">
        <f>IF(OR($B391="",NOT(ISNUMBER($R391))),"",IF(IF(ISNUMBER($I391),$I391,N($H391))&lt;=0,"",IF($R391&lt;'設定'!$B$6,"期限切れ",IF($R391='設定'!$B$6,"当日",IF($R391-'設定'!$B$6&lt;=N('設定'!$B$14),"あと"&amp;($R391-'設定'!$B$6)&amp;"日","")))))</f>
        <v/>
      </c>
      <c r="U391" s="61" t="n"/>
      <c r="V391" s="31">
        <f>IF(AND($B391&lt;&gt;"",$E391&lt;&gt;"",$E391='数える用紙'!$C$2),ROW(),"")</f>
        <v/>
      </c>
      <c r="W391" s="74">
        <f>IF(AND($B391&lt;&gt;"",ISNUMBER($R391)),IF(AND($R391&lt;='設定'!$B$6+N('設定'!$B$14),IF(ISNUMBER($I391),$I391,N($H391))&gt;0),$R391+ROW()/100000,""),"")</f>
        <v/>
      </c>
    </row>
    <row r="392" ht="18" customHeight="1">
      <c r="A392" s="22" t="n">
        <v>388</v>
      </c>
      <c r="B392" s="23" t="n"/>
      <c r="C392" s="24" t="n"/>
      <c r="D392" s="24" t="n"/>
      <c r="E392" s="23" t="n"/>
      <c r="F392" s="23" t="n"/>
      <c r="G392" s="25" t="n"/>
      <c r="H392" s="25" t="n"/>
      <c r="I392" s="25" t="n"/>
      <c r="J392" s="72">
        <f>IF(OR($B392="",$H392=""),"",N($G392)*$H392)</f>
        <v/>
      </c>
      <c r="K392" s="72">
        <f>IF(OR($B392="",$I392=""),"",N($G392)*$I392)</f>
        <v/>
      </c>
      <c r="L392" s="27">
        <f>IF(OR($B392="",$H392="",$I392=""),"",$I392-$H392)</f>
        <v/>
      </c>
      <c r="M392" s="72">
        <f>IF($L392="","",$L392*N($G392))</f>
        <v/>
      </c>
      <c r="N392" s="73">
        <f>IF($L392="","",IF($H392&gt;0,ROUND($L392/$H392,4),"－"))</f>
        <v/>
      </c>
      <c r="O392" s="29">
        <f>IF($B392="","",IF($L392="","未入力",IF($L392=0,"一致",IF(OR(NOT(ISNUMBER($N392)),AND('設定'!$B$10&lt;&gt;"",ABS(N($N392))&gt;'設定'!$B$10),AND('設定'!$B$11&lt;&gt;"",ABS(ROUND($M392,4))&gt;'設定'!$B$11),AND('設定'!$B$10="",'設定'!$B$11="")),"要確認","許容内"))))</f>
        <v/>
      </c>
      <c r="P392" s="29">
        <f>IF($O392&lt;&gt;"要確認","",IF($Q392=0,"済",IF(COUNTIF('差異の原因'!$B$5:$B$204,$B392)=0,"未記録","一部")))</f>
        <v/>
      </c>
      <c r="Q392" s="27">
        <f>IF($L392="","",IF(AND($L392=0,COUNTIF('差異の原因'!$B$5:$B$204,$B392)=0),"",ROUND($L392-SUMIF('差異の原因'!$B$5:$B$204,$B392,'差異の原因'!$G$5:$G$204),6)))</f>
        <v/>
      </c>
      <c r="R392" s="30" t="n"/>
      <c r="S392" s="23" t="n"/>
      <c r="T392" s="29">
        <f>IF(OR($B392="",NOT(ISNUMBER($R392))),"",IF(IF(ISNUMBER($I392),$I392,N($H392))&lt;=0,"",IF($R392&lt;'設定'!$B$6,"期限切れ",IF($R392='設定'!$B$6,"当日",IF($R392-'設定'!$B$6&lt;=N('設定'!$B$14),"あと"&amp;($R392-'設定'!$B$6)&amp;"日","")))))</f>
        <v/>
      </c>
      <c r="U392" s="61" t="n"/>
      <c r="V392" s="31">
        <f>IF(AND($B392&lt;&gt;"",$E392&lt;&gt;"",$E392='数える用紙'!$C$2),ROW(),"")</f>
        <v/>
      </c>
      <c r="W392" s="74">
        <f>IF(AND($B392&lt;&gt;"",ISNUMBER($R392)),IF(AND($R392&lt;='設定'!$B$6+N('設定'!$B$14),IF(ISNUMBER($I392),$I392,N($H392))&gt;0),$R392+ROW()/100000,""),"")</f>
        <v/>
      </c>
    </row>
    <row r="393" ht="18" customHeight="1">
      <c r="A393" s="22" t="n">
        <v>389</v>
      </c>
      <c r="B393" s="23" t="n"/>
      <c r="C393" s="24" t="n"/>
      <c r="D393" s="24" t="n"/>
      <c r="E393" s="23" t="n"/>
      <c r="F393" s="23" t="n"/>
      <c r="G393" s="25" t="n"/>
      <c r="H393" s="25" t="n"/>
      <c r="I393" s="25" t="n"/>
      <c r="J393" s="72">
        <f>IF(OR($B393="",$H393=""),"",N($G393)*$H393)</f>
        <v/>
      </c>
      <c r="K393" s="72">
        <f>IF(OR($B393="",$I393=""),"",N($G393)*$I393)</f>
        <v/>
      </c>
      <c r="L393" s="27">
        <f>IF(OR($B393="",$H393="",$I393=""),"",$I393-$H393)</f>
        <v/>
      </c>
      <c r="M393" s="72">
        <f>IF($L393="","",$L393*N($G393))</f>
        <v/>
      </c>
      <c r="N393" s="73">
        <f>IF($L393="","",IF($H393&gt;0,ROUND($L393/$H393,4),"－"))</f>
        <v/>
      </c>
      <c r="O393" s="29">
        <f>IF($B393="","",IF($L393="","未入力",IF($L393=0,"一致",IF(OR(NOT(ISNUMBER($N393)),AND('設定'!$B$10&lt;&gt;"",ABS(N($N393))&gt;'設定'!$B$10),AND('設定'!$B$11&lt;&gt;"",ABS(ROUND($M393,4))&gt;'設定'!$B$11),AND('設定'!$B$10="",'設定'!$B$11="")),"要確認","許容内"))))</f>
        <v/>
      </c>
      <c r="P393" s="29">
        <f>IF($O393&lt;&gt;"要確認","",IF($Q393=0,"済",IF(COUNTIF('差異の原因'!$B$5:$B$204,$B393)=0,"未記録","一部")))</f>
        <v/>
      </c>
      <c r="Q393" s="27">
        <f>IF($L393="","",IF(AND($L393=0,COUNTIF('差異の原因'!$B$5:$B$204,$B393)=0),"",ROUND($L393-SUMIF('差異の原因'!$B$5:$B$204,$B393,'差異の原因'!$G$5:$G$204),6)))</f>
        <v/>
      </c>
      <c r="R393" s="30" t="n"/>
      <c r="S393" s="23" t="n"/>
      <c r="T393" s="29">
        <f>IF(OR($B393="",NOT(ISNUMBER($R393))),"",IF(IF(ISNUMBER($I393),$I393,N($H393))&lt;=0,"",IF($R393&lt;'設定'!$B$6,"期限切れ",IF($R393='設定'!$B$6,"当日",IF($R393-'設定'!$B$6&lt;=N('設定'!$B$14),"あと"&amp;($R393-'設定'!$B$6)&amp;"日","")))))</f>
        <v/>
      </c>
      <c r="U393" s="61" t="n"/>
      <c r="V393" s="31">
        <f>IF(AND($B393&lt;&gt;"",$E393&lt;&gt;"",$E393='数える用紙'!$C$2),ROW(),"")</f>
        <v/>
      </c>
      <c r="W393" s="74">
        <f>IF(AND($B393&lt;&gt;"",ISNUMBER($R393)),IF(AND($R393&lt;='設定'!$B$6+N('設定'!$B$14),IF(ISNUMBER($I393),$I393,N($H393))&gt;0),$R393+ROW()/100000,""),"")</f>
        <v/>
      </c>
    </row>
    <row r="394" ht="18" customHeight="1">
      <c r="A394" s="22" t="n">
        <v>390</v>
      </c>
      <c r="B394" s="23" t="n"/>
      <c r="C394" s="24" t="n"/>
      <c r="D394" s="24" t="n"/>
      <c r="E394" s="23" t="n"/>
      <c r="F394" s="23" t="n"/>
      <c r="G394" s="25" t="n"/>
      <c r="H394" s="25" t="n"/>
      <c r="I394" s="25" t="n"/>
      <c r="J394" s="72">
        <f>IF(OR($B394="",$H394=""),"",N($G394)*$H394)</f>
        <v/>
      </c>
      <c r="K394" s="72">
        <f>IF(OR($B394="",$I394=""),"",N($G394)*$I394)</f>
        <v/>
      </c>
      <c r="L394" s="27">
        <f>IF(OR($B394="",$H394="",$I394=""),"",$I394-$H394)</f>
        <v/>
      </c>
      <c r="M394" s="72">
        <f>IF($L394="","",$L394*N($G394))</f>
        <v/>
      </c>
      <c r="N394" s="73">
        <f>IF($L394="","",IF($H394&gt;0,ROUND($L394/$H394,4),"－"))</f>
        <v/>
      </c>
      <c r="O394" s="29">
        <f>IF($B394="","",IF($L394="","未入力",IF($L394=0,"一致",IF(OR(NOT(ISNUMBER($N394)),AND('設定'!$B$10&lt;&gt;"",ABS(N($N394))&gt;'設定'!$B$10),AND('設定'!$B$11&lt;&gt;"",ABS(ROUND($M394,4))&gt;'設定'!$B$11),AND('設定'!$B$10="",'設定'!$B$11="")),"要確認","許容内"))))</f>
        <v/>
      </c>
      <c r="P394" s="29">
        <f>IF($O394&lt;&gt;"要確認","",IF($Q394=0,"済",IF(COUNTIF('差異の原因'!$B$5:$B$204,$B394)=0,"未記録","一部")))</f>
        <v/>
      </c>
      <c r="Q394" s="27">
        <f>IF($L394="","",IF(AND($L394=0,COUNTIF('差異の原因'!$B$5:$B$204,$B394)=0),"",ROUND($L394-SUMIF('差異の原因'!$B$5:$B$204,$B394,'差異の原因'!$G$5:$G$204),6)))</f>
        <v/>
      </c>
      <c r="R394" s="30" t="n"/>
      <c r="S394" s="23" t="n"/>
      <c r="T394" s="29">
        <f>IF(OR($B394="",NOT(ISNUMBER($R394))),"",IF(IF(ISNUMBER($I394),$I394,N($H394))&lt;=0,"",IF($R394&lt;'設定'!$B$6,"期限切れ",IF($R394='設定'!$B$6,"当日",IF($R394-'設定'!$B$6&lt;=N('設定'!$B$14),"あと"&amp;($R394-'設定'!$B$6)&amp;"日","")))))</f>
        <v/>
      </c>
      <c r="U394" s="61" t="n"/>
      <c r="V394" s="31">
        <f>IF(AND($B394&lt;&gt;"",$E394&lt;&gt;"",$E394='数える用紙'!$C$2),ROW(),"")</f>
        <v/>
      </c>
      <c r="W394" s="74">
        <f>IF(AND($B394&lt;&gt;"",ISNUMBER($R394)),IF(AND($R394&lt;='設定'!$B$6+N('設定'!$B$14),IF(ISNUMBER($I394),$I394,N($H394))&gt;0),$R394+ROW()/100000,""),"")</f>
        <v/>
      </c>
    </row>
    <row r="395" ht="18" customHeight="1">
      <c r="A395" s="22" t="n">
        <v>391</v>
      </c>
      <c r="B395" s="23" t="n"/>
      <c r="C395" s="24" t="n"/>
      <c r="D395" s="24" t="n"/>
      <c r="E395" s="23" t="n"/>
      <c r="F395" s="23" t="n"/>
      <c r="G395" s="25" t="n"/>
      <c r="H395" s="25" t="n"/>
      <c r="I395" s="25" t="n"/>
      <c r="J395" s="72">
        <f>IF(OR($B395="",$H395=""),"",N($G395)*$H395)</f>
        <v/>
      </c>
      <c r="K395" s="72">
        <f>IF(OR($B395="",$I395=""),"",N($G395)*$I395)</f>
        <v/>
      </c>
      <c r="L395" s="27">
        <f>IF(OR($B395="",$H395="",$I395=""),"",$I395-$H395)</f>
        <v/>
      </c>
      <c r="M395" s="72">
        <f>IF($L395="","",$L395*N($G395))</f>
        <v/>
      </c>
      <c r="N395" s="73">
        <f>IF($L395="","",IF($H395&gt;0,ROUND($L395/$H395,4),"－"))</f>
        <v/>
      </c>
      <c r="O395" s="29">
        <f>IF($B395="","",IF($L395="","未入力",IF($L395=0,"一致",IF(OR(NOT(ISNUMBER($N395)),AND('設定'!$B$10&lt;&gt;"",ABS(N($N395))&gt;'設定'!$B$10),AND('設定'!$B$11&lt;&gt;"",ABS(ROUND($M395,4))&gt;'設定'!$B$11),AND('設定'!$B$10="",'設定'!$B$11="")),"要確認","許容内"))))</f>
        <v/>
      </c>
      <c r="P395" s="29">
        <f>IF($O395&lt;&gt;"要確認","",IF($Q395=0,"済",IF(COUNTIF('差異の原因'!$B$5:$B$204,$B395)=0,"未記録","一部")))</f>
        <v/>
      </c>
      <c r="Q395" s="27">
        <f>IF($L395="","",IF(AND($L395=0,COUNTIF('差異の原因'!$B$5:$B$204,$B395)=0),"",ROUND($L395-SUMIF('差異の原因'!$B$5:$B$204,$B395,'差異の原因'!$G$5:$G$204),6)))</f>
        <v/>
      </c>
      <c r="R395" s="30" t="n"/>
      <c r="S395" s="23" t="n"/>
      <c r="T395" s="29">
        <f>IF(OR($B395="",NOT(ISNUMBER($R395))),"",IF(IF(ISNUMBER($I395),$I395,N($H395))&lt;=0,"",IF($R395&lt;'設定'!$B$6,"期限切れ",IF($R395='設定'!$B$6,"当日",IF($R395-'設定'!$B$6&lt;=N('設定'!$B$14),"あと"&amp;($R395-'設定'!$B$6)&amp;"日","")))))</f>
        <v/>
      </c>
      <c r="U395" s="61" t="n"/>
      <c r="V395" s="31">
        <f>IF(AND($B395&lt;&gt;"",$E395&lt;&gt;"",$E395='数える用紙'!$C$2),ROW(),"")</f>
        <v/>
      </c>
      <c r="W395" s="74">
        <f>IF(AND($B395&lt;&gt;"",ISNUMBER($R395)),IF(AND($R395&lt;='設定'!$B$6+N('設定'!$B$14),IF(ISNUMBER($I395),$I395,N($H395))&gt;0),$R395+ROW()/100000,""),"")</f>
        <v/>
      </c>
    </row>
    <row r="396" ht="18" customHeight="1">
      <c r="A396" s="22" t="n">
        <v>392</v>
      </c>
      <c r="B396" s="23" t="n"/>
      <c r="C396" s="24" t="n"/>
      <c r="D396" s="24" t="n"/>
      <c r="E396" s="23" t="n"/>
      <c r="F396" s="23" t="n"/>
      <c r="G396" s="25" t="n"/>
      <c r="H396" s="25" t="n"/>
      <c r="I396" s="25" t="n"/>
      <c r="J396" s="72">
        <f>IF(OR($B396="",$H396=""),"",N($G396)*$H396)</f>
        <v/>
      </c>
      <c r="K396" s="72">
        <f>IF(OR($B396="",$I396=""),"",N($G396)*$I396)</f>
        <v/>
      </c>
      <c r="L396" s="27">
        <f>IF(OR($B396="",$H396="",$I396=""),"",$I396-$H396)</f>
        <v/>
      </c>
      <c r="M396" s="72">
        <f>IF($L396="","",$L396*N($G396))</f>
        <v/>
      </c>
      <c r="N396" s="73">
        <f>IF($L396="","",IF($H396&gt;0,ROUND($L396/$H396,4),"－"))</f>
        <v/>
      </c>
      <c r="O396" s="29">
        <f>IF($B396="","",IF($L396="","未入力",IF($L396=0,"一致",IF(OR(NOT(ISNUMBER($N396)),AND('設定'!$B$10&lt;&gt;"",ABS(N($N396))&gt;'設定'!$B$10),AND('設定'!$B$11&lt;&gt;"",ABS(ROUND($M396,4))&gt;'設定'!$B$11),AND('設定'!$B$10="",'設定'!$B$11="")),"要確認","許容内"))))</f>
        <v/>
      </c>
      <c r="P396" s="29">
        <f>IF($O396&lt;&gt;"要確認","",IF($Q396=0,"済",IF(COUNTIF('差異の原因'!$B$5:$B$204,$B396)=0,"未記録","一部")))</f>
        <v/>
      </c>
      <c r="Q396" s="27">
        <f>IF($L396="","",IF(AND($L396=0,COUNTIF('差異の原因'!$B$5:$B$204,$B396)=0),"",ROUND($L396-SUMIF('差異の原因'!$B$5:$B$204,$B396,'差異の原因'!$G$5:$G$204),6)))</f>
        <v/>
      </c>
      <c r="R396" s="30" t="n"/>
      <c r="S396" s="23" t="n"/>
      <c r="T396" s="29">
        <f>IF(OR($B396="",NOT(ISNUMBER($R396))),"",IF(IF(ISNUMBER($I396),$I396,N($H396))&lt;=0,"",IF($R396&lt;'設定'!$B$6,"期限切れ",IF($R396='設定'!$B$6,"当日",IF($R396-'設定'!$B$6&lt;=N('設定'!$B$14),"あと"&amp;($R396-'設定'!$B$6)&amp;"日","")))))</f>
        <v/>
      </c>
      <c r="U396" s="61" t="n"/>
      <c r="V396" s="31">
        <f>IF(AND($B396&lt;&gt;"",$E396&lt;&gt;"",$E396='数える用紙'!$C$2),ROW(),"")</f>
        <v/>
      </c>
      <c r="W396" s="74">
        <f>IF(AND($B396&lt;&gt;"",ISNUMBER($R396)),IF(AND($R396&lt;='設定'!$B$6+N('設定'!$B$14),IF(ISNUMBER($I396),$I396,N($H396))&gt;0),$R396+ROW()/100000,""),"")</f>
        <v/>
      </c>
    </row>
    <row r="397" ht="18" customHeight="1">
      <c r="A397" s="22" t="n">
        <v>393</v>
      </c>
      <c r="B397" s="23" t="n"/>
      <c r="C397" s="24" t="n"/>
      <c r="D397" s="24" t="n"/>
      <c r="E397" s="23" t="n"/>
      <c r="F397" s="23" t="n"/>
      <c r="G397" s="25" t="n"/>
      <c r="H397" s="25" t="n"/>
      <c r="I397" s="25" t="n"/>
      <c r="J397" s="72">
        <f>IF(OR($B397="",$H397=""),"",N($G397)*$H397)</f>
        <v/>
      </c>
      <c r="K397" s="72">
        <f>IF(OR($B397="",$I397=""),"",N($G397)*$I397)</f>
        <v/>
      </c>
      <c r="L397" s="27">
        <f>IF(OR($B397="",$H397="",$I397=""),"",$I397-$H397)</f>
        <v/>
      </c>
      <c r="M397" s="72">
        <f>IF($L397="","",$L397*N($G397))</f>
        <v/>
      </c>
      <c r="N397" s="73">
        <f>IF($L397="","",IF($H397&gt;0,ROUND($L397/$H397,4),"－"))</f>
        <v/>
      </c>
      <c r="O397" s="29">
        <f>IF($B397="","",IF($L397="","未入力",IF($L397=0,"一致",IF(OR(NOT(ISNUMBER($N397)),AND('設定'!$B$10&lt;&gt;"",ABS(N($N397))&gt;'設定'!$B$10),AND('設定'!$B$11&lt;&gt;"",ABS(ROUND($M397,4))&gt;'設定'!$B$11),AND('設定'!$B$10="",'設定'!$B$11="")),"要確認","許容内"))))</f>
        <v/>
      </c>
      <c r="P397" s="29">
        <f>IF($O397&lt;&gt;"要確認","",IF($Q397=0,"済",IF(COUNTIF('差異の原因'!$B$5:$B$204,$B397)=0,"未記録","一部")))</f>
        <v/>
      </c>
      <c r="Q397" s="27">
        <f>IF($L397="","",IF(AND($L397=0,COUNTIF('差異の原因'!$B$5:$B$204,$B397)=0),"",ROUND($L397-SUMIF('差異の原因'!$B$5:$B$204,$B397,'差異の原因'!$G$5:$G$204),6)))</f>
        <v/>
      </c>
      <c r="R397" s="30" t="n"/>
      <c r="S397" s="23" t="n"/>
      <c r="T397" s="29">
        <f>IF(OR($B397="",NOT(ISNUMBER($R397))),"",IF(IF(ISNUMBER($I397),$I397,N($H397))&lt;=0,"",IF($R397&lt;'設定'!$B$6,"期限切れ",IF($R397='設定'!$B$6,"当日",IF($R397-'設定'!$B$6&lt;=N('設定'!$B$14),"あと"&amp;($R397-'設定'!$B$6)&amp;"日","")))))</f>
        <v/>
      </c>
      <c r="U397" s="61" t="n"/>
      <c r="V397" s="31">
        <f>IF(AND($B397&lt;&gt;"",$E397&lt;&gt;"",$E397='数える用紙'!$C$2),ROW(),"")</f>
        <v/>
      </c>
      <c r="W397" s="74">
        <f>IF(AND($B397&lt;&gt;"",ISNUMBER($R397)),IF(AND($R397&lt;='設定'!$B$6+N('設定'!$B$14),IF(ISNUMBER($I397),$I397,N($H397))&gt;0),$R397+ROW()/100000,""),"")</f>
        <v/>
      </c>
    </row>
    <row r="398" ht="18" customHeight="1">
      <c r="A398" s="22" t="n">
        <v>394</v>
      </c>
      <c r="B398" s="23" t="n"/>
      <c r="C398" s="24" t="n"/>
      <c r="D398" s="24" t="n"/>
      <c r="E398" s="23" t="n"/>
      <c r="F398" s="23" t="n"/>
      <c r="G398" s="25" t="n"/>
      <c r="H398" s="25" t="n"/>
      <c r="I398" s="25" t="n"/>
      <c r="J398" s="72">
        <f>IF(OR($B398="",$H398=""),"",N($G398)*$H398)</f>
        <v/>
      </c>
      <c r="K398" s="72">
        <f>IF(OR($B398="",$I398=""),"",N($G398)*$I398)</f>
        <v/>
      </c>
      <c r="L398" s="27">
        <f>IF(OR($B398="",$H398="",$I398=""),"",$I398-$H398)</f>
        <v/>
      </c>
      <c r="M398" s="72">
        <f>IF($L398="","",$L398*N($G398))</f>
        <v/>
      </c>
      <c r="N398" s="73">
        <f>IF($L398="","",IF($H398&gt;0,ROUND($L398/$H398,4),"－"))</f>
        <v/>
      </c>
      <c r="O398" s="29">
        <f>IF($B398="","",IF($L398="","未入力",IF($L398=0,"一致",IF(OR(NOT(ISNUMBER($N398)),AND('設定'!$B$10&lt;&gt;"",ABS(N($N398))&gt;'設定'!$B$10),AND('設定'!$B$11&lt;&gt;"",ABS(ROUND($M398,4))&gt;'設定'!$B$11),AND('設定'!$B$10="",'設定'!$B$11="")),"要確認","許容内"))))</f>
        <v/>
      </c>
      <c r="P398" s="29">
        <f>IF($O398&lt;&gt;"要確認","",IF($Q398=0,"済",IF(COUNTIF('差異の原因'!$B$5:$B$204,$B398)=0,"未記録","一部")))</f>
        <v/>
      </c>
      <c r="Q398" s="27">
        <f>IF($L398="","",IF(AND($L398=0,COUNTIF('差異の原因'!$B$5:$B$204,$B398)=0),"",ROUND($L398-SUMIF('差異の原因'!$B$5:$B$204,$B398,'差異の原因'!$G$5:$G$204),6)))</f>
        <v/>
      </c>
      <c r="R398" s="30" t="n"/>
      <c r="S398" s="23" t="n"/>
      <c r="T398" s="29">
        <f>IF(OR($B398="",NOT(ISNUMBER($R398))),"",IF(IF(ISNUMBER($I398),$I398,N($H398))&lt;=0,"",IF($R398&lt;'設定'!$B$6,"期限切れ",IF($R398='設定'!$B$6,"当日",IF($R398-'設定'!$B$6&lt;=N('設定'!$B$14),"あと"&amp;($R398-'設定'!$B$6)&amp;"日","")))))</f>
        <v/>
      </c>
      <c r="U398" s="61" t="n"/>
      <c r="V398" s="31">
        <f>IF(AND($B398&lt;&gt;"",$E398&lt;&gt;"",$E398='数える用紙'!$C$2),ROW(),"")</f>
        <v/>
      </c>
      <c r="W398" s="74">
        <f>IF(AND($B398&lt;&gt;"",ISNUMBER($R398)),IF(AND($R398&lt;='設定'!$B$6+N('設定'!$B$14),IF(ISNUMBER($I398),$I398,N($H398))&gt;0),$R398+ROW()/100000,""),"")</f>
        <v/>
      </c>
    </row>
    <row r="399" ht="18" customHeight="1">
      <c r="A399" s="22" t="n">
        <v>395</v>
      </c>
      <c r="B399" s="23" t="n"/>
      <c r="C399" s="24" t="n"/>
      <c r="D399" s="24" t="n"/>
      <c r="E399" s="23" t="n"/>
      <c r="F399" s="23" t="n"/>
      <c r="G399" s="25" t="n"/>
      <c r="H399" s="25" t="n"/>
      <c r="I399" s="25" t="n"/>
      <c r="J399" s="72">
        <f>IF(OR($B399="",$H399=""),"",N($G399)*$H399)</f>
        <v/>
      </c>
      <c r="K399" s="72">
        <f>IF(OR($B399="",$I399=""),"",N($G399)*$I399)</f>
        <v/>
      </c>
      <c r="L399" s="27">
        <f>IF(OR($B399="",$H399="",$I399=""),"",$I399-$H399)</f>
        <v/>
      </c>
      <c r="M399" s="72">
        <f>IF($L399="","",$L399*N($G399))</f>
        <v/>
      </c>
      <c r="N399" s="73">
        <f>IF($L399="","",IF($H399&gt;0,ROUND($L399/$H399,4),"－"))</f>
        <v/>
      </c>
      <c r="O399" s="29">
        <f>IF($B399="","",IF($L399="","未入力",IF($L399=0,"一致",IF(OR(NOT(ISNUMBER($N399)),AND('設定'!$B$10&lt;&gt;"",ABS(N($N399))&gt;'設定'!$B$10),AND('設定'!$B$11&lt;&gt;"",ABS(ROUND($M399,4))&gt;'設定'!$B$11),AND('設定'!$B$10="",'設定'!$B$11="")),"要確認","許容内"))))</f>
        <v/>
      </c>
      <c r="P399" s="29">
        <f>IF($O399&lt;&gt;"要確認","",IF($Q399=0,"済",IF(COUNTIF('差異の原因'!$B$5:$B$204,$B399)=0,"未記録","一部")))</f>
        <v/>
      </c>
      <c r="Q399" s="27">
        <f>IF($L399="","",IF(AND($L399=0,COUNTIF('差異の原因'!$B$5:$B$204,$B399)=0),"",ROUND($L399-SUMIF('差異の原因'!$B$5:$B$204,$B399,'差異の原因'!$G$5:$G$204),6)))</f>
        <v/>
      </c>
      <c r="R399" s="30" t="n"/>
      <c r="S399" s="23" t="n"/>
      <c r="T399" s="29">
        <f>IF(OR($B399="",NOT(ISNUMBER($R399))),"",IF(IF(ISNUMBER($I399),$I399,N($H399))&lt;=0,"",IF($R399&lt;'設定'!$B$6,"期限切れ",IF($R399='設定'!$B$6,"当日",IF($R399-'設定'!$B$6&lt;=N('設定'!$B$14),"あと"&amp;($R399-'設定'!$B$6)&amp;"日","")))))</f>
        <v/>
      </c>
      <c r="U399" s="61" t="n"/>
      <c r="V399" s="31">
        <f>IF(AND($B399&lt;&gt;"",$E399&lt;&gt;"",$E399='数える用紙'!$C$2),ROW(),"")</f>
        <v/>
      </c>
      <c r="W399" s="74">
        <f>IF(AND($B399&lt;&gt;"",ISNUMBER($R399)),IF(AND($R399&lt;='設定'!$B$6+N('設定'!$B$14),IF(ISNUMBER($I399),$I399,N($H399))&gt;0),$R399+ROW()/100000,""),"")</f>
        <v/>
      </c>
    </row>
    <row r="400" ht="18" customHeight="1">
      <c r="A400" s="22" t="n">
        <v>396</v>
      </c>
      <c r="B400" s="23" t="n"/>
      <c r="C400" s="24" t="n"/>
      <c r="D400" s="24" t="n"/>
      <c r="E400" s="23" t="n"/>
      <c r="F400" s="23" t="n"/>
      <c r="G400" s="25" t="n"/>
      <c r="H400" s="25" t="n"/>
      <c r="I400" s="25" t="n"/>
      <c r="J400" s="72">
        <f>IF(OR($B400="",$H400=""),"",N($G400)*$H400)</f>
        <v/>
      </c>
      <c r="K400" s="72">
        <f>IF(OR($B400="",$I400=""),"",N($G400)*$I400)</f>
        <v/>
      </c>
      <c r="L400" s="27">
        <f>IF(OR($B400="",$H400="",$I400=""),"",$I400-$H400)</f>
        <v/>
      </c>
      <c r="M400" s="72">
        <f>IF($L400="","",$L400*N($G400))</f>
        <v/>
      </c>
      <c r="N400" s="73">
        <f>IF($L400="","",IF($H400&gt;0,ROUND($L400/$H400,4),"－"))</f>
        <v/>
      </c>
      <c r="O400" s="29">
        <f>IF($B400="","",IF($L400="","未入力",IF($L400=0,"一致",IF(OR(NOT(ISNUMBER($N400)),AND('設定'!$B$10&lt;&gt;"",ABS(N($N400))&gt;'設定'!$B$10),AND('設定'!$B$11&lt;&gt;"",ABS(ROUND($M400,4))&gt;'設定'!$B$11),AND('設定'!$B$10="",'設定'!$B$11="")),"要確認","許容内"))))</f>
        <v/>
      </c>
      <c r="P400" s="29">
        <f>IF($O400&lt;&gt;"要確認","",IF($Q400=0,"済",IF(COUNTIF('差異の原因'!$B$5:$B$204,$B400)=0,"未記録","一部")))</f>
        <v/>
      </c>
      <c r="Q400" s="27">
        <f>IF($L400="","",IF(AND($L400=0,COUNTIF('差異の原因'!$B$5:$B$204,$B400)=0),"",ROUND($L400-SUMIF('差異の原因'!$B$5:$B$204,$B400,'差異の原因'!$G$5:$G$204),6)))</f>
        <v/>
      </c>
      <c r="R400" s="30" t="n"/>
      <c r="S400" s="23" t="n"/>
      <c r="T400" s="29">
        <f>IF(OR($B400="",NOT(ISNUMBER($R400))),"",IF(IF(ISNUMBER($I400),$I400,N($H400))&lt;=0,"",IF($R400&lt;'設定'!$B$6,"期限切れ",IF($R400='設定'!$B$6,"当日",IF($R400-'設定'!$B$6&lt;=N('設定'!$B$14),"あと"&amp;($R400-'設定'!$B$6)&amp;"日","")))))</f>
        <v/>
      </c>
      <c r="U400" s="61" t="n"/>
      <c r="V400" s="31">
        <f>IF(AND($B400&lt;&gt;"",$E400&lt;&gt;"",$E400='数える用紙'!$C$2),ROW(),"")</f>
        <v/>
      </c>
      <c r="W400" s="74">
        <f>IF(AND($B400&lt;&gt;"",ISNUMBER($R400)),IF(AND($R400&lt;='設定'!$B$6+N('設定'!$B$14),IF(ISNUMBER($I400),$I400,N($H400))&gt;0),$R400+ROW()/100000,""),"")</f>
        <v/>
      </c>
    </row>
    <row r="401" ht="18" customHeight="1">
      <c r="A401" s="22" t="n">
        <v>397</v>
      </c>
      <c r="B401" s="23" t="n"/>
      <c r="C401" s="24" t="n"/>
      <c r="D401" s="24" t="n"/>
      <c r="E401" s="23" t="n"/>
      <c r="F401" s="23" t="n"/>
      <c r="G401" s="25" t="n"/>
      <c r="H401" s="25" t="n"/>
      <c r="I401" s="25" t="n"/>
      <c r="J401" s="72">
        <f>IF(OR($B401="",$H401=""),"",N($G401)*$H401)</f>
        <v/>
      </c>
      <c r="K401" s="72">
        <f>IF(OR($B401="",$I401=""),"",N($G401)*$I401)</f>
        <v/>
      </c>
      <c r="L401" s="27">
        <f>IF(OR($B401="",$H401="",$I401=""),"",$I401-$H401)</f>
        <v/>
      </c>
      <c r="M401" s="72">
        <f>IF($L401="","",$L401*N($G401))</f>
        <v/>
      </c>
      <c r="N401" s="73">
        <f>IF($L401="","",IF($H401&gt;0,ROUND($L401/$H401,4),"－"))</f>
        <v/>
      </c>
      <c r="O401" s="29">
        <f>IF($B401="","",IF($L401="","未入力",IF($L401=0,"一致",IF(OR(NOT(ISNUMBER($N401)),AND('設定'!$B$10&lt;&gt;"",ABS(N($N401))&gt;'設定'!$B$10),AND('設定'!$B$11&lt;&gt;"",ABS(ROUND($M401,4))&gt;'設定'!$B$11),AND('設定'!$B$10="",'設定'!$B$11="")),"要確認","許容内"))))</f>
        <v/>
      </c>
      <c r="P401" s="29">
        <f>IF($O401&lt;&gt;"要確認","",IF($Q401=0,"済",IF(COUNTIF('差異の原因'!$B$5:$B$204,$B401)=0,"未記録","一部")))</f>
        <v/>
      </c>
      <c r="Q401" s="27">
        <f>IF($L401="","",IF(AND($L401=0,COUNTIF('差異の原因'!$B$5:$B$204,$B401)=0),"",ROUND($L401-SUMIF('差異の原因'!$B$5:$B$204,$B401,'差異の原因'!$G$5:$G$204),6)))</f>
        <v/>
      </c>
      <c r="R401" s="30" t="n"/>
      <c r="S401" s="23" t="n"/>
      <c r="T401" s="29">
        <f>IF(OR($B401="",NOT(ISNUMBER($R401))),"",IF(IF(ISNUMBER($I401),$I401,N($H401))&lt;=0,"",IF($R401&lt;'設定'!$B$6,"期限切れ",IF($R401='設定'!$B$6,"当日",IF($R401-'設定'!$B$6&lt;=N('設定'!$B$14),"あと"&amp;($R401-'設定'!$B$6)&amp;"日","")))))</f>
        <v/>
      </c>
      <c r="U401" s="61" t="n"/>
      <c r="V401" s="31">
        <f>IF(AND($B401&lt;&gt;"",$E401&lt;&gt;"",$E401='数える用紙'!$C$2),ROW(),"")</f>
        <v/>
      </c>
      <c r="W401" s="74">
        <f>IF(AND($B401&lt;&gt;"",ISNUMBER($R401)),IF(AND($R401&lt;='設定'!$B$6+N('設定'!$B$14),IF(ISNUMBER($I401),$I401,N($H401))&gt;0),$R401+ROW()/100000,""),"")</f>
        <v/>
      </c>
    </row>
    <row r="402" ht="18" customHeight="1">
      <c r="A402" s="22" t="n">
        <v>398</v>
      </c>
      <c r="B402" s="23" t="n"/>
      <c r="C402" s="24" t="n"/>
      <c r="D402" s="24" t="n"/>
      <c r="E402" s="23" t="n"/>
      <c r="F402" s="23" t="n"/>
      <c r="G402" s="25" t="n"/>
      <c r="H402" s="25" t="n"/>
      <c r="I402" s="25" t="n"/>
      <c r="J402" s="72">
        <f>IF(OR($B402="",$H402=""),"",N($G402)*$H402)</f>
        <v/>
      </c>
      <c r="K402" s="72">
        <f>IF(OR($B402="",$I402=""),"",N($G402)*$I402)</f>
        <v/>
      </c>
      <c r="L402" s="27">
        <f>IF(OR($B402="",$H402="",$I402=""),"",$I402-$H402)</f>
        <v/>
      </c>
      <c r="M402" s="72">
        <f>IF($L402="","",$L402*N($G402))</f>
        <v/>
      </c>
      <c r="N402" s="73">
        <f>IF($L402="","",IF($H402&gt;0,ROUND($L402/$H402,4),"－"))</f>
        <v/>
      </c>
      <c r="O402" s="29">
        <f>IF($B402="","",IF($L402="","未入力",IF($L402=0,"一致",IF(OR(NOT(ISNUMBER($N402)),AND('設定'!$B$10&lt;&gt;"",ABS(N($N402))&gt;'設定'!$B$10),AND('設定'!$B$11&lt;&gt;"",ABS(ROUND($M402,4))&gt;'設定'!$B$11),AND('設定'!$B$10="",'設定'!$B$11="")),"要確認","許容内"))))</f>
        <v/>
      </c>
      <c r="P402" s="29">
        <f>IF($O402&lt;&gt;"要確認","",IF($Q402=0,"済",IF(COUNTIF('差異の原因'!$B$5:$B$204,$B402)=0,"未記録","一部")))</f>
        <v/>
      </c>
      <c r="Q402" s="27">
        <f>IF($L402="","",IF(AND($L402=0,COUNTIF('差異の原因'!$B$5:$B$204,$B402)=0),"",ROUND($L402-SUMIF('差異の原因'!$B$5:$B$204,$B402,'差異の原因'!$G$5:$G$204),6)))</f>
        <v/>
      </c>
      <c r="R402" s="30" t="n"/>
      <c r="S402" s="23" t="n"/>
      <c r="T402" s="29">
        <f>IF(OR($B402="",NOT(ISNUMBER($R402))),"",IF(IF(ISNUMBER($I402),$I402,N($H402))&lt;=0,"",IF($R402&lt;'設定'!$B$6,"期限切れ",IF($R402='設定'!$B$6,"当日",IF($R402-'設定'!$B$6&lt;=N('設定'!$B$14),"あと"&amp;($R402-'設定'!$B$6)&amp;"日","")))))</f>
        <v/>
      </c>
      <c r="U402" s="61" t="n"/>
      <c r="V402" s="31">
        <f>IF(AND($B402&lt;&gt;"",$E402&lt;&gt;"",$E402='数える用紙'!$C$2),ROW(),"")</f>
        <v/>
      </c>
      <c r="W402" s="74">
        <f>IF(AND($B402&lt;&gt;"",ISNUMBER($R402)),IF(AND($R402&lt;='設定'!$B$6+N('設定'!$B$14),IF(ISNUMBER($I402),$I402,N($H402))&gt;0),$R402+ROW()/100000,""),"")</f>
        <v/>
      </c>
    </row>
    <row r="403" ht="18" customHeight="1">
      <c r="A403" s="22" t="n">
        <v>399</v>
      </c>
      <c r="B403" s="23" t="n"/>
      <c r="C403" s="24" t="n"/>
      <c r="D403" s="24" t="n"/>
      <c r="E403" s="23" t="n"/>
      <c r="F403" s="23" t="n"/>
      <c r="G403" s="25" t="n"/>
      <c r="H403" s="25" t="n"/>
      <c r="I403" s="25" t="n"/>
      <c r="J403" s="72">
        <f>IF(OR($B403="",$H403=""),"",N($G403)*$H403)</f>
        <v/>
      </c>
      <c r="K403" s="72">
        <f>IF(OR($B403="",$I403=""),"",N($G403)*$I403)</f>
        <v/>
      </c>
      <c r="L403" s="27">
        <f>IF(OR($B403="",$H403="",$I403=""),"",$I403-$H403)</f>
        <v/>
      </c>
      <c r="M403" s="72">
        <f>IF($L403="","",$L403*N($G403))</f>
        <v/>
      </c>
      <c r="N403" s="73">
        <f>IF($L403="","",IF($H403&gt;0,ROUND($L403/$H403,4),"－"))</f>
        <v/>
      </c>
      <c r="O403" s="29">
        <f>IF($B403="","",IF($L403="","未入力",IF($L403=0,"一致",IF(OR(NOT(ISNUMBER($N403)),AND('設定'!$B$10&lt;&gt;"",ABS(N($N403))&gt;'設定'!$B$10),AND('設定'!$B$11&lt;&gt;"",ABS(ROUND($M403,4))&gt;'設定'!$B$11),AND('設定'!$B$10="",'設定'!$B$11="")),"要確認","許容内"))))</f>
        <v/>
      </c>
      <c r="P403" s="29">
        <f>IF($O403&lt;&gt;"要確認","",IF($Q403=0,"済",IF(COUNTIF('差異の原因'!$B$5:$B$204,$B403)=0,"未記録","一部")))</f>
        <v/>
      </c>
      <c r="Q403" s="27">
        <f>IF($L403="","",IF(AND($L403=0,COUNTIF('差異の原因'!$B$5:$B$204,$B403)=0),"",ROUND($L403-SUMIF('差異の原因'!$B$5:$B$204,$B403,'差異の原因'!$G$5:$G$204),6)))</f>
        <v/>
      </c>
      <c r="R403" s="30" t="n"/>
      <c r="S403" s="23" t="n"/>
      <c r="T403" s="29">
        <f>IF(OR($B403="",NOT(ISNUMBER($R403))),"",IF(IF(ISNUMBER($I403),$I403,N($H403))&lt;=0,"",IF($R403&lt;'設定'!$B$6,"期限切れ",IF($R403='設定'!$B$6,"当日",IF($R403-'設定'!$B$6&lt;=N('設定'!$B$14),"あと"&amp;($R403-'設定'!$B$6)&amp;"日","")))))</f>
        <v/>
      </c>
      <c r="U403" s="61" t="n"/>
      <c r="V403" s="31">
        <f>IF(AND($B403&lt;&gt;"",$E403&lt;&gt;"",$E403='数える用紙'!$C$2),ROW(),"")</f>
        <v/>
      </c>
      <c r="W403" s="74">
        <f>IF(AND($B403&lt;&gt;"",ISNUMBER($R403)),IF(AND($R403&lt;='設定'!$B$6+N('設定'!$B$14),IF(ISNUMBER($I403),$I403,N($H403))&gt;0),$R403+ROW()/100000,""),"")</f>
        <v/>
      </c>
    </row>
    <row r="404" ht="18" customHeight="1">
      <c r="A404" s="22" t="n">
        <v>400</v>
      </c>
      <c r="B404" s="23" t="n"/>
      <c r="C404" s="24" t="n"/>
      <c r="D404" s="24" t="n"/>
      <c r="E404" s="23" t="n"/>
      <c r="F404" s="23" t="n"/>
      <c r="G404" s="25" t="n"/>
      <c r="H404" s="25" t="n"/>
      <c r="I404" s="25" t="n"/>
      <c r="J404" s="72">
        <f>IF(OR($B404="",$H404=""),"",N($G404)*$H404)</f>
        <v/>
      </c>
      <c r="K404" s="72">
        <f>IF(OR($B404="",$I404=""),"",N($G404)*$I404)</f>
        <v/>
      </c>
      <c r="L404" s="27">
        <f>IF(OR($B404="",$H404="",$I404=""),"",$I404-$H404)</f>
        <v/>
      </c>
      <c r="M404" s="72">
        <f>IF($L404="","",$L404*N($G404))</f>
        <v/>
      </c>
      <c r="N404" s="73">
        <f>IF($L404="","",IF($H404&gt;0,ROUND($L404/$H404,4),"－"))</f>
        <v/>
      </c>
      <c r="O404" s="29">
        <f>IF($B404="","",IF($L404="","未入力",IF($L404=0,"一致",IF(OR(NOT(ISNUMBER($N404)),AND('設定'!$B$10&lt;&gt;"",ABS(N($N404))&gt;'設定'!$B$10),AND('設定'!$B$11&lt;&gt;"",ABS(ROUND($M404,4))&gt;'設定'!$B$11),AND('設定'!$B$10="",'設定'!$B$11="")),"要確認","許容内"))))</f>
        <v/>
      </c>
      <c r="P404" s="29">
        <f>IF($O404&lt;&gt;"要確認","",IF($Q404=0,"済",IF(COUNTIF('差異の原因'!$B$5:$B$204,$B404)=0,"未記録","一部")))</f>
        <v/>
      </c>
      <c r="Q404" s="27">
        <f>IF($L404="","",IF(AND($L404=0,COUNTIF('差異の原因'!$B$5:$B$204,$B404)=0),"",ROUND($L404-SUMIF('差異の原因'!$B$5:$B$204,$B404,'差異の原因'!$G$5:$G$204),6)))</f>
        <v/>
      </c>
      <c r="R404" s="30" t="n"/>
      <c r="S404" s="23" t="n"/>
      <c r="T404" s="29">
        <f>IF(OR($B404="",NOT(ISNUMBER($R404))),"",IF(IF(ISNUMBER($I404),$I404,N($H404))&lt;=0,"",IF($R404&lt;'設定'!$B$6,"期限切れ",IF($R404='設定'!$B$6,"当日",IF($R404-'設定'!$B$6&lt;=N('設定'!$B$14),"あと"&amp;($R404-'設定'!$B$6)&amp;"日","")))))</f>
        <v/>
      </c>
      <c r="U404" s="61" t="n"/>
      <c r="V404" s="31">
        <f>IF(AND($B404&lt;&gt;"",$E404&lt;&gt;"",$E404='数える用紙'!$C$2),ROW(),"")</f>
        <v/>
      </c>
      <c r="W404" s="74">
        <f>IF(AND($B404&lt;&gt;"",ISNUMBER($R404)),IF(AND($R404&lt;='設定'!$B$6+N('設定'!$B$14),IF(ISNUMBER($I404),$I404,N($H404))&gt;0),$R404+ROW()/100000,""),"")</f>
        <v/>
      </c>
    </row>
    <row r="405" ht="18" customHeight="1">
      <c r="A405" s="22" t="n">
        <v>401</v>
      </c>
      <c r="B405" s="23" t="n"/>
      <c r="C405" s="24" t="n"/>
      <c r="D405" s="24" t="n"/>
      <c r="E405" s="23" t="n"/>
      <c r="F405" s="23" t="n"/>
      <c r="G405" s="25" t="n"/>
      <c r="H405" s="25" t="n"/>
      <c r="I405" s="25" t="n"/>
      <c r="J405" s="72">
        <f>IF(OR($B405="",$H405=""),"",N($G405)*$H405)</f>
        <v/>
      </c>
      <c r="K405" s="72">
        <f>IF(OR($B405="",$I405=""),"",N($G405)*$I405)</f>
        <v/>
      </c>
      <c r="L405" s="27">
        <f>IF(OR($B405="",$H405="",$I405=""),"",$I405-$H405)</f>
        <v/>
      </c>
      <c r="M405" s="72">
        <f>IF($L405="","",$L405*N($G405))</f>
        <v/>
      </c>
      <c r="N405" s="73">
        <f>IF($L405="","",IF($H405&gt;0,ROUND($L405/$H405,4),"－"))</f>
        <v/>
      </c>
      <c r="O405" s="29">
        <f>IF($B405="","",IF($L405="","未入力",IF($L405=0,"一致",IF(OR(NOT(ISNUMBER($N405)),AND('設定'!$B$10&lt;&gt;"",ABS(N($N405))&gt;'設定'!$B$10),AND('設定'!$B$11&lt;&gt;"",ABS(ROUND($M405,4))&gt;'設定'!$B$11),AND('設定'!$B$10="",'設定'!$B$11="")),"要確認","許容内"))))</f>
        <v/>
      </c>
      <c r="P405" s="29">
        <f>IF($O405&lt;&gt;"要確認","",IF($Q405=0,"済",IF(COUNTIF('差異の原因'!$B$5:$B$204,$B405)=0,"未記録","一部")))</f>
        <v/>
      </c>
      <c r="Q405" s="27">
        <f>IF($L405="","",IF(AND($L405=0,COUNTIF('差異の原因'!$B$5:$B$204,$B405)=0),"",ROUND($L405-SUMIF('差異の原因'!$B$5:$B$204,$B405,'差異の原因'!$G$5:$G$204),6)))</f>
        <v/>
      </c>
      <c r="R405" s="30" t="n"/>
      <c r="S405" s="23" t="n"/>
      <c r="T405" s="29">
        <f>IF(OR($B405="",NOT(ISNUMBER($R405))),"",IF(IF(ISNUMBER($I405),$I405,N($H405))&lt;=0,"",IF($R405&lt;'設定'!$B$6,"期限切れ",IF($R405='設定'!$B$6,"当日",IF($R405-'設定'!$B$6&lt;=N('設定'!$B$14),"あと"&amp;($R405-'設定'!$B$6)&amp;"日","")))))</f>
        <v/>
      </c>
      <c r="U405" s="61" t="n"/>
      <c r="V405" s="31">
        <f>IF(AND($B405&lt;&gt;"",$E405&lt;&gt;"",$E405='数える用紙'!$C$2),ROW(),"")</f>
        <v/>
      </c>
      <c r="W405" s="74">
        <f>IF(AND($B405&lt;&gt;"",ISNUMBER($R405)),IF(AND($R405&lt;='設定'!$B$6+N('設定'!$B$14),IF(ISNUMBER($I405),$I405,N($H405))&gt;0),$R405+ROW()/100000,""),"")</f>
        <v/>
      </c>
    </row>
    <row r="406" ht="18" customHeight="1">
      <c r="A406" s="22" t="n">
        <v>402</v>
      </c>
      <c r="B406" s="23" t="n"/>
      <c r="C406" s="24" t="n"/>
      <c r="D406" s="24" t="n"/>
      <c r="E406" s="23" t="n"/>
      <c r="F406" s="23" t="n"/>
      <c r="G406" s="25" t="n"/>
      <c r="H406" s="25" t="n"/>
      <c r="I406" s="25" t="n"/>
      <c r="J406" s="72">
        <f>IF(OR($B406="",$H406=""),"",N($G406)*$H406)</f>
        <v/>
      </c>
      <c r="K406" s="72">
        <f>IF(OR($B406="",$I406=""),"",N($G406)*$I406)</f>
        <v/>
      </c>
      <c r="L406" s="27">
        <f>IF(OR($B406="",$H406="",$I406=""),"",$I406-$H406)</f>
        <v/>
      </c>
      <c r="M406" s="72">
        <f>IF($L406="","",$L406*N($G406))</f>
        <v/>
      </c>
      <c r="N406" s="73">
        <f>IF($L406="","",IF($H406&gt;0,ROUND($L406/$H406,4),"－"))</f>
        <v/>
      </c>
      <c r="O406" s="29">
        <f>IF($B406="","",IF($L406="","未入力",IF($L406=0,"一致",IF(OR(NOT(ISNUMBER($N406)),AND('設定'!$B$10&lt;&gt;"",ABS(N($N406))&gt;'設定'!$B$10),AND('設定'!$B$11&lt;&gt;"",ABS(ROUND($M406,4))&gt;'設定'!$B$11),AND('設定'!$B$10="",'設定'!$B$11="")),"要確認","許容内"))))</f>
        <v/>
      </c>
      <c r="P406" s="29">
        <f>IF($O406&lt;&gt;"要確認","",IF($Q406=0,"済",IF(COUNTIF('差異の原因'!$B$5:$B$204,$B406)=0,"未記録","一部")))</f>
        <v/>
      </c>
      <c r="Q406" s="27">
        <f>IF($L406="","",IF(AND($L406=0,COUNTIF('差異の原因'!$B$5:$B$204,$B406)=0),"",ROUND($L406-SUMIF('差異の原因'!$B$5:$B$204,$B406,'差異の原因'!$G$5:$G$204),6)))</f>
        <v/>
      </c>
      <c r="R406" s="30" t="n"/>
      <c r="S406" s="23" t="n"/>
      <c r="T406" s="29">
        <f>IF(OR($B406="",NOT(ISNUMBER($R406))),"",IF(IF(ISNUMBER($I406),$I406,N($H406))&lt;=0,"",IF($R406&lt;'設定'!$B$6,"期限切れ",IF($R406='設定'!$B$6,"当日",IF($R406-'設定'!$B$6&lt;=N('設定'!$B$14),"あと"&amp;($R406-'設定'!$B$6)&amp;"日","")))))</f>
        <v/>
      </c>
      <c r="U406" s="61" t="n"/>
      <c r="V406" s="31">
        <f>IF(AND($B406&lt;&gt;"",$E406&lt;&gt;"",$E406='数える用紙'!$C$2),ROW(),"")</f>
        <v/>
      </c>
      <c r="W406" s="74">
        <f>IF(AND($B406&lt;&gt;"",ISNUMBER($R406)),IF(AND($R406&lt;='設定'!$B$6+N('設定'!$B$14),IF(ISNUMBER($I406),$I406,N($H406))&gt;0),$R406+ROW()/100000,""),"")</f>
        <v/>
      </c>
    </row>
    <row r="407" ht="18" customHeight="1">
      <c r="A407" s="22" t="n">
        <v>403</v>
      </c>
      <c r="B407" s="23" t="n"/>
      <c r="C407" s="24" t="n"/>
      <c r="D407" s="24" t="n"/>
      <c r="E407" s="23" t="n"/>
      <c r="F407" s="23" t="n"/>
      <c r="G407" s="25" t="n"/>
      <c r="H407" s="25" t="n"/>
      <c r="I407" s="25" t="n"/>
      <c r="J407" s="72">
        <f>IF(OR($B407="",$H407=""),"",N($G407)*$H407)</f>
        <v/>
      </c>
      <c r="K407" s="72">
        <f>IF(OR($B407="",$I407=""),"",N($G407)*$I407)</f>
        <v/>
      </c>
      <c r="L407" s="27">
        <f>IF(OR($B407="",$H407="",$I407=""),"",$I407-$H407)</f>
        <v/>
      </c>
      <c r="M407" s="72">
        <f>IF($L407="","",$L407*N($G407))</f>
        <v/>
      </c>
      <c r="N407" s="73">
        <f>IF($L407="","",IF($H407&gt;0,ROUND($L407/$H407,4),"－"))</f>
        <v/>
      </c>
      <c r="O407" s="29">
        <f>IF($B407="","",IF($L407="","未入力",IF($L407=0,"一致",IF(OR(NOT(ISNUMBER($N407)),AND('設定'!$B$10&lt;&gt;"",ABS(N($N407))&gt;'設定'!$B$10),AND('設定'!$B$11&lt;&gt;"",ABS(ROUND($M407,4))&gt;'設定'!$B$11),AND('設定'!$B$10="",'設定'!$B$11="")),"要確認","許容内"))))</f>
        <v/>
      </c>
      <c r="P407" s="29">
        <f>IF($O407&lt;&gt;"要確認","",IF($Q407=0,"済",IF(COUNTIF('差異の原因'!$B$5:$B$204,$B407)=0,"未記録","一部")))</f>
        <v/>
      </c>
      <c r="Q407" s="27">
        <f>IF($L407="","",IF(AND($L407=0,COUNTIF('差異の原因'!$B$5:$B$204,$B407)=0),"",ROUND($L407-SUMIF('差異の原因'!$B$5:$B$204,$B407,'差異の原因'!$G$5:$G$204),6)))</f>
        <v/>
      </c>
      <c r="R407" s="30" t="n"/>
      <c r="S407" s="23" t="n"/>
      <c r="T407" s="29">
        <f>IF(OR($B407="",NOT(ISNUMBER($R407))),"",IF(IF(ISNUMBER($I407),$I407,N($H407))&lt;=0,"",IF($R407&lt;'設定'!$B$6,"期限切れ",IF($R407='設定'!$B$6,"当日",IF($R407-'設定'!$B$6&lt;=N('設定'!$B$14),"あと"&amp;($R407-'設定'!$B$6)&amp;"日","")))))</f>
        <v/>
      </c>
      <c r="U407" s="61" t="n"/>
      <c r="V407" s="31">
        <f>IF(AND($B407&lt;&gt;"",$E407&lt;&gt;"",$E407='数える用紙'!$C$2),ROW(),"")</f>
        <v/>
      </c>
      <c r="W407" s="74">
        <f>IF(AND($B407&lt;&gt;"",ISNUMBER($R407)),IF(AND($R407&lt;='設定'!$B$6+N('設定'!$B$14),IF(ISNUMBER($I407),$I407,N($H407))&gt;0),$R407+ROW()/100000,""),"")</f>
        <v/>
      </c>
    </row>
    <row r="408" ht="18" customHeight="1">
      <c r="A408" s="22" t="n">
        <v>404</v>
      </c>
      <c r="B408" s="23" t="n"/>
      <c r="C408" s="24" t="n"/>
      <c r="D408" s="24" t="n"/>
      <c r="E408" s="23" t="n"/>
      <c r="F408" s="23" t="n"/>
      <c r="G408" s="25" t="n"/>
      <c r="H408" s="25" t="n"/>
      <c r="I408" s="25" t="n"/>
      <c r="J408" s="72">
        <f>IF(OR($B408="",$H408=""),"",N($G408)*$H408)</f>
        <v/>
      </c>
      <c r="K408" s="72">
        <f>IF(OR($B408="",$I408=""),"",N($G408)*$I408)</f>
        <v/>
      </c>
      <c r="L408" s="27">
        <f>IF(OR($B408="",$H408="",$I408=""),"",$I408-$H408)</f>
        <v/>
      </c>
      <c r="M408" s="72">
        <f>IF($L408="","",$L408*N($G408))</f>
        <v/>
      </c>
      <c r="N408" s="73">
        <f>IF($L408="","",IF($H408&gt;0,ROUND($L408/$H408,4),"－"))</f>
        <v/>
      </c>
      <c r="O408" s="29">
        <f>IF($B408="","",IF($L408="","未入力",IF($L408=0,"一致",IF(OR(NOT(ISNUMBER($N408)),AND('設定'!$B$10&lt;&gt;"",ABS(N($N408))&gt;'設定'!$B$10),AND('設定'!$B$11&lt;&gt;"",ABS(ROUND($M408,4))&gt;'設定'!$B$11),AND('設定'!$B$10="",'設定'!$B$11="")),"要確認","許容内"))))</f>
        <v/>
      </c>
      <c r="P408" s="29">
        <f>IF($O408&lt;&gt;"要確認","",IF($Q408=0,"済",IF(COUNTIF('差異の原因'!$B$5:$B$204,$B408)=0,"未記録","一部")))</f>
        <v/>
      </c>
      <c r="Q408" s="27">
        <f>IF($L408="","",IF(AND($L408=0,COUNTIF('差異の原因'!$B$5:$B$204,$B408)=0),"",ROUND($L408-SUMIF('差異の原因'!$B$5:$B$204,$B408,'差異の原因'!$G$5:$G$204),6)))</f>
        <v/>
      </c>
      <c r="R408" s="30" t="n"/>
      <c r="S408" s="23" t="n"/>
      <c r="T408" s="29">
        <f>IF(OR($B408="",NOT(ISNUMBER($R408))),"",IF(IF(ISNUMBER($I408),$I408,N($H408))&lt;=0,"",IF($R408&lt;'設定'!$B$6,"期限切れ",IF($R408='設定'!$B$6,"当日",IF($R408-'設定'!$B$6&lt;=N('設定'!$B$14),"あと"&amp;($R408-'設定'!$B$6)&amp;"日","")))))</f>
        <v/>
      </c>
      <c r="U408" s="61" t="n"/>
      <c r="V408" s="31">
        <f>IF(AND($B408&lt;&gt;"",$E408&lt;&gt;"",$E408='数える用紙'!$C$2),ROW(),"")</f>
        <v/>
      </c>
      <c r="W408" s="74">
        <f>IF(AND($B408&lt;&gt;"",ISNUMBER($R408)),IF(AND($R408&lt;='設定'!$B$6+N('設定'!$B$14),IF(ISNUMBER($I408),$I408,N($H408))&gt;0),$R408+ROW()/100000,""),"")</f>
        <v/>
      </c>
    </row>
    <row r="409" ht="18" customHeight="1">
      <c r="A409" s="22" t="n">
        <v>405</v>
      </c>
      <c r="B409" s="23" t="n"/>
      <c r="C409" s="24" t="n"/>
      <c r="D409" s="24" t="n"/>
      <c r="E409" s="23" t="n"/>
      <c r="F409" s="23" t="n"/>
      <c r="G409" s="25" t="n"/>
      <c r="H409" s="25" t="n"/>
      <c r="I409" s="25" t="n"/>
      <c r="J409" s="72">
        <f>IF(OR($B409="",$H409=""),"",N($G409)*$H409)</f>
        <v/>
      </c>
      <c r="K409" s="72">
        <f>IF(OR($B409="",$I409=""),"",N($G409)*$I409)</f>
        <v/>
      </c>
      <c r="L409" s="27">
        <f>IF(OR($B409="",$H409="",$I409=""),"",$I409-$H409)</f>
        <v/>
      </c>
      <c r="M409" s="72">
        <f>IF($L409="","",$L409*N($G409))</f>
        <v/>
      </c>
      <c r="N409" s="73">
        <f>IF($L409="","",IF($H409&gt;0,ROUND($L409/$H409,4),"－"))</f>
        <v/>
      </c>
      <c r="O409" s="29">
        <f>IF($B409="","",IF($L409="","未入力",IF($L409=0,"一致",IF(OR(NOT(ISNUMBER($N409)),AND('設定'!$B$10&lt;&gt;"",ABS(N($N409))&gt;'設定'!$B$10),AND('設定'!$B$11&lt;&gt;"",ABS(ROUND($M409,4))&gt;'設定'!$B$11),AND('設定'!$B$10="",'設定'!$B$11="")),"要確認","許容内"))))</f>
        <v/>
      </c>
      <c r="P409" s="29">
        <f>IF($O409&lt;&gt;"要確認","",IF($Q409=0,"済",IF(COUNTIF('差異の原因'!$B$5:$B$204,$B409)=0,"未記録","一部")))</f>
        <v/>
      </c>
      <c r="Q409" s="27">
        <f>IF($L409="","",IF(AND($L409=0,COUNTIF('差異の原因'!$B$5:$B$204,$B409)=0),"",ROUND($L409-SUMIF('差異の原因'!$B$5:$B$204,$B409,'差異の原因'!$G$5:$G$204),6)))</f>
        <v/>
      </c>
      <c r="R409" s="30" t="n"/>
      <c r="S409" s="23" t="n"/>
      <c r="T409" s="29">
        <f>IF(OR($B409="",NOT(ISNUMBER($R409))),"",IF(IF(ISNUMBER($I409),$I409,N($H409))&lt;=0,"",IF($R409&lt;'設定'!$B$6,"期限切れ",IF($R409='設定'!$B$6,"当日",IF($R409-'設定'!$B$6&lt;=N('設定'!$B$14),"あと"&amp;($R409-'設定'!$B$6)&amp;"日","")))))</f>
        <v/>
      </c>
      <c r="U409" s="61" t="n"/>
      <c r="V409" s="31">
        <f>IF(AND($B409&lt;&gt;"",$E409&lt;&gt;"",$E409='数える用紙'!$C$2),ROW(),"")</f>
        <v/>
      </c>
      <c r="W409" s="74">
        <f>IF(AND($B409&lt;&gt;"",ISNUMBER($R409)),IF(AND($R409&lt;='設定'!$B$6+N('設定'!$B$14),IF(ISNUMBER($I409),$I409,N($H409))&gt;0),$R409+ROW()/100000,""),"")</f>
        <v/>
      </c>
    </row>
    <row r="410" ht="18" customHeight="1">
      <c r="A410" s="22" t="n">
        <v>406</v>
      </c>
      <c r="B410" s="23" t="n"/>
      <c r="C410" s="24" t="n"/>
      <c r="D410" s="24" t="n"/>
      <c r="E410" s="23" t="n"/>
      <c r="F410" s="23" t="n"/>
      <c r="G410" s="25" t="n"/>
      <c r="H410" s="25" t="n"/>
      <c r="I410" s="25" t="n"/>
      <c r="J410" s="72">
        <f>IF(OR($B410="",$H410=""),"",N($G410)*$H410)</f>
        <v/>
      </c>
      <c r="K410" s="72">
        <f>IF(OR($B410="",$I410=""),"",N($G410)*$I410)</f>
        <v/>
      </c>
      <c r="L410" s="27">
        <f>IF(OR($B410="",$H410="",$I410=""),"",$I410-$H410)</f>
        <v/>
      </c>
      <c r="M410" s="72">
        <f>IF($L410="","",$L410*N($G410))</f>
        <v/>
      </c>
      <c r="N410" s="73">
        <f>IF($L410="","",IF($H410&gt;0,ROUND($L410/$H410,4),"－"))</f>
        <v/>
      </c>
      <c r="O410" s="29">
        <f>IF($B410="","",IF($L410="","未入力",IF($L410=0,"一致",IF(OR(NOT(ISNUMBER($N410)),AND('設定'!$B$10&lt;&gt;"",ABS(N($N410))&gt;'設定'!$B$10),AND('設定'!$B$11&lt;&gt;"",ABS(ROUND($M410,4))&gt;'設定'!$B$11),AND('設定'!$B$10="",'設定'!$B$11="")),"要確認","許容内"))))</f>
        <v/>
      </c>
      <c r="P410" s="29">
        <f>IF($O410&lt;&gt;"要確認","",IF($Q410=0,"済",IF(COUNTIF('差異の原因'!$B$5:$B$204,$B410)=0,"未記録","一部")))</f>
        <v/>
      </c>
      <c r="Q410" s="27">
        <f>IF($L410="","",IF(AND($L410=0,COUNTIF('差異の原因'!$B$5:$B$204,$B410)=0),"",ROUND($L410-SUMIF('差異の原因'!$B$5:$B$204,$B410,'差異の原因'!$G$5:$G$204),6)))</f>
        <v/>
      </c>
      <c r="R410" s="30" t="n"/>
      <c r="S410" s="23" t="n"/>
      <c r="T410" s="29">
        <f>IF(OR($B410="",NOT(ISNUMBER($R410))),"",IF(IF(ISNUMBER($I410),$I410,N($H410))&lt;=0,"",IF($R410&lt;'設定'!$B$6,"期限切れ",IF($R410='設定'!$B$6,"当日",IF($R410-'設定'!$B$6&lt;=N('設定'!$B$14),"あと"&amp;($R410-'設定'!$B$6)&amp;"日","")))))</f>
        <v/>
      </c>
      <c r="U410" s="61" t="n"/>
      <c r="V410" s="31">
        <f>IF(AND($B410&lt;&gt;"",$E410&lt;&gt;"",$E410='数える用紙'!$C$2),ROW(),"")</f>
        <v/>
      </c>
      <c r="W410" s="74">
        <f>IF(AND($B410&lt;&gt;"",ISNUMBER($R410)),IF(AND($R410&lt;='設定'!$B$6+N('設定'!$B$14),IF(ISNUMBER($I410),$I410,N($H410))&gt;0),$R410+ROW()/100000,""),"")</f>
        <v/>
      </c>
    </row>
    <row r="411" ht="18" customHeight="1">
      <c r="A411" s="22" t="n">
        <v>407</v>
      </c>
      <c r="B411" s="23" t="n"/>
      <c r="C411" s="24" t="n"/>
      <c r="D411" s="24" t="n"/>
      <c r="E411" s="23" t="n"/>
      <c r="F411" s="23" t="n"/>
      <c r="G411" s="25" t="n"/>
      <c r="H411" s="25" t="n"/>
      <c r="I411" s="25" t="n"/>
      <c r="J411" s="72">
        <f>IF(OR($B411="",$H411=""),"",N($G411)*$H411)</f>
        <v/>
      </c>
      <c r="K411" s="72">
        <f>IF(OR($B411="",$I411=""),"",N($G411)*$I411)</f>
        <v/>
      </c>
      <c r="L411" s="27">
        <f>IF(OR($B411="",$H411="",$I411=""),"",$I411-$H411)</f>
        <v/>
      </c>
      <c r="M411" s="72">
        <f>IF($L411="","",$L411*N($G411))</f>
        <v/>
      </c>
      <c r="N411" s="73">
        <f>IF($L411="","",IF($H411&gt;0,ROUND($L411/$H411,4),"－"))</f>
        <v/>
      </c>
      <c r="O411" s="29">
        <f>IF($B411="","",IF($L411="","未入力",IF($L411=0,"一致",IF(OR(NOT(ISNUMBER($N411)),AND('設定'!$B$10&lt;&gt;"",ABS(N($N411))&gt;'設定'!$B$10),AND('設定'!$B$11&lt;&gt;"",ABS(ROUND($M411,4))&gt;'設定'!$B$11),AND('設定'!$B$10="",'設定'!$B$11="")),"要確認","許容内"))))</f>
        <v/>
      </c>
      <c r="P411" s="29">
        <f>IF($O411&lt;&gt;"要確認","",IF($Q411=0,"済",IF(COUNTIF('差異の原因'!$B$5:$B$204,$B411)=0,"未記録","一部")))</f>
        <v/>
      </c>
      <c r="Q411" s="27">
        <f>IF($L411="","",IF(AND($L411=0,COUNTIF('差異の原因'!$B$5:$B$204,$B411)=0),"",ROUND($L411-SUMIF('差異の原因'!$B$5:$B$204,$B411,'差異の原因'!$G$5:$G$204),6)))</f>
        <v/>
      </c>
      <c r="R411" s="30" t="n"/>
      <c r="S411" s="23" t="n"/>
      <c r="T411" s="29">
        <f>IF(OR($B411="",NOT(ISNUMBER($R411))),"",IF(IF(ISNUMBER($I411),$I411,N($H411))&lt;=0,"",IF($R411&lt;'設定'!$B$6,"期限切れ",IF($R411='設定'!$B$6,"当日",IF($R411-'設定'!$B$6&lt;=N('設定'!$B$14),"あと"&amp;($R411-'設定'!$B$6)&amp;"日","")))))</f>
        <v/>
      </c>
      <c r="U411" s="61" t="n"/>
      <c r="V411" s="31">
        <f>IF(AND($B411&lt;&gt;"",$E411&lt;&gt;"",$E411='数える用紙'!$C$2),ROW(),"")</f>
        <v/>
      </c>
      <c r="W411" s="74">
        <f>IF(AND($B411&lt;&gt;"",ISNUMBER($R411)),IF(AND($R411&lt;='設定'!$B$6+N('設定'!$B$14),IF(ISNUMBER($I411),$I411,N($H411))&gt;0),$R411+ROW()/100000,""),"")</f>
        <v/>
      </c>
    </row>
    <row r="412" ht="18" customHeight="1">
      <c r="A412" s="22" t="n">
        <v>408</v>
      </c>
      <c r="B412" s="23" t="n"/>
      <c r="C412" s="24" t="n"/>
      <c r="D412" s="24" t="n"/>
      <c r="E412" s="23" t="n"/>
      <c r="F412" s="23" t="n"/>
      <c r="G412" s="25" t="n"/>
      <c r="H412" s="25" t="n"/>
      <c r="I412" s="25" t="n"/>
      <c r="J412" s="72">
        <f>IF(OR($B412="",$H412=""),"",N($G412)*$H412)</f>
        <v/>
      </c>
      <c r="K412" s="72">
        <f>IF(OR($B412="",$I412=""),"",N($G412)*$I412)</f>
        <v/>
      </c>
      <c r="L412" s="27">
        <f>IF(OR($B412="",$H412="",$I412=""),"",$I412-$H412)</f>
        <v/>
      </c>
      <c r="M412" s="72">
        <f>IF($L412="","",$L412*N($G412))</f>
        <v/>
      </c>
      <c r="N412" s="73">
        <f>IF($L412="","",IF($H412&gt;0,ROUND($L412/$H412,4),"－"))</f>
        <v/>
      </c>
      <c r="O412" s="29">
        <f>IF($B412="","",IF($L412="","未入力",IF($L412=0,"一致",IF(OR(NOT(ISNUMBER($N412)),AND('設定'!$B$10&lt;&gt;"",ABS(N($N412))&gt;'設定'!$B$10),AND('設定'!$B$11&lt;&gt;"",ABS(ROUND($M412,4))&gt;'設定'!$B$11),AND('設定'!$B$10="",'設定'!$B$11="")),"要確認","許容内"))))</f>
        <v/>
      </c>
      <c r="P412" s="29">
        <f>IF($O412&lt;&gt;"要確認","",IF($Q412=0,"済",IF(COUNTIF('差異の原因'!$B$5:$B$204,$B412)=0,"未記録","一部")))</f>
        <v/>
      </c>
      <c r="Q412" s="27">
        <f>IF($L412="","",IF(AND($L412=0,COUNTIF('差異の原因'!$B$5:$B$204,$B412)=0),"",ROUND($L412-SUMIF('差異の原因'!$B$5:$B$204,$B412,'差異の原因'!$G$5:$G$204),6)))</f>
        <v/>
      </c>
      <c r="R412" s="30" t="n"/>
      <c r="S412" s="23" t="n"/>
      <c r="T412" s="29">
        <f>IF(OR($B412="",NOT(ISNUMBER($R412))),"",IF(IF(ISNUMBER($I412),$I412,N($H412))&lt;=0,"",IF($R412&lt;'設定'!$B$6,"期限切れ",IF($R412='設定'!$B$6,"当日",IF($R412-'設定'!$B$6&lt;=N('設定'!$B$14),"あと"&amp;($R412-'設定'!$B$6)&amp;"日","")))))</f>
        <v/>
      </c>
      <c r="U412" s="61" t="n"/>
      <c r="V412" s="31">
        <f>IF(AND($B412&lt;&gt;"",$E412&lt;&gt;"",$E412='数える用紙'!$C$2),ROW(),"")</f>
        <v/>
      </c>
      <c r="W412" s="74">
        <f>IF(AND($B412&lt;&gt;"",ISNUMBER($R412)),IF(AND($R412&lt;='設定'!$B$6+N('設定'!$B$14),IF(ISNUMBER($I412),$I412,N($H412))&gt;0),$R412+ROW()/100000,""),"")</f>
        <v/>
      </c>
    </row>
    <row r="413" ht="18" customHeight="1">
      <c r="A413" s="22" t="n">
        <v>409</v>
      </c>
      <c r="B413" s="23" t="n"/>
      <c r="C413" s="24" t="n"/>
      <c r="D413" s="24" t="n"/>
      <c r="E413" s="23" t="n"/>
      <c r="F413" s="23" t="n"/>
      <c r="G413" s="25" t="n"/>
      <c r="H413" s="25" t="n"/>
      <c r="I413" s="25" t="n"/>
      <c r="J413" s="72">
        <f>IF(OR($B413="",$H413=""),"",N($G413)*$H413)</f>
        <v/>
      </c>
      <c r="K413" s="72">
        <f>IF(OR($B413="",$I413=""),"",N($G413)*$I413)</f>
        <v/>
      </c>
      <c r="L413" s="27">
        <f>IF(OR($B413="",$H413="",$I413=""),"",$I413-$H413)</f>
        <v/>
      </c>
      <c r="M413" s="72">
        <f>IF($L413="","",$L413*N($G413))</f>
        <v/>
      </c>
      <c r="N413" s="73">
        <f>IF($L413="","",IF($H413&gt;0,ROUND($L413/$H413,4),"－"))</f>
        <v/>
      </c>
      <c r="O413" s="29">
        <f>IF($B413="","",IF($L413="","未入力",IF($L413=0,"一致",IF(OR(NOT(ISNUMBER($N413)),AND('設定'!$B$10&lt;&gt;"",ABS(N($N413))&gt;'設定'!$B$10),AND('設定'!$B$11&lt;&gt;"",ABS(ROUND($M413,4))&gt;'設定'!$B$11),AND('設定'!$B$10="",'設定'!$B$11="")),"要確認","許容内"))))</f>
        <v/>
      </c>
      <c r="P413" s="29">
        <f>IF($O413&lt;&gt;"要確認","",IF($Q413=0,"済",IF(COUNTIF('差異の原因'!$B$5:$B$204,$B413)=0,"未記録","一部")))</f>
        <v/>
      </c>
      <c r="Q413" s="27">
        <f>IF($L413="","",IF(AND($L413=0,COUNTIF('差異の原因'!$B$5:$B$204,$B413)=0),"",ROUND($L413-SUMIF('差異の原因'!$B$5:$B$204,$B413,'差異の原因'!$G$5:$G$204),6)))</f>
        <v/>
      </c>
      <c r="R413" s="30" t="n"/>
      <c r="S413" s="23" t="n"/>
      <c r="T413" s="29">
        <f>IF(OR($B413="",NOT(ISNUMBER($R413))),"",IF(IF(ISNUMBER($I413),$I413,N($H413))&lt;=0,"",IF($R413&lt;'設定'!$B$6,"期限切れ",IF($R413='設定'!$B$6,"当日",IF($R413-'設定'!$B$6&lt;=N('設定'!$B$14),"あと"&amp;($R413-'設定'!$B$6)&amp;"日","")))))</f>
        <v/>
      </c>
      <c r="U413" s="61" t="n"/>
      <c r="V413" s="31">
        <f>IF(AND($B413&lt;&gt;"",$E413&lt;&gt;"",$E413='数える用紙'!$C$2),ROW(),"")</f>
        <v/>
      </c>
      <c r="W413" s="74">
        <f>IF(AND($B413&lt;&gt;"",ISNUMBER($R413)),IF(AND($R413&lt;='設定'!$B$6+N('設定'!$B$14),IF(ISNUMBER($I413),$I413,N($H413))&gt;0),$R413+ROW()/100000,""),"")</f>
        <v/>
      </c>
    </row>
    <row r="414" ht="18" customHeight="1">
      <c r="A414" s="22" t="n">
        <v>410</v>
      </c>
      <c r="B414" s="23" t="n"/>
      <c r="C414" s="24" t="n"/>
      <c r="D414" s="24" t="n"/>
      <c r="E414" s="23" t="n"/>
      <c r="F414" s="23" t="n"/>
      <c r="G414" s="25" t="n"/>
      <c r="H414" s="25" t="n"/>
      <c r="I414" s="25" t="n"/>
      <c r="J414" s="72">
        <f>IF(OR($B414="",$H414=""),"",N($G414)*$H414)</f>
        <v/>
      </c>
      <c r="K414" s="72">
        <f>IF(OR($B414="",$I414=""),"",N($G414)*$I414)</f>
        <v/>
      </c>
      <c r="L414" s="27">
        <f>IF(OR($B414="",$H414="",$I414=""),"",$I414-$H414)</f>
        <v/>
      </c>
      <c r="M414" s="72">
        <f>IF($L414="","",$L414*N($G414))</f>
        <v/>
      </c>
      <c r="N414" s="73">
        <f>IF($L414="","",IF($H414&gt;0,ROUND($L414/$H414,4),"－"))</f>
        <v/>
      </c>
      <c r="O414" s="29">
        <f>IF($B414="","",IF($L414="","未入力",IF($L414=0,"一致",IF(OR(NOT(ISNUMBER($N414)),AND('設定'!$B$10&lt;&gt;"",ABS(N($N414))&gt;'設定'!$B$10),AND('設定'!$B$11&lt;&gt;"",ABS(ROUND($M414,4))&gt;'設定'!$B$11),AND('設定'!$B$10="",'設定'!$B$11="")),"要確認","許容内"))))</f>
        <v/>
      </c>
      <c r="P414" s="29">
        <f>IF($O414&lt;&gt;"要確認","",IF($Q414=0,"済",IF(COUNTIF('差異の原因'!$B$5:$B$204,$B414)=0,"未記録","一部")))</f>
        <v/>
      </c>
      <c r="Q414" s="27">
        <f>IF($L414="","",IF(AND($L414=0,COUNTIF('差異の原因'!$B$5:$B$204,$B414)=0),"",ROUND($L414-SUMIF('差異の原因'!$B$5:$B$204,$B414,'差異の原因'!$G$5:$G$204),6)))</f>
        <v/>
      </c>
      <c r="R414" s="30" t="n"/>
      <c r="S414" s="23" t="n"/>
      <c r="T414" s="29">
        <f>IF(OR($B414="",NOT(ISNUMBER($R414))),"",IF(IF(ISNUMBER($I414),$I414,N($H414))&lt;=0,"",IF($R414&lt;'設定'!$B$6,"期限切れ",IF($R414='設定'!$B$6,"当日",IF($R414-'設定'!$B$6&lt;=N('設定'!$B$14),"あと"&amp;($R414-'設定'!$B$6)&amp;"日","")))))</f>
        <v/>
      </c>
      <c r="U414" s="61" t="n"/>
      <c r="V414" s="31">
        <f>IF(AND($B414&lt;&gt;"",$E414&lt;&gt;"",$E414='数える用紙'!$C$2),ROW(),"")</f>
        <v/>
      </c>
      <c r="W414" s="74">
        <f>IF(AND($B414&lt;&gt;"",ISNUMBER($R414)),IF(AND($R414&lt;='設定'!$B$6+N('設定'!$B$14),IF(ISNUMBER($I414),$I414,N($H414))&gt;0),$R414+ROW()/100000,""),"")</f>
        <v/>
      </c>
    </row>
    <row r="415" ht="18" customHeight="1">
      <c r="A415" s="22" t="n">
        <v>411</v>
      </c>
      <c r="B415" s="23" t="n"/>
      <c r="C415" s="24" t="n"/>
      <c r="D415" s="24" t="n"/>
      <c r="E415" s="23" t="n"/>
      <c r="F415" s="23" t="n"/>
      <c r="G415" s="25" t="n"/>
      <c r="H415" s="25" t="n"/>
      <c r="I415" s="25" t="n"/>
      <c r="J415" s="72">
        <f>IF(OR($B415="",$H415=""),"",N($G415)*$H415)</f>
        <v/>
      </c>
      <c r="K415" s="72">
        <f>IF(OR($B415="",$I415=""),"",N($G415)*$I415)</f>
        <v/>
      </c>
      <c r="L415" s="27">
        <f>IF(OR($B415="",$H415="",$I415=""),"",$I415-$H415)</f>
        <v/>
      </c>
      <c r="M415" s="72">
        <f>IF($L415="","",$L415*N($G415))</f>
        <v/>
      </c>
      <c r="N415" s="73">
        <f>IF($L415="","",IF($H415&gt;0,ROUND($L415/$H415,4),"－"))</f>
        <v/>
      </c>
      <c r="O415" s="29">
        <f>IF($B415="","",IF($L415="","未入力",IF($L415=0,"一致",IF(OR(NOT(ISNUMBER($N415)),AND('設定'!$B$10&lt;&gt;"",ABS(N($N415))&gt;'設定'!$B$10),AND('設定'!$B$11&lt;&gt;"",ABS(ROUND($M415,4))&gt;'設定'!$B$11),AND('設定'!$B$10="",'設定'!$B$11="")),"要確認","許容内"))))</f>
        <v/>
      </c>
      <c r="P415" s="29">
        <f>IF($O415&lt;&gt;"要確認","",IF($Q415=0,"済",IF(COUNTIF('差異の原因'!$B$5:$B$204,$B415)=0,"未記録","一部")))</f>
        <v/>
      </c>
      <c r="Q415" s="27">
        <f>IF($L415="","",IF(AND($L415=0,COUNTIF('差異の原因'!$B$5:$B$204,$B415)=0),"",ROUND($L415-SUMIF('差異の原因'!$B$5:$B$204,$B415,'差異の原因'!$G$5:$G$204),6)))</f>
        <v/>
      </c>
      <c r="R415" s="30" t="n"/>
      <c r="S415" s="23" t="n"/>
      <c r="T415" s="29">
        <f>IF(OR($B415="",NOT(ISNUMBER($R415))),"",IF(IF(ISNUMBER($I415),$I415,N($H415))&lt;=0,"",IF($R415&lt;'設定'!$B$6,"期限切れ",IF($R415='設定'!$B$6,"当日",IF($R415-'設定'!$B$6&lt;=N('設定'!$B$14),"あと"&amp;($R415-'設定'!$B$6)&amp;"日","")))))</f>
        <v/>
      </c>
      <c r="U415" s="61" t="n"/>
      <c r="V415" s="31">
        <f>IF(AND($B415&lt;&gt;"",$E415&lt;&gt;"",$E415='数える用紙'!$C$2),ROW(),"")</f>
        <v/>
      </c>
      <c r="W415" s="74">
        <f>IF(AND($B415&lt;&gt;"",ISNUMBER($R415)),IF(AND($R415&lt;='設定'!$B$6+N('設定'!$B$14),IF(ISNUMBER($I415),$I415,N($H415))&gt;0),$R415+ROW()/100000,""),"")</f>
        <v/>
      </c>
    </row>
    <row r="416" ht="18" customHeight="1">
      <c r="A416" s="22" t="n">
        <v>412</v>
      </c>
      <c r="B416" s="23" t="n"/>
      <c r="C416" s="24" t="n"/>
      <c r="D416" s="24" t="n"/>
      <c r="E416" s="23" t="n"/>
      <c r="F416" s="23" t="n"/>
      <c r="G416" s="25" t="n"/>
      <c r="H416" s="25" t="n"/>
      <c r="I416" s="25" t="n"/>
      <c r="J416" s="72">
        <f>IF(OR($B416="",$H416=""),"",N($G416)*$H416)</f>
        <v/>
      </c>
      <c r="K416" s="72">
        <f>IF(OR($B416="",$I416=""),"",N($G416)*$I416)</f>
        <v/>
      </c>
      <c r="L416" s="27">
        <f>IF(OR($B416="",$H416="",$I416=""),"",$I416-$H416)</f>
        <v/>
      </c>
      <c r="M416" s="72">
        <f>IF($L416="","",$L416*N($G416))</f>
        <v/>
      </c>
      <c r="N416" s="73">
        <f>IF($L416="","",IF($H416&gt;0,ROUND($L416/$H416,4),"－"))</f>
        <v/>
      </c>
      <c r="O416" s="29">
        <f>IF($B416="","",IF($L416="","未入力",IF($L416=0,"一致",IF(OR(NOT(ISNUMBER($N416)),AND('設定'!$B$10&lt;&gt;"",ABS(N($N416))&gt;'設定'!$B$10),AND('設定'!$B$11&lt;&gt;"",ABS(ROUND($M416,4))&gt;'設定'!$B$11),AND('設定'!$B$10="",'設定'!$B$11="")),"要確認","許容内"))))</f>
        <v/>
      </c>
      <c r="P416" s="29">
        <f>IF($O416&lt;&gt;"要確認","",IF($Q416=0,"済",IF(COUNTIF('差異の原因'!$B$5:$B$204,$B416)=0,"未記録","一部")))</f>
        <v/>
      </c>
      <c r="Q416" s="27">
        <f>IF($L416="","",IF(AND($L416=0,COUNTIF('差異の原因'!$B$5:$B$204,$B416)=0),"",ROUND($L416-SUMIF('差異の原因'!$B$5:$B$204,$B416,'差異の原因'!$G$5:$G$204),6)))</f>
        <v/>
      </c>
      <c r="R416" s="30" t="n"/>
      <c r="S416" s="23" t="n"/>
      <c r="T416" s="29">
        <f>IF(OR($B416="",NOT(ISNUMBER($R416))),"",IF(IF(ISNUMBER($I416),$I416,N($H416))&lt;=0,"",IF($R416&lt;'設定'!$B$6,"期限切れ",IF($R416='設定'!$B$6,"当日",IF($R416-'設定'!$B$6&lt;=N('設定'!$B$14),"あと"&amp;($R416-'設定'!$B$6)&amp;"日","")))))</f>
        <v/>
      </c>
      <c r="U416" s="61" t="n"/>
      <c r="V416" s="31">
        <f>IF(AND($B416&lt;&gt;"",$E416&lt;&gt;"",$E416='数える用紙'!$C$2),ROW(),"")</f>
        <v/>
      </c>
      <c r="W416" s="74">
        <f>IF(AND($B416&lt;&gt;"",ISNUMBER($R416)),IF(AND($R416&lt;='設定'!$B$6+N('設定'!$B$14),IF(ISNUMBER($I416),$I416,N($H416))&gt;0),$R416+ROW()/100000,""),"")</f>
        <v/>
      </c>
    </row>
    <row r="417" ht="18" customHeight="1">
      <c r="A417" s="22" t="n">
        <v>413</v>
      </c>
      <c r="B417" s="23" t="n"/>
      <c r="C417" s="24" t="n"/>
      <c r="D417" s="24" t="n"/>
      <c r="E417" s="23" t="n"/>
      <c r="F417" s="23" t="n"/>
      <c r="G417" s="25" t="n"/>
      <c r="H417" s="25" t="n"/>
      <c r="I417" s="25" t="n"/>
      <c r="J417" s="72">
        <f>IF(OR($B417="",$H417=""),"",N($G417)*$H417)</f>
        <v/>
      </c>
      <c r="K417" s="72">
        <f>IF(OR($B417="",$I417=""),"",N($G417)*$I417)</f>
        <v/>
      </c>
      <c r="L417" s="27">
        <f>IF(OR($B417="",$H417="",$I417=""),"",$I417-$H417)</f>
        <v/>
      </c>
      <c r="M417" s="72">
        <f>IF($L417="","",$L417*N($G417))</f>
        <v/>
      </c>
      <c r="N417" s="73">
        <f>IF($L417="","",IF($H417&gt;0,ROUND($L417/$H417,4),"－"))</f>
        <v/>
      </c>
      <c r="O417" s="29">
        <f>IF($B417="","",IF($L417="","未入力",IF($L417=0,"一致",IF(OR(NOT(ISNUMBER($N417)),AND('設定'!$B$10&lt;&gt;"",ABS(N($N417))&gt;'設定'!$B$10),AND('設定'!$B$11&lt;&gt;"",ABS(ROUND($M417,4))&gt;'設定'!$B$11),AND('設定'!$B$10="",'設定'!$B$11="")),"要確認","許容内"))))</f>
        <v/>
      </c>
      <c r="P417" s="29">
        <f>IF($O417&lt;&gt;"要確認","",IF($Q417=0,"済",IF(COUNTIF('差異の原因'!$B$5:$B$204,$B417)=0,"未記録","一部")))</f>
        <v/>
      </c>
      <c r="Q417" s="27">
        <f>IF($L417="","",IF(AND($L417=0,COUNTIF('差異の原因'!$B$5:$B$204,$B417)=0),"",ROUND($L417-SUMIF('差異の原因'!$B$5:$B$204,$B417,'差異の原因'!$G$5:$G$204),6)))</f>
        <v/>
      </c>
      <c r="R417" s="30" t="n"/>
      <c r="S417" s="23" t="n"/>
      <c r="T417" s="29">
        <f>IF(OR($B417="",NOT(ISNUMBER($R417))),"",IF(IF(ISNUMBER($I417),$I417,N($H417))&lt;=0,"",IF($R417&lt;'設定'!$B$6,"期限切れ",IF($R417='設定'!$B$6,"当日",IF($R417-'設定'!$B$6&lt;=N('設定'!$B$14),"あと"&amp;($R417-'設定'!$B$6)&amp;"日","")))))</f>
        <v/>
      </c>
      <c r="U417" s="61" t="n"/>
      <c r="V417" s="31">
        <f>IF(AND($B417&lt;&gt;"",$E417&lt;&gt;"",$E417='数える用紙'!$C$2),ROW(),"")</f>
        <v/>
      </c>
      <c r="W417" s="74">
        <f>IF(AND($B417&lt;&gt;"",ISNUMBER($R417)),IF(AND($R417&lt;='設定'!$B$6+N('設定'!$B$14),IF(ISNUMBER($I417),$I417,N($H417))&gt;0),$R417+ROW()/100000,""),"")</f>
        <v/>
      </c>
    </row>
    <row r="418" ht="18" customHeight="1">
      <c r="A418" s="22" t="n">
        <v>414</v>
      </c>
      <c r="B418" s="23" t="n"/>
      <c r="C418" s="24" t="n"/>
      <c r="D418" s="24" t="n"/>
      <c r="E418" s="23" t="n"/>
      <c r="F418" s="23" t="n"/>
      <c r="G418" s="25" t="n"/>
      <c r="H418" s="25" t="n"/>
      <c r="I418" s="25" t="n"/>
      <c r="J418" s="72">
        <f>IF(OR($B418="",$H418=""),"",N($G418)*$H418)</f>
        <v/>
      </c>
      <c r="K418" s="72">
        <f>IF(OR($B418="",$I418=""),"",N($G418)*$I418)</f>
        <v/>
      </c>
      <c r="L418" s="27">
        <f>IF(OR($B418="",$H418="",$I418=""),"",$I418-$H418)</f>
        <v/>
      </c>
      <c r="M418" s="72">
        <f>IF($L418="","",$L418*N($G418))</f>
        <v/>
      </c>
      <c r="N418" s="73">
        <f>IF($L418="","",IF($H418&gt;0,ROUND($L418/$H418,4),"－"))</f>
        <v/>
      </c>
      <c r="O418" s="29">
        <f>IF($B418="","",IF($L418="","未入力",IF($L418=0,"一致",IF(OR(NOT(ISNUMBER($N418)),AND('設定'!$B$10&lt;&gt;"",ABS(N($N418))&gt;'設定'!$B$10),AND('設定'!$B$11&lt;&gt;"",ABS(ROUND($M418,4))&gt;'設定'!$B$11),AND('設定'!$B$10="",'設定'!$B$11="")),"要確認","許容内"))))</f>
        <v/>
      </c>
      <c r="P418" s="29">
        <f>IF($O418&lt;&gt;"要確認","",IF($Q418=0,"済",IF(COUNTIF('差異の原因'!$B$5:$B$204,$B418)=0,"未記録","一部")))</f>
        <v/>
      </c>
      <c r="Q418" s="27">
        <f>IF($L418="","",IF(AND($L418=0,COUNTIF('差異の原因'!$B$5:$B$204,$B418)=0),"",ROUND($L418-SUMIF('差異の原因'!$B$5:$B$204,$B418,'差異の原因'!$G$5:$G$204),6)))</f>
        <v/>
      </c>
      <c r="R418" s="30" t="n"/>
      <c r="S418" s="23" t="n"/>
      <c r="T418" s="29">
        <f>IF(OR($B418="",NOT(ISNUMBER($R418))),"",IF(IF(ISNUMBER($I418),$I418,N($H418))&lt;=0,"",IF($R418&lt;'設定'!$B$6,"期限切れ",IF($R418='設定'!$B$6,"当日",IF($R418-'設定'!$B$6&lt;=N('設定'!$B$14),"あと"&amp;($R418-'設定'!$B$6)&amp;"日","")))))</f>
        <v/>
      </c>
      <c r="U418" s="61" t="n"/>
      <c r="V418" s="31">
        <f>IF(AND($B418&lt;&gt;"",$E418&lt;&gt;"",$E418='数える用紙'!$C$2),ROW(),"")</f>
        <v/>
      </c>
      <c r="W418" s="74">
        <f>IF(AND($B418&lt;&gt;"",ISNUMBER($R418)),IF(AND($R418&lt;='設定'!$B$6+N('設定'!$B$14),IF(ISNUMBER($I418),$I418,N($H418))&gt;0),$R418+ROW()/100000,""),"")</f>
        <v/>
      </c>
    </row>
    <row r="419" ht="18" customHeight="1">
      <c r="A419" s="22" t="n">
        <v>415</v>
      </c>
      <c r="B419" s="23" t="n"/>
      <c r="C419" s="24" t="n"/>
      <c r="D419" s="24" t="n"/>
      <c r="E419" s="23" t="n"/>
      <c r="F419" s="23" t="n"/>
      <c r="G419" s="25" t="n"/>
      <c r="H419" s="25" t="n"/>
      <c r="I419" s="25" t="n"/>
      <c r="J419" s="72">
        <f>IF(OR($B419="",$H419=""),"",N($G419)*$H419)</f>
        <v/>
      </c>
      <c r="K419" s="72">
        <f>IF(OR($B419="",$I419=""),"",N($G419)*$I419)</f>
        <v/>
      </c>
      <c r="L419" s="27">
        <f>IF(OR($B419="",$H419="",$I419=""),"",$I419-$H419)</f>
        <v/>
      </c>
      <c r="M419" s="72">
        <f>IF($L419="","",$L419*N($G419))</f>
        <v/>
      </c>
      <c r="N419" s="73">
        <f>IF($L419="","",IF($H419&gt;0,ROUND($L419/$H419,4),"－"))</f>
        <v/>
      </c>
      <c r="O419" s="29">
        <f>IF($B419="","",IF($L419="","未入力",IF($L419=0,"一致",IF(OR(NOT(ISNUMBER($N419)),AND('設定'!$B$10&lt;&gt;"",ABS(N($N419))&gt;'設定'!$B$10),AND('設定'!$B$11&lt;&gt;"",ABS(ROUND($M419,4))&gt;'設定'!$B$11),AND('設定'!$B$10="",'設定'!$B$11="")),"要確認","許容内"))))</f>
        <v/>
      </c>
      <c r="P419" s="29">
        <f>IF($O419&lt;&gt;"要確認","",IF($Q419=0,"済",IF(COUNTIF('差異の原因'!$B$5:$B$204,$B419)=0,"未記録","一部")))</f>
        <v/>
      </c>
      <c r="Q419" s="27">
        <f>IF($L419="","",IF(AND($L419=0,COUNTIF('差異の原因'!$B$5:$B$204,$B419)=0),"",ROUND($L419-SUMIF('差異の原因'!$B$5:$B$204,$B419,'差異の原因'!$G$5:$G$204),6)))</f>
        <v/>
      </c>
      <c r="R419" s="30" t="n"/>
      <c r="S419" s="23" t="n"/>
      <c r="T419" s="29">
        <f>IF(OR($B419="",NOT(ISNUMBER($R419))),"",IF(IF(ISNUMBER($I419),$I419,N($H419))&lt;=0,"",IF($R419&lt;'設定'!$B$6,"期限切れ",IF($R419='設定'!$B$6,"当日",IF($R419-'設定'!$B$6&lt;=N('設定'!$B$14),"あと"&amp;($R419-'設定'!$B$6)&amp;"日","")))))</f>
        <v/>
      </c>
      <c r="U419" s="61" t="n"/>
      <c r="V419" s="31">
        <f>IF(AND($B419&lt;&gt;"",$E419&lt;&gt;"",$E419='数える用紙'!$C$2),ROW(),"")</f>
        <v/>
      </c>
      <c r="W419" s="74">
        <f>IF(AND($B419&lt;&gt;"",ISNUMBER($R419)),IF(AND($R419&lt;='設定'!$B$6+N('設定'!$B$14),IF(ISNUMBER($I419),$I419,N($H419))&gt;0),$R419+ROW()/100000,""),"")</f>
        <v/>
      </c>
    </row>
    <row r="420" ht="18" customHeight="1">
      <c r="A420" s="22" t="n">
        <v>416</v>
      </c>
      <c r="B420" s="23" t="n"/>
      <c r="C420" s="24" t="n"/>
      <c r="D420" s="24" t="n"/>
      <c r="E420" s="23" t="n"/>
      <c r="F420" s="23" t="n"/>
      <c r="G420" s="25" t="n"/>
      <c r="H420" s="25" t="n"/>
      <c r="I420" s="25" t="n"/>
      <c r="J420" s="72">
        <f>IF(OR($B420="",$H420=""),"",N($G420)*$H420)</f>
        <v/>
      </c>
      <c r="K420" s="72">
        <f>IF(OR($B420="",$I420=""),"",N($G420)*$I420)</f>
        <v/>
      </c>
      <c r="L420" s="27">
        <f>IF(OR($B420="",$H420="",$I420=""),"",$I420-$H420)</f>
        <v/>
      </c>
      <c r="M420" s="72">
        <f>IF($L420="","",$L420*N($G420))</f>
        <v/>
      </c>
      <c r="N420" s="73">
        <f>IF($L420="","",IF($H420&gt;0,ROUND($L420/$H420,4),"－"))</f>
        <v/>
      </c>
      <c r="O420" s="29">
        <f>IF($B420="","",IF($L420="","未入力",IF($L420=0,"一致",IF(OR(NOT(ISNUMBER($N420)),AND('設定'!$B$10&lt;&gt;"",ABS(N($N420))&gt;'設定'!$B$10),AND('設定'!$B$11&lt;&gt;"",ABS(ROUND($M420,4))&gt;'設定'!$B$11),AND('設定'!$B$10="",'設定'!$B$11="")),"要確認","許容内"))))</f>
        <v/>
      </c>
      <c r="P420" s="29">
        <f>IF($O420&lt;&gt;"要確認","",IF($Q420=0,"済",IF(COUNTIF('差異の原因'!$B$5:$B$204,$B420)=0,"未記録","一部")))</f>
        <v/>
      </c>
      <c r="Q420" s="27">
        <f>IF($L420="","",IF(AND($L420=0,COUNTIF('差異の原因'!$B$5:$B$204,$B420)=0),"",ROUND($L420-SUMIF('差異の原因'!$B$5:$B$204,$B420,'差異の原因'!$G$5:$G$204),6)))</f>
        <v/>
      </c>
      <c r="R420" s="30" t="n"/>
      <c r="S420" s="23" t="n"/>
      <c r="T420" s="29">
        <f>IF(OR($B420="",NOT(ISNUMBER($R420))),"",IF(IF(ISNUMBER($I420),$I420,N($H420))&lt;=0,"",IF($R420&lt;'設定'!$B$6,"期限切れ",IF($R420='設定'!$B$6,"当日",IF($R420-'設定'!$B$6&lt;=N('設定'!$B$14),"あと"&amp;($R420-'設定'!$B$6)&amp;"日","")))))</f>
        <v/>
      </c>
      <c r="U420" s="61" t="n"/>
      <c r="V420" s="31">
        <f>IF(AND($B420&lt;&gt;"",$E420&lt;&gt;"",$E420='数える用紙'!$C$2),ROW(),"")</f>
        <v/>
      </c>
      <c r="W420" s="74">
        <f>IF(AND($B420&lt;&gt;"",ISNUMBER($R420)),IF(AND($R420&lt;='設定'!$B$6+N('設定'!$B$14),IF(ISNUMBER($I420),$I420,N($H420))&gt;0),$R420+ROW()/100000,""),"")</f>
        <v/>
      </c>
    </row>
    <row r="421" ht="18" customHeight="1">
      <c r="A421" s="22" t="n">
        <v>417</v>
      </c>
      <c r="B421" s="23" t="n"/>
      <c r="C421" s="24" t="n"/>
      <c r="D421" s="24" t="n"/>
      <c r="E421" s="23" t="n"/>
      <c r="F421" s="23" t="n"/>
      <c r="G421" s="25" t="n"/>
      <c r="H421" s="25" t="n"/>
      <c r="I421" s="25" t="n"/>
      <c r="J421" s="72">
        <f>IF(OR($B421="",$H421=""),"",N($G421)*$H421)</f>
        <v/>
      </c>
      <c r="K421" s="72">
        <f>IF(OR($B421="",$I421=""),"",N($G421)*$I421)</f>
        <v/>
      </c>
      <c r="L421" s="27">
        <f>IF(OR($B421="",$H421="",$I421=""),"",$I421-$H421)</f>
        <v/>
      </c>
      <c r="M421" s="72">
        <f>IF($L421="","",$L421*N($G421))</f>
        <v/>
      </c>
      <c r="N421" s="73">
        <f>IF($L421="","",IF($H421&gt;0,ROUND($L421/$H421,4),"－"))</f>
        <v/>
      </c>
      <c r="O421" s="29">
        <f>IF($B421="","",IF($L421="","未入力",IF($L421=0,"一致",IF(OR(NOT(ISNUMBER($N421)),AND('設定'!$B$10&lt;&gt;"",ABS(N($N421))&gt;'設定'!$B$10),AND('設定'!$B$11&lt;&gt;"",ABS(ROUND($M421,4))&gt;'設定'!$B$11),AND('設定'!$B$10="",'設定'!$B$11="")),"要確認","許容内"))))</f>
        <v/>
      </c>
      <c r="P421" s="29">
        <f>IF($O421&lt;&gt;"要確認","",IF($Q421=0,"済",IF(COUNTIF('差異の原因'!$B$5:$B$204,$B421)=0,"未記録","一部")))</f>
        <v/>
      </c>
      <c r="Q421" s="27">
        <f>IF($L421="","",IF(AND($L421=0,COUNTIF('差異の原因'!$B$5:$B$204,$B421)=0),"",ROUND($L421-SUMIF('差異の原因'!$B$5:$B$204,$B421,'差異の原因'!$G$5:$G$204),6)))</f>
        <v/>
      </c>
      <c r="R421" s="30" t="n"/>
      <c r="S421" s="23" t="n"/>
      <c r="T421" s="29">
        <f>IF(OR($B421="",NOT(ISNUMBER($R421))),"",IF(IF(ISNUMBER($I421),$I421,N($H421))&lt;=0,"",IF($R421&lt;'設定'!$B$6,"期限切れ",IF($R421='設定'!$B$6,"当日",IF($R421-'設定'!$B$6&lt;=N('設定'!$B$14),"あと"&amp;($R421-'設定'!$B$6)&amp;"日","")))))</f>
        <v/>
      </c>
      <c r="U421" s="61" t="n"/>
      <c r="V421" s="31">
        <f>IF(AND($B421&lt;&gt;"",$E421&lt;&gt;"",$E421='数える用紙'!$C$2),ROW(),"")</f>
        <v/>
      </c>
      <c r="W421" s="74">
        <f>IF(AND($B421&lt;&gt;"",ISNUMBER($R421)),IF(AND($R421&lt;='設定'!$B$6+N('設定'!$B$14),IF(ISNUMBER($I421),$I421,N($H421))&gt;0),$R421+ROW()/100000,""),"")</f>
        <v/>
      </c>
    </row>
    <row r="422" ht="18" customHeight="1">
      <c r="A422" s="22" t="n">
        <v>418</v>
      </c>
      <c r="B422" s="23" t="n"/>
      <c r="C422" s="24" t="n"/>
      <c r="D422" s="24" t="n"/>
      <c r="E422" s="23" t="n"/>
      <c r="F422" s="23" t="n"/>
      <c r="G422" s="25" t="n"/>
      <c r="H422" s="25" t="n"/>
      <c r="I422" s="25" t="n"/>
      <c r="J422" s="72">
        <f>IF(OR($B422="",$H422=""),"",N($G422)*$H422)</f>
        <v/>
      </c>
      <c r="K422" s="72">
        <f>IF(OR($B422="",$I422=""),"",N($G422)*$I422)</f>
        <v/>
      </c>
      <c r="L422" s="27">
        <f>IF(OR($B422="",$H422="",$I422=""),"",$I422-$H422)</f>
        <v/>
      </c>
      <c r="M422" s="72">
        <f>IF($L422="","",$L422*N($G422))</f>
        <v/>
      </c>
      <c r="N422" s="73">
        <f>IF($L422="","",IF($H422&gt;0,ROUND($L422/$H422,4),"－"))</f>
        <v/>
      </c>
      <c r="O422" s="29">
        <f>IF($B422="","",IF($L422="","未入力",IF($L422=0,"一致",IF(OR(NOT(ISNUMBER($N422)),AND('設定'!$B$10&lt;&gt;"",ABS(N($N422))&gt;'設定'!$B$10),AND('設定'!$B$11&lt;&gt;"",ABS(ROUND($M422,4))&gt;'設定'!$B$11),AND('設定'!$B$10="",'設定'!$B$11="")),"要確認","許容内"))))</f>
        <v/>
      </c>
      <c r="P422" s="29">
        <f>IF($O422&lt;&gt;"要確認","",IF($Q422=0,"済",IF(COUNTIF('差異の原因'!$B$5:$B$204,$B422)=0,"未記録","一部")))</f>
        <v/>
      </c>
      <c r="Q422" s="27">
        <f>IF($L422="","",IF(AND($L422=0,COUNTIF('差異の原因'!$B$5:$B$204,$B422)=0),"",ROUND($L422-SUMIF('差異の原因'!$B$5:$B$204,$B422,'差異の原因'!$G$5:$G$204),6)))</f>
        <v/>
      </c>
      <c r="R422" s="30" t="n"/>
      <c r="S422" s="23" t="n"/>
      <c r="T422" s="29">
        <f>IF(OR($B422="",NOT(ISNUMBER($R422))),"",IF(IF(ISNUMBER($I422),$I422,N($H422))&lt;=0,"",IF($R422&lt;'設定'!$B$6,"期限切れ",IF($R422='設定'!$B$6,"当日",IF($R422-'設定'!$B$6&lt;=N('設定'!$B$14),"あと"&amp;($R422-'設定'!$B$6)&amp;"日","")))))</f>
        <v/>
      </c>
      <c r="U422" s="61" t="n"/>
      <c r="V422" s="31">
        <f>IF(AND($B422&lt;&gt;"",$E422&lt;&gt;"",$E422='数える用紙'!$C$2),ROW(),"")</f>
        <v/>
      </c>
      <c r="W422" s="74">
        <f>IF(AND($B422&lt;&gt;"",ISNUMBER($R422)),IF(AND($R422&lt;='設定'!$B$6+N('設定'!$B$14),IF(ISNUMBER($I422),$I422,N($H422))&gt;0),$R422+ROW()/100000,""),"")</f>
        <v/>
      </c>
    </row>
    <row r="423" ht="18" customHeight="1">
      <c r="A423" s="22" t="n">
        <v>419</v>
      </c>
      <c r="B423" s="23" t="n"/>
      <c r="C423" s="24" t="n"/>
      <c r="D423" s="24" t="n"/>
      <c r="E423" s="23" t="n"/>
      <c r="F423" s="23" t="n"/>
      <c r="G423" s="25" t="n"/>
      <c r="H423" s="25" t="n"/>
      <c r="I423" s="25" t="n"/>
      <c r="J423" s="72">
        <f>IF(OR($B423="",$H423=""),"",N($G423)*$H423)</f>
        <v/>
      </c>
      <c r="K423" s="72">
        <f>IF(OR($B423="",$I423=""),"",N($G423)*$I423)</f>
        <v/>
      </c>
      <c r="L423" s="27">
        <f>IF(OR($B423="",$H423="",$I423=""),"",$I423-$H423)</f>
        <v/>
      </c>
      <c r="M423" s="72">
        <f>IF($L423="","",$L423*N($G423))</f>
        <v/>
      </c>
      <c r="N423" s="73">
        <f>IF($L423="","",IF($H423&gt;0,ROUND($L423/$H423,4),"－"))</f>
        <v/>
      </c>
      <c r="O423" s="29">
        <f>IF($B423="","",IF($L423="","未入力",IF($L423=0,"一致",IF(OR(NOT(ISNUMBER($N423)),AND('設定'!$B$10&lt;&gt;"",ABS(N($N423))&gt;'設定'!$B$10),AND('設定'!$B$11&lt;&gt;"",ABS(ROUND($M423,4))&gt;'設定'!$B$11),AND('設定'!$B$10="",'設定'!$B$11="")),"要確認","許容内"))))</f>
        <v/>
      </c>
      <c r="P423" s="29">
        <f>IF($O423&lt;&gt;"要確認","",IF($Q423=0,"済",IF(COUNTIF('差異の原因'!$B$5:$B$204,$B423)=0,"未記録","一部")))</f>
        <v/>
      </c>
      <c r="Q423" s="27">
        <f>IF($L423="","",IF(AND($L423=0,COUNTIF('差異の原因'!$B$5:$B$204,$B423)=0),"",ROUND($L423-SUMIF('差異の原因'!$B$5:$B$204,$B423,'差異の原因'!$G$5:$G$204),6)))</f>
        <v/>
      </c>
      <c r="R423" s="30" t="n"/>
      <c r="S423" s="23" t="n"/>
      <c r="T423" s="29">
        <f>IF(OR($B423="",NOT(ISNUMBER($R423))),"",IF(IF(ISNUMBER($I423),$I423,N($H423))&lt;=0,"",IF($R423&lt;'設定'!$B$6,"期限切れ",IF($R423='設定'!$B$6,"当日",IF($R423-'設定'!$B$6&lt;=N('設定'!$B$14),"あと"&amp;($R423-'設定'!$B$6)&amp;"日","")))))</f>
        <v/>
      </c>
      <c r="U423" s="61" t="n"/>
      <c r="V423" s="31">
        <f>IF(AND($B423&lt;&gt;"",$E423&lt;&gt;"",$E423='数える用紙'!$C$2),ROW(),"")</f>
        <v/>
      </c>
      <c r="W423" s="74">
        <f>IF(AND($B423&lt;&gt;"",ISNUMBER($R423)),IF(AND($R423&lt;='設定'!$B$6+N('設定'!$B$14),IF(ISNUMBER($I423),$I423,N($H423))&gt;0),$R423+ROW()/100000,""),"")</f>
        <v/>
      </c>
    </row>
    <row r="424" ht="18" customHeight="1">
      <c r="A424" s="22" t="n">
        <v>420</v>
      </c>
      <c r="B424" s="23" t="n"/>
      <c r="C424" s="24" t="n"/>
      <c r="D424" s="24" t="n"/>
      <c r="E424" s="23" t="n"/>
      <c r="F424" s="23" t="n"/>
      <c r="G424" s="25" t="n"/>
      <c r="H424" s="25" t="n"/>
      <c r="I424" s="25" t="n"/>
      <c r="J424" s="72">
        <f>IF(OR($B424="",$H424=""),"",N($G424)*$H424)</f>
        <v/>
      </c>
      <c r="K424" s="72">
        <f>IF(OR($B424="",$I424=""),"",N($G424)*$I424)</f>
        <v/>
      </c>
      <c r="L424" s="27">
        <f>IF(OR($B424="",$H424="",$I424=""),"",$I424-$H424)</f>
        <v/>
      </c>
      <c r="M424" s="72">
        <f>IF($L424="","",$L424*N($G424))</f>
        <v/>
      </c>
      <c r="N424" s="73">
        <f>IF($L424="","",IF($H424&gt;0,ROUND($L424/$H424,4),"－"))</f>
        <v/>
      </c>
      <c r="O424" s="29">
        <f>IF($B424="","",IF($L424="","未入力",IF($L424=0,"一致",IF(OR(NOT(ISNUMBER($N424)),AND('設定'!$B$10&lt;&gt;"",ABS(N($N424))&gt;'設定'!$B$10),AND('設定'!$B$11&lt;&gt;"",ABS(ROUND($M424,4))&gt;'設定'!$B$11),AND('設定'!$B$10="",'設定'!$B$11="")),"要確認","許容内"))))</f>
        <v/>
      </c>
      <c r="P424" s="29">
        <f>IF($O424&lt;&gt;"要確認","",IF($Q424=0,"済",IF(COUNTIF('差異の原因'!$B$5:$B$204,$B424)=0,"未記録","一部")))</f>
        <v/>
      </c>
      <c r="Q424" s="27">
        <f>IF($L424="","",IF(AND($L424=0,COUNTIF('差異の原因'!$B$5:$B$204,$B424)=0),"",ROUND($L424-SUMIF('差異の原因'!$B$5:$B$204,$B424,'差異の原因'!$G$5:$G$204),6)))</f>
        <v/>
      </c>
      <c r="R424" s="30" t="n"/>
      <c r="S424" s="23" t="n"/>
      <c r="T424" s="29">
        <f>IF(OR($B424="",NOT(ISNUMBER($R424))),"",IF(IF(ISNUMBER($I424),$I424,N($H424))&lt;=0,"",IF($R424&lt;'設定'!$B$6,"期限切れ",IF($R424='設定'!$B$6,"当日",IF($R424-'設定'!$B$6&lt;=N('設定'!$B$14),"あと"&amp;($R424-'設定'!$B$6)&amp;"日","")))))</f>
        <v/>
      </c>
      <c r="U424" s="61" t="n"/>
      <c r="V424" s="31">
        <f>IF(AND($B424&lt;&gt;"",$E424&lt;&gt;"",$E424='数える用紙'!$C$2),ROW(),"")</f>
        <v/>
      </c>
      <c r="W424" s="74">
        <f>IF(AND($B424&lt;&gt;"",ISNUMBER($R424)),IF(AND($R424&lt;='設定'!$B$6+N('設定'!$B$14),IF(ISNUMBER($I424),$I424,N($H424))&gt;0),$R424+ROW()/100000,""),"")</f>
        <v/>
      </c>
    </row>
    <row r="425" ht="18" customHeight="1">
      <c r="A425" s="22" t="n">
        <v>421</v>
      </c>
      <c r="B425" s="23" t="n"/>
      <c r="C425" s="24" t="n"/>
      <c r="D425" s="24" t="n"/>
      <c r="E425" s="23" t="n"/>
      <c r="F425" s="23" t="n"/>
      <c r="G425" s="25" t="n"/>
      <c r="H425" s="25" t="n"/>
      <c r="I425" s="25" t="n"/>
      <c r="J425" s="72">
        <f>IF(OR($B425="",$H425=""),"",N($G425)*$H425)</f>
        <v/>
      </c>
      <c r="K425" s="72">
        <f>IF(OR($B425="",$I425=""),"",N($G425)*$I425)</f>
        <v/>
      </c>
      <c r="L425" s="27">
        <f>IF(OR($B425="",$H425="",$I425=""),"",$I425-$H425)</f>
        <v/>
      </c>
      <c r="M425" s="72">
        <f>IF($L425="","",$L425*N($G425))</f>
        <v/>
      </c>
      <c r="N425" s="73">
        <f>IF($L425="","",IF($H425&gt;0,ROUND($L425/$H425,4),"－"))</f>
        <v/>
      </c>
      <c r="O425" s="29">
        <f>IF($B425="","",IF($L425="","未入力",IF($L425=0,"一致",IF(OR(NOT(ISNUMBER($N425)),AND('設定'!$B$10&lt;&gt;"",ABS(N($N425))&gt;'設定'!$B$10),AND('設定'!$B$11&lt;&gt;"",ABS(ROUND($M425,4))&gt;'設定'!$B$11),AND('設定'!$B$10="",'設定'!$B$11="")),"要確認","許容内"))))</f>
        <v/>
      </c>
      <c r="P425" s="29">
        <f>IF($O425&lt;&gt;"要確認","",IF($Q425=0,"済",IF(COUNTIF('差異の原因'!$B$5:$B$204,$B425)=0,"未記録","一部")))</f>
        <v/>
      </c>
      <c r="Q425" s="27">
        <f>IF($L425="","",IF(AND($L425=0,COUNTIF('差異の原因'!$B$5:$B$204,$B425)=0),"",ROUND($L425-SUMIF('差異の原因'!$B$5:$B$204,$B425,'差異の原因'!$G$5:$G$204),6)))</f>
        <v/>
      </c>
      <c r="R425" s="30" t="n"/>
      <c r="S425" s="23" t="n"/>
      <c r="T425" s="29">
        <f>IF(OR($B425="",NOT(ISNUMBER($R425))),"",IF(IF(ISNUMBER($I425),$I425,N($H425))&lt;=0,"",IF($R425&lt;'設定'!$B$6,"期限切れ",IF($R425='設定'!$B$6,"当日",IF($R425-'設定'!$B$6&lt;=N('設定'!$B$14),"あと"&amp;($R425-'設定'!$B$6)&amp;"日","")))))</f>
        <v/>
      </c>
      <c r="U425" s="61" t="n"/>
      <c r="V425" s="31">
        <f>IF(AND($B425&lt;&gt;"",$E425&lt;&gt;"",$E425='数える用紙'!$C$2),ROW(),"")</f>
        <v/>
      </c>
      <c r="W425" s="74">
        <f>IF(AND($B425&lt;&gt;"",ISNUMBER($R425)),IF(AND($R425&lt;='設定'!$B$6+N('設定'!$B$14),IF(ISNUMBER($I425),$I425,N($H425))&gt;0),$R425+ROW()/100000,""),"")</f>
        <v/>
      </c>
    </row>
    <row r="426" ht="18" customHeight="1">
      <c r="A426" s="22" t="n">
        <v>422</v>
      </c>
      <c r="B426" s="23" t="n"/>
      <c r="C426" s="24" t="n"/>
      <c r="D426" s="24" t="n"/>
      <c r="E426" s="23" t="n"/>
      <c r="F426" s="23" t="n"/>
      <c r="G426" s="25" t="n"/>
      <c r="H426" s="25" t="n"/>
      <c r="I426" s="25" t="n"/>
      <c r="J426" s="72">
        <f>IF(OR($B426="",$H426=""),"",N($G426)*$H426)</f>
        <v/>
      </c>
      <c r="K426" s="72">
        <f>IF(OR($B426="",$I426=""),"",N($G426)*$I426)</f>
        <v/>
      </c>
      <c r="L426" s="27">
        <f>IF(OR($B426="",$H426="",$I426=""),"",$I426-$H426)</f>
        <v/>
      </c>
      <c r="M426" s="72">
        <f>IF($L426="","",$L426*N($G426))</f>
        <v/>
      </c>
      <c r="N426" s="73">
        <f>IF($L426="","",IF($H426&gt;0,ROUND($L426/$H426,4),"－"))</f>
        <v/>
      </c>
      <c r="O426" s="29">
        <f>IF($B426="","",IF($L426="","未入力",IF($L426=0,"一致",IF(OR(NOT(ISNUMBER($N426)),AND('設定'!$B$10&lt;&gt;"",ABS(N($N426))&gt;'設定'!$B$10),AND('設定'!$B$11&lt;&gt;"",ABS(ROUND($M426,4))&gt;'設定'!$B$11),AND('設定'!$B$10="",'設定'!$B$11="")),"要確認","許容内"))))</f>
        <v/>
      </c>
      <c r="P426" s="29">
        <f>IF($O426&lt;&gt;"要確認","",IF($Q426=0,"済",IF(COUNTIF('差異の原因'!$B$5:$B$204,$B426)=0,"未記録","一部")))</f>
        <v/>
      </c>
      <c r="Q426" s="27">
        <f>IF($L426="","",IF(AND($L426=0,COUNTIF('差異の原因'!$B$5:$B$204,$B426)=0),"",ROUND($L426-SUMIF('差異の原因'!$B$5:$B$204,$B426,'差異の原因'!$G$5:$G$204),6)))</f>
        <v/>
      </c>
      <c r="R426" s="30" t="n"/>
      <c r="S426" s="23" t="n"/>
      <c r="T426" s="29">
        <f>IF(OR($B426="",NOT(ISNUMBER($R426))),"",IF(IF(ISNUMBER($I426),$I426,N($H426))&lt;=0,"",IF($R426&lt;'設定'!$B$6,"期限切れ",IF($R426='設定'!$B$6,"当日",IF($R426-'設定'!$B$6&lt;=N('設定'!$B$14),"あと"&amp;($R426-'設定'!$B$6)&amp;"日","")))))</f>
        <v/>
      </c>
      <c r="U426" s="61" t="n"/>
      <c r="V426" s="31">
        <f>IF(AND($B426&lt;&gt;"",$E426&lt;&gt;"",$E426='数える用紙'!$C$2),ROW(),"")</f>
        <v/>
      </c>
      <c r="W426" s="74">
        <f>IF(AND($B426&lt;&gt;"",ISNUMBER($R426)),IF(AND($R426&lt;='設定'!$B$6+N('設定'!$B$14),IF(ISNUMBER($I426),$I426,N($H426))&gt;0),$R426+ROW()/100000,""),"")</f>
        <v/>
      </c>
    </row>
    <row r="427" ht="18" customHeight="1">
      <c r="A427" s="22" t="n">
        <v>423</v>
      </c>
      <c r="B427" s="23" t="n"/>
      <c r="C427" s="24" t="n"/>
      <c r="D427" s="24" t="n"/>
      <c r="E427" s="23" t="n"/>
      <c r="F427" s="23" t="n"/>
      <c r="G427" s="25" t="n"/>
      <c r="H427" s="25" t="n"/>
      <c r="I427" s="25" t="n"/>
      <c r="J427" s="72">
        <f>IF(OR($B427="",$H427=""),"",N($G427)*$H427)</f>
        <v/>
      </c>
      <c r="K427" s="72">
        <f>IF(OR($B427="",$I427=""),"",N($G427)*$I427)</f>
        <v/>
      </c>
      <c r="L427" s="27">
        <f>IF(OR($B427="",$H427="",$I427=""),"",$I427-$H427)</f>
        <v/>
      </c>
      <c r="M427" s="72">
        <f>IF($L427="","",$L427*N($G427))</f>
        <v/>
      </c>
      <c r="N427" s="73">
        <f>IF($L427="","",IF($H427&gt;0,ROUND($L427/$H427,4),"－"))</f>
        <v/>
      </c>
      <c r="O427" s="29">
        <f>IF($B427="","",IF($L427="","未入力",IF($L427=0,"一致",IF(OR(NOT(ISNUMBER($N427)),AND('設定'!$B$10&lt;&gt;"",ABS(N($N427))&gt;'設定'!$B$10),AND('設定'!$B$11&lt;&gt;"",ABS(ROUND($M427,4))&gt;'設定'!$B$11),AND('設定'!$B$10="",'設定'!$B$11="")),"要確認","許容内"))))</f>
        <v/>
      </c>
      <c r="P427" s="29">
        <f>IF($O427&lt;&gt;"要確認","",IF($Q427=0,"済",IF(COUNTIF('差異の原因'!$B$5:$B$204,$B427)=0,"未記録","一部")))</f>
        <v/>
      </c>
      <c r="Q427" s="27">
        <f>IF($L427="","",IF(AND($L427=0,COUNTIF('差異の原因'!$B$5:$B$204,$B427)=0),"",ROUND($L427-SUMIF('差異の原因'!$B$5:$B$204,$B427,'差異の原因'!$G$5:$G$204),6)))</f>
        <v/>
      </c>
      <c r="R427" s="30" t="n"/>
      <c r="S427" s="23" t="n"/>
      <c r="T427" s="29">
        <f>IF(OR($B427="",NOT(ISNUMBER($R427))),"",IF(IF(ISNUMBER($I427),$I427,N($H427))&lt;=0,"",IF($R427&lt;'設定'!$B$6,"期限切れ",IF($R427='設定'!$B$6,"当日",IF($R427-'設定'!$B$6&lt;=N('設定'!$B$14),"あと"&amp;($R427-'設定'!$B$6)&amp;"日","")))))</f>
        <v/>
      </c>
      <c r="U427" s="61" t="n"/>
      <c r="V427" s="31">
        <f>IF(AND($B427&lt;&gt;"",$E427&lt;&gt;"",$E427='数える用紙'!$C$2),ROW(),"")</f>
        <v/>
      </c>
      <c r="W427" s="74">
        <f>IF(AND($B427&lt;&gt;"",ISNUMBER($R427)),IF(AND($R427&lt;='設定'!$B$6+N('設定'!$B$14),IF(ISNUMBER($I427),$I427,N($H427))&gt;0),$R427+ROW()/100000,""),"")</f>
        <v/>
      </c>
    </row>
    <row r="428" ht="18" customHeight="1">
      <c r="A428" s="22" t="n">
        <v>424</v>
      </c>
      <c r="B428" s="23" t="n"/>
      <c r="C428" s="24" t="n"/>
      <c r="D428" s="24" t="n"/>
      <c r="E428" s="23" t="n"/>
      <c r="F428" s="23" t="n"/>
      <c r="G428" s="25" t="n"/>
      <c r="H428" s="25" t="n"/>
      <c r="I428" s="25" t="n"/>
      <c r="J428" s="72">
        <f>IF(OR($B428="",$H428=""),"",N($G428)*$H428)</f>
        <v/>
      </c>
      <c r="K428" s="72">
        <f>IF(OR($B428="",$I428=""),"",N($G428)*$I428)</f>
        <v/>
      </c>
      <c r="L428" s="27">
        <f>IF(OR($B428="",$H428="",$I428=""),"",$I428-$H428)</f>
        <v/>
      </c>
      <c r="M428" s="72">
        <f>IF($L428="","",$L428*N($G428))</f>
        <v/>
      </c>
      <c r="N428" s="73">
        <f>IF($L428="","",IF($H428&gt;0,ROUND($L428/$H428,4),"－"))</f>
        <v/>
      </c>
      <c r="O428" s="29">
        <f>IF($B428="","",IF($L428="","未入力",IF($L428=0,"一致",IF(OR(NOT(ISNUMBER($N428)),AND('設定'!$B$10&lt;&gt;"",ABS(N($N428))&gt;'設定'!$B$10),AND('設定'!$B$11&lt;&gt;"",ABS(ROUND($M428,4))&gt;'設定'!$B$11),AND('設定'!$B$10="",'設定'!$B$11="")),"要確認","許容内"))))</f>
        <v/>
      </c>
      <c r="P428" s="29">
        <f>IF($O428&lt;&gt;"要確認","",IF($Q428=0,"済",IF(COUNTIF('差異の原因'!$B$5:$B$204,$B428)=0,"未記録","一部")))</f>
        <v/>
      </c>
      <c r="Q428" s="27">
        <f>IF($L428="","",IF(AND($L428=0,COUNTIF('差異の原因'!$B$5:$B$204,$B428)=0),"",ROUND($L428-SUMIF('差異の原因'!$B$5:$B$204,$B428,'差異の原因'!$G$5:$G$204),6)))</f>
        <v/>
      </c>
      <c r="R428" s="30" t="n"/>
      <c r="S428" s="23" t="n"/>
      <c r="T428" s="29">
        <f>IF(OR($B428="",NOT(ISNUMBER($R428))),"",IF(IF(ISNUMBER($I428),$I428,N($H428))&lt;=0,"",IF($R428&lt;'設定'!$B$6,"期限切れ",IF($R428='設定'!$B$6,"当日",IF($R428-'設定'!$B$6&lt;=N('設定'!$B$14),"あと"&amp;($R428-'設定'!$B$6)&amp;"日","")))))</f>
        <v/>
      </c>
      <c r="U428" s="61" t="n"/>
      <c r="V428" s="31">
        <f>IF(AND($B428&lt;&gt;"",$E428&lt;&gt;"",$E428='数える用紙'!$C$2),ROW(),"")</f>
        <v/>
      </c>
      <c r="W428" s="74">
        <f>IF(AND($B428&lt;&gt;"",ISNUMBER($R428)),IF(AND($R428&lt;='設定'!$B$6+N('設定'!$B$14),IF(ISNUMBER($I428),$I428,N($H428))&gt;0),$R428+ROW()/100000,""),"")</f>
        <v/>
      </c>
    </row>
    <row r="429" ht="18" customHeight="1">
      <c r="A429" s="22" t="n">
        <v>425</v>
      </c>
      <c r="B429" s="23" t="n"/>
      <c r="C429" s="24" t="n"/>
      <c r="D429" s="24" t="n"/>
      <c r="E429" s="23" t="n"/>
      <c r="F429" s="23" t="n"/>
      <c r="G429" s="25" t="n"/>
      <c r="H429" s="25" t="n"/>
      <c r="I429" s="25" t="n"/>
      <c r="J429" s="72">
        <f>IF(OR($B429="",$H429=""),"",N($G429)*$H429)</f>
        <v/>
      </c>
      <c r="K429" s="72">
        <f>IF(OR($B429="",$I429=""),"",N($G429)*$I429)</f>
        <v/>
      </c>
      <c r="L429" s="27">
        <f>IF(OR($B429="",$H429="",$I429=""),"",$I429-$H429)</f>
        <v/>
      </c>
      <c r="M429" s="72">
        <f>IF($L429="","",$L429*N($G429))</f>
        <v/>
      </c>
      <c r="N429" s="73">
        <f>IF($L429="","",IF($H429&gt;0,ROUND($L429/$H429,4),"－"))</f>
        <v/>
      </c>
      <c r="O429" s="29">
        <f>IF($B429="","",IF($L429="","未入力",IF($L429=0,"一致",IF(OR(NOT(ISNUMBER($N429)),AND('設定'!$B$10&lt;&gt;"",ABS(N($N429))&gt;'設定'!$B$10),AND('設定'!$B$11&lt;&gt;"",ABS(ROUND($M429,4))&gt;'設定'!$B$11),AND('設定'!$B$10="",'設定'!$B$11="")),"要確認","許容内"))))</f>
        <v/>
      </c>
      <c r="P429" s="29">
        <f>IF($O429&lt;&gt;"要確認","",IF($Q429=0,"済",IF(COUNTIF('差異の原因'!$B$5:$B$204,$B429)=0,"未記録","一部")))</f>
        <v/>
      </c>
      <c r="Q429" s="27">
        <f>IF($L429="","",IF(AND($L429=0,COUNTIF('差異の原因'!$B$5:$B$204,$B429)=0),"",ROUND($L429-SUMIF('差異の原因'!$B$5:$B$204,$B429,'差異の原因'!$G$5:$G$204),6)))</f>
        <v/>
      </c>
      <c r="R429" s="30" t="n"/>
      <c r="S429" s="23" t="n"/>
      <c r="T429" s="29">
        <f>IF(OR($B429="",NOT(ISNUMBER($R429))),"",IF(IF(ISNUMBER($I429),$I429,N($H429))&lt;=0,"",IF($R429&lt;'設定'!$B$6,"期限切れ",IF($R429='設定'!$B$6,"当日",IF($R429-'設定'!$B$6&lt;=N('設定'!$B$14),"あと"&amp;($R429-'設定'!$B$6)&amp;"日","")))))</f>
        <v/>
      </c>
      <c r="U429" s="61" t="n"/>
      <c r="V429" s="31">
        <f>IF(AND($B429&lt;&gt;"",$E429&lt;&gt;"",$E429='数える用紙'!$C$2),ROW(),"")</f>
        <v/>
      </c>
      <c r="W429" s="74">
        <f>IF(AND($B429&lt;&gt;"",ISNUMBER($R429)),IF(AND($R429&lt;='設定'!$B$6+N('設定'!$B$14),IF(ISNUMBER($I429),$I429,N($H429))&gt;0),$R429+ROW()/100000,""),"")</f>
        <v/>
      </c>
    </row>
    <row r="430" ht="18" customHeight="1">
      <c r="A430" s="22" t="n">
        <v>426</v>
      </c>
      <c r="B430" s="23" t="n"/>
      <c r="C430" s="24" t="n"/>
      <c r="D430" s="24" t="n"/>
      <c r="E430" s="23" t="n"/>
      <c r="F430" s="23" t="n"/>
      <c r="G430" s="25" t="n"/>
      <c r="H430" s="25" t="n"/>
      <c r="I430" s="25" t="n"/>
      <c r="J430" s="72">
        <f>IF(OR($B430="",$H430=""),"",N($G430)*$H430)</f>
        <v/>
      </c>
      <c r="K430" s="72">
        <f>IF(OR($B430="",$I430=""),"",N($G430)*$I430)</f>
        <v/>
      </c>
      <c r="L430" s="27">
        <f>IF(OR($B430="",$H430="",$I430=""),"",$I430-$H430)</f>
        <v/>
      </c>
      <c r="M430" s="72">
        <f>IF($L430="","",$L430*N($G430))</f>
        <v/>
      </c>
      <c r="N430" s="73">
        <f>IF($L430="","",IF($H430&gt;0,ROUND($L430/$H430,4),"－"))</f>
        <v/>
      </c>
      <c r="O430" s="29">
        <f>IF($B430="","",IF($L430="","未入力",IF($L430=0,"一致",IF(OR(NOT(ISNUMBER($N430)),AND('設定'!$B$10&lt;&gt;"",ABS(N($N430))&gt;'設定'!$B$10),AND('設定'!$B$11&lt;&gt;"",ABS(ROUND($M430,4))&gt;'設定'!$B$11),AND('設定'!$B$10="",'設定'!$B$11="")),"要確認","許容内"))))</f>
        <v/>
      </c>
      <c r="P430" s="29">
        <f>IF($O430&lt;&gt;"要確認","",IF($Q430=0,"済",IF(COUNTIF('差異の原因'!$B$5:$B$204,$B430)=0,"未記録","一部")))</f>
        <v/>
      </c>
      <c r="Q430" s="27">
        <f>IF($L430="","",IF(AND($L430=0,COUNTIF('差異の原因'!$B$5:$B$204,$B430)=0),"",ROUND($L430-SUMIF('差異の原因'!$B$5:$B$204,$B430,'差異の原因'!$G$5:$G$204),6)))</f>
        <v/>
      </c>
      <c r="R430" s="30" t="n"/>
      <c r="S430" s="23" t="n"/>
      <c r="T430" s="29">
        <f>IF(OR($B430="",NOT(ISNUMBER($R430))),"",IF(IF(ISNUMBER($I430),$I430,N($H430))&lt;=0,"",IF($R430&lt;'設定'!$B$6,"期限切れ",IF($R430='設定'!$B$6,"当日",IF($R430-'設定'!$B$6&lt;=N('設定'!$B$14),"あと"&amp;($R430-'設定'!$B$6)&amp;"日","")))))</f>
        <v/>
      </c>
      <c r="U430" s="61" t="n"/>
      <c r="V430" s="31">
        <f>IF(AND($B430&lt;&gt;"",$E430&lt;&gt;"",$E430='数える用紙'!$C$2),ROW(),"")</f>
        <v/>
      </c>
      <c r="W430" s="74">
        <f>IF(AND($B430&lt;&gt;"",ISNUMBER($R430)),IF(AND($R430&lt;='設定'!$B$6+N('設定'!$B$14),IF(ISNUMBER($I430),$I430,N($H430))&gt;0),$R430+ROW()/100000,""),"")</f>
        <v/>
      </c>
    </row>
    <row r="431" ht="18" customHeight="1">
      <c r="A431" s="22" t="n">
        <v>427</v>
      </c>
      <c r="B431" s="23" t="n"/>
      <c r="C431" s="24" t="n"/>
      <c r="D431" s="24" t="n"/>
      <c r="E431" s="23" t="n"/>
      <c r="F431" s="23" t="n"/>
      <c r="G431" s="25" t="n"/>
      <c r="H431" s="25" t="n"/>
      <c r="I431" s="25" t="n"/>
      <c r="J431" s="72">
        <f>IF(OR($B431="",$H431=""),"",N($G431)*$H431)</f>
        <v/>
      </c>
      <c r="K431" s="72">
        <f>IF(OR($B431="",$I431=""),"",N($G431)*$I431)</f>
        <v/>
      </c>
      <c r="L431" s="27">
        <f>IF(OR($B431="",$H431="",$I431=""),"",$I431-$H431)</f>
        <v/>
      </c>
      <c r="M431" s="72">
        <f>IF($L431="","",$L431*N($G431))</f>
        <v/>
      </c>
      <c r="N431" s="73">
        <f>IF($L431="","",IF($H431&gt;0,ROUND($L431/$H431,4),"－"))</f>
        <v/>
      </c>
      <c r="O431" s="29">
        <f>IF($B431="","",IF($L431="","未入力",IF($L431=0,"一致",IF(OR(NOT(ISNUMBER($N431)),AND('設定'!$B$10&lt;&gt;"",ABS(N($N431))&gt;'設定'!$B$10),AND('設定'!$B$11&lt;&gt;"",ABS(ROUND($M431,4))&gt;'設定'!$B$11),AND('設定'!$B$10="",'設定'!$B$11="")),"要確認","許容内"))))</f>
        <v/>
      </c>
      <c r="P431" s="29">
        <f>IF($O431&lt;&gt;"要確認","",IF($Q431=0,"済",IF(COUNTIF('差異の原因'!$B$5:$B$204,$B431)=0,"未記録","一部")))</f>
        <v/>
      </c>
      <c r="Q431" s="27">
        <f>IF($L431="","",IF(AND($L431=0,COUNTIF('差異の原因'!$B$5:$B$204,$B431)=0),"",ROUND($L431-SUMIF('差異の原因'!$B$5:$B$204,$B431,'差異の原因'!$G$5:$G$204),6)))</f>
        <v/>
      </c>
      <c r="R431" s="30" t="n"/>
      <c r="S431" s="23" t="n"/>
      <c r="T431" s="29">
        <f>IF(OR($B431="",NOT(ISNUMBER($R431))),"",IF(IF(ISNUMBER($I431),$I431,N($H431))&lt;=0,"",IF($R431&lt;'設定'!$B$6,"期限切れ",IF($R431='設定'!$B$6,"当日",IF($R431-'設定'!$B$6&lt;=N('設定'!$B$14),"あと"&amp;($R431-'設定'!$B$6)&amp;"日","")))))</f>
        <v/>
      </c>
      <c r="U431" s="61" t="n"/>
      <c r="V431" s="31">
        <f>IF(AND($B431&lt;&gt;"",$E431&lt;&gt;"",$E431='数える用紙'!$C$2),ROW(),"")</f>
        <v/>
      </c>
      <c r="W431" s="74">
        <f>IF(AND($B431&lt;&gt;"",ISNUMBER($R431)),IF(AND($R431&lt;='設定'!$B$6+N('設定'!$B$14),IF(ISNUMBER($I431),$I431,N($H431))&gt;0),$R431+ROW()/100000,""),"")</f>
        <v/>
      </c>
    </row>
    <row r="432" ht="18" customHeight="1">
      <c r="A432" s="22" t="n">
        <v>428</v>
      </c>
      <c r="B432" s="23" t="n"/>
      <c r="C432" s="24" t="n"/>
      <c r="D432" s="24" t="n"/>
      <c r="E432" s="23" t="n"/>
      <c r="F432" s="23" t="n"/>
      <c r="G432" s="25" t="n"/>
      <c r="H432" s="25" t="n"/>
      <c r="I432" s="25" t="n"/>
      <c r="J432" s="72">
        <f>IF(OR($B432="",$H432=""),"",N($G432)*$H432)</f>
        <v/>
      </c>
      <c r="K432" s="72">
        <f>IF(OR($B432="",$I432=""),"",N($G432)*$I432)</f>
        <v/>
      </c>
      <c r="L432" s="27">
        <f>IF(OR($B432="",$H432="",$I432=""),"",$I432-$H432)</f>
        <v/>
      </c>
      <c r="M432" s="72">
        <f>IF($L432="","",$L432*N($G432))</f>
        <v/>
      </c>
      <c r="N432" s="73">
        <f>IF($L432="","",IF($H432&gt;0,ROUND($L432/$H432,4),"－"))</f>
        <v/>
      </c>
      <c r="O432" s="29">
        <f>IF($B432="","",IF($L432="","未入力",IF($L432=0,"一致",IF(OR(NOT(ISNUMBER($N432)),AND('設定'!$B$10&lt;&gt;"",ABS(N($N432))&gt;'設定'!$B$10),AND('設定'!$B$11&lt;&gt;"",ABS(ROUND($M432,4))&gt;'設定'!$B$11),AND('設定'!$B$10="",'設定'!$B$11="")),"要確認","許容内"))))</f>
        <v/>
      </c>
      <c r="P432" s="29">
        <f>IF($O432&lt;&gt;"要確認","",IF($Q432=0,"済",IF(COUNTIF('差異の原因'!$B$5:$B$204,$B432)=0,"未記録","一部")))</f>
        <v/>
      </c>
      <c r="Q432" s="27">
        <f>IF($L432="","",IF(AND($L432=0,COUNTIF('差異の原因'!$B$5:$B$204,$B432)=0),"",ROUND($L432-SUMIF('差異の原因'!$B$5:$B$204,$B432,'差異の原因'!$G$5:$G$204),6)))</f>
        <v/>
      </c>
      <c r="R432" s="30" t="n"/>
      <c r="S432" s="23" t="n"/>
      <c r="T432" s="29">
        <f>IF(OR($B432="",NOT(ISNUMBER($R432))),"",IF(IF(ISNUMBER($I432),$I432,N($H432))&lt;=0,"",IF($R432&lt;'設定'!$B$6,"期限切れ",IF($R432='設定'!$B$6,"当日",IF($R432-'設定'!$B$6&lt;=N('設定'!$B$14),"あと"&amp;($R432-'設定'!$B$6)&amp;"日","")))))</f>
        <v/>
      </c>
      <c r="U432" s="61" t="n"/>
      <c r="V432" s="31">
        <f>IF(AND($B432&lt;&gt;"",$E432&lt;&gt;"",$E432='数える用紙'!$C$2),ROW(),"")</f>
        <v/>
      </c>
      <c r="W432" s="74">
        <f>IF(AND($B432&lt;&gt;"",ISNUMBER($R432)),IF(AND($R432&lt;='設定'!$B$6+N('設定'!$B$14),IF(ISNUMBER($I432),$I432,N($H432))&gt;0),$R432+ROW()/100000,""),"")</f>
        <v/>
      </c>
    </row>
    <row r="433" ht="18" customHeight="1">
      <c r="A433" s="22" t="n">
        <v>429</v>
      </c>
      <c r="B433" s="23" t="n"/>
      <c r="C433" s="24" t="n"/>
      <c r="D433" s="24" t="n"/>
      <c r="E433" s="23" t="n"/>
      <c r="F433" s="23" t="n"/>
      <c r="G433" s="25" t="n"/>
      <c r="H433" s="25" t="n"/>
      <c r="I433" s="25" t="n"/>
      <c r="J433" s="72">
        <f>IF(OR($B433="",$H433=""),"",N($G433)*$H433)</f>
        <v/>
      </c>
      <c r="K433" s="72">
        <f>IF(OR($B433="",$I433=""),"",N($G433)*$I433)</f>
        <v/>
      </c>
      <c r="L433" s="27">
        <f>IF(OR($B433="",$H433="",$I433=""),"",$I433-$H433)</f>
        <v/>
      </c>
      <c r="M433" s="72">
        <f>IF($L433="","",$L433*N($G433))</f>
        <v/>
      </c>
      <c r="N433" s="73">
        <f>IF($L433="","",IF($H433&gt;0,ROUND($L433/$H433,4),"－"))</f>
        <v/>
      </c>
      <c r="O433" s="29">
        <f>IF($B433="","",IF($L433="","未入力",IF($L433=0,"一致",IF(OR(NOT(ISNUMBER($N433)),AND('設定'!$B$10&lt;&gt;"",ABS(N($N433))&gt;'設定'!$B$10),AND('設定'!$B$11&lt;&gt;"",ABS(ROUND($M433,4))&gt;'設定'!$B$11),AND('設定'!$B$10="",'設定'!$B$11="")),"要確認","許容内"))))</f>
        <v/>
      </c>
      <c r="P433" s="29">
        <f>IF($O433&lt;&gt;"要確認","",IF($Q433=0,"済",IF(COUNTIF('差異の原因'!$B$5:$B$204,$B433)=0,"未記録","一部")))</f>
        <v/>
      </c>
      <c r="Q433" s="27">
        <f>IF($L433="","",IF(AND($L433=0,COUNTIF('差異の原因'!$B$5:$B$204,$B433)=0),"",ROUND($L433-SUMIF('差異の原因'!$B$5:$B$204,$B433,'差異の原因'!$G$5:$G$204),6)))</f>
        <v/>
      </c>
      <c r="R433" s="30" t="n"/>
      <c r="S433" s="23" t="n"/>
      <c r="T433" s="29">
        <f>IF(OR($B433="",NOT(ISNUMBER($R433))),"",IF(IF(ISNUMBER($I433),$I433,N($H433))&lt;=0,"",IF($R433&lt;'設定'!$B$6,"期限切れ",IF($R433='設定'!$B$6,"当日",IF($R433-'設定'!$B$6&lt;=N('設定'!$B$14),"あと"&amp;($R433-'設定'!$B$6)&amp;"日","")))))</f>
        <v/>
      </c>
      <c r="U433" s="61" t="n"/>
      <c r="V433" s="31">
        <f>IF(AND($B433&lt;&gt;"",$E433&lt;&gt;"",$E433='数える用紙'!$C$2),ROW(),"")</f>
        <v/>
      </c>
      <c r="W433" s="74">
        <f>IF(AND($B433&lt;&gt;"",ISNUMBER($R433)),IF(AND($R433&lt;='設定'!$B$6+N('設定'!$B$14),IF(ISNUMBER($I433),$I433,N($H433))&gt;0),$R433+ROW()/100000,""),"")</f>
        <v/>
      </c>
    </row>
    <row r="434" ht="18" customHeight="1">
      <c r="A434" s="22" t="n">
        <v>430</v>
      </c>
      <c r="B434" s="23" t="n"/>
      <c r="C434" s="24" t="n"/>
      <c r="D434" s="24" t="n"/>
      <c r="E434" s="23" t="n"/>
      <c r="F434" s="23" t="n"/>
      <c r="G434" s="25" t="n"/>
      <c r="H434" s="25" t="n"/>
      <c r="I434" s="25" t="n"/>
      <c r="J434" s="72">
        <f>IF(OR($B434="",$H434=""),"",N($G434)*$H434)</f>
        <v/>
      </c>
      <c r="K434" s="72">
        <f>IF(OR($B434="",$I434=""),"",N($G434)*$I434)</f>
        <v/>
      </c>
      <c r="L434" s="27">
        <f>IF(OR($B434="",$H434="",$I434=""),"",$I434-$H434)</f>
        <v/>
      </c>
      <c r="M434" s="72">
        <f>IF($L434="","",$L434*N($G434))</f>
        <v/>
      </c>
      <c r="N434" s="73">
        <f>IF($L434="","",IF($H434&gt;0,ROUND($L434/$H434,4),"－"))</f>
        <v/>
      </c>
      <c r="O434" s="29">
        <f>IF($B434="","",IF($L434="","未入力",IF($L434=0,"一致",IF(OR(NOT(ISNUMBER($N434)),AND('設定'!$B$10&lt;&gt;"",ABS(N($N434))&gt;'設定'!$B$10),AND('設定'!$B$11&lt;&gt;"",ABS(ROUND($M434,4))&gt;'設定'!$B$11),AND('設定'!$B$10="",'設定'!$B$11="")),"要確認","許容内"))))</f>
        <v/>
      </c>
      <c r="P434" s="29">
        <f>IF($O434&lt;&gt;"要確認","",IF($Q434=0,"済",IF(COUNTIF('差異の原因'!$B$5:$B$204,$B434)=0,"未記録","一部")))</f>
        <v/>
      </c>
      <c r="Q434" s="27">
        <f>IF($L434="","",IF(AND($L434=0,COUNTIF('差異の原因'!$B$5:$B$204,$B434)=0),"",ROUND($L434-SUMIF('差異の原因'!$B$5:$B$204,$B434,'差異の原因'!$G$5:$G$204),6)))</f>
        <v/>
      </c>
      <c r="R434" s="30" t="n"/>
      <c r="S434" s="23" t="n"/>
      <c r="T434" s="29">
        <f>IF(OR($B434="",NOT(ISNUMBER($R434))),"",IF(IF(ISNUMBER($I434),$I434,N($H434))&lt;=0,"",IF($R434&lt;'設定'!$B$6,"期限切れ",IF($R434='設定'!$B$6,"当日",IF($R434-'設定'!$B$6&lt;=N('設定'!$B$14),"あと"&amp;($R434-'設定'!$B$6)&amp;"日","")))))</f>
        <v/>
      </c>
      <c r="U434" s="61" t="n"/>
      <c r="V434" s="31">
        <f>IF(AND($B434&lt;&gt;"",$E434&lt;&gt;"",$E434='数える用紙'!$C$2),ROW(),"")</f>
        <v/>
      </c>
      <c r="W434" s="74">
        <f>IF(AND($B434&lt;&gt;"",ISNUMBER($R434)),IF(AND($R434&lt;='設定'!$B$6+N('設定'!$B$14),IF(ISNUMBER($I434),$I434,N($H434))&gt;0),$R434+ROW()/100000,""),"")</f>
        <v/>
      </c>
    </row>
    <row r="435" ht="18" customHeight="1">
      <c r="A435" s="22" t="n">
        <v>431</v>
      </c>
      <c r="B435" s="23" t="n"/>
      <c r="C435" s="24" t="n"/>
      <c r="D435" s="24" t="n"/>
      <c r="E435" s="23" t="n"/>
      <c r="F435" s="23" t="n"/>
      <c r="G435" s="25" t="n"/>
      <c r="H435" s="25" t="n"/>
      <c r="I435" s="25" t="n"/>
      <c r="J435" s="72">
        <f>IF(OR($B435="",$H435=""),"",N($G435)*$H435)</f>
        <v/>
      </c>
      <c r="K435" s="72">
        <f>IF(OR($B435="",$I435=""),"",N($G435)*$I435)</f>
        <v/>
      </c>
      <c r="L435" s="27">
        <f>IF(OR($B435="",$H435="",$I435=""),"",$I435-$H435)</f>
        <v/>
      </c>
      <c r="M435" s="72">
        <f>IF($L435="","",$L435*N($G435))</f>
        <v/>
      </c>
      <c r="N435" s="73">
        <f>IF($L435="","",IF($H435&gt;0,ROUND($L435/$H435,4),"－"))</f>
        <v/>
      </c>
      <c r="O435" s="29">
        <f>IF($B435="","",IF($L435="","未入力",IF($L435=0,"一致",IF(OR(NOT(ISNUMBER($N435)),AND('設定'!$B$10&lt;&gt;"",ABS(N($N435))&gt;'設定'!$B$10),AND('設定'!$B$11&lt;&gt;"",ABS(ROUND($M435,4))&gt;'設定'!$B$11),AND('設定'!$B$10="",'設定'!$B$11="")),"要確認","許容内"))))</f>
        <v/>
      </c>
      <c r="P435" s="29">
        <f>IF($O435&lt;&gt;"要確認","",IF($Q435=0,"済",IF(COUNTIF('差異の原因'!$B$5:$B$204,$B435)=0,"未記録","一部")))</f>
        <v/>
      </c>
      <c r="Q435" s="27">
        <f>IF($L435="","",IF(AND($L435=0,COUNTIF('差異の原因'!$B$5:$B$204,$B435)=0),"",ROUND($L435-SUMIF('差異の原因'!$B$5:$B$204,$B435,'差異の原因'!$G$5:$G$204),6)))</f>
        <v/>
      </c>
      <c r="R435" s="30" t="n"/>
      <c r="S435" s="23" t="n"/>
      <c r="T435" s="29">
        <f>IF(OR($B435="",NOT(ISNUMBER($R435))),"",IF(IF(ISNUMBER($I435),$I435,N($H435))&lt;=0,"",IF($R435&lt;'設定'!$B$6,"期限切れ",IF($R435='設定'!$B$6,"当日",IF($R435-'設定'!$B$6&lt;=N('設定'!$B$14),"あと"&amp;($R435-'設定'!$B$6)&amp;"日","")))))</f>
        <v/>
      </c>
      <c r="U435" s="61" t="n"/>
      <c r="V435" s="31">
        <f>IF(AND($B435&lt;&gt;"",$E435&lt;&gt;"",$E435='数える用紙'!$C$2),ROW(),"")</f>
        <v/>
      </c>
      <c r="W435" s="74">
        <f>IF(AND($B435&lt;&gt;"",ISNUMBER($R435)),IF(AND($R435&lt;='設定'!$B$6+N('設定'!$B$14),IF(ISNUMBER($I435),$I435,N($H435))&gt;0),$R435+ROW()/100000,""),"")</f>
        <v/>
      </c>
    </row>
    <row r="436" ht="18" customHeight="1">
      <c r="A436" s="22" t="n">
        <v>432</v>
      </c>
      <c r="B436" s="23" t="n"/>
      <c r="C436" s="24" t="n"/>
      <c r="D436" s="24" t="n"/>
      <c r="E436" s="23" t="n"/>
      <c r="F436" s="23" t="n"/>
      <c r="G436" s="25" t="n"/>
      <c r="H436" s="25" t="n"/>
      <c r="I436" s="25" t="n"/>
      <c r="J436" s="72">
        <f>IF(OR($B436="",$H436=""),"",N($G436)*$H436)</f>
        <v/>
      </c>
      <c r="K436" s="72">
        <f>IF(OR($B436="",$I436=""),"",N($G436)*$I436)</f>
        <v/>
      </c>
      <c r="L436" s="27">
        <f>IF(OR($B436="",$H436="",$I436=""),"",$I436-$H436)</f>
        <v/>
      </c>
      <c r="M436" s="72">
        <f>IF($L436="","",$L436*N($G436))</f>
        <v/>
      </c>
      <c r="N436" s="73">
        <f>IF($L436="","",IF($H436&gt;0,ROUND($L436/$H436,4),"－"))</f>
        <v/>
      </c>
      <c r="O436" s="29">
        <f>IF($B436="","",IF($L436="","未入力",IF($L436=0,"一致",IF(OR(NOT(ISNUMBER($N436)),AND('設定'!$B$10&lt;&gt;"",ABS(N($N436))&gt;'設定'!$B$10),AND('設定'!$B$11&lt;&gt;"",ABS(ROUND($M436,4))&gt;'設定'!$B$11),AND('設定'!$B$10="",'設定'!$B$11="")),"要確認","許容内"))))</f>
        <v/>
      </c>
      <c r="P436" s="29">
        <f>IF($O436&lt;&gt;"要確認","",IF($Q436=0,"済",IF(COUNTIF('差異の原因'!$B$5:$B$204,$B436)=0,"未記録","一部")))</f>
        <v/>
      </c>
      <c r="Q436" s="27">
        <f>IF($L436="","",IF(AND($L436=0,COUNTIF('差異の原因'!$B$5:$B$204,$B436)=0),"",ROUND($L436-SUMIF('差異の原因'!$B$5:$B$204,$B436,'差異の原因'!$G$5:$G$204),6)))</f>
        <v/>
      </c>
      <c r="R436" s="30" t="n"/>
      <c r="S436" s="23" t="n"/>
      <c r="T436" s="29">
        <f>IF(OR($B436="",NOT(ISNUMBER($R436))),"",IF(IF(ISNUMBER($I436),$I436,N($H436))&lt;=0,"",IF($R436&lt;'設定'!$B$6,"期限切れ",IF($R436='設定'!$B$6,"当日",IF($R436-'設定'!$B$6&lt;=N('設定'!$B$14),"あと"&amp;($R436-'設定'!$B$6)&amp;"日","")))))</f>
        <v/>
      </c>
      <c r="U436" s="61" t="n"/>
      <c r="V436" s="31">
        <f>IF(AND($B436&lt;&gt;"",$E436&lt;&gt;"",$E436='数える用紙'!$C$2),ROW(),"")</f>
        <v/>
      </c>
      <c r="W436" s="74">
        <f>IF(AND($B436&lt;&gt;"",ISNUMBER($R436)),IF(AND($R436&lt;='設定'!$B$6+N('設定'!$B$14),IF(ISNUMBER($I436),$I436,N($H436))&gt;0),$R436+ROW()/100000,""),"")</f>
        <v/>
      </c>
    </row>
    <row r="437" ht="18" customHeight="1">
      <c r="A437" s="22" t="n">
        <v>433</v>
      </c>
      <c r="B437" s="23" t="n"/>
      <c r="C437" s="24" t="n"/>
      <c r="D437" s="24" t="n"/>
      <c r="E437" s="23" t="n"/>
      <c r="F437" s="23" t="n"/>
      <c r="G437" s="25" t="n"/>
      <c r="H437" s="25" t="n"/>
      <c r="I437" s="25" t="n"/>
      <c r="J437" s="72">
        <f>IF(OR($B437="",$H437=""),"",N($G437)*$H437)</f>
        <v/>
      </c>
      <c r="K437" s="72">
        <f>IF(OR($B437="",$I437=""),"",N($G437)*$I437)</f>
        <v/>
      </c>
      <c r="L437" s="27">
        <f>IF(OR($B437="",$H437="",$I437=""),"",$I437-$H437)</f>
        <v/>
      </c>
      <c r="M437" s="72">
        <f>IF($L437="","",$L437*N($G437))</f>
        <v/>
      </c>
      <c r="N437" s="73">
        <f>IF($L437="","",IF($H437&gt;0,ROUND($L437/$H437,4),"－"))</f>
        <v/>
      </c>
      <c r="O437" s="29">
        <f>IF($B437="","",IF($L437="","未入力",IF($L437=0,"一致",IF(OR(NOT(ISNUMBER($N437)),AND('設定'!$B$10&lt;&gt;"",ABS(N($N437))&gt;'設定'!$B$10),AND('設定'!$B$11&lt;&gt;"",ABS(ROUND($M437,4))&gt;'設定'!$B$11),AND('設定'!$B$10="",'設定'!$B$11="")),"要確認","許容内"))))</f>
        <v/>
      </c>
      <c r="P437" s="29">
        <f>IF($O437&lt;&gt;"要確認","",IF($Q437=0,"済",IF(COUNTIF('差異の原因'!$B$5:$B$204,$B437)=0,"未記録","一部")))</f>
        <v/>
      </c>
      <c r="Q437" s="27">
        <f>IF($L437="","",IF(AND($L437=0,COUNTIF('差異の原因'!$B$5:$B$204,$B437)=0),"",ROUND($L437-SUMIF('差異の原因'!$B$5:$B$204,$B437,'差異の原因'!$G$5:$G$204),6)))</f>
        <v/>
      </c>
      <c r="R437" s="30" t="n"/>
      <c r="S437" s="23" t="n"/>
      <c r="T437" s="29">
        <f>IF(OR($B437="",NOT(ISNUMBER($R437))),"",IF(IF(ISNUMBER($I437),$I437,N($H437))&lt;=0,"",IF($R437&lt;'設定'!$B$6,"期限切れ",IF($R437='設定'!$B$6,"当日",IF($R437-'設定'!$B$6&lt;=N('設定'!$B$14),"あと"&amp;($R437-'設定'!$B$6)&amp;"日","")))))</f>
        <v/>
      </c>
      <c r="U437" s="61" t="n"/>
      <c r="V437" s="31">
        <f>IF(AND($B437&lt;&gt;"",$E437&lt;&gt;"",$E437='数える用紙'!$C$2),ROW(),"")</f>
        <v/>
      </c>
      <c r="W437" s="74">
        <f>IF(AND($B437&lt;&gt;"",ISNUMBER($R437)),IF(AND($R437&lt;='設定'!$B$6+N('設定'!$B$14),IF(ISNUMBER($I437),$I437,N($H437))&gt;0),$R437+ROW()/100000,""),"")</f>
        <v/>
      </c>
    </row>
    <row r="438" ht="18" customHeight="1">
      <c r="A438" s="22" t="n">
        <v>434</v>
      </c>
      <c r="B438" s="23" t="n"/>
      <c r="C438" s="24" t="n"/>
      <c r="D438" s="24" t="n"/>
      <c r="E438" s="23" t="n"/>
      <c r="F438" s="23" t="n"/>
      <c r="G438" s="25" t="n"/>
      <c r="H438" s="25" t="n"/>
      <c r="I438" s="25" t="n"/>
      <c r="J438" s="72">
        <f>IF(OR($B438="",$H438=""),"",N($G438)*$H438)</f>
        <v/>
      </c>
      <c r="K438" s="72">
        <f>IF(OR($B438="",$I438=""),"",N($G438)*$I438)</f>
        <v/>
      </c>
      <c r="L438" s="27">
        <f>IF(OR($B438="",$H438="",$I438=""),"",$I438-$H438)</f>
        <v/>
      </c>
      <c r="M438" s="72">
        <f>IF($L438="","",$L438*N($G438))</f>
        <v/>
      </c>
      <c r="N438" s="73">
        <f>IF($L438="","",IF($H438&gt;0,ROUND($L438/$H438,4),"－"))</f>
        <v/>
      </c>
      <c r="O438" s="29">
        <f>IF($B438="","",IF($L438="","未入力",IF($L438=0,"一致",IF(OR(NOT(ISNUMBER($N438)),AND('設定'!$B$10&lt;&gt;"",ABS(N($N438))&gt;'設定'!$B$10),AND('設定'!$B$11&lt;&gt;"",ABS(ROUND($M438,4))&gt;'設定'!$B$11),AND('設定'!$B$10="",'設定'!$B$11="")),"要確認","許容内"))))</f>
        <v/>
      </c>
      <c r="P438" s="29">
        <f>IF($O438&lt;&gt;"要確認","",IF($Q438=0,"済",IF(COUNTIF('差異の原因'!$B$5:$B$204,$B438)=0,"未記録","一部")))</f>
        <v/>
      </c>
      <c r="Q438" s="27">
        <f>IF($L438="","",IF(AND($L438=0,COUNTIF('差異の原因'!$B$5:$B$204,$B438)=0),"",ROUND($L438-SUMIF('差異の原因'!$B$5:$B$204,$B438,'差異の原因'!$G$5:$G$204),6)))</f>
        <v/>
      </c>
      <c r="R438" s="30" t="n"/>
      <c r="S438" s="23" t="n"/>
      <c r="T438" s="29">
        <f>IF(OR($B438="",NOT(ISNUMBER($R438))),"",IF(IF(ISNUMBER($I438),$I438,N($H438))&lt;=0,"",IF($R438&lt;'設定'!$B$6,"期限切れ",IF($R438='設定'!$B$6,"当日",IF($R438-'設定'!$B$6&lt;=N('設定'!$B$14),"あと"&amp;($R438-'設定'!$B$6)&amp;"日","")))))</f>
        <v/>
      </c>
      <c r="U438" s="61" t="n"/>
      <c r="V438" s="31">
        <f>IF(AND($B438&lt;&gt;"",$E438&lt;&gt;"",$E438='数える用紙'!$C$2),ROW(),"")</f>
        <v/>
      </c>
      <c r="W438" s="74">
        <f>IF(AND($B438&lt;&gt;"",ISNUMBER($R438)),IF(AND($R438&lt;='設定'!$B$6+N('設定'!$B$14),IF(ISNUMBER($I438),$I438,N($H438))&gt;0),$R438+ROW()/100000,""),"")</f>
        <v/>
      </c>
    </row>
    <row r="439" ht="18" customHeight="1">
      <c r="A439" s="22" t="n">
        <v>435</v>
      </c>
      <c r="B439" s="23" t="n"/>
      <c r="C439" s="24" t="n"/>
      <c r="D439" s="24" t="n"/>
      <c r="E439" s="23" t="n"/>
      <c r="F439" s="23" t="n"/>
      <c r="G439" s="25" t="n"/>
      <c r="H439" s="25" t="n"/>
      <c r="I439" s="25" t="n"/>
      <c r="J439" s="72">
        <f>IF(OR($B439="",$H439=""),"",N($G439)*$H439)</f>
        <v/>
      </c>
      <c r="K439" s="72">
        <f>IF(OR($B439="",$I439=""),"",N($G439)*$I439)</f>
        <v/>
      </c>
      <c r="L439" s="27">
        <f>IF(OR($B439="",$H439="",$I439=""),"",$I439-$H439)</f>
        <v/>
      </c>
      <c r="M439" s="72">
        <f>IF($L439="","",$L439*N($G439))</f>
        <v/>
      </c>
      <c r="N439" s="73">
        <f>IF($L439="","",IF($H439&gt;0,ROUND($L439/$H439,4),"－"))</f>
        <v/>
      </c>
      <c r="O439" s="29">
        <f>IF($B439="","",IF($L439="","未入力",IF($L439=0,"一致",IF(OR(NOT(ISNUMBER($N439)),AND('設定'!$B$10&lt;&gt;"",ABS(N($N439))&gt;'設定'!$B$10),AND('設定'!$B$11&lt;&gt;"",ABS(ROUND($M439,4))&gt;'設定'!$B$11),AND('設定'!$B$10="",'設定'!$B$11="")),"要確認","許容内"))))</f>
        <v/>
      </c>
      <c r="P439" s="29">
        <f>IF($O439&lt;&gt;"要確認","",IF($Q439=0,"済",IF(COUNTIF('差異の原因'!$B$5:$B$204,$B439)=0,"未記録","一部")))</f>
        <v/>
      </c>
      <c r="Q439" s="27">
        <f>IF($L439="","",IF(AND($L439=0,COUNTIF('差異の原因'!$B$5:$B$204,$B439)=0),"",ROUND($L439-SUMIF('差異の原因'!$B$5:$B$204,$B439,'差異の原因'!$G$5:$G$204),6)))</f>
        <v/>
      </c>
      <c r="R439" s="30" t="n"/>
      <c r="S439" s="23" t="n"/>
      <c r="T439" s="29">
        <f>IF(OR($B439="",NOT(ISNUMBER($R439))),"",IF(IF(ISNUMBER($I439),$I439,N($H439))&lt;=0,"",IF($R439&lt;'設定'!$B$6,"期限切れ",IF($R439='設定'!$B$6,"当日",IF($R439-'設定'!$B$6&lt;=N('設定'!$B$14),"あと"&amp;($R439-'設定'!$B$6)&amp;"日","")))))</f>
        <v/>
      </c>
      <c r="U439" s="61" t="n"/>
      <c r="V439" s="31">
        <f>IF(AND($B439&lt;&gt;"",$E439&lt;&gt;"",$E439='数える用紙'!$C$2),ROW(),"")</f>
        <v/>
      </c>
      <c r="W439" s="74">
        <f>IF(AND($B439&lt;&gt;"",ISNUMBER($R439)),IF(AND($R439&lt;='設定'!$B$6+N('設定'!$B$14),IF(ISNUMBER($I439),$I439,N($H439))&gt;0),$R439+ROW()/100000,""),"")</f>
        <v/>
      </c>
    </row>
    <row r="440" ht="18" customHeight="1">
      <c r="A440" s="22" t="n">
        <v>436</v>
      </c>
      <c r="B440" s="23" t="n"/>
      <c r="C440" s="24" t="n"/>
      <c r="D440" s="24" t="n"/>
      <c r="E440" s="23" t="n"/>
      <c r="F440" s="23" t="n"/>
      <c r="G440" s="25" t="n"/>
      <c r="H440" s="25" t="n"/>
      <c r="I440" s="25" t="n"/>
      <c r="J440" s="72">
        <f>IF(OR($B440="",$H440=""),"",N($G440)*$H440)</f>
        <v/>
      </c>
      <c r="K440" s="72">
        <f>IF(OR($B440="",$I440=""),"",N($G440)*$I440)</f>
        <v/>
      </c>
      <c r="L440" s="27">
        <f>IF(OR($B440="",$H440="",$I440=""),"",$I440-$H440)</f>
        <v/>
      </c>
      <c r="M440" s="72">
        <f>IF($L440="","",$L440*N($G440))</f>
        <v/>
      </c>
      <c r="N440" s="73">
        <f>IF($L440="","",IF($H440&gt;0,ROUND($L440/$H440,4),"－"))</f>
        <v/>
      </c>
      <c r="O440" s="29">
        <f>IF($B440="","",IF($L440="","未入力",IF($L440=0,"一致",IF(OR(NOT(ISNUMBER($N440)),AND('設定'!$B$10&lt;&gt;"",ABS(N($N440))&gt;'設定'!$B$10),AND('設定'!$B$11&lt;&gt;"",ABS(ROUND($M440,4))&gt;'設定'!$B$11),AND('設定'!$B$10="",'設定'!$B$11="")),"要確認","許容内"))))</f>
        <v/>
      </c>
      <c r="P440" s="29">
        <f>IF($O440&lt;&gt;"要確認","",IF($Q440=0,"済",IF(COUNTIF('差異の原因'!$B$5:$B$204,$B440)=0,"未記録","一部")))</f>
        <v/>
      </c>
      <c r="Q440" s="27">
        <f>IF($L440="","",IF(AND($L440=0,COUNTIF('差異の原因'!$B$5:$B$204,$B440)=0),"",ROUND($L440-SUMIF('差異の原因'!$B$5:$B$204,$B440,'差異の原因'!$G$5:$G$204),6)))</f>
        <v/>
      </c>
      <c r="R440" s="30" t="n"/>
      <c r="S440" s="23" t="n"/>
      <c r="T440" s="29">
        <f>IF(OR($B440="",NOT(ISNUMBER($R440))),"",IF(IF(ISNUMBER($I440),$I440,N($H440))&lt;=0,"",IF($R440&lt;'設定'!$B$6,"期限切れ",IF($R440='設定'!$B$6,"当日",IF($R440-'設定'!$B$6&lt;=N('設定'!$B$14),"あと"&amp;($R440-'設定'!$B$6)&amp;"日","")))))</f>
        <v/>
      </c>
      <c r="U440" s="61" t="n"/>
      <c r="V440" s="31">
        <f>IF(AND($B440&lt;&gt;"",$E440&lt;&gt;"",$E440='数える用紙'!$C$2),ROW(),"")</f>
        <v/>
      </c>
      <c r="W440" s="74">
        <f>IF(AND($B440&lt;&gt;"",ISNUMBER($R440)),IF(AND($R440&lt;='設定'!$B$6+N('設定'!$B$14),IF(ISNUMBER($I440),$I440,N($H440))&gt;0),$R440+ROW()/100000,""),"")</f>
        <v/>
      </c>
    </row>
    <row r="441" ht="18" customHeight="1">
      <c r="A441" s="22" t="n">
        <v>437</v>
      </c>
      <c r="B441" s="23" t="n"/>
      <c r="C441" s="24" t="n"/>
      <c r="D441" s="24" t="n"/>
      <c r="E441" s="23" t="n"/>
      <c r="F441" s="23" t="n"/>
      <c r="G441" s="25" t="n"/>
      <c r="H441" s="25" t="n"/>
      <c r="I441" s="25" t="n"/>
      <c r="J441" s="72">
        <f>IF(OR($B441="",$H441=""),"",N($G441)*$H441)</f>
        <v/>
      </c>
      <c r="K441" s="72">
        <f>IF(OR($B441="",$I441=""),"",N($G441)*$I441)</f>
        <v/>
      </c>
      <c r="L441" s="27">
        <f>IF(OR($B441="",$H441="",$I441=""),"",$I441-$H441)</f>
        <v/>
      </c>
      <c r="M441" s="72">
        <f>IF($L441="","",$L441*N($G441))</f>
        <v/>
      </c>
      <c r="N441" s="73">
        <f>IF($L441="","",IF($H441&gt;0,ROUND($L441/$H441,4),"－"))</f>
        <v/>
      </c>
      <c r="O441" s="29">
        <f>IF($B441="","",IF($L441="","未入力",IF($L441=0,"一致",IF(OR(NOT(ISNUMBER($N441)),AND('設定'!$B$10&lt;&gt;"",ABS(N($N441))&gt;'設定'!$B$10),AND('設定'!$B$11&lt;&gt;"",ABS(ROUND($M441,4))&gt;'設定'!$B$11),AND('設定'!$B$10="",'設定'!$B$11="")),"要確認","許容内"))))</f>
        <v/>
      </c>
      <c r="P441" s="29">
        <f>IF($O441&lt;&gt;"要確認","",IF($Q441=0,"済",IF(COUNTIF('差異の原因'!$B$5:$B$204,$B441)=0,"未記録","一部")))</f>
        <v/>
      </c>
      <c r="Q441" s="27">
        <f>IF($L441="","",IF(AND($L441=0,COUNTIF('差異の原因'!$B$5:$B$204,$B441)=0),"",ROUND($L441-SUMIF('差異の原因'!$B$5:$B$204,$B441,'差異の原因'!$G$5:$G$204),6)))</f>
        <v/>
      </c>
      <c r="R441" s="30" t="n"/>
      <c r="S441" s="23" t="n"/>
      <c r="T441" s="29">
        <f>IF(OR($B441="",NOT(ISNUMBER($R441))),"",IF(IF(ISNUMBER($I441),$I441,N($H441))&lt;=0,"",IF($R441&lt;'設定'!$B$6,"期限切れ",IF($R441='設定'!$B$6,"当日",IF($R441-'設定'!$B$6&lt;=N('設定'!$B$14),"あと"&amp;($R441-'設定'!$B$6)&amp;"日","")))))</f>
        <v/>
      </c>
      <c r="U441" s="61" t="n"/>
      <c r="V441" s="31">
        <f>IF(AND($B441&lt;&gt;"",$E441&lt;&gt;"",$E441='数える用紙'!$C$2),ROW(),"")</f>
        <v/>
      </c>
      <c r="W441" s="74">
        <f>IF(AND($B441&lt;&gt;"",ISNUMBER($R441)),IF(AND($R441&lt;='設定'!$B$6+N('設定'!$B$14),IF(ISNUMBER($I441),$I441,N($H441))&gt;0),$R441+ROW()/100000,""),"")</f>
        <v/>
      </c>
    </row>
    <row r="442" ht="18" customHeight="1">
      <c r="A442" s="22" t="n">
        <v>438</v>
      </c>
      <c r="B442" s="23" t="n"/>
      <c r="C442" s="24" t="n"/>
      <c r="D442" s="24" t="n"/>
      <c r="E442" s="23" t="n"/>
      <c r="F442" s="23" t="n"/>
      <c r="G442" s="25" t="n"/>
      <c r="H442" s="25" t="n"/>
      <c r="I442" s="25" t="n"/>
      <c r="J442" s="72">
        <f>IF(OR($B442="",$H442=""),"",N($G442)*$H442)</f>
        <v/>
      </c>
      <c r="K442" s="72">
        <f>IF(OR($B442="",$I442=""),"",N($G442)*$I442)</f>
        <v/>
      </c>
      <c r="L442" s="27">
        <f>IF(OR($B442="",$H442="",$I442=""),"",$I442-$H442)</f>
        <v/>
      </c>
      <c r="M442" s="72">
        <f>IF($L442="","",$L442*N($G442))</f>
        <v/>
      </c>
      <c r="N442" s="73">
        <f>IF($L442="","",IF($H442&gt;0,ROUND($L442/$H442,4),"－"))</f>
        <v/>
      </c>
      <c r="O442" s="29">
        <f>IF($B442="","",IF($L442="","未入力",IF($L442=0,"一致",IF(OR(NOT(ISNUMBER($N442)),AND('設定'!$B$10&lt;&gt;"",ABS(N($N442))&gt;'設定'!$B$10),AND('設定'!$B$11&lt;&gt;"",ABS(ROUND($M442,4))&gt;'設定'!$B$11),AND('設定'!$B$10="",'設定'!$B$11="")),"要確認","許容内"))))</f>
        <v/>
      </c>
      <c r="P442" s="29">
        <f>IF($O442&lt;&gt;"要確認","",IF($Q442=0,"済",IF(COUNTIF('差異の原因'!$B$5:$B$204,$B442)=0,"未記録","一部")))</f>
        <v/>
      </c>
      <c r="Q442" s="27">
        <f>IF($L442="","",IF(AND($L442=0,COUNTIF('差異の原因'!$B$5:$B$204,$B442)=0),"",ROUND($L442-SUMIF('差異の原因'!$B$5:$B$204,$B442,'差異の原因'!$G$5:$G$204),6)))</f>
        <v/>
      </c>
      <c r="R442" s="30" t="n"/>
      <c r="S442" s="23" t="n"/>
      <c r="T442" s="29">
        <f>IF(OR($B442="",NOT(ISNUMBER($R442))),"",IF(IF(ISNUMBER($I442),$I442,N($H442))&lt;=0,"",IF($R442&lt;'設定'!$B$6,"期限切れ",IF($R442='設定'!$B$6,"当日",IF($R442-'設定'!$B$6&lt;=N('設定'!$B$14),"あと"&amp;($R442-'設定'!$B$6)&amp;"日","")))))</f>
        <v/>
      </c>
      <c r="U442" s="61" t="n"/>
      <c r="V442" s="31">
        <f>IF(AND($B442&lt;&gt;"",$E442&lt;&gt;"",$E442='数える用紙'!$C$2),ROW(),"")</f>
        <v/>
      </c>
      <c r="W442" s="74">
        <f>IF(AND($B442&lt;&gt;"",ISNUMBER($R442)),IF(AND($R442&lt;='設定'!$B$6+N('設定'!$B$14),IF(ISNUMBER($I442),$I442,N($H442))&gt;0),$R442+ROW()/100000,""),"")</f>
        <v/>
      </c>
    </row>
    <row r="443" ht="18" customHeight="1">
      <c r="A443" s="22" t="n">
        <v>439</v>
      </c>
      <c r="B443" s="23" t="n"/>
      <c r="C443" s="24" t="n"/>
      <c r="D443" s="24" t="n"/>
      <c r="E443" s="23" t="n"/>
      <c r="F443" s="23" t="n"/>
      <c r="G443" s="25" t="n"/>
      <c r="H443" s="25" t="n"/>
      <c r="I443" s="25" t="n"/>
      <c r="J443" s="72">
        <f>IF(OR($B443="",$H443=""),"",N($G443)*$H443)</f>
        <v/>
      </c>
      <c r="K443" s="72">
        <f>IF(OR($B443="",$I443=""),"",N($G443)*$I443)</f>
        <v/>
      </c>
      <c r="L443" s="27">
        <f>IF(OR($B443="",$H443="",$I443=""),"",$I443-$H443)</f>
        <v/>
      </c>
      <c r="M443" s="72">
        <f>IF($L443="","",$L443*N($G443))</f>
        <v/>
      </c>
      <c r="N443" s="73">
        <f>IF($L443="","",IF($H443&gt;0,ROUND($L443/$H443,4),"－"))</f>
        <v/>
      </c>
      <c r="O443" s="29">
        <f>IF($B443="","",IF($L443="","未入力",IF($L443=0,"一致",IF(OR(NOT(ISNUMBER($N443)),AND('設定'!$B$10&lt;&gt;"",ABS(N($N443))&gt;'設定'!$B$10),AND('設定'!$B$11&lt;&gt;"",ABS(ROUND($M443,4))&gt;'設定'!$B$11),AND('設定'!$B$10="",'設定'!$B$11="")),"要確認","許容内"))))</f>
        <v/>
      </c>
      <c r="P443" s="29">
        <f>IF($O443&lt;&gt;"要確認","",IF($Q443=0,"済",IF(COUNTIF('差異の原因'!$B$5:$B$204,$B443)=0,"未記録","一部")))</f>
        <v/>
      </c>
      <c r="Q443" s="27">
        <f>IF($L443="","",IF(AND($L443=0,COUNTIF('差異の原因'!$B$5:$B$204,$B443)=0),"",ROUND($L443-SUMIF('差異の原因'!$B$5:$B$204,$B443,'差異の原因'!$G$5:$G$204),6)))</f>
        <v/>
      </c>
      <c r="R443" s="30" t="n"/>
      <c r="S443" s="23" t="n"/>
      <c r="T443" s="29">
        <f>IF(OR($B443="",NOT(ISNUMBER($R443))),"",IF(IF(ISNUMBER($I443),$I443,N($H443))&lt;=0,"",IF($R443&lt;'設定'!$B$6,"期限切れ",IF($R443='設定'!$B$6,"当日",IF($R443-'設定'!$B$6&lt;=N('設定'!$B$14),"あと"&amp;($R443-'設定'!$B$6)&amp;"日","")))))</f>
        <v/>
      </c>
      <c r="U443" s="61" t="n"/>
      <c r="V443" s="31">
        <f>IF(AND($B443&lt;&gt;"",$E443&lt;&gt;"",$E443='数える用紙'!$C$2),ROW(),"")</f>
        <v/>
      </c>
      <c r="W443" s="74">
        <f>IF(AND($B443&lt;&gt;"",ISNUMBER($R443)),IF(AND($R443&lt;='設定'!$B$6+N('設定'!$B$14),IF(ISNUMBER($I443),$I443,N($H443))&gt;0),$R443+ROW()/100000,""),"")</f>
        <v/>
      </c>
    </row>
    <row r="444" ht="18" customHeight="1">
      <c r="A444" s="22" t="n">
        <v>440</v>
      </c>
      <c r="B444" s="23" t="n"/>
      <c r="C444" s="24" t="n"/>
      <c r="D444" s="24" t="n"/>
      <c r="E444" s="23" t="n"/>
      <c r="F444" s="23" t="n"/>
      <c r="G444" s="25" t="n"/>
      <c r="H444" s="25" t="n"/>
      <c r="I444" s="25" t="n"/>
      <c r="J444" s="72">
        <f>IF(OR($B444="",$H444=""),"",N($G444)*$H444)</f>
        <v/>
      </c>
      <c r="K444" s="72">
        <f>IF(OR($B444="",$I444=""),"",N($G444)*$I444)</f>
        <v/>
      </c>
      <c r="L444" s="27">
        <f>IF(OR($B444="",$H444="",$I444=""),"",$I444-$H444)</f>
        <v/>
      </c>
      <c r="M444" s="72">
        <f>IF($L444="","",$L444*N($G444))</f>
        <v/>
      </c>
      <c r="N444" s="73">
        <f>IF($L444="","",IF($H444&gt;0,ROUND($L444/$H444,4),"－"))</f>
        <v/>
      </c>
      <c r="O444" s="29">
        <f>IF($B444="","",IF($L444="","未入力",IF($L444=0,"一致",IF(OR(NOT(ISNUMBER($N444)),AND('設定'!$B$10&lt;&gt;"",ABS(N($N444))&gt;'設定'!$B$10),AND('設定'!$B$11&lt;&gt;"",ABS(ROUND($M444,4))&gt;'設定'!$B$11),AND('設定'!$B$10="",'設定'!$B$11="")),"要確認","許容内"))))</f>
        <v/>
      </c>
      <c r="P444" s="29">
        <f>IF($O444&lt;&gt;"要確認","",IF($Q444=0,"済",IF(COUNTIF('差異の原因'!$B$5:$B$204,$B444)=0,"未記録","一部")))</f>
        <v/>
      </c>
      <c r="Q444" s="27">
        <f>IF($L444="","",IF(AND($L444=0,COUNTIF('差異の原因'!$B$5:$B$204,$B444)=0),"",ROUND($L444-SUMIF('差異の原因'!$B$5:$B$204,$B444,'差異の原因'!$G$5:$G$204),6)))</f>
        <v/>
      </c>
      <c r="R444" s="30" t="n"/>
      <c r="S444" s="23" t="n"/>
      <c r="T444" s="29">
        <f>IF(OR($B444="",NOT(ISNUMBER($R444))),"",IF(IF(ISNUMBER($I444),$I444,N($H444))&lt;=0,"",IF($R444&lt;'設定'!$B$6,"期限切れ",IF($R444='設定'!$B$6,"当日",IF($R444-'設定'!$B$6&lt;=N('設定'!$B$14),"あと"&amp;($R444-'設定'!$B$6)&amp;"日","")))))</f>
        <v/>
      </c>
      <c r="U444" s="61" t="n"/>
      <c r="V444" s="31">
        <f>IF(AND($B444&lt;&gt;"",$E444&lt;&gt;"",$E444='数える用紙'!$C$2),ROW(),"")</f>
        <v/>
      </c>
      <c r="W444" s="74">
        <f>IF(AND($B444&lt;&gt;"",ISNUMBER($R444)),IF(AND($R444&lt;='設定'!$B$6+N('設定'!$B$14),IF(ISNUMBER($I444),$I444,N($H444))&gt;0),$R444+ROW()/100000,""),"")</f>
        <v/>
      </c>
    </row>
    <row r="445" ht="18" customHeight="1">
      <c r="A445" s="22" t="n">
        <v>441</v>
      </c>
      <c r="B445" s="23" t="n"/>
      <c r="C445" s="24" t="n"/>
      <c r="D445" s="24" t="n"/>
      <c r="E445" s="23" t="n"/>
      <c r="F445" s="23" t="n"/>
      <c r="G445" s="25" t="n"/>
      <c r="H445" s="25" t="n"/>
      <c r="I445" s="25" t="n"/>
      <c r="J445" s="72">
        <f>IF(OR($B445="",$H445=""),"",N($G445)*$H445)</f>
        <v/>
      </c>
      <c r="K445" s="72">
        <f>IF(OR($B445="",$I445=""),"",N($G445)*$I445)</f>
        <v/>
      </c>
      <c r="L445" s="27">
        <f>IF(OR($B445="",$H445="",$I445=""),"",$I445-$H445)</f>
        <v/>
      </c>
      <c r="M445" s="72">
        <f>IF($L445="","",$L445*N($G445))</f>
        <v/>
      </c>
      <c r="N445" s="73">
        <f>IF($L445="","",IF($H445&gt;0,ROUND($L445/$H445,4),"－"))</f>
        <v/>
      </c>
      <c r="O445" s="29">
        <f>IF($B445="","",IF($L445="","未入力",IF($L445=0,"一致",IF(OR(NOT(ISNUMBER($N445)),AND('設定'!$B$10&lt;&gt;"",ABS(N($N445))&gt;'設定'!$B$10),AND('設定'!$B$11&lt;&gt;"",ABS(ROUND($M445,4))&gt;'設定'!$B$11),AND('設定'!$B$10="",'設定'!$B$11="")),"要確認","許容内"))))</f>
        <v/>
      </c>
      <c r="P445" s="29">
        <f>IF($O445&lt;&gt;"要確認","",IF($Q445=0,"済",IF(COUNTIF('差異の原因'!$B$5:$B$204,$B445)=0,"未記録","一部")))</f>
        <v/>
      </c>
      <c r="Q445" s="27">
        <f>IF($L445="","",IF(AND($L445=0,COUNTIF('差異の原因'!$B$5:$B$204,$B445)=0),"",ROUND($L445-SUMIF('差異の原因'!$B$5:$B$204,$B445,'差異の原因'!$G$5:$G$204),6)))</f>
        <v/>
      </c>
      <c r="R445" s="30" t="n"/>
      <c r="S445" s="23" t="n"/>
      <c r="T445" s="29">
        <f>IF(OR($B445="",NOT(ISNUMBER($R445))),"",IF(IF(ISNUMBER($I445),$I445,N($H445))&lt;=0,"",IF($R445&lt;'設定'!$B$6,"期限切れ",IF($R445='設定'!$B$6,"当日",IF($R445-'設定'!$B$6&lt;=N('設定'!$B$14),"あと"&amp;($R445-'設定'!$B$6)&amp;"日","")))))</f>
        <v/>
      </c>
      <c r="U445" s="61" t="n"/>
      <c r="V445" s="31">
        <f>IF(AND($B445&lt;&gt;"",$E445&lt;&gt;"",$E445='数える用紙'!$C$2),ROW(),"")</f>
        <v/>
      </c>
      <c r="W445" s="74">
        <f>IF(AND($B445&lt;&gt;"",ISNUMBER($R445)),IF(AND($R445&lt;='設定'!$B$6+N('設定'!$B$14),IF(ISNUMBER($I445),$I445,N($H445))&gt;0),$R445+ROW()/100000,""),"")</f>
        <v/>
      </c>
    </row>
    <row r="446" ht="18" customHeight="1">
      <c r="A446" s="22" t="n">
        <v>442</v>
      </c>
      <c r="B446" s="23" t="n"/>
      <c r="C446" s="24" t="n"/>
      <c r="D446" s="24" t="n"/>
      <c r="E446" s="23" t="n"/>
      <c r="F446" s="23" t="n"/>
      <c r="G446" s="25" t="n"/>
      <c r="H446" s="25" t="n"/>
      <c r="I446" s="25" t="n"/>
      <c r="J446" s="72">
        <f>IF(OR($B446="",$H446=""),"",N($G446)*$H446)</f>
        <v/>
      </c>
      <c r="K446" s="72">
        <f>IF(OR($B446="",$I446=""),"",N($G446)*$I446)</f>
        <v/>
      </c>
      <c r="L446" s="27">
        <f>IF(OR($B446="",$H446="",$I446=""),"",$I446-$H446)</f>
        <v/>
      </c>
      <c r="M446" s="72">
        <f>IF($L446="","",$L446*N($G446))</f>
        <v/>
      </c>
      <c r="N446" s="73">
        <f>IF($L446="","",IF($H446&gt;0,ROUND($L446/$H446,4),"－"))</f>
        <v/>
      </c>
      <c r="O446" s="29">
        <f>IF($B446="","",IF($L446="","未入力",IF($L446=0,"一致",IF(OR(NOT(ISNUMBER($N446)),AND('設定'!$B$10&lt;&gt;"",ABS(N($N446))&gt;'設定'!$B$10),AND('設定'!$B$11&lt;&gt;"",ABS(ROUND($M446,4))&gt;'設定'!$B$11),AND('設定'!$B$10="",'設定'!$B$11="")),"要確認","許容内"))))</f>
        <v/>
      </c>
      <c r="P446" s="29">
        <f>IF($O446&lt;&gt;"要確認","",IF($Q446=0,"済",IF(COUNTIF('差異の原因'!$B$5:$B$204,$B446)=0,"未記録","一部")))</f>
        <v/>
      </c>
      <c r="Q446" s="27">
        <f>IF($L446="","",IF(AND($L446=0,COUNTIF('差異の原因'!$B$5:$B$204,$B446)=0),"",ROUND($L446-SUMIF('差異の原因'!$B$5:$B$204,$B446,'差異の原因'!$G$5:$G$204),6)))</f>
        <v/>
      </c>
      <c r="R446" s="30" t="n"/>
      <c r="S446" s="23" t="n"/>
      <c r="T446" s="29">
        <f>IF(OR($B446="",NOT(ISNUMBER($R446))),"",IF(IF(ISNUMBER($I446),$I446,N($H446))&lt;=0,"",IF($R446&lt;'設定'!$B$6,"期限切れ",IF($R446='設定'!$B$6,"当日",IF($R446-'設定'!$B$6&lt;=N('設定'!$B$14),"あと"&amp;($R446-'設定'!$B$6)&amp;"日","")))))</f>
        <v/>
      </c>
      <c r="U446" s="61" t="n"/>
      <c r="V446" s="31">
        <f>IF(AND($B446&lt;&gt;"",$E446&lt;&gt;"",$E446='数える用紙'!$C$2),ROW(),"")</f>
        <v/>
      </c>
      <c r="W446" s="74">
        <f>IF(AND($B446&lt;&gt;"",ISNUMBER($R446)),IF(AND($R446&lt;='設定'!$B$6+N('設定'!$B$14),IF(ISNUMBER($I446),$I446,N($H446))&gt;0),$R446+ROW()/100000,""),"")</f>
        <v/>
      </c>
    </row>
    <row r="447" ht="18" customHeight="1">
      <c r="A447" s="22" t="n">
        <v>443</v>
      </c>
      <c r="B447" s="23" t="n"/>
      <c r="C447" s="24" t="n"/>
      <c r="D447" s="24" t="n"/>
      <c r="E447" s="23" t="n"/>
      <c r="F447" s="23" t="n"/>
      <c r="G447" s="25" t="n"/>
      <c r="H447" s="25" t="n"/>
      <c r="I447" s="25" t="n"/>
      <c r="J447" s="72">
        <f>IF(OR($B447="",$H447=""),"",N($G447)*$H447)</f>
        <v/>
      </c>
      <c r="K447" s="72">
        <f>IF(OR($B447="",$I447=""),"",N($G447)*$I447)</f>
        <v/>
      </c>
      <c r="L447" s="27">
        <f>IF(OR($B447="",$H447="",$I447=""),"",$I447-$H447)</f>
        <v/>
      </c>
      <c r="M447" s="72">
        <f>IF($L447="","",$L447*N($G447))</f>
        <v/>
      </c>
      <c r="N447" s="73">
        <f>IF($L447="","",IF($H447&gt;0,ROUND($L447/$H447,4),"－"))</f>
        <v/>
      </c>
      <c r="O447" s="29">
        <f>IF($B447="","",IF($L447="","未入力",IF($L447=0,"一致",IF(OR(NOT(ISNUMBER($N447)),AND('設定'!$B$10&lt;&gt;"",ABS(N($N447))&gt;'設定'!$B$10),AND('設定'!$B$11&lt;&gt;"",ABS(ROUND($M447,4))&gt;'設定'!$B$11),AND('設定'!$B$10="",'設定'!$B$11="")),"要確認","許容内"))))</f>
        <v/>
      </c>
      <c r="P447" s="29">
        <f>IF($O447&lt;&gt;"要確認","",IF($Q447=0,"済",IF(COUNTIF('差異の原因'!$B$5:$B$204,$B447)=0,"未記録","一部")))</f>
        <v/>
      </c>
      <c r="Q447" s="27">
        <f>IF($L447="","",IF(AND($L447=0,COUNTIF('差異の原因'!$B$5:$B$204,$B447)=0),"",ROUND($L447-SUMIF('差異の原因'!$B$5:$B$204,$B447,'差異の原因'!$G$5:$G$204),6)))</f>
        <v/>
      </c>
      <c r="R447" s="30" t="n"/>
      <c r="S447" s="23" t="n"/>
      <c r="T447" s="29">
        <f>IF(OR($B447="",NOT(ISNUMBER($R447))),"",IF(IF(ISNUMBER($I447),$I447,N($H447))&lt;=0,"",IF($R447&lt;'設定'!$B$6,"期限切れ",IF($R447='設定'!$B$6,"当日",IF($R447-'設定'!$B$6&lt;=N('設定'!$B$14),"あと"&amp;($R447-'設定'!$B$6)&amp;"日","")))))</f>
        <v/>
      </c>
      <c r="U447" s="61" t="n"/>
      <c r="V447" s="31">
        <f>IF(AND($B447&lt;&gt;"",$E447&lt;&gt;"",$E447='数える用紙'!$C$2),ROW(),"")</f>
        <v/>
      </c>
      <c r="W447" s="74">
        <f>IF(AND($B447&lt;&gt;"",ISNUMBER($R447)),IF(AND($R447&lt;='設定'!$B$6+N('設定'!$B$14),IF(ISNUMBER($I447),$I447,N($H447))&gt;0),$R447+ROW()/100000,""),"")</f>
        <v/>
      </c>
    </row>
    <row r="448" ht="18" customHeight="1">
      <c r="A448" s="22" t="n">
        <v>444</v>
      </c>
      <c r="B448" s="23" t="n"/>
      <c r="C448" s="24" t="n"/>
      <c r="D448" s="24" t="n"/>
      <c r="E448" s="23" t="n"/>
      <c r="F448" s="23" t="n"/>
      <c r="G448" s="25" t="n"/>
      <c r="H448" s="25" t="n"/>
      <c r="I448" s="25" t="n"/>
      <c r="J448" s="72">
        <f>IF(OR($B448="",$H448=""),"",N($G448)*$H448)</f>
        <v/>
      </c>
      <c r="K448" s="72">
        <f>IF(OR($B448="",$I448=""),"",N($G448)*$I448)</f>
        <v/>
      </c>
      <c r="L448" s="27">
        <f>IF(OR($B448="",$H448="",$I448=""),"",$I448-$H448)</f>
        <v/>
      </c>
      <c r="M448" s="72">
        <f>IF($L448="","",$L448*N($G448))</f>
        <v/>
      </c>
      <c r="N448" s="73">
        <f>IF($L448="","",IF($H448&gt;0,ROUND($L448/$H448,4),"－"))</f>
        <v/>
      </c>
      <c r="O448" s="29">
        <f>IF($B448="","",IF($L448="","未入力",IF($L448=0,"一致",IF(OR(NOT(ISNUMBER($N448)),AND('設定'!$B$10&lt;&gt;"",ABS(N($N448))&gt;'設定'!$B$10),AND('設定'!$B$11&lt;&gt;"",ABS(ROUND($M448,4))&gt;'設定'!$B$11),AND('設定'!$B$10="",'設定'!$B$11="")),"要確認","許容内"))))</f>
        <v/>
      </c>
      <c r="P448" s="29">
        <f>IF($O448&lt;&gt;"要確認","",IF($Q448=0,"済",IF(COUNTIF('差異の原因'!$B$5:$B$204,$B448)=0,"未記録","一部")))</f>
        <v/>
      </c>
      <c r="Q448" s="27">
        <f>IF($L448="","",IF(AND($L448=0,COUNTIF('差異の原因'!$B$5:$B$204,$B448)=0),"",ROUND($L448-SUMIF('差異の原因'!$B$5:$B$204,$B448,'差異の原因'!$G$5:$G$204),6)))</f>
        <v/>
      </c>
      <c r="R448" s="30" t="n"/>
      <c r="S448" s="23" t="n"/>
      <c r="T448" s="29">
        <f>IF(OR($B448="",NOT(ISNUMBER($R448))),"",IF(IF(ISNUMBER($I448),$I448,N($H448))&lt;=0,"",IF($R448&lt;'設定'!$B$6,"期限切れ",IF($R448='設定'!$B$6,"当日",IF($R448-'設定'!$B$6&lt;=N('設定'!$B$14),"あと"&amp;($R448-'設定'!$B$6)&amp;"日","")))))</f>
        <v/>
      </c>
      <c r="U448" s="61" t="n"/>
      <c r="V448" s="31">
        <f>IF(AND($B448&lt;&gt;"",$E448&lt;&gt;"",$E448='数える用紙'!$C$2),ROW(),"")</f>
        <v/>
      </c>
      <c r="W448" s="74">
        <f>IF(AND($B448&lt;&gt;"",ISNUMBER($R448)),IF(AND($R448&lt;='設定'!$B$6+N('設定'!$B$14),IF(ISNUMBER($I448),$I448,N($H448))&gt;0),$R448+ROW()/100000,""),"")</f>
        <v/>
      </c>
    </row>
    <row r="449" ht="18" customHeight="1">
      <c r="A449" s="22" t="n">
        <v>445</v>
      </c>
      <c r="B449" s="23" t="n"/>
      <c r="C449" s="24" t="n"/>
      <c r="D449" s="24" t="n"/>
      <c r="E449" s="23" t="n"/>
      <c r="F449" s="23" t="n"/>
      <c r="G449" s="25" t="n"/>
      <c r="H449" s="25" t="n"/>
      <c r="I449" s="25" t="n"/>
      <c r="J449" s="72">
        <f>IF(OR($B449="",$H449=""),"",N($G449)*$H449)</f>
        <v/>
      </c>
      <c r="K449" s="72">
        <f>IF(OR($B449="",$I449=""),"",N($G449)*$I449)</f>
        <v/>
      </c>
      <c r="L449" s="27">
        <f>IF(OR($B449="",$H449="",$I449=""),"",$I449-$H449)</f>
        <v/>
      </c>
      <c r="M449" s="72">
        <f>IF($L449="","",$L449*N($G449))</f>
        <v/>
      </c>
      <c r="N449" s="73">
        <f>IF($L449="","",IF($H449&gt;0,ROUND($L449/$H449,4),"－"))</f>
        <v/>
      </c>
      <c r="O449" s="29">
        <f>IF($B449="","",IF($L449="","未入力",IF($L449=0,"一致",IF(OR(NOT(ISNUMBER($N449)),AND('設定'!$B$10&lt;&gt;"",ABS(N($N449))&gt;'設定'!$B$10),AND('設定'!$B$11&lt;&gt;"",ABS(ROUND($M449,4))&gt;'設定'!$B$11),AND('設定'!$B$10="",'設定'!$B$11="")),"要確認","許容内"))))</f>
        <v/>
      </c>
      <c r="P449" s="29">
        <f>IF($O449&lt;&gt;"要確認","",IF($Q449=0,"済",IF(COUNTIF('差異の原因'!$B$5:$B$204,$B449)=0,"未記録","一部")))</f>
        <v/>
      </c>
      <c r="Q449" s="27">
        <f>IF($L449="","",IF(AND($L449=0,COUNTIF('差異の原因'!$B$5:$B$204,$B449)=0),"",ROUND($L449-SUMIF('差異の原因'!$B$5:$B$204,$B449,'差異の原因'!$G$5:$G$204),6)))</f>
        <v/>
      </c>
      <c r="R449" s="30" t="n"/>
      <c r="S449" s="23" t="n"/>
      <c r="T449" s="29">
        <f>IF(OR($B449="",NOT(ISNUMBER($R449))),"",IF(IF(ISNUMBER($I449),$I449,N($H449))&lt;=0,"",IF($R449&lt;'設定'!$B$6,"期限切れ",IF($R449='設定'!$B$6,"当日",IF($R449-'設定'!$B$6&lt;=N('設定'!$B$14),"あと"&amp;($R449-'設定'!$B$6)&amp;"日","")))))</f>
        <v/>
      </c>
      <c r="U449" s="61" t="n"/>
      <c r="V449" s="31">
        <f>IF(AND($B449&lt;&gt;"",$E449&lt;&gt;"",$E449='数える用紙'!$C$2),ROW(),"")</f>
        <v/>
      </c>
      <c r="W449" s="74">
        <f>IF(AND($B449&lt;&gt;"",ISNUMBER($R449)),IF(AND($R449&lt;='設定'!$B$6+N('設定'!$B$14),IF(ISNUMBER($I449),$I449,N($H449))&gt;0),$R449+ROW()/100000,""),"")</f>
        <v/>
      </c>
    </row>
    <row r="450" ht="18" customHeight="1">
      <c r="A450" s="22" t="n">
        <v>446</v>
      </c>
      <c r="B450" s="23" t="n"/>
      <c r="C450" s="24" t="n"/>
      <c r="D450" s="24" t="n"/>
      <c r="E450" s="23" t="n"/>
      <c r="F450" s="23" t="n"/>
      <c r="G450" s="25" t="n"/>
      <c r="H450" s="25" t="n"/>
      <c r="I450" s="25" t="n"/>
      <c r="J450" s="72">
        <f>IF(OR($B450="",$H450=""),"",N($G450)*$H450)</f>
        <v/>
      </c>
      <c r="K450" s="72">
        <f>IF(OR($B450="",$I450=""),"",N($G450)*$I450)</f>
        <v/>
      </c>
      <c r="L450" s="27">
        <f>IF(OR($B450="",$H450="",$I450=""),"",$I450-$H450)</f>
        <v/>
      </c>
      <c r="M450" s="72">
        <f>IF($L450="","",$L450*N($G450))</f>
        <v/>
      </c>
      <c r="N450" s="73">
        <f>IF($L450="","",IF($H450&gt;0,ROUND($L450/$H450,4),"－"))</f>
        <v/>
      </c>
      <c r="O450" s="29">
        <f>IF($B450="","",IF($L450="","未入力",IF($L450=0,"一致",IF(OR(NOT(ISNUMBER($N450)),AND('設定'!$B$10&lt;&gt;"",ABS(N($N450))&gt;'設定'!$B$10),AND('設定'!$B$11&lt;&gt;"",ABS(ROUND($M450,4))&gt;'設定'!$B$11),AND('設定'!$B$10="",'設定'!$B$11="")),"要確認","許容内"))))</f>
        <v/>
      </c>
      <c r="P450" s="29">
        <f>IF($O450&lt;&gt;"要確認","",IF($Q450=0,"済",IF(COUNTIF('差異の原因'!$B$5:$B$204,$B450)=0,"未記録","一部")))</f>
        <v/>
      </c>
      <c r="Q450" s="27">
        <f>IF($L450="","",IF(AND($L450=0,COUNTIF('差異の原因'!$B$5:$B$204,$B450)=0),"",ROUND($L450-SUMIF('差異の原因'!$B$5:$B$204,$B450,'差異の原因'!$G$5:$G$204),6)))</f>
        <v/>
      </c>
      <c r="R450" s="30" t="n"/>
      <c r="S450" s="23" t="n"/>
      <c r="T450" s="29">
        <f>IF(OR($B450="",NOT(ISNUMBER($R450))),"",IF(IF(ISNUMBER($I450),$I450,N($H450))&lt;=0,"",IF($R450&lt;'設定'!$B$6,"期限切れ",IF($R450='設定'!$B$6,"当日",IF($R450-'設定'!$B$6&lt;=N('設定'!$B$14),"あと"&amp;($R450-'設定'!$B$6)&amp;"日","")))))</f>
        <v/>
      </c>
      <c r="U450" s="61" t="n"/>
      <c r="V450" s="31">
        <f>IF(AND($B450&lt;&gt;"",$E450&lt;&gt;"",$E450='数える用紙'!$C$2),ROW(),"")</f>
        <v/>
      </c>
      <c r="W450" s="74">
        <f>IF(AND($B450&lt;&gt;"",ISNUMBER($R450)),IF(AND($R450&lt;='設定'!$B$6+N('設定'!$B$14),IF(ISNUMBER($I450),$I450,N($H450))&gt;0),$R450+ROW()/100000,""),"")</f>
        <v/>
      </c>
    </row>
    <row r="451" ht="18" customHeight="1">
      <c r="A451" s="22" t="n">
        <v>447</v>
      </c>
      <c r="B451" s="23" t="n"/>
      <c r="C451" s="24" t="n"/>
      <c r="D451" s="24" t="n"/>
      <c r="E451" s="23" t="n"/>
      <c r="F451" s="23" t="n"/>
      <c r="G451" s="25" t="n"/>
      <c r="H451" s="25" t="n"/>
      <c r="I451" s="25" t="n"/>
      <c r="J451" s="72">
        <f>IF(OR($B451="",$H451=""),"",N($G451)*$H451)</f>
        <v/>
      </c>
      <c r="K451" s="72">
        <f>IF(OR($B451="",$I451=""),"",N($G451)*$I451)</f>
        <v/>
      </c>
      <c r="L451" s="27">
        <f>IF(OR($B451="",$H451="",$I451=""),"",$I451-$H451)</f>
        <v/>
      </c>
      <c r="M451" s="72">
        <f>IF($L451="","",$L451*N($G451))</f>
        <v/>
      </c>
      <c r="N451" s="73">
        <f>IF($L451="","",IF($H451&gt;0,ROUND($L451/$H451,4),"－"))</f>
        <v/>
      </c>
      <c r="O451" s="29">
        <f>IF($B451="","",IF($L451="","未入力",IF($L451=0,"一致",IF(OR(NOT(ISNUMBER($N451)),AND('設定'!$B$10&lt;&gt;"",ABS(N($N451))&gt;'設定'!$B$10),AND('設定'!$B$11&lt;&gt;"",ABS(ROUND($M451,4))&gt;'設定'!$B$11),AND('設定'!$B$10="",'設定'!$B$11="")),"要確認","許容内"))))</f>
        <v/>
      </c>
      <c r="P451" s="29">
        <f>IF($O451&lt;&gt;"要確認","",IF($Q451=0,"済",IF(COUNTIF('差異の原因'!$B$5:$B$204,$B451)=0,"未記録","一部")))</f>
        <v/>
      </c>
      <c r="Q451" s="27">
        <f>IF($L451="","",IF(AND($L451=0,COUNTIF('差異の原因'!$B$5:$B$204,$B451)=0),"",ROUND($L451-SUMIF('差異の原因'!$B$5:$B$204,$B451,'差異の原因'!$G$5:$G$204),6)))</f>
        <v/>
      </c>
      <c r="R451" s="30" t="n"/>
      <c r="S451" s="23" t="n"/>
      <c r="T451" s="29">
        <f>IF(OR($B451="",NOT(ISNUMBER($R451))),"",IF(IF(ISNUMBER($I451),$I451,N($H451))&lt;=0,"",IF($R451&lt;'設定'!$B$6,"期限切れ",IF($R451='設定'!$B$6,"当日",IF($R451-'設定'!$B$6&lt;=N('設定'!$B$14),"あと"&amp;($R451-'設定'!$B$6)&amp;"日","")))))</f>
        <v/>
      </c>
      <c r="U451" s="61" t="n"/>
      <c r="V451" s="31">
        <f>IF(AND($B451&lt;&gt;"",$E451&lt;&gt;"",$E451='数える用紙'!$C$2),ROW(),"")</f>
        <v/>
      </c>
      <c r="W451" s="74">
        <f>IF(AND($B451&lt;&gt;"",ISNUMBER($R451)),IF(AND($R451&lt;='設定'!$B$6+N('設定'!$B$14),IF(ISNUMBER($I451),$I451,N($H451))&gt;0),$R451+ROW()/100000,""),"")</f>
        <v/>
      </c>
    </row>
    <row r="452" ht="18" customHeight="1">
      <c r="A452" s="22" t="n">
        <v>448</v>
      </c>
      <c r="B452" s="23" t="n"/>
      <c r="C452" s="24" t="n"/>
      <c r="D452" s="24" t="n"/>
      <c r="E452" s="23" t="n"/>
      <c r="F452" s="23" t="n"/>
      <c r="G452" s="25" t="n"/>
      <c r="H452" s="25" t="n"/>
      <c r="I452" s="25" t="n"/>
      <c r="J452" s="72">
        <f>IF(OR($B452="",$H452=""),"",N($G452)*$H452)</f>
        <v/>
      </c>
      <c r="K452" s="72">
        <f>IF(OR($B452="",$I452=""),"",N($G452)*$I452)</f>
        <v/>
      </c>
      <c r="L452" s="27">
        <f>IF(OR($B452="",$H452="",$I452=""),"",$I452-$H452)</f>
        <v/>
      </c>
      <c r="M452" s="72">
        <f>IF($L452="","",$L452*N($G452))</f>
        <v/>
      </c>
      <c r="N452" s="73">
        <f>IF($L452="","",IF($H452&gt;0,ROUND($L452/$H452,4),"－"))</f>
        <v/>
      </c>
      <c r="O452" s="29">
        <f>IF($B452="","",IF($L452="","未入力",IF($L452=0,"一致",IF(OR(NOT(ISNUMBER($N452)),AND('設定'!$B$10&lt;&gt;"",ABS(N($N452))&gt;'設定'!$B$10),AND('設定'!$B$11&lt;&gt;"",ABS(ROUND($M452,4))&gt;'設定'!$B$11),AND('設定'!$B$10="",'設定'!$B$11="")),"要確認","許容内"))))</f>
        <v/>
      </c>
      <c r="P452" s="29">
        <f>IF($O452&lt;&gt;"要確認","",IF($Q452=0,"済",IF(COUNTIF('差異の原因'!$B$5:$B$204,$B452)=0,"未記録","一部")))</f>
        <v/>
      </c>
      <c r="Q452" s="27">
        <f>IF($L452="","",IF(AND($L452=0,COUNTIF('差異の原因'!$B$5:$B$204,$B452)=0),"",ROUND($L452-SUMIF('差異の原因'!$B$5:$B$204,$B452,'差異の原因'!$G$5:$G$204),6)))</f>
        <v/>
      </c>
      <c r="R452" s="30" t="n"/>
      <c r="S452" s="23" t="n"/>
      <c r="T452" s="29">
        <f>IF(OR($B452="",NOT(ISNUMBER($R452))),"",IF(IF(ISNUMBER($I452),$I452,N($H452))&lt;=0,"",IF($R452&lt;'設定'!$B$6,"期限切れ",IF($R452='設定'!$B$6,"当日",IF($R452-'設定'!$B$6&lt;=N('設定'!$B$14),"あと"&amp;($R452-'設定'!$B$6)&amp;"日","")))))</f>
        <v/>
      </c>
      <c r="U452" s="61" t="n"/>
      <c r="V452" s="31">
        <f>IF(AND($B452&lt;&gt;"",$E452&lt;&gt;"",$E452='数える用紙'!$C$2),ROW(),"")</f>
        <v/>
      </c>
      <c r="W452" s="74">
        <f>IF(AND($B452&lt;&gt;"",ISNUMBER($R452)),IF(AND($R452&lt;='設定'!$B$6+N('設定'!$B$14),IF(ISNUMBER($I452),$I452,N($H452))&gt;0),$R452+ROW()/100000,""),"")</f>
        <v/>
      </c>
    </row>
    <row r="453" ht="18" customHeight="1">
      <c r="A453" s="22" t="n">
        <v>449</v>
      </c>
      <c r="B453" s="23" t="n"/>
      <c r="C453" s="24" t="n"/>
      <c r="D453" s="24" t="n"/>
      <c r="E453" s="23" t="n"/>
      <c r="F453" s="23" t="n"/>
      <c r="G453" s="25" t="n"/>
      <c r="H453" s="25" t="n"/>
      <c r="I453" s="25" t="n"/>
      <c r="J453" s="72">
        <f>IF(OR($B453="",$H453=""),"",N($G453)*$H453)</f>
        <v/>
      </c>
      <c r="K453" s="72">
        <f>IF(OR($B453="",$I453=""),"",N($G453)*$I453)</f>
        <v/>
      </c>
      <c r="L453" s="27">
        <f>IF(OR($B453="",$H453="",$I453=""),"",$I453-$H453)</f>
        <v/>
      </c>
      <c r="M453" s="72">
        <f>IF($L453="","",$L453*N($G453))</f>
        <v/>
      </c>
      <c r="N453" s="73">
        <f>IF($L453="","",IF($H453&gt;0,ROUND($L453/$H453,4),"－"))</f>
        <v/>
      </c>
      <c r="O453" s="29">
        <f>IF($B453="","",IF($L453="","未入力",IF($L453=0,"一致",IF(OR(NOT(ISNUMBER($N453)),AND('設定'!$B$10&lt;&gt;"",ABS(N($N453))&gt;'設定'!$B$10),AND('設定'!$B$11&lt;&gt;"",ABS(ROUND($M453,4))&gt;'設定'!$B$11),AND('設定'!$B$10="",'設定'!$B$11="")),"要確認","許容内"))))</f>
        <v/>
      </c>
      <c r="P453" s="29">
        <f>IF($O453&lt;&gt;"要確認","",IF($Q453=0,"済",IF(COUNTIF('差異の原因'!$B$5:$B$204,$B453)=0,"未記録","一部")))</f>
        <v/>
      </c>
      <c r="Q453" s="27">
        <f>IF($L453="","",IF(AND($L453=0,COUNTIF('差異の原因'!$B$5:$B$204,$B453)=0),"",ROUND($L453-SUMIF('差異の原因'!$B$5:$B$204,$B453,'差異の原因'!$G$5:$G$204),6)))</f>
        <v/>
      </c>
      <c r="R453" s="30" t="n"/>
      <c r="S453" s="23" t="n"/>
      <c r="T453" s="29">
        <f>IF(OR($B453="",NOT(ISNUMBER($R453))),"",IF(IF(ISNUMBER($I453),$I453,N($H453))&lt;=0,"",IF($R453&lt;'設定'!$B$6,"期限切れ",IF($R453='設定'!$B$6,"当日",IF($R453-'設定'!$B$6&lt;=N('設定'!$B$14),"あと"&amp;($R453-'設定'!$B$6)&amp;"日","")))))</f>
        <v/>
      </c>
      <c r="U453" s="61" t="n"/>
      <c r="V453" s="31">
        <f>IF(AND($B453&lt;&gt;"",$E453&lt;&gt;"",$E453='数える用紙'!$C$2),ROW(),"")</f>
        <v/>
      </c>
      <c r="W453" s="74">
        <f>IF(AND($B453&lt;&gt;"",ISNUMBER($R453)),IF(AND($R453&lt;='設定'!$B$6+N('設定'!$B$14),IF(ISNUMBER($I453),$I453,N($H453))&gt;0),$R453+ROW()/100000,""),"")</f>
        <v/>
      </c>
    </row>
    <row r="454" ht="18" customHeight="1">
      <c r="A454" s="22" t="n">
        <v>450</v>
      </c>
      <c r="B454" s="23" t="n"/>
      <c r="C454" s="24" t="n"/>
      <c r="D454" s="24" t="n"/>
      <c r="E454" s="23" t="n"/>
      <c r="F454" s="23" t="n"/>
      <c r="G454" s="25" t="n"/>
      <c r="H454" s="25" t="n"/>
      <c r="I454" s="25" t="n"/>
      <c r="J454" s="72">
        <f>IF(OR($B454="",$H454=""),"",N($G454)*$H454)</f>
        <v/>
      </c>
      <c r="K454" s="72">
        <f>IF(OR($B454="",$I454=""),"",N($G454)*$I454)</f>
        <v/>
      </c>
      <c r="L454" s="27">
        <f>IF(OR($B454="",$H454="",$I454=""),"",$I454-$H454)</f>
        <v/>
      </c>
      <c r="M454" s="72">
        <f>IF($L454="","",$L454*N($G454))</f>
        <v/>
      </c>
      <c r="N454" s="73">
        <f>IF($L454="","",IF($H454&gt;0,ROUND($L454/$H454,4),"－"))</f>
        <v/>
      </c>
      <c r="O454" s="29">
        <f>IF($B454="","",IF($L454="","未入力",IF($L454=0,"一致",IF(OR(NOT(ISNUMBER($N454)),AND('設定'!$B$10&lt;&gt;"",ABS(N($N454))&gt;'設定'!$B$10),AND('設定'!$B$11&lt;&gt;"",ABS(ROUND($M454,4))&gt;'設定'!$B$11),AND('設定'!$B$10="",'設定'!$B$11="")),"要確認","許容内"))))</f>
        <v/>
      </c>
      <c r="P454" s="29">
        <f>IF($O454&lt;&gt;"要確認","",IF($Q454=0,"済",IF(COUNTIF('差異の原因'!$B$5:$B$204,$B454)=0,"未記録","一部")))</f>
        <v/>
      </c>
      <c r="Q454" s="27">
        <f>IF($L454="","",IF(AND($L454=0,COUNTIF('差異の原因'!$B$5:$B$204,$B454)=0),"",ROUND($L454-SUMIF('差異の原因'!$B$5:$B$204,$B454,'差異の原因'!$G$5:$G$204),6)))</f>
        <v/>
      </c>
      <c r="R454" s="30" t="n"/>
      <c r="S454" s="23" t="n"/>
      <c r="T454" s="29">
        <f>IF(OR($B454="",NOT(ISNUMBER($R454))),"",IF(IF(ISNUMBER($I454),$I454,N($H454))&lt;=0,"",IF($R454&lt;'設定'!$B$6,"期限切れ",IF($R454='設定'!$B$6,"当日",IF($R454-'設定'!$B$6&lt;=N('設定'!$B$14),"あと"&amp;($R454-'設定'!$B$6)&amp;"日","")))))</f>
        <v/>
      </c>
      <c r="U454" s="61" t="n"/>
      <c r="V454" s="31">
        <f>IF(AND($B454&lt;&gt;"",$E454&lt;&gt;"",$E454='数える用紙'!$C$2),ROW(),"")</f>
        <v/>
      </c>
      <c r="W454" s="74">
        <f>IF(AND($B454&lt;&gt;"",ISNUMBER($R454)),IF(AND($R454&lt;='設定'!$B$6+N('設定'!$B$14),IF(ISNUMBER($I454),$I454,N($H454))&gt;0),$R454+ROW()/100000,""),"")</f>
        <v/>
      </c>
    </row>
    <row r="455" ht="18" customHeight="1">
      <c r="A455" s="22" t="n">
        <v>451</v>
      </c>
      <c r="B455" s="23" t="n"/>
      <c r="C455" s="24" t="n"/>
      <c r="D455" s="24" t="n"/>
      <c r="E455" s="23" t="n"/>
      <c r="F455" s="23" t="n"/>
      <c r="G455" s="25" t="n"/>
      <c r="H455" s="25" t="n"/>
      <c r="I455" s="25" t="n"/>
      <c r="J455" s="72">
        <f>IF(OR($B455="",$H455=""),"",N($G455)*$H455)</f>
        <v/>
      </c>
      <c r="K455" s="72">
        <f>IF(OR($B455="",$I455=""),"",N($G455)*$I455)</f>
        <v/>
      </c>
      <c r="L455" s="27">
        <f>IF(OR($B455="",$H455="",$I455=""),"",$I455-$H455)</f>
        <v/>
      </c>
      <c r="M455" s="72">
        <f>IF($L455="","",$L455*N($G455))</f>
        <v/>
      </c>
      <c r="N455" s="73">
        <f>IF($L455="","",IF($H455&gt;0,ROUND($L455/$H455,4),"－"))</f>
        <v/>
      </c>
      <c r="O455" s="29">
        <f>IF($B455="","",IF($L455="","未入力",IF($L455=0,"一致",IF(OR(NOT(ISNUMBER($N455)),AND('設定'!$B$10&lt;&gt;"",ABS(N($N455))&gt;'設定'!$B$10),AND('設定'!$B$11&lt;&gt;"",ABS(ROUND($M455,4))&gt;'設定'!$B$11),AND('設定'!$B$10="",'設定'!$B$11="")),"要確認","許容内"))))</f>
        <v/>
      </c>
      <c r="P455" s="29">
        <f>IF($O455&lt;&gt;"要確認","",IF($Q455=0,"済",IF(COUNTIF('差異の原因'!$B$5:$B$204,$B455)=0,"未記録","一部")))</f>
        <v/>
      </c>
      <c r="Q455" s="27">
        <f>IF($L455="","",IF(AND($L455=0,COUNTIF('差異の原因'!$B$5:$B$204,$B455)=0),"",ROUND($L455-SUMIF('差異の原因'!$B$5:$B$204,$B455,'差異の原因'!$G$5:$G$204),6)))</f>
        <v/>
      </c>
      <c r="R455" s="30" t="n"/>
      <c r="S455" s="23" t="n"/>
      <c r="T455" s="29">
        <f>IF(OR($B455="",NOT(ISNUMBER($R455))),"",IF(IF(ISNUMBER($I455),$I455,N($H455))&lt;=0,"",IF($R455&lt;'設定'!$B$6,"期限切れ",IF($R455='設定'!$B$6,"当日",IF($R455-'設定'!$B$6&lt;=N('設定'!$B$14),"あと"&amp;($R455-'設定'!$B$6)&amp;"日","")))))</f>
        <v/>
      </c>
      <c r="U455" s="61" t="n"/>
      <c r="V455" s="31">
        <f>IF(AND($B455&lt;&gt;"",$E455&lt;&gt;"",$E455='数える用紙'!$C$2),ROW(),"")</f>
        <v/>
      </c>
      <c r="W455" s="74">
        <f>IF(AND($B455&lt;&gt;"",ISNUMBER($R455)),IF(AND($R455&lt;='設定'!$B$6+N('設定'!$B$14),IF(ISNUMBER($I455),$I455,N($H455))&gt;0),$R455+ROW()/100000,""),"")</f>
        <v/>
      </c>
    </row>
    <row r="456" ht="18" customHeight="1">
      <c r="A456" s="22" t="n">
        <v>452</v>
      </c>
      <c r="B456" s="23" t="n"/>
      <c r="C456" s="24" t="n"/>
      <c r="D456" s="24" t="n"/>
      <c r="E456" s="23" t="n"/>
      <c r="F456" s="23" t="n"/>
      <c r="G456" s="25" t="n"/>
      <c r="H456" s="25" t="n"/>
      <c r="I456" s="25" t="n"/>
      <c r="J456" s="72">
        <f>IF(OR($B456="",$H456=""),"",N($G456)*$H456)</f>
        <v/>
      </c>
      <c r="K456" s="72">
        <f>IF(OR($B456="",$I456=""),"",N($G456)*$I456)</f>
        <v/>
      </c>
      <c r="L456" s="27">
        <f>IF(OR($B456="",$H456="",$I456=""),"",$I456-$H456)</f>
        <v/>
      </c>
      <c r="M456" s="72">
        <f>IF($L456="","",$L456*N($G456))</f>
        <v/>
      </c>
      <c r="N456" s="73">
        <f>IF($L456="","",IF($H456&gt;0,ROUND($L456/$H456,4),"－"))</f>
        <v/>
      </c>
      <c r="O456" s="29">
        <f>IF($B456="","",IF($L456="","未入力",IF($L456=0,"一致",IF(OR(NOT(ISNUMBER($N456)),AND('設定'!$B$10&lt;&gt;"",ABS(N($N456))&gt;'設定'!$B$10),AND('設定'!$B$11&lt;&gt;"",ABS(ROUND($M456,4))&gt;'設定'!$B$11),AND('設定'!$B$10="",'設定'!$B$11="")),"要確認","許容内"))))</f>
        <v/>
      </c>
      <c r="P456" s="29">
        <f>IF($O456&lt;&gt;"要確認","",IF($Q456=0,"済",IF(COUNTIF('差異の原因'!$B$5:$B$204,$B456)=0,"未記録","一部")))</f>
        <v/>
      </c>
      <c r="Q456" s="27">
        <f>IF($L456="","",IF(AND($L456=0,COUNTIF('差異の原因'!$B$5:$B$204,$B456)=0),"",ROUND($L456-SUMIF('差異の原因'!$B$5:$B$204,$B456,'差異の原因'!$G$5:$G$204),6)))</f>
        <v/>
      </c>
      <c r="R456" s="30" t="n"/>
      <c r="S456" s="23" t="n"/>
      <c r="T456" s="29">
        <f>IF(OR($B456="",NOT(ISNUMBER($R456))),"",IF(IF(ISNUMBER($I456),$I456,N($H456))&lt;=0,"",IF($R456&lt;'設定'!$B$6,"期限切れ",IF($R456='設定'!$B$6,"当日",IF($R456-'設定'!$B$6&lt;=N('設定'!$B$14),"あと"&amp;($R456-'設定'!$B$6)&amp;"日","")))))</f>
        <v/>
      </c>
      <c r="U456" s="61" t="n"/>
      <c r="V456" s="31">
        <f>IF(AND($B456&lt;&gt;"",$E456&lt;&gt;"",$E456='数える用紙'!$C$2),ROW(),"")</f>
        <v/>
      </c>
      <c r="W456" s="74">
        <f>IF(AND($B456&lt;&gt;"",ISNUMBER($R456)),IF(AND($R456&lt;='設定'!$B$6+N('設定'!$B$14),IF(ISNUMBER($I456),$I456,N($H456))&gt;0),$R456+ROW()/100000,""),"")</f>
        <v/>
      </c>
    </row>
    <row r="457" ht="18" customHeight="1">
      <c r="A457" s="22" t="n">
        <v>453</v>
      </c>
      <c r="B457" s="23" t="n"/>
      <c r="C457" s="24" t="n"/>
      <c r="D457" s="24" t="n"/>
      <c r="E457" s="23" t="n"/>
      <c r="F457" s="23" t="n"/>
      <c r="G457" s="25" t="n"/>
      <c r="H457" s="25" t="n"/>
      <c r="I457" s="25" t="n"/>
      <c r="J457" s="72">
        <f>IF(OR($B457="",$H457=""),"",N($G457)*$H457)</f>
        <v/>
      </c>
      <c r="K457" s="72">
        <f>IF(OR($B457="",$I457=""),"",N($G457)*$I457)</f>
        <v/>
      </c>
      <c r="L457" s="27">
        <f>IF(OR($B457="",$H457="",$I457=""),"",$I457-$H457)</f>
        <v/>
      </c>
      <c r="M457" s="72">
        <f>IF($L457="","",$L457*N($G457))</f>
        <v/>
      </c>
      <c r="N457" s="73">
        <f>IF($L457="","",IF($H457&gt;0,ROUND($L457/$H457,4),"－"))</f>
        <v/>
      </c>
      <c r="O457" s="29">
        <f>IF($B457="","",IF($L457="","未入力",IF($L457=0,"一致",IF(OR(NOT(ISNUMBER($N457)),AND('設定'!$B$10&lt;&gt;"",ABS(N($N457))&gt;'設定'!$B$10),AND('設定'!$B$11&lt;&gt;"",ABS(ROUND($M457,4))&gt;'設定'!$B$11),AND('設定'!$B$10="",'設定'!$B$11="")),"要確認","許容内"))))</f>
        <v/>
      </c>
      <c r="P457" s="29">
        <f>IF($O457&lt;&gt;"要確認","",IF($Q457=0,"済",IF(COUNTIF('差異の原因'!$B$5:$B$204,$B457)=0,"未記録","一部")))</f>
        <v/>
      </c>
      <c r="Q457" s="27">
        <f>IF($L457="","",IF(AND($L457=0,COUNTIF('差異の原因'!$B$5:$B$204,$B457)=0),"",ROUND($L457-SUMIF('差異の原因'!$B$5:$B$204,$B457,'差異の原因'!$G$5:$G$204),6)))</f>
        <v/>
      </c>
      <c r="R457" s="30" t="n"/>
      <c r="S457" s="23" t="n"/>
      <c r="T457" s="29">
        <f>IF(OR($B457="",NOT(ISNUMBER($R457))),"",IF(IF(ISNUMBER($I457),$I457,N($H457))&lt;=0,"",IF($R457&lt;'設定'!$B$6,"期限切れ",IF($R457='設定'!$B$6,"当日",IF($R457-'設定'!$B$6&lt;=N('設定'!$B$14),"あと"&amp;($R457-'設定'!$B$6)&amp;"日","")))))</f>
        <v/>
      </c>
      <c r="U457" s="61" t="n"/>
      <c r="V457" s="31">
        <f>IF(AND($B457&lt;&gt;"",$E457&lt;&gt;"",$E457='数える用紙'!$C$2),ROW(),"")</f>
        <v/>
      </c>
      <c r="W457" s="74">
        <f>IF(AND($B457&lt;&gt;"",ISNUMBER($R457)),IF(AND($R457&lt;='設定'!$B$6+N('設定'!$B$14),IF(ISNUMBER($I457),$I457,N($H457))&gt;0),$R457+ROW()/100000,""),"")</f>
        <v/>
      </c>
    </row>
    <row r="458" ht="18" customHeight="1">
      <c r="A458" s="22" t="n">
        <v>454</v>
      </c>
      <c r="B458" s="23" t="n"/>
      <c r="C458" s="24" t="n"/>
      <c r="D458" s="24" t="n"/>
      <c r="E458" s="23" t="n"/>
      <c r="F458" s="23" t="n"/>
      <c r="G458" s="25" t="n"/>
      <c r="H458" s="25" t="n"/>
      <c r="I458" s="25" t="n"/>
      <c r="J458" s="72">
        <f>IF(OR($B458="",$H458=""),"",N($G458)*$H458)</f>
        <v/>
      </c>
      <c r="K458" s="72">
        <f>IF(OR($B458="",$I458=""),"",N($G458)*$I458)</f>
        <v/>
      </c>
      <c r="L458" s="27">
        <f>IF(OR($B458="",$H458="",$I458=""),"",$I458-$H458)</f>
        <v/>
      </c>
      <c r="M458" s="72">
        <f>IF($L458="","",$L458*N($G458))</f>
        <v/>
      </c>
      <c r="N458" s="73">
        <f>IF($L458="","",IF($H458&gt;0,ROUND($L458/$H458,4),"－"))</f>
        <v/>
      </c>
      <c r="O458" s="29">
        <f>IF($B458="","",IF($L458="","未入力",IF($L458=0,"一致",IF(OR(NOT(ISNUMBER($N458)),AND('設定'!$B$10&lt;&gt;"",ABS(N($N458))&gt;'設定'!$B$10),AND('設定'!$B$11&lt;&gt;"",ABS(ROUND($M458,4))&gt;'設定'!$B$11),AND('設定'!$B$10="",'設定'!$B$11="")),"要確認","許容内"))))</f>
        <v/>
      </c>
      <c r="P458" s="29">
        <f>IF($O458&lt;&gt;"要確認","",IF($Q458=0,"済",IF(COUNTIF('差異の原因'!$B$5:$B$204,$B458)=0,"未記録","一部")))</f>
        <v/>
      </c>
      <c r="Q458" s="27">
        <f>IF($L458="","",IF(AND($L458=0,COUNTIF('差異の原因'!$B$5:$B$204,$B458)=0),"",ROUND($L458-SUMIF('差異の原因'!$B$5:$B$204,$B458,'差異の原因'!$G$5:$G$204),6)))</f>
        <v/>
      </c>
      <c r="R458" s="30" t="n"/>
      <c r="S458" s="23" t="n"/>
      <c r="T458" s="29">
        <f>IF(OR($B458="",NOT(ISNUMBER($R458))),"",IF(IF(ISNUMBER($I458),$I458,N($H458))&lt;=0,"",IF($R458&lt;'設定'!$B$6,"期限切れ",IF($R458='設定'!$B$6,"当日",IF($R458-'設定'!$B$6&lt;=N('設定'!$B$14),"あと"&amp;($R458-'設定'!$B$6)&amp;"日","")))))</f>
        <v/>
      </c>
      <c r="U458" s="61" t="n"/>
      <c r="V458" s="31">
        <f>IF(AND($B458&lt;&gt;"",$E458&lt;&gt;"",$E458='数える用紙'!$C$2),ROW(),"")</f>
        <v/>
      </c>
      <c r="W458" s="74">
        <f>IF(AND($B458&lt;&gt;"",ISNUMBER($R458)),IF(AND($R458&lt;='設定'!$B$6+N('設定'!$B$14),IF(ISNUMBER($I458),$I458,N($H458))&gt;0),$R458+ROW()/100000,""),"")</f>
        <v/>
      </c>
    </row>
    <row r="459" ht="18" customHeight="1">
      <c r="A459" s="22" t="n">
        <v>455</v>
      </c>
      <c r="B459" s="23" t="n"/>
      <c r="C459" s="24" t="n"/>
      <c r="D459" s="24" t="n"/>
      <c r="E459" s="23" t="n"/>
      <c r="F459" s="23" t="n"/>
      <c r="G459" s="25" t="n"/>
      <c r="H459" s="25" t="n"/>
      <c r="I459" s="25" t="n"/>
      <c r="J459" s="72">
        <f>IF(OR($B459="",$H459=""),"",N($G459)*$H459)</f>
        <v/>
      </c>
      <c r="K459" s="72">
        <f>IF(OR($B459="",$I459=""),"",N($G459)*$I459)</f>
        <v/>
      </c>
      <c r="L459" s="27">
        <f>IF(OR($B459="",$H459="",$I459=""),"",$I459-$H459)</f>
        <v/>
      </c>
      <c r="M459" s="72">
        <f>IF($L459="","",$L459*N($G459))</f>
        <v/>
      </c>
      <c r="N459" s="73">
        <f>IF($L459="","",IF($H459&gt;0,ROUND($L459/$H459,4),"－"))</f>
        <v/>
      </c>
      <c r="O459" s="29">
        <f>IF($B459="","",IF($L459="","未入力",IF($L459=0,"一致",IF(OR(NOT(ISNUMBER($N459)),AND('設定'!$B$10&lt;&gt;"",ABS(N($N459))&gt;'設定'!$B$10),AND('設定'!$B$11&lt;&gt;"",ABS(ROUND($M459,4))&gt;'設定'!$B$11),AND('設定'!$B$10="",'設定'!$B$11="")),"要確認","許容内"))))</f>
        <v/>
      </c>
      <c r="P459" s="29">
        <f>IF($O459&lt;&gt;"要確認","",IF($Q459=0,"済",IF(COUNTIF('差異の原因'!$B$5:$B$204,$B459)=0,"未記録","一部")))</f>
        <v/>
      </c>
      <c r="Q459" s="27">
        <f>IF($L459="","",IF(AND($L459=0,COUNTIF('差異の原因'!$B$5:$B$204,$B459)=0),"",ROUND($L459-SUMIF('差異の原因'!$B$5:$B$204,$B459,'差異の原因'!$G$5:$G$204),6)))</f>
        <v/>
      </c>
      <c r="R459" s="30" t="n"/>
      <c r="S459" s="23" t="n"/>
      <c r="T459" s="29">
        <f>IF(OR($B459="",NOT(ISNUMBER($R459))),"",IF(IF(ISNUMBER($I459),$I459,N($H459))&lt;=0,"",IF($R459&lt;'設定'!$B$6,"期限切れ",IF($R459='設定'!$B$6,"当日",IF($R459-'設定'!$B$6&lt;=N('設定'!$B$14),"あと"&amp;($R459-'設定'!$B$6)&amp;"日","")))))</f>
        <v/>
      </c>
      <c r="U459" s="61" t="n"/>
      <c r="V459" s="31">
        <f>IF(AND($B459&lt;&gt;"",$E459&lt;&gt;"",$E459='数える用紙'!$C$2),ROW(),"")</f>
        <v/>
      </c>
      <c r="W459" s="74">
        <f>IF(AND($B459&lt;&gt;"",ISNUMBER($R459)),IF(AND($R459&lt;='設定'!$B$6+N('設定'!$B$14),IF(ISNUMBER($I459),$I459,N($H459))&gt;0),$R459+ROW()/100000,""),"")</f>
        <v/>
      </c>
    </row>
    <row r="460" ht="18" customHeight="1">
      <c r="A460" s="22" t="n">
        <v>456</v>
      </c>
      <c r="B460" s="23" t="n"/>
      <c r="C460" s="24" t="n"/>
      <c r="D460" s="24" t="n"/>
      <c r="E460" s="23" t="n"/>
      <c r="F460" s="23" t="n"/>
      <c r="G460" s="25" t="n"/>
      <c r="H460" s="25" t="n"/>
      <c r="I460" s="25" t="n"/>
      <c r="J460" s="72">
        <f>IF(OR($B460="",$H460=""),"",N($G460)*$H460)</f>
        <v/>
      </c>
      <c r="K460" s="72">
        <f>IF(OR($B460="",$I460=""),"",N($G460)*$I460)</f>
        <v/>
      </c>
      <c r="L460" s="27">
        <f>IF(OR($B460="",$H460="",$I460=""),"",$I460-$H460)</f>
        <v/>
      </c>
      <c r="M460" s="72">
        <f>IF($L460="","",$L460*N($G460))</f>
        <v/>
      </c>
      <c r="N460" s="73">
        <f>IF($L460="","",IF($H460&gt;0,ROUND($L460/$H460,4),"－"))</f>
        <v/>
      </c>
      <c r="O460" s="29">
        <f>IF($B460="","",IF($L460="","未入力",IF($L460=0,"一致",IF(OR(NOT(ISNUMBER($N460)),AND('設定'!$B$10&lt;&gt;"",ABS(N($N460))&gt;'設定'!$B$10),AND('設定'!$B$11&lt;&gt;"",ABS(ROUND($M460,4))&gt;'設定'!$B$11),AND('設定'!$B$10="",'設定'!$B$11="")),"要確認","許容内"))))</f>
        <v/>
      </c>
      <c r="P460" s="29">
        <f>IF($O460&lt;&gt;"要確認","",IF($Q460=0,"済",IF(COUNTIF('差異の原因'!$B$5:$B$204,$B460)=0,"未記録","一部")))</f>
        <v/>
      </c>
      <c r="Q460" s="27">
        <f>IF($L460="","",IF(AND($L460=0,COUNTIF('差異の原因'!$B$5:$B$204,$B460)=0),"",ROUND($L460-SUMIF('差異の原因'!$B$5:$B$204,$B460,'差異の原因'!$G$5:$G$204),6)))</f>
        <v/>
      </c>
      <c r="R460" s="30" t="n"/>
      <c r="S460" s="23" t="n"/>
      <c r="T460" s="29">
        <f>IF(OR($B460="",NOT(ISNUMBER($R460))),"",IF(IF(ISNUMBER($I460),$I460,N($H460))&lt;=0,"",IF($R460&lt;'設定'!$B$6,"期限切れ",IF($R460='設定'!$B$6,"当日",IF($R460-'設定'!$B$6&lt;=N('設定'!$B$14),"あと"&amp;($R460-'設定'!$B$6)&amp;"日","")))))</f>
        <v/>
      </c>
      <c r="U460" s="61" t="n"/>
      <c r="V460" s="31">
        <f>IF(AND($B460&lt;&gt;"",$E460&lt;&gt;"",$E460='数える用紙'!$C$2),ROW(),"")</f>
        <v/>
      </c>
      <c r="W460" s="74">
        <f>IF(AND($B460&lt;&gt;"",ISNUMBER($R460)),IF(AND($R460&lt;='設定'!$B$6+N('設定'!$B$14),IF(ISNUMBER($I460),$I460,N($H460))&gt;0),$R460+ROW()/100000,""),"")</f>
        <v/>
      </c>
    </row>
    <row r="461" ht="18" customHeight="1">
      <c r="A461" s="22" t="n">
        <v>457</v>
      </c>
      <c r="B461" s="23" t="n"/>
      <c r="C461" s="24" t="n"/>
      <c r="D461" s="24" t="n"/>
      <c r="E461" s="23" t="n"/>
      <c r="F461" s="23" t="n"/>
      <c r="G461" s="25" t="n"/>
      <c r="H461" s="25" t="n"/>
      <c r="I461" s="25" t="n"/>
      <c r="J461" s="72">
        <f>IF(OR($B461="",$H461=""),"",N($G461)*$H461)</f>
        <v/>
      </c>
      <c r="K461" s="72">
        <f>IF(OR($B461="",$I461=""),"",N($G461)*$I461)</f>
        <v/>
      </c>
      <c r="L461" s="27">
        <f>IF(OR($B461="",$H461="",$I461=""),"",$I461-$H461)</f>
        <v/>
      </c>
      <c r="M461" s="72">
        <f>IF($L461="","",$L461*N($G461))</f>
        <v/>
      </c>
      <c r="N461" s="73">
        <f>IF($L461="","",IF($H461&gt;0,ROUND($L461/$H461,4),"－"))</f>
        <v/>
      </c>
      <c r="O461" s="29">
        <f>IF($B461="","",IF($L461="","未入力",IF($L461=0,"一致",IF(OR(NOT(ISNUMBER($N461)),AND('設定'!$B$10&lt;&gt;"",ABS(N($N461))&gt;'設定'!$B$10),AND('設定'!$B$11&lt;&gt;"",ABS(ROUND($M461,4))&gt;'設定'!$B$11),AND('設定'!$B$10="",'設定'!$B$11="")),"要確認","許容内"))))</f>
        <v/>
      </c>
      <c r="P461" s="29">
        <f>IF($O461&lt;&gt;"要確認","",IF($Q461=0,"済",IF(COUNTIF('差異の原因'!$B$5:$B$204,$B461)=0,"未記録","一部")))</f>
        <v/>
      </c>
      <c r="Q461" s="27">
        <f>IF($L461="","",IF(AND($L461=0,COUNTIF('差異の原因'!$B$5:$B$204,$B461)=0),"",ROUND($L461-SUMIF('差異の原因'!$B$5:$B$204,$B461,'差異の原因'!$G$5:$G$204),6)))</f>
        <v/>
      </c>
      <c r="R461" s="30" t="n"/>
      <c r="S461" s="23" t="n"/>
      <c r="T461" s="29">
        <f>IF(OR($B461="",NOT(ISNUMBER($R461))),"",IF(IF(ISNUMBER($I461),$I461,N($H461))&lt;=0,"",IF($R461&lt;'設定'!$B$6,"期限切れ",IF($R461='設定'!$B$6,"当日",IF($R461-'設定'!$B$6&lt;=N('設定'!$B$14),"あと"&amp;($R461-'設定'!$B$6)&amp;"日","")))))</f>
        <v/>
      </c>
      <c r="U461" s="61" t="n"/>
      <c r="V461" s="31">
        <f>IF(AND($B461&lt;&gt;"",$E461&lt;&gt;"",$E461='数える用紙'!$C$2),ROW(),"")</f>
        <v/>
      </c>
      <c r="W461" s="74">
        <f>IF(AND($B461&lt;&gt;"",ISNUMBER($R461)),IF(AND($R461&lt;='設定'!$B$6+N('設定'!$B$14),IF(ISNUMBER($I461),$I461,N($H461))&gt;0),$R461+ROW()/100000,""),"")</f>
        <v/>
      </c>
    </row>
    <row r="462" ht="18" customHeight="1">
      <c r="A462" s="22" t="n">
        <v>458</v>
      </c>
      <c r="B462" s="23" t="n"/>
      <c r="C462" s="24" t="n"/>
      <c r="D462" s="24" t="n"/>
      <c r="E462" s="23" t="n"/>
      <c r="F462" s="23" t="n"/>
      <c r="G462" s="25" t="n"/>
      <c r="H462" s="25" t="n"/>
      <c r="I462" s="25" t="n"/>
      <c r="J462" s="72">
        <f>IF(OR($B462="",$H462=""),"",N($G462)*$H462)</f>
        <v/>
      </c>
      <c r="K462" s="72">
        <f>IF(OR($B462="",$I462=""),"",N($G462)*$I462)</f>
        <v/>
      </c>
      <c r="L462" s="27">
        <f>IF(OR($B462="",$H462="",$I462=""),"",$I462-$H462)</f>
        <v/>
      </c>
      <c r="M462" s="72">
        <f>IF($L462="","",$L462*N($G462))</f>
        <v/>
      </c>
      <c r="N462" s="73">
        <f>IF($L462="","",IF($H462&gt;0,ROUND($L462/$H462,4),"－"))</f>
        <v/>
      </c>
      <c r="O462" s="29">
        <f>IF($B462="","",IF($L462="","未入力",IF($L462=0,"一致",IF(OR(NOT(ISNUMBER($N462)),AND('設定'!$B$10&lt;&gt;"",ABS(N($N462))&gt;'設定'!$B$10),AND('設定'!$B$11&lt;&gt;"",ABS(ROUND($M462,4))&gt;'設定'!$B$11),AND('設定'!$B$10="",'設定'!$B$11="")),"要確認","許容内"))))</f>
        <v/>
      </c>
      <c r="P462" s="29">
        <f>IF($O462&lt;&gt;"要確認","",IF($Q462=0,"済",IF(COUNTIF('差異の原因'!$B$5:$B$204,$B462)=0,"未記録","一部")))</f>
        <v/>
      </c>
      <c r="Q462" s="27">
        <f>IF($L462="","",IF(AND($L462=0,COUNTIF('差異の原因'!$B$5:$B$204,$B462)=0),"",ROUND($L462-SUMIF('差異の原因'!$B$5:$B$204,$B462,'差異の原因'!$G$5:$G$204),6)))</f>
        <v/>
      </c>
      <c r="R462" s="30" t="n"/>
      <c r="S462" s="23" t="n"/>
      <c r="T462" s="29">
        <f>IF(OR($B462="",NOT(ISNUMBER($R462))),"",IF(IF(ISNUMBER($I462),$I462,N($H462))&lt;=0,"",IF($R462&lt;'設定'!$B$6,"期限切れ",IF($R462='設定'!$B$6,"当日",IF($R462-'設定'!$B$6&lt;=N('設定'!$B$14),"あと"&amp;($R462-'設定'!$B$6)&amp;"日","")))))</f>
        <v/>
      </c>
      <c r="U462" s="61" t="n"/>
      <c r="V462" s="31">
        <f>IF(AND($B462&lt;&gt;"",$E462&lt;&gt;"",$E462='数える用紙'!$C$2),ROW(),"")</f>
        <v/>
      </c>
      <c r="W462" s="74">
        <f>IF(AND($B462&lt;&gt;"",ISNUMBER($R462)),IF(AND($R462&lt;='設定'!$B$6+N('設定'!$B$14),IF(ISNUMBER($I462),$I462,N($H462))&gt;0),$R462+ROW()/100000,""),"")</f>
        <v/>
      </c>
    </row>
    <row r="463" ht="18" customHeight="1">
      <c r="A463" s="22" t="n">
        <v>459</v>
      </c>
      <c r="B463" s="23" t="n"/>
      <c r="C463" s="24" t="n"/>
      <c r="D463" s="24" t="n"/>
      <c r="E463" s="23" t="n"/>
      <c r="F463" s="23" t="n"/>
      <c r="G463" s="25" t="n"/>
      <c r="H463" s="25" t="n"/>
      <c r="I463" s="25" t="n"/>
      <c r="J463" s="72">
        <f>IF(OR($B463="",$H463=""),"",N($G463)*$H463)</f>
        <v/>
      </c>
      <c r="K463" s="72">
        <f>IF(OR($B463="",$I463=""),"",N($G463)*$I463)</f>
        <v/>
      </c>
      <c r="L463" s="27">
        <f>IF(OR($B463="",$H463="",$I463=""),"",$I463-$H463)</f>
        <v/>
      </c>
      <c r="M463" s="72">
        <f>IF($L463="","",$L463*N($G463))</f>
        <v/>
      </c>
      <c r="N463" s="73">
        <f>IF($L463="","",IF($H463&gt;0,ROUND($L463/$H463,4),"－"))</f>
        <v/>
      </c>
      <c r="O463" s="29">
        <f>IF($B463="","",IF($L463="","未入力",IF($L463=0,"一致",IF(OR(NOT(ISNUMBER($N463)),AND('設定'!$B$10&lt;&gt;"",ABS(N($N463))&gt;'設定'!$B$10),AND('設定'!$B$11&lt;&gt;"",ABS(ROUND($M463,4))&gt;'設定'!$B$11),AND('設定'!$B$10="",'設定'!$B$11="")),"要確認","許容内"))))</f>
        <v/>
      </c>
      <c r="P463" s="29">
        <f>IF($O463&lt;&gt;"要確認","",IF($Q463=0,"済",IF(COUNTIF('差異の原因'!$B$5:$B$204,$B463)=0,"未記録","一部")))</f>
        <v/>
      </c>
      <c r="Q463" s="27">
        <f>IF($L463="","",IF(AND($L463=0,COUNTIF('差異の原因'!$B$5:$B$204,$B463)=0),"",ROUND($L463-SUMIF('差異の原因'!$B$5:$B$204,$B463,'差異の原因'!$G$5:$G$204),6)))</f>
        <v/>
      </c>
      <c r="R463" s="30" t="n"/>
      <c r="S463" s="23" t="n"/>
      <c r="T463" s="29">
        <f>IF(OR($B463="",NOT(ISNUMBER($R463))),"",IF(IF(ISNUMBER($I463),$I463,N($H463))&lt;=0,"",IF($R463&lt;'設定'!$B$6,"期限切れ",IF($R463='設定'!$B$6,"当日",IF($R463-'設定'!$B$6&lt;=N('設定'!$B$14),"あと"&amp;($R463-'設定'!$B$6)&amp;"日","")))))</f>
        <v/>
      </c>
      <c r="U463" s="61" t="n"/>
      <c r="V463" s="31">
        <f>IF(AND($B463&lt;&gt;"",$E463&lt;&gt;"",$E463='数える用紙'!$C$2),ROW(),"")</f>
        <v/>
      </c>
      <c r="W463" s="74">
        <f>IF(AND($B463&lt;&gt;"",ISNUMBER($R463)),IF(AND($R463&lt;='設定'!$B$6+N('設定'!$B$14),IF(ISNUMBER($I463),$I463,N($H463))&gt;0),$R463+ROW()/100000,""),"")</f>
        <v/>
      </c>
    </row>
    <row r="464" ht="18" customHeight="1">
      <c r="A464" s="22" t="n">
        <v>460</v>
      </c>
      <c r="B464" s="23" t="n"/>
      <c r="C464" s="24" t="n"/>
      <c r="D464" s="24" t="n"/>
      <c r="E464" s="23" t="n"/>
      <c r="F464" s="23" t="n"/>
      <c r="G464" s="25" t="n"/>
      <c r="H464" s="25" t="n"/>
      <c r="I464" s="25" t="n"/>
      <c r="J464" s="72">
        <f>IF(OR($B464="",$H464=""),"",N($G464)*$H464)</f>
        <v/>
      </c>
      <c r="K464" s="72">
        <f>IF(OR($B464="",$I464=""),"",N($G464)*$I464)</f>
        <v/>
      </c>
      <c r="L464" s="27">
        <f>IF(OR($B464="",$H464="",$I464=""),"",$I464-$H464)</f>
        <v/>
      </c>
      <c r="M464" s="72">
        <f>IF($L464="","",$L464*N($G464))</f>
        <v/>
      </c>
      <c r="N464" s="73">
        <f>IF($L464="","",IF($H464&gt;0,ROUND($L464/$H464,4),"－"))</f>
        <v/>
      </c>
      <c r="O464" s="29">
        <f>IF($B464="","",IF($L464="","未入力",IF($L464=0,"一致",IF(OR(NOT(ISNUMBER($N464)),AND('設定'!$B$10&lt;&gt;"",ABS(N($N464))&gt;'設定'!$B$10),AND('設定'!$B$11&lt;&gt;"",ABS(ROUND($M464,4))&gt;'設定'!$B$11),AND('設定'!$B$10="",'設定'!$B$11="")),"要確認","許容内"))))</f>
        <v/>
      </c>
      <c r="P464" s="29">
        <f>IF($O464&lt;&gt;"要確認","",IF($Q464=0,"済",IF(COUNTIF('差異の原因'!$B$5:$B$204,$B464)=0,"未記録","一部")))</f>
        <v/>
      </c>
      <c r="Q464" s="27">
        <f>IF($L464="","",IF(AND($L464=0,COUNTIF('差異の原因'!$B$5:$B$204,$B464)=0),"",ROUND($L464-SUMIF('差異の原因'!$B$5:$B$204,$B464,'差異の原因'!$G$5:$G$204),6)))</f>
        <v/>
      </c>
      <c r="R464" s="30" t="n"/>
      <c r="S464" s="23" t="n"/>
      <c r="T464" s="29">
        <f>IF(OR($B464="",NOT(ISNUMBER($R464))),"",IF(IF(ISNUMBER($I464),$I464,N($H464))&lt;=0,"",IF($R464&lt;'設定'!$B$6,"期限切れ",IF($R464='設定'!$B$6,"当日",IF($R464-'設定'!$B$6&lt;=N('設定'!$B$14),"あと"&amp;($R464-'設定'!$B$6)&amp;"日","")))))</f>
        <v/>
      </c>
      <c r="U464" s="61" t="n"/>
      <c r="V464" s="31">
        <f>IF(AND($B464&lt;&gt;"",$E464&lt;&gt;"",$E464='数える用紙'!$C$2),ROW(),"")</f>
        <v/>
      </c>
      <c r="W464" s="74">
        <f>IF(AND($B464&lt;&gt;"",ISNUMBER($R464)),IF(AND($R464&lt;='設定'!$B$6+N('設定'!$B$14),IF(ISNUMBER($I464),$I464,N($H464))&gt;0),$R464+ROW()/100000,""),"")</f>
        <v/>
      </c>
    </row>
    <row r="465" ht="18" customHeight="1">
      <c r="A465" s="22" t="n">
        <v>461</v>
      </c>
      <c r="B465" s="23" t="n"/>
      <c r="C465" s="24" t="n"/>
      <c r="D465" s="24" t="n"/>
      <c r="E465" s="23" t="n"/>
      <c r="F465" s="23" t="n"/>
      <c r="G465" s="25" t="n"/>
      <c r="H465" s="25" t="n"/>
      <c r="I465" s="25" t="n"/>
      <c r="J465" s="72">
        <f>IF(OR($B465="",$H465=""),"",N($G465)*$H465)</f>
        <v/>
      </c>
      <c r="K465" s="72">
        <f>IF(OR($B465="",$I465=""),"",N($G465)*$I465)</f>
        <v/>
      </c>
      <c r="L465" s="27">
        <f>IF(OR($B465="",$H465="",$I465=""),"",$I465-$H465)</f>
        <v/>
      </c>
      <c r="M465" s="72">
        <f>IF($L465="","",$L465*N($G465))</f>
        <v/>
      </c>
      <c r="N465" s="73">
        <f>IF($L465="","",IF($H465&gt;0,ROUND($L465/$H465,4),"－"))</f>
        <v/>
      </c>
      <c r="O465" s="29">
        <f>IF($B465="","",IF($L465="","未入力",IF($L465=0,"一致",IF(OR(NOT(ISNUMBER($N465)),AND('設定'!$B$10&lt;&gt;"",ABS(N($N465))&gt;'設定'!$B$10),AND('設定'!$B$11&lt;&gt;"",ABS(ROUND($M465,4))&gt;'設定'!$B$11),AND('設定'!$B$10="",'設定'!$B$11="")),"要確認","許容内"))))</f>
        <v/>
      </c>
      <c r="P465" s="29">
        <f>IF($O465&lt;&gt;"要確認","",IF($Q465=0,"済",IF(COUNTIF('差異の原因'!$B$5:$B$204,$B465)=0,"未記録","一部")))</f>
        <v/>
      </c>
      <c r="Q465" s="27">
        <f>IF($L465="","",IF(AND($L465=0,COUNTIF('差異の原因'!$B$5:$B$204,$B465)=0),"",ROUND($L465-SUMIF('差異の原因'!$B$5:$B$204,$B465,'差異の原因'!$G$5:$G$204),6)))</f>
        <v/>
      </c>
      <c r="R465" s="30" t="n"/>
      <c r="S465" s="23" t="n"/>
      <c r="T465" s="29">
        <f>IF(OR($B465="",NOT(ISNUMBER($R465))),"",IF(IF(ISNUMBER($I465),$I465,N($H465))&lt;=0,"",IF($R465&lt;'設定'!$B$6,"期限切れ",IF($R465='設定'!$B$6,"当日",IF($R465-'設定'!$B$6&lt;=N('設定'!$B$14),"あと"&amp;($R465-'設定'!$B$6)&amp;"日","")))))</f>
        <v/>
      </c>
      <c r="U465" s="61" t="n"/>
      <c r="V465" s="31">
        <f>IF(AND($B465&lt;&gt;"",$E465&lt;&gt;"",$E465='数える用紙'!$C$2),ROW(),"")</f>
        <v/>
      </c>
      <c r="W465" s="74">
        <f>IF(AND($B465&lt;&gt;"",ISNUMBER($R465)),IF(AND($R465&lt;='設定'!$B$6+N('設定'!$B$14),IF(ISNUMBER($I465),$I465,N($H465))&gt;0),$R465+ROW()/100000,""),"")</f>
        <v/>
      </c>
    </row>
    <row r="466" ht="18" customHeight="1">
      <c r="A466" s="22" t="n">
        <v>462</v>
      </c>
      <c r="B466" s="23" t="n"/>
      <c r="C466" s="24" t="n"/>
      <c r="D466" s="24" t="n"/>
      <c r="E466" s="23" t="n"/>
      <c r="F466" s="23" t="n"/>
      <c r="G466" s="25" t="n"/>
      <c r="H466" s="25" t="n"/>
      <c r="I466" s="25" t="n"/>
      <c r="J466" s="72">
        <f>IF(OR($B466="",$H466=""),"",N($G466)*$H466)</f>
        <v/>
      </c>
      <c r="K466" s="72">
        <f>IF(OR($B466="",$I466=""),"",N($G466)*$I466)</f>
        <v/>
      </c>
      <c r="L466" s="27">
        <f>IF(OR($B466="",$H466="",$I466=""),"",$I466-$H466)</f>
        <v/>
      </c>
      <c r="M466" s="72">
        <f>IF($L466="","",$L466*N($G466))</f>
        <v/>
      </c>
      <c r="N466" s="73">
        <f>IF($L466="","",IF($H466&gt;0,ROUND($L466/$H466,4),"－"))</f>
        <v/>
      </c>
      <c r="O466" s="29">
        <f>IF($B466="","",IF($L466="","未入力",IF($L466=0,"一致",IF(OR(NOT(ISNUMBER($N466)),AND('設定'!$B$10&lt;&gt;"",ABS(N($N466))&gt;'設定'!$B$10),AND('設定'!$B$11&lt;&gt;"",ABS(ROUND($M466,4))&gt;'設定'!$B$11),AND('設定'!$B$10="",'設定'!$B$11="")),"要確認","許容内"))))</f>
        <v/>
      </c>
      <c r="P466" s="29">
        <f>IF($O466&lt;&gt;"要確認","",IF($Q466=0,"済",IF(COUNTIF('差異の原因'!$B$5:$B$204,$B466)=0,"未記録","一部")))</f>
        <v/>
      </c>
      <c r="Q466" s="27">
        <f>IF($L466="","",IF(AND($L466=0,COUNTIF('差異の原因'!$B$5:$B$204,$B466)=0),"",ROUND($L466-SUMIF('差異の原因'!$B$5:$B$204,$B466,'差異の原因'!$G$5:$G$204),6)))</f>
        <v/>
      </c>
      <c r="R466" s="30" t="n"/>
      <c r="S466" s="23" t="n"/>
      <c r="T466" s="29">
        <f>IF(OR($B466="",NOT(ISNUMBER($R466))),"",IF(IF(ISNUMBER($I466),$I466,N($H466))&lt;=0,"",IF($R466&lt;'設定'!$B$6,"期限切れ",IF($R466='設定'!$B$6,"当日",IF($R466-'設定'!$B$6&lt;=N('設定'!$B$14),"あと"&amp;($R466-'設定'!$B$6)&amp;"日","")))))</f>
        <v/>
      </c>
      <c r="U466" s="61" t="n"/>
      <c r="V466" s="31">
        <f>IF(AND($B466&lt;&gt;"",$E466&lt;&gt;"",$E466='数える用紙'!$C$2),ROW(),"")</f>
        <v/>
      </c>
      <c r="W466" s="74">
        <f>IF(AND($B466&lt;&gt;"",ISNUMBER($R466)),IF(AND($R466&lt;='設定'!$B$6+N('設定'!$B$14),IF(ISNUMBER($I466),$I466,N($H466))&gt;0),$R466+ROW()/100000,""),"")</f>
        <v/>
      </c>
    </row>
    <row r="467" ht="18" customHeight="1">
      <c r="A467" s="22" t="n">
        <v>463</v>
      </c>
      <c r="B467" s="23" t="n"/>
      <c r="C467" s="24" t="n"/>
      <c r="D467" s="24" t="n"/>
      <c r="E467" s="23" t="n"/>
      <c r="F467" s="23" t="n"/>
      <c r="G467" s="25" t="n"/>
      <c r="H467" s="25" t="n"/>
      <c r="I467" s="25" t="n"/>
      <c r="J467" s="72">
        <f>IF(OR($B467="",$H467=""),"",N($G467)*$H467)</f>
        <v/>
      </c>
      <c r="K467" s="72">
        <f>IF(OR($B467="",$I467=""),"",N($G467)*$I467)</f>
        <v/>
      </c>
      <c r="L467" s="27">
        <f>IF(OR($B467="",$H467="",$I467=""),"",$I467-$H467)</f>
        <v/>
      </c>
      <c r="M467" s="72">
        <f>IF($L467="","",$L467*N($G467))</f>
        <v/>
      </c>
      <c r="N467" s="73">
        <f>IF($L467="","",IF($H467&gt;0,ROUND($L467/$H467,4),"－"))</f>
        <v/>
      </c>
      <c r="O467" s="29">
        <f>IF($B467="","",IF($L467="","未入力",IF($L467=0,"一致",IF(OR(NOT(ISNUMBER($N467)),AND('設定'!$B$10&lt;&gt;"",ABS(N($N467))&gt;'設定'!$B$10),AND('設定'!$B$11&lt;&gt;"",ABS(ROUND($M467,4))&gt;'設定'!$B$11),AND('設定'!$B$10="",'設定'!$B$11="")),"要確認","許容内"))))</f>
        <v/>
      </c>
      <c r="P467" s="29">
        <f>IF($O467&lt;&gt;"要確認","",IF($Q467=0,"済",IF(COUNTIF('差異の原因'!$B$5:$B$204,$B467)=0,"未記録","一部")))</f>
        <v/>
      </c>
      <c r="Q467" s="27">
        <f>IF($L467="","",IF(AND($L467=0,COUNTIF('差異の原因'!$B$5:$B$204,$B467)=0),"",ROUND($L467-SUMIF('差異の原因'!$B$5:$B$204,$B467,'差異の原因'!$G$5:$G$204),6)))</f>
        <v/>
      </c>
      <c r="R467" s="30" t="n"/>
      <c r="S467" s="23" t="n"/>
      <c r="T467" s="29">
        <f>IF(OR($B467="",NOT(ISNUMBER($R467))),"",IF(IF(ISNUMBER($I467),$I467,N($H467))&lt;=0,"",IF($R467&lt;'設定'!$B$6,"期限切れ",IF($R467='設定'!$B$6,"当日",IF($R467-'設定'!$B$6&lt;=N('設定'!$B$14),"あと"&amp;($R467-'設定'!$B$6)&amp;"日","")))))</f>
        <v/>
      </c>
      <c r="U467" s="61" t="n"/>
      <c r="V467" s="31">
        <f>IF(AND($B467&lt;&gt;"",$E467&lt;&gt;"",$E467='数える用紙'!$C$2),ROW(),"")</f>
        <v/>
      </c>
      <c r="W467" s="74">
        <f>IF(AND($B467&lt;&gt;"",ISNUMBER($R467)),IF(AND($R467&lt;='設定'!$B$6+N('設定'!$B$14),IF(ISNUMBER($I467),$I467,N($H467))&gt;0),$R467+ROW()/100000,""),"")</f>
        <v/>
      </c>
    </row>
    <row r="468" ht="18" customHeight="1">
      <c r="A468" s="22" t="n">
        <v>464</v>
      </c>
      <c r="B468" s="23" t="n"/>
      <c r="C468" s="24" t="n"/>
      <c r="D468" s="24" t="n"/>
      <c r="E468" s="23" t="n"/>
      <c r="F468" s="23" t="n"/>
      <c r="G468" s="25" t="n"/>
      <c r="H468" s="25" t="n"/>
      <c r="I468" s="25" t="n"/>
      <c r="J468" s="72">
        <f>IF(OR($B468="",$H468=""),"",N($G468)*$H468)</f>
        <v/>
      </c>
      <c r="K468" s="72">
        <f>IF(OR($B468="",$I468=""),"",N($G468)*$I468)</f>
        <v/>
      </c>
      <c r="L468" s="27">
        <f>IF(OR($B468="",$H468="",$I468=""),"",$I468-$H468)</f>
        <v/>
      </c>
      <c r="M468" s="72">
        <f>IF($L468="","",$L468*N($G468))</f>
        <v/>
      </c>
      <c r="N468" s="73">
        <f>IF($L468="","",IF($H468&gt;0,ROUND($L468/$H468,4),"－"))</f>
        <v/>
      </c>
      <c r="O468" s="29">
        <f>IF($B468="","",IF($L468="","未入力",IF($L468=0,"一致",IF(OR(NOT(ISNUMBER($N468)),AND('設定'!$B$10&lt;&gt;"",ABS(N($N468))&gt;'設定'!$B$10),AND('設定'!$B$11&lt;&gt;"",ABS(ROUND($M468,4))&gt;'設定'!$B$11),AND('設定'!$B$10="",'設定'!$B$11="")),"要確認","許容内"))))</f>
        <v/>
      </c>
      <c r="P468" s="29">
        <f>IF($O468&lt;&gt;"要確認","",IF($Q468=0,"済",IF(COUNTIF('差異の原因'!$B$5:$B$204,$B468)=0,"未記録","一部")))</f>
        <v/>
      </c>
      <c r="Q468" s="27">
        <f>IF($L468="","",IF(AND($L468=0,COUNTIF('差異の原因'!$B$5:$B$204,$B468)=0),"",ROUND($L468-SUMIF('差異の原因'!$B$5:$B$204,$B468,'差異の原因'!$G$5:$G$204),6)))</f>
        <v/>
      </c>
      <c r="R468" s="30" t="n"/>
      <c r="S468" s="23" t="n"/>
      <c r="T468" s="29">
        <f>IF(OR($B468="",NOT(ISNUMBER($R468))),"",IF(IF(ISNUMBER($I468),$I468,N($H468))&lt;=0,"",IF($R468&lt;'設定'!$B$6,"期限切れ",IF($R468='設定'!$B$6,"当日",IF($R468-'設定'!$B$6&lt;=N('設定'!$B$14),"あと"&amp;($R468-'設定'!$B$6)&amp;"日","")))))</f>
        <v/>
      </c>
      <c r="U468" s="61" t="n"/>
      <c r="V468" s="31">
        <f>IF(AND($B468&lt;&gt;"",$E468&lt;&gt;"",$E468='数える用紙'!$C$2),ROW(),"")</f>
        <v/>
      </c>
      <c r="W468" s="74">
        <f>IF(AND($B468&lt;&gt;"",ISNUMBER($R468)),IF(AND($R468&lt;='設定'!$B$6+N('設定'!$B$14),IF(ISNUMBER($I468),$I468,N($H468))&gt;0),$R468+ROW()/100000,""),"")</f>
        <v/>
      </c>
    </row>
    <row r="469" ht="18" customHeight="1">
      <c r="A469" s="22" t="n">
        <v>465</v>
      </c>
      <c r="B469" s="23" t="n"/>
      <c r="C469" s="24" t="n"/>
      <c r="D469" s="24" t="n"/>
      <c r="E469" s="23" t="n"/>
      <c r="F469" s="23" t="n"/>
      <c r="G469" s="25" t="n"/>
      <c r="H469" s="25" t="n"/>
      <c r="I469" s="25" t="n"/>
      <c r="J469" s="72">
        <f>IF(OR($B469="",$H469=""),"",N($G469)*$H469)</f>
        <v/>
      </c>
      <c r="K469" s="72">
        <f>IF(OR($B469="",$I469=""),"",N($G469)*$I469)</f>
        <v/>
      </c>
      <c r="L469" s="27">
        <f>IF(OR($B469="",$H469="",$I469=""),"",$I469-$H469)</f>
        <v/>
      </c>
      <c r="M469" s="72">
        <f>IF($L469="","",$L469*N($G469))</f>
        <v/>
      </c>
      <c r="N469" s="73">
        <f>IF($L469="","",IF($H469&gt;0,ROUND($L469/$H469,4),"－"))</f>
        <v/>
      </c>
      <c r="O469" s="29">
        <f>IF($B469="","",IF($L469="","未入力",IF($L469=0,"一致",IF(OR(NOT(ISNUMBER($N469)),AND('設定'!$B$10&lt;&gt;"",ABS(N($N469))&gt;'設定'!$B$10),AND('設定'!$B$11&lt;&gt;"",ABS(ROUND($M469,4))&gt;'設定'!$B$11),AND('設定'!$B$10="",'設定'!$B$11="")),"要確認","許容内"))))</f>
        <v/>
      </c>
      <c r="P469" s="29">
        <f>IF($O469&lt;&gt;"要確認","",IF($Q469=0,"済",IF(COUNTIF('差異の原因'!$B$5:$B$204,$B469)=0,"未記録","一部")))</f>
        <v/>
      </c>
      <c r="Q469" s="27">
        <f>IF($L469="","",IF(AND($L469=0,COUNTIF('差異の原因'!$B$5:$B$204,$B469)=0),"",ROUND($L469-SUMIF('差異の原因'!$B$5:$B$204,$B469,'差異の原因'!$G$5:$G$204),6)))</f>
        <v/>
      </c>
      <c r="R469" s="30" t="n"/>
      <c r="S469" s="23" t="n"/>
      <c r="T469" s="29">
        <f>IF(OR($B469="",NOT(ISNUMBER($R469))),"",IF(IF(ISNUMBER($I469),$I469,N($H469))&lt;=0,"",IF($R469&lt;'設定'!$B$6,"期限切れ",IF($R469='設定'!$B$6,"当日",IF($R469-'設定'!$B$6&lt;=N('設定'!$B$14),"あと"&amp;($R469-'設定'!$B$6)&amp;"日","")))))</f>
        <v/>
      </c>
      <c r="U469" s="61" t="n"/>
      <c r="V469" s="31">
        <f>IF(AND($B469&lt;&gt;"",$E469&lt;&gt;"",$E469='数える用紙'!$C$2),ROW(),"")</f>
        <v/>
      </c>
      <c r="W469" s="74">
        <f>IF(AND($B469&lt;&gt;"",ISNUMBER($R469)),IF(AND($R469&lt;='設定'!$B$6+N('設定'!$B$14),IF(ISNUMBER($I469),$I469,N($H469))&gt;0),$R469+ROW()/100000,""),"")</f>
        <v/>
      </c>
    </row>
    <row r="470" ht="18" customHeight="1">
      <c r="A470" s="22" t="n">
        <v>466</v>
      </c>
      <c r="B470" s="23" t="n"/>
      <c r="C470" s="24" t="n"/>
      <c r="D470" s="24" t="n"/>
      <c r="E470" s="23" t="n"/>
      <c r="F470" s="23" t="n"/>
      <c r="G470" s="25" t="n"/>
      <c r="H470" s="25" t="n"/>
      <c r="I470" s="25" t="n"/>
      <c r="J470" s="72">
        <f>IF(OR($B470="",$H470=""),"",N($G470)*$H470)</f>
        <v/>
      </c>
      <c r="K470" s="72">
        <f>IF(OR($B470="",$I470=""),"",N($G470)*$I470)</f>
        <v/>
      </c>
      <c r="L470" s="27">
        <f>IF(OR($B470="",$H470="",$I470=""),"",$I470-$H470)</f>
        <v/>
      </c>
      <c r="M470" s="72">
        <f>IF($L470="","",$L470*N($G470))</f>
        <v/>
      </c>
      <c r="N470" s="73">
        <f>IF($L470="","",IF($H470&gt;0,ROUND($L470/$H470,4),"－"))</f>
        <v/>
      </c>
      <c r="O470" s="29">
        <f>IF($B470="","",IF($L470="","未入力",IF($L470=0,"一致",IF(OR(NOT(ISNUMBER($N470)),AND('設定'!$B$10&lt;&gt;"",ABS(N($N470))&gt;'設定'!$B$10),AND('設定'!$B$11&lt;&gt;"",ABS(ROUND($M470,4))&gt;'設定'!$B$11),AND('設定'!$B$10="",'設定'!$B$11="")),"要確認","許容内"))))</f>
        <v/>
      </c>
      <c r="P470" s="29">
        <f>IF($O470&lt;&gt;"要確認","",IF($Q470=0,"済",IF(COUNTIF('差異の原因'!$B$5:$B$204,$B470)=0,"未記録","一部")))</f>
        <v/>
      </c>
      <c r="Q470" s="27">
        <f>IF($L470="","",IF(AND($L470=0,COUNTIF('差異の原因'!$B$5:$B$204,$B470)=0),"",ROUND($L470-SUMIF('差異の原因'!$B$5:$B$204,$B470,'差異の原因'!$G$5:$G$204),6)))</f>
        <v/>
      </c>
      <c r="R470" s="30" t="n"/>
      <c r="S470" s="23" t="n"/>
      <c r="T470" s="29">
        <f>IF(OR($B470="",NOT(ISNUMBER($R470))),"",IF(IF(ISNUMBER($I470),$I470,N($H470))&lt;=0,"",IF($R470&lt;'設定'!$B$6,"期限切れ",IF($R470='設定'!$B$6,"当日",IF($R470-'設定'!$B$6&lt;=N('設定'!$B$14),"あと"&amp;($R470-'設定'!$B$6)&amp;"日","")))))</f>
        <v/>
      </c>
      <c r="U470" s="61" t="n"/>
      <c r="V470" s="31">
        <f>IF(AND($B470&lt;&gt;"",$E470&lt;&gt;"",$E470='数える用紙'!$C$2),ROW(),"")</f>
        <v/>
      </c>
      <c r="W470" s="74">
        <f>IF(AND($B470&lt;&gt;"",ISNUMBER($R470)),IF(AND($R470&lt;='設定'!$B$6+N('設定'!$B$14),IF(ISNUMBER($I470),$I470,N($H470))&gt;0),$R470+ROW()/100000,""),"")</f>
        <v/>
      </c>
    </row>
    <row r="471" ht="18" customHeight="1">
      <c r="A471" s="22" t="n">
        <v>467</v>
      </c>
      <c r="B471" s="23" t="n"/>
      <c r="C471" s="24" t="n"/>
      <c r="D471" s="24" t="n"/>
      <c r="E471" s="23" t="n"/>
      <c r="F471" s="23" t="n"/>
      <c r="G471" s="25" t="n"/>
      <c r="H471" s="25" t="n"/>
      <c r="I471" s="25" t="n"/>
      <c r="J471" s="72">
        <f>IF(OR($B471="",$H471=""),"",N($G471)*$H471)</f>
        <v/>
      </c>
      <c r="K471" s="72">
        <f>IF(OR($B471="",$I471=""),"",N($G471)*$I471)</f>
        <v/>
      </c>
      <c r="L471" s="27">
        <f>IF(OR($B471="",$H471="",$I471=""),"",$I471-$H471)</f>
        <v/>
      </c>
      <c r="M471" s="72">
        <f>IF($L471="","",$L471*N($G471))</f>
        <v/>
      </c>
      <c r="N471" s="73">
        <f>IF($L471="","",IF($H471&gt;0,ROUND($L471/$H471,4),"－"))</f>
        <v/>
      </c>
      <c r="O471" s="29">
        <f>IF($B471="","",IF($L471="","未入力",IF($L471=0,"一致",IF(OR(NOT(ISNUMBER($N471)),AND('設定'!$B$10&lt;&gt;"",ABS(N($N471))&gt;'設定'!$B$10),AND('設定'!$B$11&lt;&gt;"",ABS(ROUND($M471,4))&gt;'設定'!$B$11),AND('設定'!$B$10="",'設定'!$B$11="")),"要確認","許容内"))))</f>
        <v/>
      </c>
      <c r="P471" s="29">
        <f>IF($O471&lt;&gt;"要確認","",IF($Q471=0,"済",IF(COUNTIF('差異の原因'!$B$5:$B$204,$B471)=0,"未記録","一部")))</f>
        <v/>
      </c>
      <c r="Q471" s="27">
        <f>IF($L471="","",IF(AND($L471=0,COUNTIF('差異の原因'!$B$5:$B$204,$B471)=0),"",ROUND($L471-SUMIF('差異の原因'!$B$5:$B$204,$B471,'差異の原因'!$G$5:$G$204),6)))</f>
        <v/>
      </c>
      <c r="R471" s="30" t="n"/>
      <c r="S471" s="23" t="n"/>
      <c r="T471" s="29">
        <f>IF(OR($B471="",NOT(ISNUMBER($R471))),"",IF(IF(ISNUMBER($I471),$I471,N($H471))&lt;=0,"",IF($R471&lt;'設定'!$B$6,"期限切れ",IF($R471='設定'!$B$6,"当日",IF($R471-'設定'!$B$6&lt;=N('設定'!$B$14),"あと"&amp;($R471-'設定'!$B$6)&amp;"日","")))))</f>
        <v/>
      </c>
      <c r="U471" s="61" t="n"/>
      <c r="V471" s="31">
        <f>IF(AND($B471&lt;&gt;"",$E471&lt;&gt;"",$E471='数える用紙'!$C$2),ROW(),"")</f>
        <v/>
      </c>
      <c r="W471" s="74">
        <f>IF(AND($B471&lt;&gt;"",ISNUMBER($R471)),IF(AND($R471&lt;='設定'!$B$6+N('設定'!$B$14),IF(ISNUMBER($I471),$I471,N($H471))&gt;0),$R471+ROW()/100000,""),"")</f>
        <v/>
      </c>
    </row>
    <row r="472" ht="18" customHeight="1">
      <c r="A472" s="22" t="n">
        <v>468</v>
      </c>
      <c r="B472" s="23" t="n"/>
      <c r="C472" s="24" t="n"/>
      <c r="D472" s="24" t="n"/>
      <c r="E472" s="23" t="n"/>
      <c r="F472" s="23" t="n"/>
      <c r="G472" s="25" t="n"/>
      <c r="H472" s="25" t="n"/>
      <c r="I472" s="25" t="n"/>
      <c r="J472" s="72">
        <f>IF(OR($B472="",$H472=""),"",N($G472)*$H472)</f>
        <v/>
      </c>
      <c r="K472" s="72">
        <f>IF(OR($B472="",$I472=""),"",N($G472)*$I472)</f>
        <v/>
      </c>
      <c r="L472" s="27">
        <f>IF(OR($B472="",$H472="",$I472=""),"",$I472-$H472)</f>
        <v/>
      </c>
      <c r="M472" s="72">
        <f>IF($L472="","",$L472*N($G472))</f>
        <v/>
      </c>
      <c r="N472" s="73">
        <f>IF($L472="","",IF($H472&gt;0,ROUND($L472/$H472,4),"－"))</f>
        <v/>
      </c>
      <c r="O472" s="29">
        <f>IF($B472="","",IF($L472="","未入力",IF($L472=0,"一致",IF(OR(NOT(ISNUMBER($N472)),AND('設定'!$B$10&lt;&gt;"",ABS(N($N472))&gt;'設定'!$B$10),AND('設定'!$B$11&lt;&gt;"",ABS(ROUND($M472,4))&gt;'設定'!$B$11),AND('設定'!$B$10="",'設定'!$B$11="")),"要確認","許容内"))))</f>
        <v/>
      </c>
      <c r="P472" s="29">
        <f>IF($O472&lt;&gt;"要確認","",IF($Q472=0,"済",IF(COUNTIF('差異の原因'!$B$5:$B$204,$B472)=0,"未記録","一部")))</f>
        <v/>
      </c>
      <c r="Q472" s="27">
        <f>IF($L472="","",IF(AND($L472=0,COUNTIF('差異の原因'!$B$5:$B$204,$B472)=0),"",ROUND($L472-SUMIF('差異の原因'!$B$5:$B$204,$B472,'差異の原因'!$G$5:$G$204),6)))</f>
        <v/>
      </c>
      <c r="R472" s="30" t="n"/>
      <c r="S472" s="23" t="n"/>
      <c r="T472" s="29">
        <f>IF(OR($B472="",NOT(ISNUMBER($R472))),"",IF(IF(ISNUMBER($I472),$I472,N($H472))&lt;=0,"",IF($R472&lt;'設定'!$B$6,"期限切れ",IF($R472='設定'!$B$6,"当日",IF($R472-'設定'!$B$6&lt;=N('設定'!$B$14),"あと"&amp;($R472-'設定'!$B$6)&amp;"日","")))))</f>
        <v/>
      </c>
      <c r="U472" s="61" t="n"/>
      <c r="V472" s="31">
        <f>IF(AND($B472&lt;&gt;"",$E472&lt;&gt;"",$E472='数える用紙'!$C$2),ROW(),"")</f>
        <v/>
      </c>
      <c r="W472" s="74">
        <f>IF(AND($B472&lt;&gt;"",ISNUMBER($R472)),IF(AND($R472&lt;='設定'!$B$6+N('設定'!$B$14),IF(ISNUMBER($I472),$I472,N($H472))&gt;0),$R472+ROW()/100000,""),"")</f>
        <v/>
      </c>
    </row>
    <row r="473" ht="18" customHeight="1">
      <c r="A473" s="22" t="n">
        <v>469</v>
      </c>
      <c r="B473" s="23" t="n"/>
      <c r="C473" s="24" t="n"/>
      <c r="D473" s="24" t="n"/>
      <c r="E473" s="23" t="n"/>
      <c r="F473" s="23" t="n"/>
      <c r="G473" s="25" t="n"/>
      <c r="H473" s="25" t="n"/>
      <c r="I473" s="25" t="n"/>
      <c r="J473" s="72">
        <f>IF(OR($B473="",$H473=""),"",N($G473)*$H473)</f>
        <v/>
      </c>
      <c r="K473" s="72">
        <f>IF(OR($B473="",$I473=""),"",N($G473)*$I473)</f>
        <v/>
      </c>
      <c r="L473" s="27">
        <f>IF(OR($B473="",$H473="",$I473=""),"",$I473-$H473)</f>
        <v/>
      </c>
      <c r="M473" s="72">
        <f>IF($L473="","",$L473*N($G473))</f>
        <v/>
      </c>
      <c r="N473" s="73">
        <f>IF($L473="","",IF($H473&gt;0,ROUND($L473/$H473,4),"－"))</f>
        <v/>
      </c>
      <c r="O473" s="29">
        <f>IF($B473="","",IF($L473="","未入力",IF($L473=0,"一致",IF(OR(NOT(ISNUMBER($N473)),AND('設定'!$B$10&lt;&gt;"",ABS(N($N473))&gt;'設定'!$B$10),AND('設定'!$B$11&lt;&gt;"",ABS(ROUND($M473,4))&gt;'設定'!$B$11),AND('設定'!$B$10="",'設定'!$B$11="")),"要確認","許容内"))))</f>
        <v/>
      </c>
      <c r="P473" s="29">
        <f>IF($O473&lt;&gt;"要確認","",IF($Q473=0,"済",IF(COUNTIF('差異の原因'!$B$5:$B$204,$B473)=0,"未記録","一部")))</f>
        <v/>
      </c>
      <c r="Q473" s="27">
        <f>IF($L473="","",IF(AND($L473=0,COUNTIF('差異の原因'!$B$5:$B$204,$B473)=0),"",ROUND($L473-SUMIF('差異の原因'!$B$5:$B$204,$B473,'差異の原因'!$G$5:$G$204),6)))</f>
        <v/>
      </c>
      <c r="R473" s="30" t="n"/>
      <c r="S473" s="23" t="n"/>
      <c r="T473" s="29">
        <f>IF(OR($B473="",NOT(ISNUMBER($R473))),"",IF(IF(ISNUMBER($I473),$I473,N($H473))&lt;=0,"",IF($R473&lt;'設定'!$B$6,"期限切れ",IF($R473='設定'!$B$6,"当日",IF($R473-'設定'!$B$6&lt;=N('設定'!$B$14),"あと"&amp;($R473-'設定'!$B$6)&amp;"日","")))))</f>
        <v/>
      </c>
      <c r="U473" s="61" t="n"/>
      <c r="V473" s="31">
        <f>IF(AND($B473&lt;&gt;"",$E473&lt;&gt;"",$E473='数える用紙'!$C$2),ROW(),"")</f>
        <v/>
      </c>
      <c r="W473" s="74">
        <f>IF(AND($B473&lt;&gt;"",ISNUMBER($R473)),IF(AND($R473&lt;='設定'!$B$6+N('設定'!$B$14),IF(ISNUMBER($I473),$I473,N($H473))&gt;0),$R473+ROW()/100000,""),"")</f>
        <v/>
      </c>
    </row>
    <row r="474" ht="18" customHeight="1">
      <c r="A474" s="22" t="n">
        <v>470</v>
      </c>
      <c r="B474" s="23" t="n"/>
      <c r="C474" s="24" t="n"/>
      <c r="D474" s="24" t="n"/>
      <c r="E474" s="23" t="n"/>
      <c r="F474" s="23" t="n"/>
      <c r="G474" s="25" t="n"/>
      <c r="H474" s="25" t="n"/>
      <c r="I474" s="25" t="n"/>
      <c r="J474" s="72">
        <f>IF(OR($B474="",$H474=""),"",N($G474)*$H474)</f>
        <v/>
      </c>
      <c r="K474" s="72">
        <f>IF(OR($B474="",$I474=""),"",N($G474)*$I474)</f>
        <v/>
      </c>
      <c r="L474" s="27">
        <f>IF(OR($B474="",$H474="",$I474=""),"",$I474-$H474)</f>
        <v/>
      </c>
      <c r="M474" s="72">
        <f>IF($L474="","",$L474*N($G474))</f>
        <v/>
      </c>
      <c r="N474" s="73">
        <f>IF($L474="","",IF($H474&gt;0,ROUND($L474/$H474,4),"－"))</f>
        <v/>
      </c>
      <c r="O474" s="29">
        <f>IF($B474="","",IF($L474="","未入力",IF($L474=0,"一致",IF(OR(NOT(ISNUMBER($N474)),AND('設定'!$B$10&lt;&gt;"",ABS(N($N474))&gt;'設定'!$B$10),AND('設定'!$B$11&lt;&gt;"",ABS(ROUND($M474,4))&gt;'設定'!$B$11),AND('設定'!$B$10="",'設定'!$B$11="")),"要確認","許容内"))))</f>
        <v/>
      </c>
      <c r="P474" s="29">
        <f>IF($O474&lt;&gt;"要確認","",IF($Q474=0,"済",IF(COUNTIF('差異の原因'!$B$5:$B$204,$B474)=0,"未記録","一部")))</f>
        <v/>
      </c>
      <c r="Q474" s="27">
        <f>IF($L474="","",IF(AND($L474=0,COUNTIF('差異の原因'!$B$5:$B$204,$B474)=0),"",ROUND($L474-SUMIF('差異の原因'!$B$5:$B$204,$B474,'差異の原因'!$G$5:$G$204),6)))</f>
        <v/>
      </c>
      <c r="R474" s="30" t="n"/>
      <c r="S474" s="23" t="n"/>
      <c r="T474" s="29">
        <f>IF(OR($B474="",NOT(ISNUMBER($R474))),"",IF(IF(ISNUMBER($I474),$I474,N($H474))&lt;=0,"",IF($R474&lt;'設定'!$B$6,"期限切れ",IF($R474='設定'!$B$6,"当日",IF($R474-'設定'!$B$6&lt;=N('設定'!$B$14),"あと"&amp;($R474-'設定'!$B$6)&amp;"日","")))))</f>
        <v/>
      </c>
      <c r="U474" s="61" t="n"/>
      <c r="V474" s="31">
        <f>IF(AND($B474&lt;&gt;"",$E474&lt;&gt;"",$E474='数える用紙'!$C$2),ROW(),"")</f>
        <v/>
      </c>
      <c r="W474" s="74">
        <f>IF(AND($B474&lt;&gt;"",ISNUMBER($R474)),IF(AND($R474&lt;='設定'!$B$6+N('設定'!$B$14),IF(ISNUMBER($I474),$I474,N($H474))&gt;0),$R474+ROW()/100000,""),"")</f>
        <v/>
      </c>
    </row>
    <row r="475" ht="18" customHeight="1">
      <c r="A475" s="22" t="n">
        <v>471</v>
      </c>
      <c r="B475" s="23" t="n"/>
      <c r="C475" s="24" t="n"/>
      <c r="D475" s="24" t="n"/>
      <c r="E475" s="23" t="n"/>
      <c r="F475" s="23" t="n"/>
      <c r="G475" s="25" t="n"/>
      <c r="H475" s="25" t="n"/>
      <c r="I475" s="25" t="n"/>
      <c r="J475" s="72">
        <f>IF(OR($B475="",$H475=""),"",N($G475)*$H475)</f>
        <v/>
      </c>
      <c r="K475" s="72">
        <f>IF(OR($B475="",$I475=""),"",N($G475)*$I475)</f>
        <v/>
      </c>
      <c r="L475" s="27">
        <f>IF(OR($B475="",$H475="",$I475=""),"",$I475-$H475)</f>
        <v/>
      </c>
      <c r="M475" s="72">
        <f>IF($L475="","",$L475*N($G475))</f>
        <v/>
      </c>
      <c r="N475" s="73">
        <f>IF($L475="","",IF($H475&gt;0,ROUND($L475/$H475,4),"－"))</f>
        <v/>
      </c>
      <c r="O475" s="29">
        <f>IF($B475="","",IF($L475="","未入力",IF($L475=0,"一致",IF(OR(NOT(ISNUMBER($N475)),AND('設定'!$B$10&lt;&gt;"",ABS(N($N475))&gt;'設定'!$B$10),AND('設定'!$B$11&lt;&gt;"",ABS(ROUND($M475,4))&gt;'設定'!$B$11),AND('設定'!$B$10="",'設定'!$B$11="")),"要確認","許容内"))))</f>
        <v/>
      </c>
      <c r="P475" s="29">
        <f>IF($O475&lt;&gt;"要確認","",IF($Q475=0,"済",IF(COUNTIF('差異の原因'!$B$5:$B$204,$B475)=0,"未記録","一部")))</f>
        <v/>
      </c>
      <c r="Q475" s="27">
        <f>IF($L475="","",IF(AND($L475=0,COUNTIF('差異の原因'!$B$5:$B$204,$B475)=0),"",ROUND($L475-SUMIF('差異の原因'!$B$5:$B$204,$B475,'差異の原因'!$G$5:$G$204),6)))</f>
        <v/>
      </c>
      <c r="R475" s="30" t="n"/>
      <c r="S475" s="23" t="n"/>
      <c r="T475" s="29">
        <f>IF(OR($B475="",NOT(ISNUMBER($R475))),"",IF(IF(ISNUMBER($I475),$I475,N($H475))&lt;=0,"",IF($R475&lt;'設定'!$B$6,"期限切れ",IF($R475='設定'!$B$6,"当日",IF($R475-'設定'!$B$6&lt;=N('設定'!$B$14),"あと"&amp;($R475-'設定'!$B$6)&amp;"日","")))))</f>
        <v/>
      </c>
      <c r="U475" s="61" t="n"/>
      <c r="V475" s="31">
        <f>IF(AND($B475&lt;&gt;"",$E475&lt;&gt;"",$E475='数える用紙'!$C$2),ROW(),"")</f>
        <v/>
      </c>
      <c r="W475" s="74">
        <f>IF(AND($B475&lt;&gt;"",ISNUMBER($R475)),IF(AND($R475&lt;='設定'!$B$6+N('設定'!$B$14),IF(ISNUMBER($I475),$I475,N($H475))&gt;0),$R475+ROW()/100000,""),"")</f>
        <v/>
      </c>
    </row>
    <row r="476" ht="18" customHeight="1">
      <c r="A476" s="22" t="n">
        <v>472</v>
      </c>
      <c r="B476" s="23" t="n"/>
      <c r="C476" s="24" t="n"/>
      <c r="D476" s="24" t="n"/>
      <c r="E476" s="23" t="n"/>
      <c r="F476" s="23" t="n"/>
      <c r="G476" s="25" t="n"/>
      <c r="H476" s="25" t="n"/>
      <c r="I476" s="25" t="n"/>
      <c r="J476" s="72">
        <f>IF(OR($B476="",$H476=""),"",N($G476)*$H476)</f>
        <v/>
      </c>
      <c r="K476" s="72">
        <f>IF(OR($B476="",$I476=""),"",N($G476)*$I476)</f>
        <v/>
      </c>
      <c r="L476" s="27">
        <f>IF(OR($B476="",$H476="",$I476=""),"",$I476-$H476)</f>
        <v/>
      </c>
      <c r="M476" s="72">
        <f>IF($L476="","",$L476*N($G476))</f>
        <v/>
      </c>
      <c r="N476" s="73">
        <f>IF($L476="","",IF($H476&gt;0,ROUND($L476/$H476,4),"－"))</f>
        <v/>
      </c>
      <c r="O476" s="29">
        <f>IF($B476="","",IF($L476="","未入力",IF($L476=0,"一致",IF(OR(NOT(ISNUMBER($N476)),AND('設定'!$B$10&lt;&gt;"",ABS(N($N476))&gt;'設定'!$B$10),AND('設定'!$B$11&lt;&gt;"",ABS(ROUND($M476,4))&gt;'設定'!$B$11),AND('設定'!$B$10="",'設定'!$B$11="")),"要確認","許容内"))))</f>
        <v/>
      </c>
      <c r="P476" s="29">
        <f>IF($O476&lt;&gt;"要確認","",IF($Q476=0,"済",IF(COUNTIF('差異の原因'!$B$5:$B$204,$B476)=0,"未記録","一部")))</f>
        <v/>
      </c>
      <c r="Q476" s="27">
        <f>IF($L476="","",IF(AND($L476=0,COUNTIF('差異の原因'!$B$5:$B$204,$B476)=0),"",ROUND($L476-SUMIF('差異の原因'!$B$5:$B$204,$B476,'差異の原因'!$G$5:$G$204),6)))</f>
        <v/>
      </c>
      <c r="R476" s="30" t="n"/>
      <c r="S476" s="23" t="n"/>
      <c r="T476" s="29">
        <f>IF(OR($B476="",NOT(ISNUMBER($R476))),"",IF(IF(ISNUMBER($I476),$I476,N($H476))&lt;=0,"",IF($R476&lt;'設定'!$B$6,"期限切れ",IF($R476='設定'!$B$6,"当日",IF($R476-'設定'!$B$6&lt;=N('設定'!$B$14),"あと"&amp;($R476-'設定'!$B$6)&amp;"日","")))))</f>
        <v/>
      </c>
      <c r="U476" s="61" t="n"/>
      <c r="V476" s="31">
        <f>IF(AND($B476&lt;&gt;"",$E476&lt;&gt;"",$E476='数える用紙'!$C$2),ROW(),"")</f>
        <v/>
      </c>
      <c r="W476" s="74">
        <f>IF(AND($B476&lt;&gt;"",ISNUMBER($R476)),IF(AND($R476&lt;='設定'!$B$6+N('設定'!$B$14),IF(ISNUMBER($I476),$I476,N($H476))&gt;0),$R476+ROW()/100000,""),"")</f>
        <v/>
      </c>
    </row>
    <row r="477" ht="18" customHeight="1">
      <c r="A477" s="22" t="n">
        <v>473</v>
      </c>
      <c r="B477" s="23" t="n"/>
      <c r="C477" s="24" t="n"/>
      <c r="D477" s="24" t="n"/>
      <c r="E477" s="23" t="n"/>
      <c r="F477" s="23" t="n"/>
      <c r="G477" s="25" t="n"/>
      <c r="H477" s="25" t="n"/>
      <c r="I477" s="25" t="n"/>
      <c r="J477" s="72">
        <f>IF(OR($B477="",$H477=""),"",N($G477)*$H477)</f>
        <v/>
      </c>
      <c r="K477" s="72">
        <f>IF(OR($B477="",$I477=""),"",N($G477)*$I477)</f>
        <v/>
      </c>
      <c r="L477" s="27">
        <f>IF(OR($B477="",$H477="",$I477=""),"",$I477-$H477)</f>
        <v/>
      </c>
      <c r="M477" s="72">
        <f>IF($L477="","",$L477*N($G477))</f>
        <v/>
      </c>
      <c r="N477" s="73">
        <f>IF($L477="","",IF($H477&gt;0,ROUND($L477/$H477,4),"－"))</f>
        <v/>
      </c>
      <c r="O477" s="29">
        <f>IF($B477="","",IF($L477="","未入力",IF($L477=0,"一致",IF(OR(NOT(ISNUMBER($N477)),AND('設定'!$B$10&lt;&gt;"",ABS(N($N477))&gt;'設定'!$B$10),AND('設定'!$B$11&lt;&gt;"",ABS(ROUND($M477,4))&gt;'設定'!$B$11),AND('設定'!$B$10="",'設定'!$B$11="")),"要確認","許容内"))))</f>
        <v/>
      </c>
      <c r="P477" s="29">
        <f>IF($O477&lt;&gt;"要確認","",IF($Q477=0,"済",IF(COUNTIF('差異の原因'!$B$5:$B$204,$B477)=0,"未記録","一部")))</f>
        <v/>
      </c>
      <c r="Q477" s="27">
        <f>IF($L477="","",IF(AND($L477=0,COUNTIF('差異の原因'!$B$5:$B$204,$B477)=0),"",ROUND($L477-SUMIF('差異の原因'!$B$5:$B$204,$B477,'差異の原因'!$G$5:$G$204),6)))</f>
        <v/>
      </c>
      <c r="R477" s="30" t="n"/>
      <c r="S477" s="23" t="n"/>
      <c r="T477" s="29">
        <f>IF(OR($B477="",NOT(ISNUMBER($R477))),"",IF(IF(ISNUMBER($I477),$I477,N($H477))&lt;=0,"",IF($R477&lt;'設定'!$B$6,"期限切れ",IF($R477='設定'!$B$6,"当日",IF($R477-'設定'!$B$6&lt;=N('設定'!$B$14),"あと"&amp;($R477-'設定'!$B$6)&amp;"日","")))))</f>
        <v/>
      </c>
      <c r="U477" s="61" t="n"/>
      <c r="V477" s="31">
        <f>IF(AND($B477&lt;&gt;"",$E477&lt;&gt;"",$E477='数える用紙'!$C$2),ROW(),"")</f>
        <v/>
      </c>
      <c r="W477" s="74">
        <f>IF(AND($B477&lt;&gt;"",ISNUMBER($R477)),IF(AND($R477&lt;='設定'!$B$6+N('設定'!$B$14),IF(ISNUMBER($I477),$I477,N($H477))&gt;0),$R477+ROW()/100000,""),"")</f>
        <v/>
      </c>
    </row>
    <row r="478" ht="18" customHeight="1">
      <c r="A478" s="22" t="n">
        <v>474</v>
      </c>
      <c r="B478" s="23" t="n"/>
      <c r="C478" s="24" t="n"/>
      <c r="D478" s="24" t="n"/>
      <c r="E478" s="23" t="n"/>
      <c r="F478" s="23" t="n"/>
      <c r="G478" s="25" t="n"/>
      <c r="H478" s="25" t="n"/>
      <c r="I478" s="25" t="n"/>
      <c r="J478" s="72">
        <f>IF(OR($B478="",$H478=""),"",N($G478)*$H478)</f>
        <v/>
      </c>
      <c r="K478" s="72">
        <f>IF(OR($B478="",$I478=""),"",N($G478)*$I478)</f>
        <v/>
      </c>
      <c r="L478" s="27">
        <f>IF(OR($B478="",$H478="",$I478=""),"",$I478-$H478)</f>
        <v/>
      </c>
      <c r="M478" s="72">
        <f>IF($L478="","",$L478*N($G478))</f>
        <v/>
      </c>
      <c r="N478" s="73">
        <f>IF($L478="","",IF($H478&gt;0,ROUND($L478/$H478,4),"－"))</f>
        <v/>
      </c>
      <c r="O478" s="29">
        <f>IF($B478="","",IF($L478="","未入力",IF($L478=0,"一致",IF(OR(NOT(ISNUMBER($N478)),AND('設定'!$B$10&lt;&gt;"",ABS(N($N478))&gt;'設定'!$B$10),AND('設定'!$B$11&lt;&gt;"",ABS(ROUND($M478,4))&gt;'設定'!$B$11),AND('設定'!$B$10="",'設定'!$B$11="")),"要確認","許容内"))))</f>
        <v/>
      </c>
      <c r="P478" s="29">
        <f>IF($O478&lt;&gt;"要確認","",IF($Q478=0,"済",IF(COUNTIF('差異の原因'!$B$5:$B$204,$B478)=0,"未記録","一部")))</f>
        <v/>
      </c>
      <c r="Q478" s="27">
        <f>IF($L478="","",IF(AND($L478=0,COUNTIF('差異の原因'!$B$5:$B$204,$B478)=0),"",ROUND($L478-SUMIF('差異の原因'!$B$5:$B$204,$B478,'差異の原因'!$G$5:$G$204),6)))</f>
        <v/>
      </c>
      <c r="R478" s="30" t="n"/>
      <c r="S478" s="23" t="n"/>
      <c r="T478" s="29">
        <f>IF(OR($B478="",NOT(ISNUMBER($R478))),"",IF(IF(ISNUMBER($I478),$I478,N($H478))&lt;=0,"",IF($R478&lt;'設定'!$B$6,"期限切れ",IF($R478='設定'!$B$6,"当日",IF($R478-'設定'!$B$6&lt;=N('設定'!$B$14),"あと"&amp;($R478-'設定'!$B$6)&amp;"日","")))))</f>
        <v/>
      </c>
      <c r="U478" s="61" t="n"/>
      <c r="V478" s="31">
        <f>IF(AND($B478&lt;&gt;"",$E478&lt;&gt;"",$E478='数える用紙'!$C$2),ROW(),"")</f>
        <v/>
      </c>
      <c r="W478" s="74">
        <f>IF(AND($B478&lt;&gt;"",ISNUMBER($R478)),IF(AND($R478&lt;='設定'!$B$6+N('設定'!$B$14),IF(ISNUMBER($I478),$I478,N($H478))&gt;0),$R478+ROW()/100000,""),"")</f>
        <v/>
      </c>
    </row>
    <row r="479" ht="18" customHeight="1">
      <c r="A479" s="22" t="n">
        <v>475</v>
      </c>
      <c r="B479" s="23" t="n"/>
      <c r="C479" s="24" t="n"/>
      <c r="D479" s="24" t="n"/>
      <c r="E479" s="23" t="n"/>
      <c r="F479" s="23" t="n"/>
      <c r="G479" s="25" t="n"/>
      <c r="H479" s="25" t="n"/>
      <c r="I479" s="25" t="n"/>
      <c r="J479" s="72">
        <f>IF(OR($B479="",$H479=""),"",N($G479)*$H479)</f>
        <v/>
      </c>
      <c r="K479" s="72">
        <f>IF(OR($B479="",$I479=""),"",N($G479)*$I479)</f>
        <v/>
      </c>
      <c r="L479" s="27">
        <f>IF(OR($B479="",$H479="",$I479=""),"",$I479-$H479)</f>
        <v/>
      </c>
      <c r="M479" s="72">
        <f>IF($L479="","",$L479*N($G479))</f>
        <v/>
      </c>
      <c r="N479" s="73">
        <f>IF($L479="","",IF($H479&gt;0,ROUND($L479/$H479,4),"－"))</f>
        <v/>
      </c>
      <c r="O479" s="29">
        <f>IF($B479="","",IF($L479="","未入力",IF($L479=0,"一致",IF(OR(NOT(ISNUMBER($N479)),AND('設定'!$B$10&lt;&gt;"",ABS(N($N479))&gt;'設定'!$B$10),AND('設定'!$B$11&lt;&gt;"",ABS(ROUND($M479,4))&gt;'設定'!$B$11),AND('設定'!$B$10="",'設定'!$B$11="")),"要確認","許容内"))))</f>
        <v/>
      </c>
      <c r="P479" s="29">
        <f>IF($O479&lt;&gt;"要確認","",IF($Q479=0,"済",IF(COUNTIF('差異の原因'!$B$5:$B$204,$B479)=0,"未記録","一部")))</f>
        <v/>
      </c>
      <c r="Q479" s="27">
        <f>IF($L479="","",IF(AND($L479=0,COUNTIF('差異の原因'!$B$5:$B$204,$B479)=0),"",ROUND($L479-SUMIF('差異の原因'!$B$5:$B$204,$B479,'差異の原因'!$G$5:$G$204),6)))</f>
        <v/>
      </c>
      <c r="R479" s="30" t="n"/>
      <c r="S479" s="23" t="n"/>
      <c r="T479" s="29">
        <f>IF(OR($B479="",NOT(ISNUMBER($R479))),"",IF(IF(ISNUMBER($I479),$I479,N($H479))&lt;=0,"",IF($R479&lt;'設定'!$B$6,"期限切れ",IF($R479='設定'!$B$6,"当日",IF($R479-'設定'!$B$6&lt;=N('設定'!$B$14),"あと"&amp;($R479-'設定'!$B$6)&amp;"日","")))))</f>
        <v/>
      </c>
      <c r="U479" s="61" t="n"/>
      <c r="V479" s="31">
        <f>IF(AND($B479&lt;&gt;"",$E479&lt;&gt;"",$E479='数える用紙'!$C$2),ROW(),"")</f>
        <v/>
      </c>
      <c r="W479" s="74">
        <f>IF(AND($B479&lt;&gt;"",ISNUMBER($R479)),IF(AND($R479&lt;='設定'!$B$6+N('設定'!$B$14),IF(ISNUMBER($I479),$I479,N($H479))&gt;0),$R479+ROW()/100000,""),"")</f>
        <v/>
      </c>
    </row>
    <row r="480" ht="18" customHeight="1">
      <c r="A480" s="22" t="n">
        <v>476</v>
      </c>
      <c r="B480" s="23" t="n"/>
      <c r="C480" s="24" t="n"/>
      <c r="D480" s="24" t="n"/>
      <c r="E480" s="23" t="n"/>
      <c r="F480" s="23" t="n"/>
      <c r="G480" s="25" t="n"/>
      <c r="H480" s="25" t="n"/>
      <c r="I480" s="25" t="n"/>
      <c r="J480" s="72">
        <f>IF(OR($B480="",$H480=""),"",N($G480)*$H480)</f>
        <v/>
      </c>
      <c r="K480" s="72">
        <f>IF(OR($B480="",$I480=""),"",N($G480)*$I480)</f>
        <v/>
      </c>
      <c r="L480" s="27">
        <f>IF(OR($B480="",$H480="",$I480=""),"",$I480-$H480)</f>
        <v/>
      </c>
      <c r="M480" s="72">
        <f>IF($L480="","",$L480*N($G480))</f>
        <v/>
      </c>
      <c r="N480" s="73">
        <f>IF($L480="","",IF($H480&gt;0,ROUND($L480/$H480,4),"－"))</f>
        <v/>
      </c>
      <c r="O480" s="29">
        <f>IF($B480="","",IF($L480="","未入力",IF($L480=0,"一致",IF(OR(NOT(ISNUMBER($N480)),AND('設定'!$B$10&lt;&gt;"",ABS(N($N480))&gt;'設定'!$B$10),AND('設定'!$B$11&lt;&gt;"",ABS(ROUND($M480,4))&gt;'設定'!$B$11),AND('設定'!$B$10="",'設定'!$B$11="")),"要確認","許容内"))))</f>
        <v/>
      </c>
      <c r="P480" s="29">
        <f>IF($O480&lt;&gt;"要確認","",IF($Q480=0,"済",IF(COUNTIF('差異の原因'!$B$5:$B$204,$B480)=0,"未記録","一部")))</f>
        <v/>
      </c>
      <c r="Q480" s="27">
        <f>IF($L480="","",IF(AND($L480=0,COUNTIF('差異の原因'!$B$5:$B$204,$B480)=0),"",ROUND($L480-SUMIF('差異の原因'!$B$5:$B$204,$B480,'差異の原因'!$G$5:$G$204),6)))</f>
        <v/>
      </c>
      <c r="R480" s="30" t="n"/>
      <c r="S480" s="23" t="n"/>
      <c r="T480" s="29">
        <f>IF(OR($B480="",NOT(ISNUMBER($R480))),"",IF(IF(ISNUMBER($I480),$I480,N($H480))&lt;=0,"",IF($R480&lt;'設定'!$B$6,"期限切れ",IF($R480='設定'!$B$6,"当日",IF($R480-'設定'!$B$6&lt;=N('設定'!$B$14),"あと"&amp;($R480-'設定'!$B$6)&amp;"日","")))))</f>
        <v/>
      </c>
      <c r="U480" s="61" t="n"/>
      <c r="V480" s="31">
        <f>IF(AND($B480&lt;&gt;"",$E480&lt;&gt;"",$E480='数える用紙'!$C$2),ROW(),"")</f>
        <v/>
      </c>
      <c r="W480" s="74">
        <f>IF(AND($B480&lt;&gt;"",ISNUMBER($R480)),IF(AND($R480&lt;='設定'!$B$6+N('設定'!$B$14),IF(ISNUMBER($I480),$I480,N($H480))&gt;0),$R480+ROW()/100000,""),"")</f>
        <v/>
      </c>
    </row>
    <row r="481" ht="18" customHeight="1">
      <c r="A481" s="22" t="n">
        <v>477</v>
      </c>
      <c r="B481" s="23" t="n"/>
      <c r="C481" s="24" t="n"/>
      <c r="D481" s="24" t="n"/>
      <c r="E481" s="23" t="n"/>
      <c r="F481" s="23" t="n"/>
      <c r="G481" s="25" t="n"/>
      <c r="H481" s="25" t="n"/>
      <c r="I481" s="25" t="n"/>
      <c r="J481" s="72">
        <f>IF(OR($B481="",$H481=""),"",N($G481)*$H481)</f>
        <v/>
      </c>
      <c r="K481" s="72">
        <f>IF(OR($B481="",$I481=""),"",N($G481)*$I481)</f>
        <v/>
      </c>
      <c r="L481" s="27">
        <f>IF(OR($B481="",$H481="",$I481=""),"",$I481-$H481)</f>
        <v/>
      </c>
      <c r="M481" s="72">
        <f>IF($L481="","",$L481*N($G481))</f>
        <v/>
      </c>
      <c r="N481" s="73">
        <f>IF($L481="","",IF($H481&gt;0,ROUND($L481/$H481,4),"－"))</f>
        <v/>
      </c>
      <c r="O481" s="29">
        <f>IF($B481="","",IF($L481="","未入力",IF($L481=0,"一致",IF(OR(NOT(ISNUMBER($N481)),AND('設定'!$B$10&lt;&gt;"",ABS(N($N481))&gt;'設定'!$B$10),AND('設定'!$B$11&lt;&gt;"",ABS(ROUND($M481,4))&gt;'設定'!$B$11),AND('設定'!$B$10="",'設定'!$B$11="")),"要確認","許容内"))))</f>
        <v/>
      </c>
      <c r="P481" s="29">
        <f>IF($O481&lt;&gt;"要確認","",IF($Q481=0,"済",IF(COUNTIF('差異の原因'!$B$5:$B$204,$B481)=0,"未記録","一部")))</f>
        <v/>
      </c>
      <c r="Q481" s="27">
        <f>IF($L481="","",IF(AND($L481=0,COUNTIF('差異の原因'!$B$5:$B$204,$B481)=0),"",ROUND($L481-SUMIF('差異の原因'!$B$5:$B$204,$B481,'差異の原因'!$G$5:$G$204),6)))</f>
        <v/>
      </c>
      <c r="R481" s="30" t="n"/>
      <c r="S481" s="23" t="n"/>
      <c r="T481" s="29">
        <f>IF(OR($B481="",NOT(ISNUMBER($R481))),"",IF(IF(ISNUMBER($I481),$I481,N($H481))&lt;=0,"",IF($R481&lt;'設定'!$B$6,"期限切れ",IF($R481='設定'!$B$6,"当日",IF($R481-'設定'!$B$6&lt;=N('設定'!$B$14),"あと"&amp;($R481-'設定'!$B$6)&amp;"日","")))))</f>
        <v/>
      </c>
      <c r="U481" s="61" t="n"/>
      <c r="V481" s="31">
        <f>IF(AND($B481&lt;&gt;"",$E481&lt;&gt;"",$E481='数える用紙'!$C$2),ROW(),"")</f>
        <v/>
      </c>
      <c r="W481" s="74">
        <f>IF(AND($B481&lt;&gt;"",ISNUMBER($R481)),IF(AND($R481&lt;='設定'!$B$6+N('設定'!$B$14),IF(ISNUMBER($I481),$I481,N($H481))&gt;0),$R481+ROW()/100000,""),"")</f>
        <v/>
      </c>
    </row>
    <row r="482" ht="18" customHeight="1">
      <c r="A482" s="22" t="n">
        <v>478</v>
      </c>
      <c r="B482" s="23" t="n"/>
      <c r="C482" s="24" t="n"/>
      <c r="D482" s="24" t="n"/>
      <c r="E482" s="23" t="n"/>
      <c r="F482" s="23" t="n"/>
      <c r="G482" s="25" t="n"/>
      <c r="H482" s="25" t="n"/>
      <c r="I482" s="25" t="n"/>
      <c r="J482" s="72">
        <f>IF(OR($B482="",$H482=""),"",N($G482)*$H482)</f>
        <v/>
      </c>
      <c r="K482" s="72">
        <f>IF(OR($B482="",$I482=""),"",N($G482)*$I482)</f>
        <v/>
      </c>
      <c r="L482" s="27">
        <f>IF(OR($B482="",$H482="",$I482=""),"",$I482-$H482)</f>
        <v/>
      </c>
      <c r="M482" s="72">
        <f>IF($L482="","",$L482*N($G482))</f>
        <v/>
      </c>
      <c r="N482" s="73">
        <f>IF($L482="","",IF($H482&gt;0,ROUND($L482/$H482,4),"－"))</f>
        <v/>
      </c>
      <c r="O482" s="29">
        <f>IF($B482="","",IF($L482="","未入力",IF($L482=0,"一致",IF(OR(NOT(ISNUMBER($N482)),AND('設定'!$B$10&lt;&gt;"",ABS(N($N482))&gt;'設定'!$B$10),AND('設定'!$B$11&lt;&gt;"",ABS(ROUND($M482,4))&gt;'設定'!$B$11),AND('設定'!$B$10="",'設定'!$B$11="")),"要確認","許容内"))))</f>
        <v/>
      </c>
      <c r="P482" s="29">
        <f>IF($O482&lt;&gt;"要確認","",IF($Q482=0,"済",IF(COUNTIF('差異の原因'!$B$5:$B$204,$B482)=0,"未記録","一部")))</f>
        <v/>
      </c>
      <c r="Q482" s="27">
        <f>IF($L482="","",IF(AND($L482=0,COUNTIF('差異の原因'!$B$5:$B$204,$B482)=0),"",ROUND($L482-SUMIF('差異の原因'!$B$5:$B$204,$B482,'差異の原因'!$G$5:$G$204),6)))</f>
        <v/>
      </c>
      <c r="R482" s="30" t="n"/>
      <c r="S482" s="23" t="n"/>
      <c r="T482" s="29">
        <f>IF(OR($B482="",NOT(ISNUMBER($R482))),"",IF(IF(ISNUMBER($I482),$I482,N($H482))&lt;=0,"",IF($R482&lt;'設定'!$B$6,"期限切れ",IF($R482='設定'!$B$6,"当日",IF($R482-'設定'!$B$6&lt;=N('設定'!$B$14),"あと"&amp;($R482-'設定'!$B$6)&amp;"日","")))))</f>
        <v/>
      </c>
      <c r="U482" s="61" t="n"/>
      <c r="V482" s="31">
        <f>IF(AND($B482&lt;&gt;"",$E482&lt;&gt;"",$E482='数える用紙'!$C$2),ROW(),"")</f>
        <v/>
      </c>
      <c r="W482" s="74">
        <f>IF(AND($B482&lt;&gt;"",ISNUMBER($R482)),IF(AND($R482&lt;='設定'!$B$6+N('設定'!$B$14),IF(ISNUMBER($I482),$I482,N($H482))&gt;0),$R482+ROW()/100000,""),"")</f>
        <v/>
      </c>
    </row>
    <row r="483" ht="18" customHeight="1">
      <c r="A483" s="22" t="n">
        <v>479</v>
      </c>
      <c r="B483" s="23" t="n"/>
      <c r="C483" s="24" t="n"/>
      <c r="D483" s="24" t="n"/>
      <c r="E483" s="23" t="n"/>
      <c r="F483" s="23" t="n"/>
      <c r="G483" s="25" t="n"/>
      <c r="H483" s="25" t="n"/>
      <c r="I483" s="25" t="n"/>
      <c r="J483" s="72">
        <f>IF(OR($B483="",$H483=""),"",N($G483)*$H483)</f>
        <v/>
      </c>
      <c r="K483" s="72">
        <f>IF(OR($B483="",$I483=""),"",N($G483)*$I483)</f>
        <v/>
      </c>
      <c r="L483" s="27">
        <f>IF(OR($B483="",$H483="",$I483=""),"",$I483-$H483)</f>
        <v/>
      </c>
      <c r="M483" s="72">
        <f>IF($L483="","",$L483*N($G483))</f>
        <v/>
      </c>
      <c r="N483" s="73">
        <f>IF($L483="","",IF($H483&gt;0,ROUND($L483/$H483,4),"－"))</f>
        <v/>
      </c>
      <c r="O483" s="29">
        <f>IF($B483="","",IF($L483="","未入力",IF($L483=0,"一致",IF(OR(NOT(ISNUMBER($N483)),AND('設定'!$B$10&lt;&gt;"",ABS(N($N483))&gt;'設定'!$B$10),AND('設定'!$B$11&lt;&gt;"",ABS(ROUND($M483,4))&gt;'設定'!$B$11),AND('設定'!$B$10="",'設定'!$B$11="")),"要確認","許容内"))))</f>
        <v/>
      </c>
      <c r="P483" s="29">
        <f>IF($O483&lt;&gt;"要確認","",IF($Q483=0,"済",IF(COUNTIF('差異の原因'!$B$5:$B$204,$B483)=0,"未記録","一部")))</f>
        <v/>
      </c>
      <c r="Q483" s="27">
        <f>IF($L483="","",IF(AND($L483=0,COUNTIF('差異の原因'!$B$5:$B$204,$B483)=0),"",ROUND($L483-SUMIF('差異の原因'!$B$5:$B$204,$B483,'差異の原因'!$G$5:$G$204),6)))</f>
        <v/>
      </c>
      <c r="R483" s="30" t="n"/>
      <c r="S483" s="23" t="n"/>
      <c r="T483" s="29">
        <f>IF(OR($B483="",NOT(ISNUMBER($R483))),"",IF(IF(ISNUMBER($I483),$I483,N($H483))&lt;=0,"",IF($R483&lt;'設定'!$B$6,"期限切れ",IF($R483='設定'!$B$6,"当日",IF($R483-'設定'!$B$6&lt;=N('設定'!$B$14),"あと"&amp;($R483-'設定'!$B$6)&amp;"日","")))))</f>
        <v/>
      </c>
      <c r="U483" s="61" t="n"/>
      <c r="V483" s="31">
        <f>IF(AND($B483&lt;&gt;"",$E483&lt;&gt;"",$E483='数える用紙'!$C$2),ROW(),"")</f>
        <v/>
      </c>
      <c r="W483" s="74">
        <f>IF(AND($B483&lt;&gt;"",ISNUMBER($R483)),IF(AND($R483&lt;='設定'!$B$6+N('設定'!$B$14),IF(ISNUMBER($I483),$I483,N($H483))&gt;0),$R483+ROW()/100000,""),"")</f>
        <v/>
      </c>
    </row>
    <row r="484" ht="18" customHeight="1">
      <c r="A484" s="22" t="n">
        <v>480</v>
      </c>
      <c r="B484" s="23" t="n"/>
      <c r="C484" s="24" t="n"/>
      <c r="D484" s="24" t="n"/>
      <c r="E484" s="23" t="n"/>
      <c r="F484" s="23" t="n"/>
      <c r="G484" s="25" t="n"/>
      <c r="H484" s="25" t="n"/>
      <c r="I484" s="25" t="n"/>
      <c r="J484" s="72">
        <f>IF(OR($B484="",$H484=""),"",N($G484)*$H484)</f>
        <v/>
      </c>
      <c r="K484" s="72">
        <f>IF(OR($B484="",$I484=""),"",N($G484)*$I484)</f>
        <v/>
      </c>
      <c r="L484" s="27">
        <f>IF(OR($B484="",$H484="",$I484=""),"",$I484-$H484)</f>
        <v/>
      </c>
      <c r="M484" s="72">
        <f>IF($L484="","",$L484*N($G484))</f>
        <v/>
      </c>
      <c r="N484" s="73">
        <f>IF($L484="","",IF($H484&gt;0,ROUND($L484/$H484,4),"－"))</f>
        <v/>
      </c>
      <c r="O484" s="29">
        <f>IF($B484="","",IF($L484="","未入力",IF($L484=0,"一致",IF(OR(NOT(ISNUMBER($N484)),AND('設定'!$B$10&lt;&gt;"",ABS(N($N484))&gt;'設定'!$B$10),AND('設定'!$B$11&lt;&gt;"",ABS(ROUND($M484,4))&gt;'設定'!$B$11),AND('設定'!$B$10="",'設定'!$B$11="")),"要確認","許容内"))))</f>
        <v/>
      </c>
      <c r="P484" s="29">
        <f>IF($O484&lt;&gt;"要確認","",IF($Q484=0,"済",IF(COUNTIF('差異の原因'!$B$5:$B$204,$B484)=0,"未記録","一部")))</f>
        <v/>
      </c>
      <c r="Q484" s="27">
        <f>IF($L484="","",IF(AND($L484=0,COUNTIF('差異の原因'!$B$5:$B$204,$B484)=0),"",ROUND($L484-SUMIF('差異の原因'!$B$5:$B$204,$B484,'差異の原因'!$G$5:$G$204),6)))</f>
        <v/>
      </c>
      <c r="R484" s="30" t="n"/>
      <c r="S484" s="23" t="n"/>
      <c r="T484" s="29">
        <f>IF(OR($B484="",NOT(ISNUMBER($R484))),"",IF(IF(ISNUMBER($I484),$I484,N($H484))&lt;=0,"",IF($R484&lt;'設定'!$B$6,"期限切れ",IF($R484='設定'!$B$6,"当日",IF($R484-'設定'!$B$6&lt;=N('設定'!$B$14),"あと"&amp;($R484-'設定'!$B$6)&amp;"日","")))))</f>
        <v/>
      </c>
      <c r="U484" s="61" t="n"/>
      <c r="V484" s="31">
        <f>IF(AND($B484&lt;&gt;"",$E484&lt;&gt;"",$E484='数える用紙'!$C$2),ROW(),"")</f>
        <v/>
      </c>
      <c r="W484" s="74">
        <f>IF(AND($B484&lt;&gt;"",ISNUMBER($R484)),IF(AND($R484&lt;='設定'!$B$6+N('設定'!$B$14),IF(ISNUMBER($I484),$I484,N($H484))&gt;0),$R484+ROW()/100000,""),"")</f>
        <v/>
      </c>
    </row>
    <row r="485" ht="18" customHeight="1">
      <c r="A485" s="22" t="n">
        <v>481</v>
      </c>
      <c r="B485" s="23" t="n"/>
      <c r="C485" s="24" t="n"/>
      <c r="D485" s="24" t="n"/>
      <c r="E485" s="23" t="n"/>
      <c r="F485" s="23" t="n"/>
      <c r="G485" s="25" t="n"/>
      <c r="H485" s="25" t="n"/>
      <c r="I485" s="25" t="n"/>
      <c r="J485" s="72">
        <f>IF(OR($B485="",$H485=""),"",N($G485)*$H485)</f>
        <v/>
      </c>
      <c r="K485" s="72">
        <f>IF(OR($B485="",$I485=""),"",N($G485)*$I485)</f>
        <v/>
      </c>
      <c r="L485" s="27">
        <f>IF(OR($B485="",$H485="",$I485=""),"",$I485-$H485)</f>
        <v/>
      </c>
      <c r="M485" s="72">
        <f>IF($L485="","",$L485*N($G485))</f>
        <v/>
      </c>
      <c r="N485" s="73">
        <f>IF($L485="","",IF($H485&gt;0,ROUND($L485/$H485,4),"－"))</f>
        <v/>
      </c>
      <c r="O485" s="29">
        <f>IF($B485="","",IF($L485="","未入力",IF($L485=0,"一致",IF(OR(NOT(ISNUMBER($N485)),AND('設定'!$B$10&lt;&gt;"",ABS(N($N485))&gt;'設定'!$B$10),AND('設定'!$B$11&lt;&gt;"",ABS(ROUND($M485,4))&gt;'設定'!$B$11),AND('設定'!$B$10="",'設定'!$B$11="")),"要確認","許容内"))))</f>
        <v/>
      </c>
      <c r="P485" s="29">
        <f>IF($O485&lt;&gt;"要確認","",IF($Q485=0,"済",IF(COUNTIF('差異の原因'!$B$5:$B$204,$B485)=0,"未記録","一部")))</f>
        <v/>
      </c>
      <c r="Q485" s="27">
        <f>IF($L485="","",IF(AND($L485=0,COUNTIF('差異の原因'!$B$5:$B$204,$B485)=0),"",ROUND($L485-SUMIF('差異の原因'!$B$5:$B$204,$B485,'差異の原因'!$G$5:$G$204),6)))</f>
        <v/>
      </c>
      <c r="R485" s="30" t="n"/>
      <c r="S485" s="23" t="n"/>
      <c r="T485" s="29">
        <f>IF(OR($B485="",NOT(ISNUMBER($R485))),"",IF(IF(ISNUMBER($I485),$I485,N($H485))&lt;=0,"",IF($R485&lt;'設定'!$B$6,"期限切れ",IF($R485='設定'!$B$6,"当日",IF($R485-'設定'!$B$6&lt;=N('設定'!$B$14),"あと"&amp;($R485-'設定'!$B$6)&amp;"日","")))))</f>
        <v/>
      </c>
      <c r="U485" s="61" t="n"/>
      <c r="V485" s="31">
        <f>IF(AND($B485&lt;&gt;"",$E485&lt;&gt;"",$E485='数える用紙'!$C$2),ROW(),"")</f>
        <v/>
      </c>
      <c r="W485" s="74">
        <f>IF(AND($B485&lt;&gt;"",ISNUMBER($R485)),IF(AND($R485&lt;='設定'!$B$6+N('設定'!$B$14),IF(ISNUMBER($I485),$I485,N($H485))&gt;0),$R485+ROW()/100000,""),"")</f>
        <v/>
      </c>
    </row>
    <row r="486" ht="18" customHeight="1">
      <c r="A486" s="22" t="n">
        <v>482</v>
      </c>
      <c r="B486" s="23" t="n"/>
      <c r="C486" s="24" t="n"/>
      <c r="D486" s="24" t="n"/>
      <c r="E486" s="23" t="n"/>
      <c r="F486" s="23" t="n"/>
      <c r="G486" s="25" t="n"/>
      <c r="H486" s="25" t="n"/>
      <c r="I486" s="25" t="n"/>
      <c r="J486" s="72">
        <f>IF(OR($B486="",$H486=""),"",N($G486)*$H486)</f>
        <v/>
      </c>
      <c r="K486" s="72">
        <f>IF(OR($B486="",$I486=""),"",N($G486)*$I486)</f>
        <v/>
      </c>
      <c r="L486" s="27">
        <f>IF(OR($B486="",$H486="",$I486=""),"",$I486-$H486)</f>
        <v/>
      </c>
      <c r="M486" s="72">
        <f>IF($L486="","",$L486*N($G486))</f>
        <v/>
      </c>
      <c r="N486" s="73">
        <f>IF($L486="","",IF($H486&gt;0,ROUND($L486/$H486,4),"－"))</f>
        <v/>
      </c>
      <c r="O486" s="29">
        <f>IF($B486="","",IF($L486="","未入力",IF($L486=0,"一致",IF(OR(NOT(ISNUMBER($N486)),AND('設定'!$B$10&lt;&gt;"",ABS(N($N486))&gt;'設定'!$B$10),AND('設定'!$B$11&lt;&gt;"",ABS(ROUND($M486,4))&gt;'設定'!$B$11),AND('設定'!$B$10="",'設定'!$B$11="")),"要確認","許容内"))))</f>
        <v/>
      </c>
      <c r="P486" s="29">
        <f>IF($O486&lt;&gt;"要確認","",IF($Q486=0,"済",IF(COUNTIF('差異の原因'!$B$5:$B$204,$B486)=0,"未記録","一部")))</f>
        <v/>
      </c>
      <c r="Q486" s="27">
        <f>IF($L486="","",IF(AND($L486=0,COUNTIF('差異の原因'!$B$5:$B$204,$B486)=0),"",ROUND($L486-SUMIF('差異の原因'!$B$5:$B$204,$B486,'差異の原因'!$G$5:$G$204),6)))</f>
        <v/>
      </c>
      <c r="R486" s="30" t="n"/>
      <c r="S486" s="23" t="n"/>
      <c r="T486" s="29">
        <f>IF(OR($B486="",NOT(ISNUMBER($R486))),"",IF(IF(ISNUMBER($I486),$I486,N($H486))&lt;=0,"",IF($R486&lt;'設定'!$B$6,"期限切れ",IF($R486='設定'!$B$6,"当日",IF($R486-'設定'!$B$6&lt;=N('設定'!$B$14),"あと"&amp;($R486-'設定'!$B$6)&amp;"日","")))))</f>
        <v/>
      </c>
      <c r="U486" s="61" t="n"/>
      <c r="V486" s="31">
        <f>IF(AND($B486&lt;&gt;"",$E486&lt;&gt;"",$E486='数える用紙'!$C$2),ROW(),"")</f>
        <v/>
      </c>
      <c r="W486" s="74">
        <f>IF(AND($B486&lt;&gt;"",ISNUMBER($R486)),IF(AND($R486&lt;='設定'!$B$6+N('設定'!$B$14),IF(ISNUMBER($I486),$I486,N($H486))&gt;0),$R486+ROW()/100000,""),"")</f>
        <v/>
      </c>
    </row>
    <row r="487" ht="18" customHeight="1">
      <c r="A487" s="22" t="n">
        <v>483</v>
      </c>
      <c r="B487" s="23" t="n"/>
      <c r="C487" s="24" t="n"/>
      <c r="D487" s="24" t="n"/>
      <c r="E487" s="23" t="n"/>
      <c r="F487" s="23" t="n"/>
      <c r="G487" s="25" t="n"/>
      <c r="H487" s="25" t="n"/>
      <c r="I487" s="25" t="n"/>
      <c r="J487" s="72">
        <f>IF(OR($B487="",$H487=""),"",N($G487)*$H487)</f>
        <v/>
      </c>
      <c r="K487" s="72">
        <f>IF(OR($B487="",$I487=""),"",N($G487)*$I487)</f>
        <v/>
      </c>
      <c r="L487" s="27">
        <f>IF(OR($B487="",$H487="",$I487=""),"",$I487-$H487)</f>
        <v/>
      </c>
      <c r="M487" s="72">
        <f>IF($L487="","",$L487*N($G487))</f>
        <v/>
      </c>
      <c r="N487" s="73">
        <f>IF($L487="","",IF($H487&gt;0,ROUND($L487/$H487,4),"－"))</f>
        <v/>
      </c>
      <c r="O487" s="29">
        <f>IF($B487="","",IF($L487="","未入力",IF($L487=0,"一致",IF(OR(NOT(ISNUMBER($N487)),AND('設定'!$B$10&lt;&gt;"",ABS(N($N487))&gt;'設定'!$B$10),AND('設定'!$B$11&lt;&gt;"",ABS(ROUND($M487,4))&gt;'設定'!$B$11),AND('設定'!$B$10="",'設定'!$B$11="")),"要確認","許容内"))))</f>
        <v/>
      </c>
      <c r="P487" s="29">
        <f>IF($O487&lt;&gt;"要確認","",IF($Q487=0,"済",IF(COUNTIF('差異の原因'!$B$5:$B$204,$B487)=0,"未記録","一部")))</f>
        <v/>
      </c>
      <c r="Q487" s="27">
        <f>IF($L487="","",IF(AND($L487=0,COUNTIF('差異の原因'!$B$5:$B$204,$B487)=0),"",ROUND($L487-SUMIF('差異の原因'!$B$5:$B$204,$B487,'差異の原因'!$G$5:$G$204),6)))</f>
        <v/>
      </c>
      <c r="R487" s="30" t="n"/>
      <c r="S487" s="23" t="n"/>
      <c r="T487" s="29">
        <f>IF(OR($B487="",NOT(ISNUMBER($R487))),"",IF(IF(ISNUMBER($I487),$I487,N($H487))&lt;=0,"",IF($R487&lt;'設定'!$B$6,"期限切れ",IF($R487='設定'!$B$6,"当日",IF($R487-'設定'!$B$6&lt;=N('設定'!$B$14),"あと"&amp;($R487-'設定'!$B$6)&amp;"日","")))))</f>
        <v/>
      </c>
      <c r="U487" s="61" t="n"/>
      <c r="V487" s="31">
        <f>IF(AND($B487&lt;&gt;"",$E487&lt;&gt;"",$E487='数える用紙'!$C$2),ROW(),"")</f>
        <v/>
      </c>
      <c r="W487" s="74">
        <f>IF(AND($B487&lt;&gt;"",ISNUMBER($R487)),IF(AND($R487&lt;='設定'!$B$6+N('設定'!$B$14),IF(ISNUMBER($I487),$I487,N($H487))&gt;0),$R487+ROW()/100000,""),"")</f>
        <v/>
      </c>
    </row>
    <row r="488" ht="18" customHeight="1">
      <c r="A488" s="22" t="n">
        <v>484</v>
      </c>
      <c r="B488" s="23" t="n"/>
      <c r="C488" s="24" t="n"/>
      <c r="D488" s="24" t="n"/>
      <c r="E488" s="23" t="n"/>
      <c r="F488" s="23" t="n"/>
      <c r="G488" s="25" t="n"/>
      <c r="H488" s="25" t="n"/>
      <c r="I488" s="25" t="n"/>
      <c r="J488" s="72">
        <f>IF(OR($B488="",$H488=""),"",N($G488)*$H488)</f>
        <v/>
      </c>
      <c r="K488" s="72">
        <f>IF(OR($B488="",$I488=""),"",N($G488)*$I488)</f>
        <v/>
      </c>
      <c r="L488" s="27">
        <f>IF(OR($B488="",$H488="",$I488=""),"",$I488-$H488)</f>
        <v/>
      </c>
      <c r="M488" s="72">
        <f>IF($L488="","",$L488*N($G488))</f>
        <v/>
      </c>
      <c r="N488" s="73">
        <f>IF($L488="","",IF($H488&gt;0,ROUND($L488/$H488,4),"－"))</f>
        <v/>
      </c>
      <c r="O488" s="29">
        <f>IF($B488="","",IF($L488="","未入力",IF($L488=0,"一致",IF(OR(NOT(ISNUMBER($N488)),AND('設定'!$B$10&lt;&gt;"",ABS(N($N488))&gt;'設定'!$B$10),AND('設定'!$B$11&lt;&gt;"",ABS(ROUND($M488,4))&gt;'設定'!$B$11),AND('設定'!$B$10="",'設定'!$B$11="")),"要確認","許容内"))))</f>
        <v/>
      </c>
      <c r="P488" s="29">
        <f>IF($O488&lt;&gt;"要確認","",IF($Q488=0,"済",IF(COUNTIF('差異の原因'!$B$5:$B$204,$B488)=0,"未記録","一部")))</f>
        <v/>
      </c>
      <c r="Q488" s="27">
        <f>IF($L488="","",IF(AND($L488=0,COUNTIF('差異の原因'!$B$5:$B$204,$B488)=0),"",ROUND($L488-SUMIF('差異の原因'!$B$5:$B$204,$B488,'差異の原因'!$G$5:$G$204),6)))</f>
        <v/>
      </c>
      <c r="R488" s="30" t="n"/>
      <c r="S488" s="23" t="n"/>
      <c r="T488" s="29">
        <f>IF(OR($B488="",NOT(ISNUMBER($R488))),"",IF(IF(ISNUMBER($I488),$I488,N($H488))&lt;=0,"",IF($R488&lt;'設定'!$B$6,"期限切れ",IF($R488='設定'!$B$6,"当日",IF($R488-'設定'!$B$6&lt;=N('設定'!$B$14),"あと"&amp;($R488-'設定'!$B$6)&amp;"日","")))))</f>
        <v/>
      </c>
      <c r="U488" s="61" t="n"/>
      <c r="V488" s="31">
        <f>IF(AND($B488&lt;&gt;"",$E488&lt;&gt;"",$E488='数える用紙'!$C$2),ROW(),"")</f>
        <v/>
      </c>
      <c r="W488" s="74">
        <f>IF(AND($B488&lt;&gt;"",ISNUMBER($R488)),IF(AND($R488&lt;='設定'!$B$6+N('設定'!$B$14),IF(ISNUMBER($I488),$I488,N($H488))&gt;0),$R488+ROW()/100000,""),"")</f>
        <v/>
      </c>
    </row>
    <row r="489" ht="18" customHeight="1">
      <c r="A489" s="22" t="n">
        <v>485</v>
      </c>
      <c r="B489" s="23" t="n"/>
      <c r="C489" s="24" t="n"/>
      <c r="D489" s="24" t="n"/>
      <c r="E489" s="23" t="n"/>
      <c r="F489" s="23" t="n"/>
      <c r="G489" s="25" t="n"/>
      <c r="H489" s="25" t="n"/>
      <c r="I489" s="25" t="n"/>
      <c r="J489" s="72">
        <f>IF(OR($B489="",$H489=""),"",N($G489)*$H489)</f>
        <v/>
      </c>
      <c r="K489" s="72">
        <f>IF(OR($B489="",$I489=""),"",N($G489)*$I489)</f>
        <v/>
      </c>
      <c r="L489" s="27">
        <f>IF(OR($B489="",$H489="",$I489=""),"",$I489-$H489)</f>
        <v/>
      </c>
      <c r="M489" s="72">
        <f>IF($L489="","",$L489*N($G489))</f>
        <v/>
      </c>
      <c r="N489" s="73">
        <f>IF($L489="","",IF($H489&gt;0,ROUND($L489/$H489,4),"－"))</f>
        <v/>
      </c>
      <c r="O489" s="29">
        <f>IF($B489="","",IF($L489="","未入力",IF($L489=0,"一致",IF(OR(NOT(ISNUMBER($N489)),AND('設定'!$B$10&lt;&gt;"",ABS(N($N489))&gt;'設定'!$B$10),AND('設定'!$B$11&lt;&gt;"",ABS(ROUND($M489,4))&gt;'設定'!$B$11),AND('設定'!$B$10="",'設定'!$B$11="")),"要確認","許容内"))))</f>
        <v/>
      </c>
      <c r="P489" s="29">
        <f>IF($O489&lt;&gt;"要確認","",IF($Q489=0,"済",IF(COUNTIF('差異の原因'!$B$5:$B$204,$B489)=0,"未記録","一部")))</f>
        <v/>
      </c>
      <c r="Q489" s="27">
        <f>IF($L489="","",IF(AND($L489=0,COUNTIF('差異の原因'!$B$5:$B$204,$B489)=0),"",ROUND($L489-SUMIF('差異の原因'!$B$5:$B$204,$B489,'差異の原因'!$G$5:$G$204),6)))</f>
        <v/>
      </c>
      <c r="R489" s="30" t="n"/>
      <c r="S489" s="23" t="n"/>
      <c r="T489" s="29">
        <f>IF(OR($B489="",NOT(ISNUMBER($R489))),"",IF(IF(ISNUMBER($I489),$I489,N($H489))&lt;=0,"",IF($R489&lt;'設定'!$B$6,"期限切れ",IF($R489='設定'!$B$6,"当日",IF($R489-'設定'!$B$6&lt;=N('設定'!$B$14),"あと"&amp;($R489-'設定'!$B$6)&amp;"日","")))))</f>
        <v/>
      </c>
      <c r="U489" s="61" t="n"/>
      <c r="V489" s="31">
        <f>IF(AND($B489&lt;&gt;"",$E489&lt;&gt;"",$E489='数える用紙'!$C$2),ROW(),"")</f>
        <v/>
      </c>
      <c r="W489" s="74">
        <f>IF(AND($B489&lt;&gt;"",ISNUMBER($R489)),IF(AND($R489&lt;='設定'!$B$6+N('設定'!$B$14),IF(ISNUMBER($I489),$I489,N($H489))&gt;0),$R489+ROW()/100000,""),"")</f>
        <v/>
      </c>
    </row>
    <row r="490" ht="18" customHeight="1">
      <c r="A490" s="22" t="n">
        <v>486</v>
      </c>
      <c r="B490" s="23" t="n"/>
      <c r="C490" s="24" t="n"/>
      <c r="D490" s="24" t="n"/>
      <c r="E490" s="23" t="n"/>
      <c r="F490" s="23" t="n"/>
      <c r="G490" s="25" t="n"/>
      <c r="H490" s="25" t="n"/>
      <c r="I490" s="25" t="n"/>
      <c r="J490" s="72">
        <f>IF(OR($B490="",$H490=""),"",N($G490)*$H490)</f>
        <v/>
      </c>
      <c r="K490" s="72">
        <f>IF(OR($B490="",$I490=""),"",N($G490)*$I490)</f>
        <v/>
      </c>
      <c r="L490" s="27">
        <f>IF(OR($B490="",$H490="",$I490=""),"",$I490-$H490)</f>
        <v/>
      </c>
      <c r="M490" s="72">
        <f>IF($L490="","",$L490*N($G490))</f>
        <v/>
      </c>
      <c r="N490" s="73">
        <f>IF($L490="","",IF($H490&gt;0,ROUND($L490/$H490,4),"－"))</f>
        <v/>
      </c>
      <c r="O490" s="29">
        <f>IF($B490="","",IF($L490="","未入力",IF($L490=0,"一致",IF(OR(NOT(ISNUMBER($N490)),AND('設定'!$B$10&lt;&gt;"",ABS(N($N490))&gt;'設定'!$B$10),AND('設定'!$B$11&lt;&gt;"",ABS(ROUND($M490,4))&gt;'設定'!$B$11),AND('設定'!$B$10="",'設定'!$B$11="")),"要確認","許容内"))))</f>
        <v/>
      </c>
      <c r="P490" s="29">
        <f>IF($O490&lt;&gt;"要確認","",IF($Q490=0,"済",IF(COUNTIF('差異の原因'!$B$5:$B$204,$B490)=0,"未記録","一部")))</f>
        <v/>
      </c>
      <c r="Q490" s="27">
        <f>IF($L490="","",IF(AND($L490=0,COUNTIF('差異の原因'!$B$5:$B$204,$B490)=0),"",ROUND($L490-SUMIF('差異の原因'!$B$5:$B$204,$B490,'差異の原因'!$G$5:$G$204),6)))</f>
        <v/>
      </c>
      <c r="R490" s="30" t="n"/>
      <c r="S490" s="23" t="n"/>
      <c r="T490" s="29">
        <f>IF(OR($B490="",NOT(ISNUMBER($R490))),"",IF(IF(ISNUMBER($I490),$I490,N($H490))&lt;=0,"",IF($R490&lt;'設定'!$B$6,"期限切れ",IF($R490='設定'!$B$6,"当日",IF($R490-'設定'!$B$6&lt;=N('設定'!$B$14),"あと"&amp;($R490-'設定'!$B$6)&amp;"日","")))))</f>
        <v/>
      </c>
      <c r="U490" s="61" t="n"/>
      <c r="V490" s="31">
        <f>IF(AND($B490&lt;&gt;"",$E490&lt;&gt;"",$E490='数える用紙'!$C$2),ROW(),"")</f>
        <v/>
      </c>
      <c r="W490" s="74">
        <f>IF(AND($B490&lt;&gt;"",ISNUMBER($R490)),IF(AND($R490&lt;='設定'!$B$6+N('設定'!$B$14),IF(ISNUMBER($I490),$I490,N($H490))&gt;0),$R490+ROW()/100000,""),"")</f>
        <v/>
      </c>
    </row>
    <row r="491" ht="18" customHeight="1">
      <c r="A491" s="22" t="n">
        <v>487</v>
      </c>
      <c r="B491" s="23" t="n"/>
      <c r="C491" s="24" t="n"/>
      <c r="D491" s="24" t="n"/>
      <c r="E491" s="23" t="n"/>
      <c r="F491" s="23" t="n"/>
      <c r="G491" s="25" t="n"/>
      <c r="H491" s="25" t="n"/>
      <c r="I491" s="25" t="n"/>
      <c r="J491" s="72">
        <f>IF(OR($B491="",$H491=""),"",N($G491)*$H491)</f>
        <v/>
      </c>
      <c r="K491" s="72">
        <f>IF(OR($B491="",$I491=""),"",N($G491)*$I491)</f>
        <v/>
      </c>
      <c r="L491" s="27">
        <f>IF(OR($B491="",$H491="",$I491=""),"",$I491-$H491)</f>
        <v/>
      </c>
      <c r="M491" s="72">
        <f>IF($L491="","",$L491*N($G491))</f>
        <v/>
      </c>
      <c r="N491" s="73">
        <f>IF($L491="","",IF($H491&gt;0,ROUND($L491/$H491,4),"－"))</f>
        <v/>
      </c>
      <c r="O491" s="29">
        <f>IF($B491="","",IF($L491="","未入力",IF($L491=0,"一致",IF(OR(NOT(ISNUMBER($N491)),AND('設定'!$B$10&lt;&gt;"",ABS(N($N491))&gt;'設定'!$B$10),AND('設定'!$B$11&lt;&gt;"",ABS(ROUND($M491,4))&gt;'設定'!$B$11),AND('設定'!$B$10="",'設定'!$B$11="")),"要確認","許容内"))))</f>
        <v/>
      </c>
      <c r="P491" s="29">
        <f>IF($O491&lt;&gt;"要確認","",IF($Q491=0,"済",IF(COUNTIF('差異の原因'!$B$5:$B$204,$B491)=0,"未記録","一部")))</f>
        <v/>
      </c>
      <c r="Q491" s="27">
        <f>IF($L491="","",IF(AND($L491=0,COUNTIF('差異の原因'!$B$5:$B$204,$B491)=0),"",ROUND($L491-SUMIF('差異の原因'!$B$5:$B$204,$B491,'差異の原因'!$G$5:$G$204),6)))</f>
        <v/>
      </c>
      <c r="R491" s="30" t="n"/>
      <c r="S491" s="23" t="n"/>
      <c r="T491" s="29">
        <f>IF(OR($B491="",NOT(ISNUMBER($R491))),"",IF(IF(ISNUMBER($I491),$I491,N($H491))&lt;=0,"",IF($R491&lt;'設定'!$B$6,"期限切れ",IF($R491='設定'!$B$6,"当日",IF($R491-'設定'!$B$6&lt;=N('設定'!$B$14),"あと"&amp;($R491-'設定'!$B$6)&amp;"日","")))))</f>
        <v/>
      </c>
      <c r="U491" s="61" t="n"/>
      <c r="V491" s="31">
        <f>IF(AND($B491&lt;&gt;"",$E491&lt;&gt;"",$E491='数える用紙'!$C$2),ROW(),"")</f>
        <v/>
      </c>
      <c r="W491" s="74">
        <f>IF(AND($B491&lt;&gt;"",ISNUMBER($R491)),IF(AND($R491&lt;='設定'!$B$6+N('設定'!$B$14),IF(ISNUMBER($I491),$I491,N($H491))&gt;0),$R491+ROW()/100000,""),"")</f>
        <v/>
      </c>
    </row>
    <row r="492" ht="18" customHeight="1">
      <c r="A492" s="22" t="n">
        <v>488</v>
      </c>
      <c r="B492" s="23" t="n"/>
      <c r="C492" s="24" t="n"/>
      <c r="D492" s="24" t="n"/>
      <c r="E492" s="23" t="n"/>
      <c r="F492" s="23" t="n"/>
      <c r="G492" s="25" t="n"/>
      <c r="H492" s="25" t="n"/>
      <c r="I492" s="25" t="n"/>
      <c r="J492" s="72">
        <f>IF(OR($B492="",$H492=""),"",N($G492)*$H492)</f>
        <v/>
      </c>
      <c r="K492" s="72">
        <f>IF(OR($B492="",$I492=""),"",N($G492)*$I492)</f>
        <v/>
      </c>
      <c r="L492" s="27">
        <f>IF(OR($B492="",$H492="",$I492=""),"",$I492-$H492)</f>
        <v/>
      </c>
      <c r="M492" s="72">
        <f>IF($L492="","",$L492*N($G492))</f>
        <v/>
      </c>
      <c r="N492" s="73">
        <f>IF($L492="","",IF($H492&gt;0,ROUND($L492/$H492,4),"－"))</f>
        <v/>
      </c>
      <c r="O492" s="29">
        <f>IF($B492="","",IF($L492="","未入力",IF($L492=0,"一致",IF(OR(NOT(ISNUMBER($N492)),AND('設定'!$B$10&lt;&gt;"",ABS(N($N492))&gt;'設定'!$B$10),AND('設定'!$B$11&lt;&gt;"",ABS(ROUND($M492,4))&gt;'設定'!$B$11),AND('設定'!$B$10="",'設定'!$B$11="")),"要確認","許容内"))))</f>
        <v/>
      </c>
      <c r="P492" s="29">
        <f>IF($O492&lt;&gt;"要確認","",IF($Q492=0,"済",IF(COUNTIF('差異の原因'!$B$5:$B$204,$B492)=0,"未記録","一部")))</f>
        <v/>
      </c>
      <c r="Q492" s="27">
        <f>IF($L492="","",IF(AND($L492=0,COUNTIF('差異の原因'!$B$5:$B$204,$B492)=0),"",ROUND($L492-SUMIF('差異の原因'!$B$5:$B$204,$B492,'差異の原因'!$G$5:$G$204),6)))</f>
        <v/>
      </c>
      <c r="R492" s="30" t="n"/>
      <c r="S492" s="23" t="n"/>
      <c r="T492" s="29">
        <f>IF(OR($B492="",NOT(ISNUMBER($R492))),"",IF(IF(ISNUMBER($I492),$I492,N($H492))&lt;=0,"",IF($R492&lt;'設定'!$B$6,"期限切れ",IF($R492='設定'!$B$6,"当日",IF($R492-'設定'!$B$6&lt;=N('設定'!$B$14),"あと"&amp;($R492-'設定'!$B$6)&amp;"日","")))))</f>
        <v/>
      </c>
      <c r="U492" s="61" t="n"/>
      <c r="V492" s="31">
        <f>IF(AND($B492&lt;&gt;"",$E492&lt;&gt;"",$E492='数える用紙'!$C$2),ROW(),"")</f>
        <v/>
      </c>
      <c r="W492" s="74">
        <f>IF(AND($B492&lt;&gt;"",ISNUMBER($R492)),IF(AND($R492&lt;='設定'!$B$6+N('設定'!$B$14),IF(ISNUMBER($I492),$I492,N($H492))&gt;0),$R492+ROW()/100000,""),"")</f>
        <v/>
      </c>
    </row>
    <row r="493" ht="18" customHeight="1">
      <c r="A493" s="22" t="n">
        <v>489</v>
      </c>
      <c r="B493" s="23" t="n"/>
      <c r="C493" s="24" t="n"/>
      <c r="D493" s="24" t="n"/>
      <c r="E493" s="23" t="n"/>
      <c r="F493" s="23" t="n"/>
      <c r="G493" s="25" t="n"/>
      <c r="H493" s="25" t="n"/>
      <c r="I493" s="25" t="n"/>
      <c r="J493" s="72">
        <f>IF(OR($B493="",$H493=""),"",N($G493)*$H493)</f>
        <v/>
      </c>
      <c r="K493" s="72">
        <f>IF(OR($B493="",$I493=""),"",N($G493)*$I493)</f>
        <v/>
      </c>
      <c r="L493" s="27">
        <f>IF(OR($B493="",$H493="",$I493=""),"",$I493-$H493)</f>
        <v/>
      </c>
      <c r="M493" s="72">
        <f>IF($L493="","",$L493*N($G493))</f>
        <v/>
      </c>
      <c r="N493" s="73">
        <f>IF($L493="","",IF($H493&gt;0,ROUND($L493/$H493,4),"－"))</f>
        <v/>
      </c>
      <c r="O493" s="29">
        <f>IF($B493="","",IF($L493="","未入力",IF($L493=0,"一致",IF(OR(NOT(ISNUMBER($N493)),AND('設定'!$B$10&lt;&gt;"",ABS(N($N493))&gt;'設定'!$B$10),AND('設定'!$B$11&lt;&gt;"",ABS(ROUND($M493,4))&gt;'設定'!$B$11),AND('設定'!$B$10="",'設定'!$B$11="")),"要確認","許容内"))))</f>
        <v/>
      </c>
      <c r="P493" s="29">
        <f>IF($O493&lt;&gt;"要確認","",IF($Q493=0,"済",IF(COUNTIF('差異の原因'!$B$5:$B$204,$B493)=0,"未記録","一部")))</f>
        <v/>
      </c>
      <c r="Q493" s="27">
        <f>IF($L493="","",IF(AND($L493=0,COUNTIF('差異の原因'!$B$5:$B$204,$B493)=0),"",ROUND($L493-SUMIF('差異の原因'!$B$5:$B$204,$B493,'差異の原因'!$G$5:$G$204),6)))</f>
        <v/>
      </c>
      <c r="R493" s="30" t="n"/>
      <c r="S493" s="23" t="n"/>
      <c r="T493" s="29">
        <f>IF(OR($B493="",NOT(ISNUMBER($R493))),"",IF(IF(ISNUMBER($I493),$I493,N($H493))&lt;=0,"",IF($R493&lt;'設定'!$B$6,"期限切れ",IF($R493='設定'!$B$6,"当日",IF($R493-'設定'!$B$6&lt;=N('設定'!$B$14),"あと"&amp;($R493-'設定'!$B$6)&amp;"日","")))))</f>
        <v/>
      </c>
      <c r="U493" s="61" t="n"/>
      <c r="V493" s="31">
        <f>IF(AND($B493&lt;&gt;"",$E493&lt;&gt;"",$E493='数える用紙'!$C$2),ROW(),"")</f>
        <v/>
      </c>
      <c r="W493" s="74">
        <f>IF(AND($B493&lt;&gt;"",ISNUMBER($R493)),IF(AND($R493&lt;='設定'!$B$6+N('設定'!$B$14),IF(ISNUMBER($I493),$I493,N($H493))&gt;0),$R493+ROW()/100000,""),"")</f>
        <v/>
      </c>
    </row>
    <row r="494" ht="18" customHeight="1">
      <c r="A494" s="22" t="n">
        <v>490</v>
      </c>
      <c r="B494" s="23" t="n"/>
      <c r="C494" s="24" t="n"/>
      <c r="D494" s="24" t="n"/>
      <c r="E494" s="23" t="n"/>
      <c r="F494" s="23" t="n"/>
      <c r="G494" s="25" t="n"/>
      <c r="H494" s="25" t="n"/>
      <c r="I494" s="25" t="n"/>
      <c r="J494" s="72">
        <f>IF(OR($B494="",$H494=""),"",N($G494)*$H494)</f>
        <v/>
      </c>
      <c r="K494" s="72">
        <f>IF(OR($B494="",$I494=""),"",N($G494)*$I494)</f>
        <v/>
      </c>
      <c r="L494" s="27">
        <f>IF(OR($B494="",$H494="",$I494=""),"",$I494-$H494)</f>
        <v/>
      </c>
      <c r="M494" s="72">
        <f>IF($L494="","",$L494*N($G494))</f>
        <v/>
      </c>
      <c r="N494" s="73">
        <f>IF($L494="","",IF($H494&gt;0,ROUND($L494/$H494,4),"－"))</f>
        <v/>
      </c>
      <c r="O494" s="29">
        <f>IF($B494="","",IF($L494="","未入力",IF($L494=0,"一致",IF(OR(NOT(ISNUMBER($N494)),AND('設定'!$B$10&lt;&gt;"",ABS(N($N494))&gt;'設定'!$B$10),AND('設定'!$B$11&lt;&gt;"",ABS(ROUND($M494,4))&gt;'設定'!$B$11),AND('設定'!$B$10="",'設定'!$B$11="")),"要確認","許容内"))))</f>
        <v/>
      </c>
      <c r="P494" s="29">
        <f>IF($O494&lt;&gt;"要確認","",IF($Q494=0,"済",IF(COUNTIF('差異の原因'!$B$5:$B$204,$B494)=0,"未記録","一部")))</f>
        <v/>
      </c>
      <c r="Q494" s="27">
        <f>IF($L494="","",IF(AND($L494=0,COUNTIF('差異の原因'!$B$5:$B$204,$B494)=0),"",ROUND($L494-SUMIF('差異の原因'!$B$5:$B$204,$B494,'差異の原因'!$G$5:$G$204),6)))</f>
        <v/>
      </c>
      <c r="R494" s="30" t="n"/>
      <c r="S494" s="23" t="n"/>
      <c r="T494" s="29">
        <f>IF(OR($B494="",NOT(ISNUMBER($R494))),"",IF(IF(ISNUMBER($I494),$I494,N($H494))&lt;=0,"",IF($R494&lt;'設定'!$B$6,"期限切れ",IF($R494='設定'!$B$6,"当日",IF($R494-'設定'!$B$6&lt;=N('設定'!$B$14),"あと"&amp;($R494-'設定'!$B$6)&amp;"日","")))))</f>
        <v/>
      </c>
      <c r="U494" s="61" t="n"/>
      <c r="V494" s="31">
        <f>IF(AND($B494&lt;&gt;"",$E494&lt;&gt;"",$E494='数える用紙'!$C$2),ROW(),"")</f>
        <v/>
      </c>
      <c r="W494" s="74">
        <f>IF(AND($B494&lt;&gt;"",ISNUMBER($R494)),IF(AND($R494&lt;='設定'!$B$6+N('設定'!$B$14),IF(ISNUMBER($I494),$I494,N($H494))&gt;0),$R494+ROW()/100000,""),"")</f>
        <v/>
      </c>
    </row>
    <row r="495" ht="18" customHeight="1">
      <c r="A495" s="22" t="n">
        <v>491</v>
      </c>
      <c r="B495" s="23" t="n"/>
      <c r="C495" s="24" t="n"/>
      <c r="D495" s="24" t="n"/>
      <c r="E495" s="23" t="n"/>
      <c r="F495" s="23" t="n"/>
      <c r="G495" s="25" t="n"/>
      <c r="H495" s="25" t="n"/>
      <c r="I495" s="25" t="n"/>
      <c r="J495" s="72">
        <f>IF(OR($B495="",$H495=""),"",N($G495)*$H495)</f>
        <v/>
      </c>
      <c r="K495" s="72">
        <f>IF(OR($B495="",$I495=""),"",N($G495)*$I495)</f>
        <v/>
      </c>
      <c r="L495" s="27">
        <f>IF(OR($B495="",$H495="",$I495=""),"",$I495-$H495)</f>
        <v/>
      </c>
      <c r="M495" s="72">
        <f>IF($L495="","",$L495*N($G495))</f>
        <v/>
      </c>
      <c r="N495" s="73">
        <f>IF($L495="","",IF($H495&gt;0,ROUND($L495/$H495,4),"－"))</f>
        <v/>
      </c>
      <c r="O495" s="29">
        <f>IF($B495="","",IF($L495="","未入力",IF($L495=0,"一致",IF(OR(NOT(ISNUMBER($N495)),AND('設定'!$B$10&lt;&gt;"",ABS(N($N495))&gt;'設定'!$B$10),AND('設定'!$B$11&lt;&gt;"",ABS(ROUND($M495,4))&gt;'設定'!$B$11),AND('設定'!$B$10="",'設定'!$B$11="")),"要確認","許容内"))))</f>
        <v/>
      </c>
      <c r="P495" s="29">
        <f>IF($O495&lt;&gt;"要確認","",IF($Q495=0,"済",IF(COUNTIF('差異の原因'!$B$5:$B$204,$B495)=0,"未記録","一部")))</f>
        <v/>
      </c>
      <c r="Q495" s="27">
        <f>IF($L495="","",IF(AND($L495=0,COUNTIF('差異の原因'!$B$5:$B$204,$B495)=0),"",ROUND($L495-SUMIF('差異の原因'!$B$5:$B$204,$B495,'差異の原因'!$G$5:$G$204),6)))</f>
        <v/>
      </c>
      <c r="R495" s="30" t="n"/>
      <c r="S495" s="23" t="n"/>
      <c r="T495" s="29">
        <f>IF(OR($B495="",NOT(ISNUMBER($R495))),"",IF(IF(ISNUMBER($I495),$I495,N($H495))&lt;=0,"",IF($R495&lt;'設定'!$B$6,"期限切れ",IF($R495='設定'!$B$6,"当日",IF($R495-'設定'!$B$6&lt;=N('設定'!$B$14),"あと"&amp;($R495-'設定'!$B$6)&amp;"日","")))))</f>
        <v/>
      </c>
      <c r="U495" s="61" t="n"/>
      <c r="V495" s="31">
        <f>IF(AND($B495&lt;&gt;"",$E495&lt;&gt;"",$E495='数える用紙'!$C$2),ROW(),"")</f>
        <v/>
      </c>
      <c r="W495" s="74">
        <f>IF(AND($B495&lt;&gt;"",ISNUMBER($R495)),IF(AND($R495&lt;='設定'!$B$6+N('設定'!$B$14),IF(ISNUMBER($I495),$I495,N($H495))&gt;0),$R495+ROW()/100000,""),"")</f>
        <v/>
      </c>
    </row>
    <row r="496" ht="18" customHeight="1">
      <c r="A496" s="22" t="n">
        <v>492</v>
      </c>
      <c r="B496" s="23" t="n"/>
      <c r="C496" s="24" t="n"/>
      <c r="D496" s="24" t="n"/>
      <c r="E496" s="23" t="n"/>
      <c r="F496" s="23" t="n"/>
      <c r="G496" s="25" t="n"/>
      <c r="H496" s="25" t="n"/>
      <c r="I496" s="25" t="n"/>
      <c r="J496" s="72">
        <f>IF(OR($B496="",$H496=""),"",N($G496)*$H496)</f>
        <v/>
      </c>
      <c r="K496" s="72">
        <f>IF(OR($B496="",$I496=""),"",N($G496)*$I496)</f>
        <v/>
      </c>
      <c r="L496" s="27">
        <f>IF(OR($B496="",$H496="",$I496=""),"",$I496-$H496)</f>
        <v/>
      </c>
      <c r="M496" s="72">
        <f>IF($L496="","",$L496*N($G496))</f>
        <v/>
      </c>
      <c r="N496" s="73">
        <f>IF($L496="","",IF($H496&gt;0,ROUND($L496/$H496,4),"－"))</f>
        <v/>
      </c>
      <c r="O496" s="29">
        <f>IF($B496="","",IF($L496="","未入力",IF($L496=0,"一致",IF(OR(NOT(ISNUMBER($N496)),AND('設定'!$B$10&lt;&gt;"",ABS(N($N496))&gt;'設定'!$B$10),AND('設定'!$B$11&lt;&gt;"",ABS(ROUND($M496,4))&gt;'設定'!$B$11),AND('設定'!$B$10="",'設定'!$B$11="")),"要確認","許容内"))))</f>
        <v/>
      </c>
      <c r="P496" s="29">
        <f>IF($O496&lt;&gt;"要確認","",IF($Q496=0,"済",IF(COUNTIF('差異の原因'!$B$5:$B$204,$B496)=0,"未記録","一部")))</f>
        <v/>
      </c>
      <c r="Q496" s="27">
        <f>IF($L496="","",IF(AND($L496=0,COUNTIF('差異の原因'!$B$5:$B$204,$B496)=0),"",ROUND($L496-SUMIF('差異の原因'!$B$5:$B$204,$B496,'差異の原因'!$G$5:$G$204),6)))</f>
        <v/>
      </c>
      <c r="R496" s="30" t="n"/>
      <c r="S496" s="23" t="n"/>
      <c r="T496" s="29">
        <f>IF(OR($B496="",NOT(ISNUMBER($R496))),"",IF(IF(ISNUMBER($I496),$I496,N($H496))&lt;=0,"",IF($R496&lt;'設定'!$B$6,"期限切れ",IF($R496='設定'!$B$6,"当日",IF($R496-'設定'!$B$6&lt;=N('設定'!$B$14),"あと"&amp;($R496-'設定'!$B$6)&amp;"日","")))))</f>
        <v/>
      </c>
      <c r="U496" s="61" t="n"/>
      <c r="V496" s="31">
        <f>IF(AND($B496&lt;&gt;"",$E496&lt;&gt;"",$E496='数える用紙'!$C$2),ROW(),"")</f>
        <v/>
      </c>
      <c r="W496" s="74">
        <f>IF(AND($B496&lt;&gt;"",ISNUMBER($R496)),IF(AND($R496&lt;='設定'!$B$6+N('設定'!$B$14),IF(ISNUMBER($I496),$I496,N($H496))&gt;0),$R496+ROW()/100000,""),"")</f>
        <v/>
      </c>
    </row>
    <row r="497" ht="18" customHeight="1">
      <c r="A497" s="22" t="n">
        <v>493</v>
      </c>
      <c r="B497" s="23" t="n"/>
      <c r="C497" s="24" t="n"/>
      <c r="D497" s="24" t="n"/>
      <c r="E497" s="23" t="n"/>
      <c r="F497" s="23" t="n"/>
      <c r="G497" s="25" t="n"/>
      <c r="H497" s="25" t="n"/>
      <c r="I497" s="25" t="n"/>
      <c r="J497" s="72">
        <f>IF(OR($B497="",$H497=""),"",N($G497)*$H497)</f>
        <v/>
      </c>
      <c r="K497" s="72">
        <f>IF(OR($B497="",$I497=""),"",N($G497)*$I497)</f>
        <v/>
      </c>
      <c r="L497" s="27">
        <f>IF(OR($B497="",$H497="",$I497=""),"",$I497-$H497)</f>
        <v/>
      </c>
      <c r="M497" s="72">
        <f>IF($L497="","",$L497*N($G497))</f>
        <v/>
      </c>
      <c r="N497" s="73">
        <f>IF($L497="","",IF($H497&gt;0,ROUND($L497/$H497,4),"－"))</f>
        <v/>
      </c>
      <c r="O497" s="29">
        <f>IF($B497="","",IF($L497="","未入力",IF($L497=0,"一致",IF(OR(NOT(ISNUMBER($N497)),AND('設定'!$B$10&lt;&gt;"",ABS(N($N497))&gt;'設定'!$B$10),AND('設定'!$B$11&lt;&gt;"",ABS(ROUND($M497,4))&gt;'設定'!$B$11),AND('設定'!$B$10="",'設定'!$B$11="")),"要確認","許容内"))))</f>
        <v/>
      </c>
      <c r="P497" s="29">
        <f>IF($O497&lt;&gt;"要確認","",IF($Q497=0,"済",IF(COUNTIF('差異の原因'!$B$5:$B$204,$B497)=0,"未記録","一部")))</f>
        <v/>
      </c>
      <c r="Q497" s="27">
        <f>IF($L497="","",IF(AND($L497=0,COUNTIF('差異の原因'!$B$5:$B$204,$B497)=0),"",ROUND($L497-SUMIF('差異の原因'!$B$5:$B$204,$B497,'差異の原因'!$G$5:$G$204),6)))</f>
        <v/>
      </c>
      <c r="R497" s="30" t="n"/>
      <c r="S497" s="23" t="n"/>
      <c r="T497" s="29">
        <f>IF(OR($B497="",NOT(ISNUMBER($R497))),"",IF(IF(ISNUMBER($I497),$I497,N($H497))&lt;=0,"",IF($R497&lt;'設定'!$B$6,"期限切れ",IF($R497='設定'!$B$6,"当日",IF($R497-'設定'!$B$6&lt;=N('設定'!$B$14),"あと"&amp;($R497-'設定'!$B$6)&amp;"日","")))))</f>
        <v/>
      </c>
      <c r="U497" s="61" t="n"/>
      <c r="V497" s="31">
        <f>IF(AND($B497&lt;&gt;"",$E497&lt;&gt;"",$E497='数える用紙'!$C$2),ROW(),"")</f>
        <v/>
      </c>
      <c r="W497" s="74">
        <f>IF(AND($B497&lt;&gt;"",ISNUMBER($R497)),IF(AND($R497&lt;='設定'!$B$6+N('設定'!$B$14),IF(ISNUMBER($I497),$I497,N($H497))&gt;0),$R497+ROW()/100000,""),"")</f>
        <v/>
      </c>
    </row>
    <row r="498" ht="18" customHeight="1">
      <c r="A498" s="22" t="n">
        <v>494</v>
      </c>
      <c r="B498" s="23" t="n"/>
      <c r="C498" s="24" t="n"/>
      <c r="D498" s="24" t="n"/>
      <c r="E498" s="23" t="n"/>
      <c r="F498" s="23" t="n"/>
      <c r="G498" s="25" t="n"/>
      <c r="H498" s="25" t="n"/>
      <c r="I498" s="25" t="n"/>
      <c r="J498" s="72">
        <f>IF(OR($B498="",$H498=""),"",N($G498)*$H498)</f>
        <v/>
      </c>
      <c r="K498" s="72">
        <f>IF(OR($B498="",$I498=""),"",N($G498)*$I498)</f>
        <v/>
      </c>
      <c r="L498" s="27">
        <f>IF(OR($B498="",$H498="",$I498=""),"",$I498-$H498)</f>
        <v/>
      </c>
      <c r="M498" s="72">
        <f>IF($L498="","",$L498*N($G498))</f>
        <v/>
      </c>
      <c r="N498" s="73">
        <f>IF($L498="","",IF($H498&gt;0,ROUND($L498/$H498,4),"－"))</f>
        <v/>
      </c>
      <c r="O498" s="29">
        <f>IF($B498="","",IF($L498="","未入力",IF($L498=0,"一致",IF(OR(NOT(ISNUMBER($N498)),AND('設定'!$B$10&lt;&gt;"",ABS(N($N498))&gt;'設定'!$B$10),AND('設定'!$B$11&lt;&gt;"",ABS(ROUND($M498,4))&gt;'設定'!$B$11),AND('設定'!$B$10="",'設定'!$B$11="")),"要確認","許容内"))))</f>
        <v/>
      </c>
      <c r="P498" s="29">
        <f>IF($O498&lt;&gt;"要確認","",IF($Q498=0,"済",IF(COUNTIF('差異の原因'!$B$5:$B$204,$B498)=0,"未記録","一部")))</f>
        <v/>
      </c>
      <c r="Q498" s="27">
        <f>IF($L498="","",IF(AND($L498=0,COUNTIF('差異の原因'!$B$5:$B$204,$B498)=0),"",ROUND($L498-SUMIF('差異の原因'!$B$5:$B$204,$B498,'差異の原因'!$G$5:$G$204),6)))</f>
        <v/>
      </c>
      <c r="R498" s="30" t="n"/>
      <c r="S498" s="23" t="n"/>
      <c r="T498" s="29">
        <f>IF(OR($B498="",NOT(ISNUMBER($R498))),"",IF(IF(ISNUMBER($I498),$I498,N($H498))&lt;=0,"",IF($R498&lt;'設定'!$B$6,"期限切れ",IF($R498='設定'!$B$6,"当日",IF($R498-'設定'!$B$6&lt;=N('設定'!$B$14),"あと"&amp;($R498-'設定'!$B$6)&amp;"日","")))))</f>
        <v/>
      </c>
      <c r="U498" s="61" t="n"/>
      <c r="V498" s="31">
        <f>IF(AND($B498&lt;&gt;"",$E498&lt;&gt;"",$E498='数える用紙'!$C$2),ROW(),"")</f>
        <v/>
      </c>
      <c r="W498" s="74">
        <f>IF(AND($B498&lt;&gt;"",ISNUMBER($R498)),IF(AND($R498&lt;='設定'!$B$6+N('設定'!$B$14),IF(ISNUMBER($I498),$I498,N($H498))&gt;0),$R498+ROW()/100000,""),"")</f>
        <v/>
      </c>
    </row>
    <row r="499" ht="18" customHeight="1">
      <c r="A499" s="22" t="n">
        <v>495</v>
      </c>
      <c r="B499" s="23" t="n"/>
      <c r="C499" s="24" t="n"/>
      <c r="D499" s="24" t="n"/>
      <c r="E499" s="23" t="n"/>
      <c r="F499" s="23" t="n"/>
      <c r="G499" s="25" t="n"/>
      <c r="H499" s="25" t="n"/>
      <c r="I499" s="25" t="n"/>
      <c r="J499" s="72">
        <f>IF(OR($B499="",$H499=""),"",N($G499)*$H499)</f>
        <v/>
      </c>
      <c r="K499" s="72">
        <f>IF(OR($B499="",$I499=""),"",N($G499)*$I499)</f>
        <v/>
      </c>
      <c r="L499" s="27">
        <f>IF(OR($B499="",$H499="",$I499=""),"",$I499-$H499)</f>
        <v/>
      </c>
      <c r="M499" s="72">
        <f>IF($L499="","",$L499*N($G499))</f>
        <v/>
      </c>
      <c r="N499" s="73">
        <f>IF($L499="","",IF($H499&gt;0,ROUND($L499/$H499,4),"－"))</f>
        <v/>
      </c>
      <c r="O499" s="29">
        <f>IF($B499="","",IF($L499="","未入力",IF($L499=0,"一致",IF(OR(NOT(ISNUMBER($N499)),AND('設定'!$B$10&lt;&gt;"",ABS(N($N499))&gt;'設定'!$B$10),AND('設定'!$B$11&lt;&gt;"",ABS(ROUND($M499,4))&gt;'設定'!$B$11),AND('設定'!$B$10="",'設定'!$B$11="")),"要確認","許容内"))))</f>
        <v/>
      </c>
      <c r="P499" s="29">
        <f>IF($O499&lt;&gt;"要確認","",IF($Q499=0,"済",IF(COUNTIF('差異の原因'!$B$5:$B$204,$B499)=0,"未記録","一部")))</f>
        <v/>
      </c>
      <c r="Q499" s="27">
        <f>IF($L499="","",IF(AND($L499=0,COUNTIF('差異の原因'!$B$5:$B$204,$B499)=0),"",ROUND($L499-SUMIF('差異の原因'!$B$5:$B$204,$B499,'差異の原因'!$G$5:$G$204),6)))</f>
        <v/>
      </c>
      <c r="R499" s="30" t="n"/>
      <c r="S499" s="23" t="n"/>
      <c r="T499" s="29">
        <f>IF(OR($B499="",NOT(ISNUMBER($R499))),"",IF(IF(ISNUMBER($I499),$I499,N($H499))&lt;=0,"",IF($R499&lt;'設定'!$B$6,"期限切れ",IF($R499='設定'!$B$6,"当日",IF($R499-'設定'!$B$6&lt;=N('設定'!$B$14),"あと"&amp;($R499-'設定'!$B$6)&amp;"日","")))))</f>
        <v/>
      </c>
      <c r="U499" s="61" t="n"/>
      <c r="V499" s="31">
        <f>IF(AND($B499&lt;&gt;"",$E499&lt;&gt;"",$E499='数える用紙'!$C$2),ROW(),"")</f>
        <v/>
      </c>
      <c r="W499" s="74">
        <f>IF(AND($B499&lt;&gt;"",ISNUMBER($R499)),IF(AND($R499&lt;='設定'!$B$6+N('設定'!$B$14),IF(ISNUMBER($I499),$I499,N($H499))&gt;0),$R499+ROW()/100000,""),"")</f>
        <v/>
      </c>
    </row>
    <row r="500" ht="18" customHeight="1">
      <c r="A500" s="22" t="n">
        <v>496</v>
      </c>
      <c r="B500" s="23" t="n"/>
      <c r="C500" s="24" t="n"/>
      <c r="D500" s="24" t="n"/>
      <c r="E500" s="23" t="n"/>
      <c r="F500" s="23" t="n"/>
      <c r="G500" s="25" t="n"/>
      <c r="H500" s="25" t="n"/>
      <c r="I500" s="25" t="n"/>
      <c r="J500" s="72">
        <f>IF(OR($B500="",$H500=""),"",N($G500)*$H500)</f>
        <v/>
      </c>
      <c r="K500" s="72">
        <f>IF(OR($B500="",$I500=""),"",N($G500)*$I500)</f>
        <v/>
      </c>
      <c r="L500" s="27">
        <f>IF(OR($B500="",$H500="",$I500=""),"",$I500-$H500)</f>
        <v/>
      </c>
      <c r="M500" s="72">
        <f>IF($L500="","",$L500*N($G500))</f>
        <v/>
      </c>
      <c r="N500" s="73">
        <f>IF($L500="","",IF($H500&gt;0,ROUND($L500/$H500,4),"－"))</f>
        <v/>
      </c>
      <c r="O500" s="29">
        <f>IF($B500="","",IF($L500="","未入力",IF($L500=0,"一致",IF(OR(NOT(ISNUMBER($N500)),AND('設定'!$B$10&lt;&gt;"",ABS(N($N500))&gt;'設定'!$B$10),AND('設定'!$B$11&lt;&gt;"",ABS(ROUND($M500,4))&gt;'設定'!$B$11),AND('設定'!$B$10="",'設定'!$B$11="")),"要確認","許容内"))))</f>
        <v/>
      </c>
      <c r="P500" s="29">
        <f>IF($O500&lt;&gt;"要確認","",IF($Q500=0,"済",IF(COUNTIF('差異の原因'!$B$5:$B$204,$B500)=0,"未記録","一部")))</f>
        <v/>
      </c>
      <c r="Q500" s="27">
        <f>IF($L500="","",IF(AND($L500=0,COUNTIF('差異の原因'!$B$5:$B$204,$B500)=0),"",ROUND($L500-SUMIF('差異の原因'!$B$5:$B$204,$B500,'差異の原因'!$G$5:$G$204),6)))</f>
        <v/>
      </c>
      <c r="R500" s="30" t="n"/>
      <c r="S500" s="23" t="n"/>
      <c r="T500" s="29">
        <f>IF(OR($B500="",NOT(ISNUMBER($R500))),"",IF(IF(ISNUMBER($I500),$I500,N($H500))&lt;=0,"",IF($R500&lt;'設定'!$B$6,"期限切れ",IF($R500='設定'!$B$6,"当日",IF($R500-'設定'!$B$6&lt;=N('設定'!$B$14),"あと"&amp;($R500-'設定'!$B$6)&amp;"日","")))))</f>
        <v/>
      </c>
      <c r="U500" s="61" t="n"/>
      <c r="V500" s="31">
        <f>IF(AND($B500&lt;&gt;"",$E500&lt;&gt;"",$E500='数える用紙'!$C$2),ROW(),"")</f>
        <v/>
      </c>
      <c r="W500" s="74">
        <f>IF(AND($B500&lt;&gt;"",ISNUMBER($R500)),IF(AND($R500&lt;='設定'!$B$6+N('設定'!$B$14),IF(ISNUMBER($I500),$I500,N($H500))&gt;0),$R500+ROW()/100000,""),"")</f>
        <v/>
      </c>
    </row>
    <row r="501" ht="18" customHeight="1">
      <c r="A501" s="22" t="n">
        <v>497</v>
      </c>
      <c r="B501" s="23" t="n"/>
      <c r="C501" s="24" t="n"/>
      <c r="D501" s="24" t="n"/>
      <c r="E501" s="23" t="n"/>
      <c r="F501" s="23" t="n"/>
      <c r="G501" s="25" t="n"/>
      <c r="H501" s="25" t="n"/>
      <c r="I501" s="25" t="n"/>
      <c r="J501" s="72">
        <f>IF(OR($B501="",$H501=""),"",N($G501)*$H501)</f>
        <v/>
      </c>
      <c r="K501" s="72">
        <f>IF(OR($B501="",$I501=""),"",N($G501)*$I501)</f>
        <v/>
      </c>
      <c r="L501" s="27">
        <f>IF(OR($B501="",$H501="",$I501=""),"",$I501-$H501)</f>
        <v/>
      </c>
      <c r="M501" s="72">
        <f>IF($L501="","",$L501*N($G501))</f>
        <v/>
      </c>
      <c r="N501" s="73">
        <f>IF($L501="","",IF($H501&gt;0,ROUND($L501/$H501,4),"－"))</f>
        <v/>
      </c>
      <c r="O501" s="29">
        <f>IF($B501="","",IF($L501="","未入力",IF($L501=0,"一致",IF(OR(NOT(ISNUMBER($N501)),AND('設定'!$B$10&lt;&gt;"",ABS(N($N501))&gt;'設定'!$B$10),AND('設定'!$B$11&lt;&gt;"",ABS(ROUND($M501,4))&gt;'設定'!$B$11),AND('設定'!$B$10="",'設定'!$B$11="")),"要確認","許容内"))))</f>
        <v/>
      </c>
      <c r="P501" s="29">
        <f>IF($O501&lt;&gt;"要確認","",IF($Q501=0,"済",IF(COUNTIF('差異の原因'!$B$5:$B$204,$B501)=0,"未記録","一部")))</f>
        <v/>
      </c>
      <c r="Q501" s="27">
        <f>IF($L501="","",IF(AND($L501=0,COUNTIF('差異の原因'!$B$5:$B$204,$B501)=0),"",ROUND($L501-SUMIF('差異の原因'!$B$5:$B$204,$B501,'差異の原因'!$G$5:$G$204),6)))</f>
        <v/>
      </c>
      <c r="R501" s="30" t="n"/>
      <c r="S501" s="23" t="n"/>
      <c r="T501" s="29">
        <f>IF(OR($B501="",NOT(ISNUMBER($R501))),"",IF(IF(ISNUMBER($I501),$I501,N($H501))&lt;=0,"",IF($R501&lt;'設定'!$B$6,"期限切れ",IF($R501='設定'!$B$6,"当日",IF($R501-'設定'!$B$6&lt;=N('設定'!$B$14),"あと"&amp;($R501-'設定'!$B$6)&amp;"日","")))))</f>
        <v/>
      </c>
      <c r="U501" s="61" t="n"/>
      <c r="V501" s="31">
        <f>IF(AND($B501&lt;&gt;"",$E501&lt;&gt;"",$E501='数える用紙'!$C$2),ROW(),"")</f>
        <v/>
      </c>
      <c r="W501" s="74">
        <f>IF(AND($B501&lt;&gt;"",ISNUMBER($R501)),IF(AND($R501&lt;='設定'!$B$6+N('設定'!$B$14),IF(ISNUMBER($I501),$I501,N($H501))&gt;0),$R501+ROW()/100000,""),"")</f>
        <v/>
      </c>
    </row>
    <row r="502" ht="18" customHeight="1">
      <c r="A502" s="22" t="n">
        <v>498</v>
      </c>
      <c r="B502" s="23" t="n"/>
      <c r="C502" s="24" t="n"/>
      <c r="D502" s="24" t="n"/>
      <c r="E502" s="23" t="n"/>
      <c r="F502" s="23" t="n"/>
      <c r="G502" s="25" t="n"/>
      <c r="H502" s="25" t="n"/>
      <c r="I502" s="25" t="n"/>
      <c r="J502" s="72">
        <f>IF(OR($B502="",$H502=""),"",N($G502)*$H502)</f>
        <v/>
      </c>
      <c r="K502" s="72">
        <f>IF(OR($B502="",$I502=""),"",N($G502)*$I502)</f>
        <v/>
      </c>
      <c r="L502" s="27">
        <f>IF(OR($B502="",$H502="",$I502=""),"",$I502-$H502)</f>
        <v/>
      </c>
      <c r="M502" s="72">
        <f>IF($L502="","",$L502*N($G502))</f>
        <v/>
      </c>
      <c r="N502" s="73">
        <f>IF($L502="","",IF($H502&gt;0,ROUND($L502/$H502,4),"－"))</f>
        <v/>
      </c>
      <c r="O502" s="29">
        <f>IF($B502="","",IF($L502="","未入力",IF($L502=0,"一致",IF(OR(NOT(ISNUMBER($N502)),AND('設定'!$B$10&lt;&gt;"",ABS(N($N502))&gt;'設定'!$B$10),AND('設定'!$B$11&lt;&gt;"",ABS(ROUND($M502,4))&gt;'設定'!$B$11),AND('設定'!$B$10="",'設定'!$B$11="")),"要確認","許容内"))))</f>
        <v/>
      </c>
      <c r="P502" s="29">
        <f>IF($O502&lt;&gt;"要確認","",IF($Q502=0,"済",IF(COUNTIF('差異の原因'!$B$5:$B$204,$B502)=0,"未記録","一部")))</f>
        <v/>
      </c>
      <c r="Q502" s="27">
        <f>IF($L502="","",IF(AND($L502=0,COUNTIF('差異の原因'!$B$5:$B$204,$B502)=0),"",ROUND($L502-SUMIF('差異の原因'!$B$5:$B$204,$B502,'差異の原因'!$G$5:$G$204),6)))</f>
        <v/>
      </c>
      <c r="R502" s="30" t="n"/>
      <c r="S502" s="23" t="n"/>
      <c r="T502" s="29">
        <f>IF(OR($B502="",NOT(ISNUMBER($R502))),"",IF(IF(ISNUMBER($I502),$I502,N($H502))&lt;=0,"",IF($R502&lt;'設定'!$B$6,"期限切れ",IF($R502='設定'!$B$6,"当日",IF($R502-'設定'!$B$6&lt;=N('設定'!$B$14),"あと"&amp;($R502-'設定'!$B$6)&amp;"日","")))))</f>
        <v/>
      </c>
      <c r="U502" s="61" t="n"/>
      <c r="V502" s="31">
        <f>IF(AND($B502&lt;&gt;"",$E502&lt;&gt;"",$E502='数える用紙'!$C$2),ROW(),"")</f>
        <v/>
      </c>
      <c r="W502" s="74">
        <f>IF(AND($B502&lt;&gt;"",ISNUMBER($R502)),IF(AND($R502&lt;='設定'!$B$6+N('設定'!$B$14),IF(ISNUMBER($I502),$I502,N($H502))&gt;0),$R502+ROW()/100000,""),"")</f>
        <v/>
      </c>
    </row>
    <row r="503" ht="18" customHeight="1">
      <c r="A503" s="22" t="n">
        <v>499</v>
      </c>
      <c r="B503" s="23" t="n"/>
      <c r="C503" s="24" t="n"/>
      <c r="D503" s="24" t="n"/>
      <c r="E503" s="23" t="n"/>
      <c r="F503" s="23" t="n"/>
      <c r="G503" s="25" t="n"/>
      <c r="H503" s="25" t="n"/>
      <c r="I503" s="25" t="n"/>
      <c r="J503" s="72">
        <f>IF(OR($B503="",$H503=""),"",N($G503)*$H503)</f>
        <v/>
      </c>
      <c r="K503" s="72">
        <f>IF(OR($B503="",$I503=""),"",N($G503)*$I503)</f>
        <v/>
      </c>
      <c r="L503" s="27">
        <f>IF(OR($B503="",$H503="",$I503=""),"",$I503-$H503)</f>
        <v/>
      </c>
      <c r="M503" s="72">
        <f>IF($L503="","",$L503*N($G503))</f>
        <v/>
      </c>
      <c r="N503" s="73">
        <f>IF($L503="","",IF($H503&gt;0,ROUND($L503/$H503,4),"－"))</f>
        <v/>
      </c>
      <c r="O503" s="29">
        <f>IF($B503="","",IF($L503="","未入力",IF($L503=0,"一致",IF(OR(NOT(ISNUMBER($N503)),AND('設定'!$B$10&lt;&gt;"",ABS(N($N503))&gt;'設定'!$B$10),AND('設定'!$B$11&lt;&gt;"",ABS(ROUND($M503,4))&gt;'設定'!$B$11),AND('設定'!$B$10="",'設定'!$B$11="")),"要確認","許容内"))))</f>
        <v/>
      </c>
      <c r="P503" s="29">
        <f>IF($O503&lt;&gt;"要確認","",IF($Q503=0,"済",IF(COUNTIF('差異の原因'!$B$5:$B$204,$B503)=0,"未記録","一部")))</f>
        <v/>
      </c>
      <c r="Q503" s="27">
        <f>IF($L503="","",IF(AND($L503=0,COUNTIF('差異の原因'!$B$5:$B$204,$B503)=0),"",ROUND($L503-SUMIF('差異の原因'!$B$5:$B$204,$B503,'差異の原因'!$G$5:$G$204),6)))</f>
        <v/>
      </c>
      <c r="R503" s="30" t="n"/>
      <c r="S503" s="23" t="n"/>
      <c r="T503" s="29">
        <f>IF(OR($B503="",NOT(ISNUMBER($R503))),"",IF(IF(ISNUMBER($I503),$I503,N($H503))&lt;=0,"",IF($R503&lt;'設定'!$B$6,"期限切れ",IF($R503='設定'!$B$6,"当日",IF($R503-'設定'!$B$6&lt;=N('設定'!$B$14),"あと"&amp;($R503-'設定'!$B$6)&amp;"日","")))))</f>
        <v/>
      </c>
      <c r="U503" s="61" t="n"/>
      <c r="V503" s="31">
        <f>IF(AND($B503&lt;&gt;"",$E503&lt;&gt;"",$E503='数える用紙'!$C$2),ROW(),"")</f>
        <v/>
      </c>
      <c r="W503" s="74">
        <f>IF(AND($B503&lt;&gt;"",ISNUMBER($R503)),IF(AND($R503&lt;='設定'!$B$6+N('設定'!$B$14),IF(ISNUMBER($I503),$I503,N($H503))&gt;0),$R503+ROW()/100000,""),"")</f>
        <v/>
      </c>
    </row>
    <row r="504" ht="18" customHeight="1">
      <c r="A504" s="22" t="n">
        <v>500</v>
      </c>
      <c r="B504" s="23" t="n"/>
      <c r="C504" s="24" t="n"/>
      <c r="D504" s="24" t="n"/>
      <c r="E504" s="23" t="n"/>
      <c r="F504" s="23" t="n"/>
      <c r="G504" s="25" t="n"/>
      <c r="H504" s="25" t="n"/>
      <c r="I504" s="25" t="n"/>
      <c r="J504" s="72">
        <f>IF(OR($B504="",$H504=""),"",N($G504)*$H504)</f>
        <v/>
      </c>
      <c r="K504" s="72">
        <f>IF(OR($B504="",$I504=""),"",N($G504)*$I504)</f>
        <v/>
      </c>
      <c r="L504" s="27">
        <f>IF(OR($B504="",$H504="",$I504=""),"",$I504-$H504)</f>
        <v/>
      </c>
      <c r="M504" s="72">
        <f>IF($L504="","",$L504*N($G504))</f>
        <v/>
      </c>
      <c r="N504" s="73">
        <f>IF($L504="","",IF($H504&gt;0,ROUND($L504/$H504,4),"－"))</f>
        <v/>
      </c>
      <c r="O504" s="29">
        <f>IF($B504="","",IF($L504="","未入力",IF($L504=0,"一致",IF(OR(NOT(ISNUMBER($N504)),AND('設定'!$B$10&lt;&gt;"",ABS(N($N504))&gt;'設定'!$B$10),AND('設定'!$B$11&lt;&gt;"",ABS(ROUND($M504,4))&gt;'設定'!$B$11),AND('設定'!$B$10="",'設定'!$B$11="")),"要確認","許容内"))))</f>
        <v/>
      </c>
      <c r="P504" s="29">
        <f>IF($O504&lt;&gt;"要確認","",IF($Q504=0,"済",IF(COUNTIF('差異の原因'!$B$5:$B$204,$B504)=0,"未記録","一部")))</f>
        <v/>
      </c>
      <c r="Q504" s="27">
        <f>IF($L504="","",IF(AND($L504=0,COUNTIF('差異の原因'!$B$5:$B$204,$B504)=0),"",ROUND($L504-SUMIF('差異の原因'!$B$5:$B$204,$B504,'差異の原因'!$G$5:$G$204),6)))</f>
        <v/>
      </c>
      <c r="R504" s="30" t="n"/>
      <c r="S504" s="23" t="n"/>
      <c r="T504" s="29">
        <f>IF(OR($B504="",NOT(ISNUMBER($R504))),"",IF(IF(ISNUMBER($I504),$I504,N($H504))&lt;=0,"",IF($R504&lt;'設定'!$B$6,"期限切れ",IF($R504='設定'!$B$6,"当日",IF($R504-'設定'!$B$6&lt;=N('設定'!$B$14),"あと"&amp;($R504-'設定'!$B$6)&amp;"日","")))))</f>
        <v/>
      </c>
      <c r="U504" s="61" t="n"/>
      <c r="V504" s="31">
        <f>IF(AND($B504&lt;&gt;"",$E504&lt;&gt;"",$E504='数える用紙'!$C$2),ROW(),"")</f>
        <v/>
      </c>
      <c r="W504" s="74">
        <f>IF(AND($B504&lt;&gt;"",ISNUMBER($R504)),IF(AND($R504&lt;='設定'!$B$6+N('設定'!$B$14),IF(ISNUMBER($I504),$I504,N($H504))&gt;0),$R504+ROW()/100000,""),"")</f>
        <v/>
      </c>
    </row>
  </sheetData>
  <autoFilter ref="A4:T504"/>
  <mergeCells count="3">
    <mergeCell ref="A2:Q2"/>
    <mergeCell ref="A1:Q1"/>
    <mergeCell ref="D3:M3"/>
  </mergeCells>
  <conditionalFormatting sqref="B5:B504">
    <cfRule type="expression" priority="1" dxfId="0">
      <formula>AND($B5&lt;&gt;"",COUNTIF($B$5:$B$504,$B5)&gt;1)</formula>
    </cfRule>
  </conditionalFormatting>
  <conditionalFormatting sqref="O5:O504">
    <cfRule type="expression" priority="2" dxfId="0">
      <formula>$O5="要確認"</formula>
    </cfRule>
  </conditionalFormatting>
  <conditionalFormatting sqref="P5:P504">
    <cfRule type="expression" priority="3" dxfId="0">
      <formula>$P5="未記録"</formula>
    </cfRule>
    <cfRule type="expression" priority="4" dxfId="1">
      <formula>$P5="一部"</formula>
    </cfRule>
  </conditionalFormatting>
  <conditionalFormatting sqref="T5:T504">
    <cfRule type="expression" priority="5" dxfId="0">
      <formula>$T5="期限切れ"</formula>
    </cfRule>
    <cfRule type="expression" priority="6" dxfId="1">
      <formula>OR($T5="当日",LEFT($T5,2)="あと")</formula>
    </cfRule>
  </conditionalFormatting>
  <dataValidations count="7">
    <dataValidation sqref="B5:B504" showDropDown="0" showInputMessage="0" showErrorMessage="1" allowBlank="1" errorTitle="品目コードが重なっています" error="同じ品目コードがすでにあります。品目コードは1品目に1つです（期限の違うロットは S101-1 のように分けます）。" type="custom">
      <formula1>COUNTIF($B$5:$B$504,B5)=1</formula1>
    </dataValidation>
    <dataValidation sqref="E5:E504" showDropDown="0" showInputMessage="0" showErrorMessage="1" allowBlank="1" errorTitle="一覧から選んでください" error="「設定」シートの保管場所の一覧から選んでください。" type="list">
      <formula1>='設定'!$B$17:$B$36</formula1>
    </dataValidation>
    <dataValidation sqref="G5:G504" showDropDown="0" showInputMessage="0" showErrorMessage="1" allowBlank="1" errorTitle="単価" error="0以上の数で入れてください。" type="decimal" operator="between">
      <formula1>0</formula1>
      <formula2>999999999</formula2>
    </dataValidation>
    <dataValidation sqref="H5:H504" showDropDown="0" showInputMessage="0" showErrorMessage="1" allowBlank="1" errorTitle="帳簿数" error="数で入れてください。" type="decimal" operator="between">
      <formula1>-999999999</formula1>
      <formula2>999999999</formula2>
    </dataValidation>
    <dataValidation sqref="I5:I504" showDropDown="0" showInputMessage="0" showErrorMessage="1" allowBlank="1" errorTitle="実棚数" error="0以上の数で入れてください（数えて無かったら 0）。" type="decimal" operator="between">
      <formula1>0</formula1>
      <formula2>999999999</formula2>
    </dataValidation>
    <dataValidation sqref="R5:R504" showDropDown="0" showInputMessage="0" showErrorMessage="1" allowBlank="1" errorTitle="日付で入力してください" error="2026/9/30 のように、日付として入力してください。" type="date" operator="greaterThanOrEqual">
      <formula1>36526</formula1>
    </dataValidation>
    <dataValidation sqref="S5:S504" showDropDown="0" showInputMessage="0" showErrorMessage="1" allowBlank="1" errorTitle="一覧から選んでください" error="一覧から選んでください" type="list">
      <formula1>"消費期限,賞味期限,その他"</formula1>
    </dataValidation>
  </dataValidations>
  <pageMargins left="0.4" right="0.4" top="0.45" bottom="0.45" header="0.2" footer="0.2"/>
  <pageSetup orientation="landscape" paperSize="9" fitToHeight="0" fitToWidth="1"/>
</worksheet>
</file>

<file path=xl/worksheets/sheet4.xml><?xml version="1.0" encoding="utf-8"?>
<worksheet xmlns="http://schemas.openxmlformats.org/spreadsheetml/2006/main">
  <sheetPr>
    <tabColor rgb="001B3A5C"/>
    <outlinePr summaryBelow="1" summaryRight="1"/>
    <pageSetUpPr fitToPage="1"/>
  </sheetPr>
  <dimension ref="A1:N204"/>
  <sheetViews>
    <sheetView showGridLines="0" tabSelected="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10.5" customWidth="1" min="2" max="2"/>
    <col width="18" customWidth="1" min="3" max="3"/>
    <col width="13" customWidth="1" min="4" max="4"/>
    <col width="8" customWidth="1" min="5" max="5"/>
    <col width="20" customWidth="1" min="6" max="6"/>
    <col width="8" customWidth="1" min="7" max="7"/>
    <col width="10" customWidth="1" min="8" max="8"/>
    <col width="40" customWidth="1" min="9" max="9"/>
    <col width="36" customWidth="1" min="10" max="10"/>
    <col width="7" customWidth="1" min="11" max="11"/>
    <col width="12" customWidth="1" min="12" max="12"/>
    <col width="2" customWidth="1" min="13" max="13"/>
    <col width="7" customWidth="1" min="14" max="14"/>
  </cols>
  <sheetData>
    <row r="1" ht="26" customHeight="1">
      <c r="A1" s="60" t="inlineStr">
        <is>
          <t>差異の原因（1件1行）</t>
        </is>
      </c>
      <c r="B1" s="61" t="n"/>
      <c r="C1" s="61" t="n"/>
      <c r="D1" s="61" t="n"/>
      <c r="E1" s="61" t="n"/>
      <c r="F1" s="61" t="n"/>
      <c r="G1" s="61" t="n"/>
      <c r="H1" s="61" t="n"/>
      <c r="I1" s="61" t="n"/>
      <c r="J1" s="61" t="n"/>
      <c r="K1" s="61" t="n"/>
      <c r="L1" s="61" t="n"/>
      <c r="M1" s="61" t="n"/>
      <c r="N1" s="61" t="n"/>
    </row>
    <row r="2" ht="28" customHeight="1">
      <c r="A2" s="64" t="inlineStr">
        <is>
          <t>品目コードを選ぶと、品名・保管場所・棚卸の差異数が出ます。数量は差異と同じ向きで入れます（不足の原因ならマイナス）。1つの品目に原因が2つあるときは2行に分けます。棚卸表の「未説明の差異数」が0になれば記録は済みです。</t>
        </is>
      </c>
      <c r="B2" s="61" t="n"/>
      <c r="C2" s="61" t="n"/>
      <c r="D2" s="61" t="n"/>
      <c r="E2" s="61" t="n"/>
      <c r="F2" s="61" t="n"/>
      <c r="G2" s="61" t="n"/>
      <c r="H2" s="61" t="n"/>
      <c r="I2" s="61" t="n"/>
      <c r="J2" s="61" t="n"/>
      <c r="K2" s="61" t="n"/>
      <c r="L2" s="61" t="n"/>
      <c r="M2" s="61" t="n"/>
      <c r="N2" s="61" t="n"/>
    </row>
    <row r="3" ht="20" customHeight="1">
      <c r="A3" s="65" t="inlineStr">
        <is>
          <t>記録の件数</t>
        </is>
      </c>
      <c r="B3" s="29">
        <f>COUNTA($B$5:$B$204)&amp;"件"</f>
        <v/>
      </c>
      <c r="C3" s="65" t="inlineStr">
        <is>
          <t>帳簿の修正が未</t>
        </is>
      </c>
      <c r="D3" s="71" t="n"/>
      <c r="E3" s="29">
        <f>COUNTIF($K$5:$K$204,"未")&amp;"件"</f>
        <v/>
      </c>
      <c r="F3" s="61" t="n"/>
      <c r="G3" s="61" t="n"/>
      <c r="H3" s="61" t="n"/>
      <c r="I3" s="61" t="n"/>
      <c r="J3" s="61" t="n"/>
      <c r="K3" s="61" t="n"/>
      <c r="L3" s="61" t="n"/>
      <c r="M3" s="61" t="n"/>
      <c r="N3" s="61" t="n"/>
    </row>
    <row r="4" ht="32" customHeight="1">
      <c r="A4" s="19" t="inlineStr">
        <is>
          <t>記録日</t>
        </is>
      </c>
      <c r="B4" s="19" t="inlineStr">
        <is>
          <t>品目コード</t>
        </is>
      </c>
      <c r="C4" s="20" t="inlineStr">
        <is>
          <t>品名</t>
        </is>
      </c>
      <c r="D4" s="20" t="inlineStr">
        <is>
          <t>保管場所</t>
        </is>
      </c>
      <c r="E4" s="20" t="inlineStr">
        <is>
          <t>棚卸の差異数</t>
        </is>
      </c>
      <c r="F4" s="19" t="inlineStr">
        <is>
          <t>原因の区分</t>
        </is>
      </c>
      <c r="G4" s="19" t="inlineStr">
        <is>
          <t>この原因の数量</t>
        </is>
      </c>
      <c r="H4" s="20" t="inlineStr">
        <is>
          <t>この原因の金額</t>
        </is>
      </c>
      <c r="I4" s="19" t="inlineStr">
        <is>
          <t>何を確かめて、何が分かったか</t>
        </is>
      </c>
      <c r="J4" s="19" t="inlineStr">
        <is>
          <t>再発を防ぐ対応</t>
        </is>
      </c>
      <c r="K4" s="19" t="inlineStr">
        <is>
          <t>帳簿の修正</t>
        </is>
      </c>
      <c r="L4" s="19" t="inlineStr">
        <is>
          <t>確認者</t>
        </is>
      </c>
      <c r="M4" s="61" t="n"/>
      <c r="N4" s="21" t="inlineStr">
        <is>
          <t>作業列</t>
        </is>
      </c>
    </row>
    <row r="5" ht="30" customHeight="1">
      <c r="A5" s="30" t="n"/>
      <c r="B5" s="23" t="n"/>
      <c r="C5" s="33">
        <f>IF($N5="","",IF($N5="なし","※棚卸表にないコード",INDEX('棚卸表'!$C$5:$C$504,$N5)&amp;""))</f>
        <v/>
      </c>
      <c r="D5" s="29">
        <f>IF(OR($N5="",$N5="なし"),"",INDEX('棚卸表'!$E$5:$E$504,$N5)&amp;"")</f>
        <v/>
      </c>
      <c r="E5" s="27">
        <f>IF(OR($N5="",$N5="なし"),"",IF(INDEX('棚卸表'!$L$5:$L$504,$N5)="","",INDEX('棚卸表'!$L$5:$L$504,$N5)))</f>
        <v/>
      </c>
      <c r="F5" s="8" t="n"/>
      <c r="G5" s="25" t="n"/>
      <c r="H5" s="72">
        <f>IF(OR(OR($N5="",$N5="なし"),$G5=""),"",$G5*N(INDEX('棚卸表'!$G$5:$G$504,$N5)))</f>
        <v/>
      </c>
      <c r="I5" s="34" t="n"/>
      <c r="J5" s="34" t="n"/>
      <c r="K5" s="23" t="n"/>
      <c r="L5" s="23" t="n"/>
      <c r="M5" s="61" t="n"/>
      <c r="N5" s="35">
        <f>IF($B5="","",IFERROR(MATCH($B5,'棚卸表'!$B$5:$B$504,0),"なし"))</f>
        <v/>
      </c>
    </row>
    <row r="6" ht="30" customHeight="1">
      <c r="A6" s="30" t="n"/>
      <c r="B6" s="23" t="n"/>
      <c r="C6" s="33">
        <f>IF($N6="","",IF($N6="なし","※棚卸表にないコード",INDEX('棚卸表'!$C$5:$C$504,$N6)&amp;""))</f>
        <v/>
      </c>
      <c r="D6" s="29">
        <f>IF(OR($N6="",$N6="なし"),"",INDEX('棚卸表'!$E$5:$E$504,$N6)&amp;"")</f>
        <v/>
      </c>
      <c r="E6" s="27">
        <f>IF(OR($N6="",$N6="なし"),"",IF(INDEX('棚卸表'!$L$5:$L$504,$N6)="","",INDEX('棚卸表'!$L$5:$L$504,$N6)))</f>
        <v/>
      </c>
      <c r="F6" s="8" t="n"/>
      <c r="G6" s="25" t="n"/>
      <c r="H6" s="72">
        <f>IF(OR(OR($N6="",$N6="なし"),$G6=""),"",$G6*N(INDEX('棚卸表'!$G$5:$G$504,$N6)))</f>
        <v/>
      </c>
      <c r="I6" s="34" t="n"/>
      <c r="J6" s="34" t="n"/>
      <c r="K6" s="23" t="n"/>
      <c r="L6" s="23" t="n"/>
      <c r="M6" s="61" t="n"/>
      <c r="N6" s="35">
        <f>IF($B6="","",IFERROR(MATCH($B6,'棚卸表'!$B$5:$B$504,0),"なし"))</f>
        <v/>
      </c>
    </row>
    <row r="7" ht="30" customHeight="1">
      <c r="A7" s="30" t="n"/>
      <c r="B7" s="23" t="n"/>
      <c r="C7" s="33">
        <f>IF($N7="","",IF($N7="なし","※棚卸表にないコード",INDEX('棚卸表'!$C$5:$C$504,$N7)&amp;""))</f>
        <v/>
      </c>
      <c r="D7" s="29">
        <f>IF(OR($N7="",$N7="なし"),"",INDEX('棚卸表'!$E$5:$E$504,$N7)&amp;"")</f>
        <v/>
      </c>
      <c r="E7" s="27">
        <f>IF(OR($N7="",$N7="なし"),"",IF(INDEX('棚卸表'!$L$5:$L$504,$N7)="","",INDEX('棚卸表'!$L$5:$L$504,$N7)))</f>
        <v/>
      </c>
      <c r="F7" s="8" t="n"/>
      <c r="G7" s="25" t="n"/>
      <c r="H7" s="72">
        <f>IF(OR(OR($N7="",$N7="なし"),$G7=""),"",$G7*N(INDEX('棚卸表'!$G$5:$G$504,$N7)))</f>
        <v/>
      </c>
      <c r="I7" s="34" t="n"/>
      <c r="J7" s="34" t="n"/>
      <c r="K7" s="23" t="n"/>
      <c r="L7" s="23" t="n"/>
      <c r="M7" s="61" t="n"/>
      <c r="N7" s="35">
        <f>IF($B7="","",IFERROR(MATCH($B7,'棚卸表'!$B$5:$B$504,0),"なし"))</f>
        <v/>
      </c>
    </row>
    <row r="8" ht="30" customHeight="1">
      <c r="A8" s="30" t="n"/>
      <c r="B8" s="23" t="n"/>
      <c r="C8" s="33">
        <f>IF($N8="","",IF($N8="なし","※棚卸表にないコード",INDEX('棚卸表'!$C$5:$C$504,$N8)&amp;""))</f>
        <v/>
      </c>
      <c r="D8" s="29">
        <f>IF(OR($N8="",$N8="なし"),"",INDEX('棚卸表'!$E$5:$E$504,$N8)&amp;"")</f>
        <v/>
      </c>
      <c r="E8" s="27">
        <f>IF(OR($N8="",$N8="なし"),"",IF(INDEX('棚卸表'!$L$5:$L$504,$N8)="","",INDEX('棚卸表'!$L$5:$L$504,$N8)))</f>
        <v/>
      </c>
      <c r="F8" s="8" t="n"/>
      <c r="G8" s="25" t="n"/>
      <c r="H8" s="72">
        <f>IF(OR(OR($N8="",$N8="なし"),$G8=""),"",$G8*N(INDEX('棚卸表'!$G$5:$G$504,$N8)))</f>
        <v/>
      </c>
      <c r="I8" s="34" t="n"/>
      <c r="J8" s="34" t="n"/>
      <c r="K8" s="23" t="n"/>
      <c r="L8" s="23" t="n"/>
      <c r="M8" s="61" t="n"/>
      <c r="N8" s="35">
        <f>IF($B8="","",IFERROR(MATCH($B8,'棚卸表'!$B$5:$B$504,0),"なし"))</f>
        <v/>
      </c>
    </row>
    <row r="9" ht="30" customHeight="1">
      <c r="A9" s="30" t="n"/>
      <c r="B9" s="23" t="n"/>
      <c r="C9" s="33">
        <f>IF($N9="","",IF($N9="なし","※棚卸表にないコード",INDEX('棚卸表'!$C$5:$C$504,$N9)&amp;""))</f>
        <v/>
      </c>
      <c r="D9" s="29">
        <f>IF(OR($N9="",$N9="なし"),"",INDEX('棚卸表'!$E$5:$E$504,$N9)&amp;"")</f>
        <v/>
      </c>
      <c r="E9" s="27">
        <f>IF(OR($N9="",$N9="なし"),"",IF(INDEX('棚卸表'!$L$5:$L$504,$N9)="","",INDEX('棚卸表'!$L$5:$L$504,$N9)))</f>
        <v/>
      </c>
      <c r="F9" s="8" t="n"/>
      <c r="G9" s="25" t="n"/>
      <c r="H9" s="72">
        <f>IF(OR(OR($N9="",$N9="なし"),$G9=""),"",$G9*N(INDEX('棚卸表'!$G$5:$G$504,$N9)))</f>
        <v/>
      </c>
      <c r="I9" s="34" t="n"/>
      <c r="J9" s="34" t="n"/>
      <c r="K9" s="23" t="n"/>
      <c r="L9" s="23" t="n"/>
      <c r="M9" s="61" t="n"/>
      <c r="N9" s="35">
        <f>IF($B9="","",IFERROR(MATCH($B9,'棚卸表'!$B$5:$B$504,0),"なし"))</f>
        <v/>
      </c>
    </row>
    <row r="10" ht="30" customHeight="1">
      <c r="A10" s="30" t="n"/>
      <c r="B10" s="23" t="n"/>
      <c r="C10" s="33">
        <f>IF($N10="","",IF($N10="なし","※棚卸表にないコード",INDEX('棚卸表'!$C$5:$C$504,$N10)&amp;""))</f>
        <v/>
      </c>
      <c r="D10" s="29">
        <f>IF(OR($N10="",$N10="なし"),"",INDEX('棚卸表'!$E$5:$E$504,$N10)&amp;"")</f>
        <v/>
      </c>
      <c r="E10" s="27">
        <f>IF(OR($N10="",$N10="なし"),"",IF(INDEX('棚卸表'!$L$5:$L$504,$N10)="","",INDEX('棚卸表'!$L$5:$L$504,$N10)))</f>
        <v/>
      </c>
      <c r="F10" s="8" t="n"/>
      <c r="G10" s="25" t="n"/>
      <c r="H10" s="72">
        <f>IF(OR(OR($N10="",$N10="なし"),$G10=""),"",$G10*N(INDEX('棚卸表'!$G$5:$G$504,$N10)))</f>
        <v/>
      </c>
      <c r="I10" s="34" t="n"/>
      <c r="J10" s="34" t="n"/>
      <c r="K10" s="23" t="n"/>
      <c r="L10" s="23" t="n"/>
      <c r="M10" s="61" t="n"/>
      <c r="N10" s="35">
        <f>IF($B10="","",IFERROR(MATCH($B10,'棚卸表'!$B$5:$B$504,0),"なし"))</f>
        <v/>
      </c>
    </row>
    <row r="11" ht="30" customHeight="1">
      <c r="A11" s="30" t="n"/>
      <c r="B11" s="23" t="n"/>
      <c r="C11" s="33">
        <f>IF($N11="","",IF($N11="なし","※棚卸表にないコード",INDEX('棚卸表'!$C$5:$C$504,$N11)&amp;""))</f>
        <v/>
      </c>
      <c r="D11" s="29">
        <f>IF(OR($N11="",$N11="なし"),"",INDEX('棚卸表'!$E$5:$E$504,$N11)&amp;"")</f>
        <v/>
      </c>
      <c r="E11" s="27">
        <f>IF(OR($N11="",$N11="なし"),"",IF(INDEX('棚卸表'!$L$5:$L$504,$N11)="","",INDEX('棚卸表'!$L$5:$L$504,$N11)))</f>
        <v/>
      </c>
      <c r="F11" s="8" t="n"/>
      <c r="G11" s="25" t="n"/>
      <c r="H11" s="72">
        <f>IF(OR(OR($N11="",$N11="なし"),$G11=""),"",$G11*N(INDEX('棚卸表'!$G$5:$G$504,$N11)))</f>
        <v/>
      </c>
      <c r="I11" s="34" t="n"/>
      <c r="J11" s="34" t="n"/>
      <c r="K11" s="23" t="n"/>
      <c r="L11" s="23" t="n"/>
      <c r="M11" s="61" t="n"/>
      <c r="N11" s="35">
        <f>IF($B11="","",IFERROR(MATCH($B11,'棚卸表'!$B$5:$B$504,0),"なし"))</f>
        <v/>
      </c>
    </row>
    <row r="12" ht="30" customHeight="1">
      <c r="A12" s="30" t="n"/>
      <c r="B12" s="23" t="n"/>
      <c r="C12" s="33">
        <f>IF($N12="","",IF($N12="なし","※棚卸表にないコード",INDEX('棚卸表'!$C$5:$C$504,$N12)&amp;""))</f>
        <v/>
      </c>
      <c r="D12" s="29">
        <f>IF(OR($N12="",$N12="なし"),"",INDEX('棚卸表'!$E$5:$E$504,$N12)&amp;"")</f>
        <v/>
      </c>
      <c r="E12" s="27">
        <f>IF(OR($N12="",$N12="なし"),"",IF(INDEX('棚卸表'!$L$5:$L$504,$N12)="","",INDEX('棚卸表'!$L$5:$L$504,$N12)))</f>
        <v/>
      </c>
      <c r="F12" s="8" t="n"/>
      <c r="G12" s="25" t="n"/>
      <c r="H12" s="72">
        <f>IF(OR(OR($N12="",$N12="なし"),$G12=""),"",$G12*N(INDEX('棚卸表'!$G$5:$G$504,$N12)))</f>
        <v/>
      </c>
      <c r="I12" s="34" t="n"/>
      <c r="J12" s="34" t="n"/>
      <c r="K12" s="23" t="n"/>
      <c r="L12" s="23" t="n"/>
      <c r="M12" s="61" t="n"/>
      <c r="N12" s="35">
        <f>IF($B12="","",IFERROR(MATCH($B12,'棚卸表'!$B$5:$B$504,0),"なし"))</f>
        <v/>
      </c>
    </row>
    <row r="13" ht="30" customHeight="1">
      <c r="A13" s="30" t="n"/>
      <c r="B13" s="23" t="n"/>
      <c r="C13" s="33">
        <f>IF($N13="","",IF($N13="なし","※棚卸表にないコード",INDEX('棚卸表'!$C$5:$C$504,$N13)&amp;""))</f>
        <v/>
      </c>
      <c r="D13" s="29">
        <f>IF(OR($N13="",$N13="なし"),"",INDEX('棚卸表'!$E$5:$E$504,$N13)&amp;"")</f>
        <v/>
      </c>
      <c r="E13" s="27">
        <f>IF(OR($N13="",$N13="なし"),"",IF(INDEX('棚卸表'!$L$5:$L$504,$N13)="","",INDEX('棚卸表'!$L$5:$L$504,$N13)))</f>
        <v/>
      </c>
      <c r="F13" s="8" t="n"/>
      <c r="G13" s="25" t="n"/>
      <c r="H13" s="72">
        <f>IF(OR(OR($N13="",$N13="なし"),$G13=""),"",$G13*N(INDEX('棚卸表'!$G$5:$G$504,$N13)))</f>
        <v/>
      </c>
      <c r="I13" s="34" t="n"/>
      <c r="J13" s="34" t="n"/>
      <c r="K13" s="23" t="n"/>
      <c r="L13" s="23" t="n"/>
      <c r="M13" s="61" t="n"/>
      <c r="N13" s="35">
        <f>IF($B13="","",IFERROR(MATCH($B13,'棚卸表'!$B$5:$B$504,0),"なし"))</f>
        <v/>
      </c>
    </row>
    <row r="14" ht="30" customHeight="1">
      <c r="A14" s="30" t="n"/>
      <c r="B14" s="23" t="n"/>
      <c r="C14" s="33">
        <f>IF($N14="","",IF($N14="なし","※棚卸表にないコード",INDEX('棚卸表'!$C$5:$C$504,$N14)&amp;""))</f>
        <v/>
      </c>
      <c r="D14" s="29">
        <f>IF(OR($N14="",$N14="なし"),"",INDEX('棚卸表'!$E$5:$E$504,$N14)&amp;"")</f>
        <v/>
      </c>
      <c r="E14" s="27">
        <f>IF(OR($N14="",$N14="なし"),"",IF(INDEX('棚卸表'!$L$5:$L$504,$N14)="","",INDEX('棚卸表'!$L$5:$L$504,$N14)))</f>
        <v/>
      </c>
      <c r="F14" s="8" t="n"/>
      <c r="G14" s="25" t="n"/>
      <c r="H14" s="72">
        <f>IF(OR(OR($N14="",$N14="なし"),$G14=""),"",$G14*N(INDEX('棚卸表'!$G$5:$G$504,$N14)))</f>
        <v/>
      </c>
      <c r="I14" s="34" t="n"/>
      <c r="J14" s="34" t="n"/>
      <c r="K14" s="23" t="n"/>
      <c r="L14" s="23" t="n"/>
      <c r="M14" s="61" t="n"/>
      <c r="N14" s="35">
        <f>IF($B14="","",IFERROR(MATCH($B14,'棚卸表'!$B$5:$B$504,0),"なし"))</f>
        <v/>
      </c>
    </row>
    <row r="15" ht="30" customHeight="1">
      <c r="A15" s="30" t="n"/>
      <c r="B15" s="23" t="n"/>
      <c r="C15" s="33">
        <f>IF($N15="","",IF($N15="なし","※棚卸表にないコード",INDEX('棚卸表'!$C$5:$C$504,$N15)&amp;""))</f>
        <v/>
      </c>
      <c r="D15" s="29">
        <f>IF(OR($N15="",$N15="なし"),"",INDEX('棚卸表'!$E$5:$E$504,$N15)&amp;"")</f>
        <v/>
      </c>
      <c r="E15" s="27">
        <f>IF(OR($N15="",$N15="なし"),"",IF(INDEX('棚卸表'!$L$5:$L$504,$N15)="","",INDEX('棚卸表'!$L$5:$L$504,$N15)))</f>
        <v/>
      </c>
      <c r="F15" s="8" t="n"/>
      <c r="G15" s="25" t="n"/>
      <c r="H15" s="72">
        <f>IF(OR(OR($N15="",$N15="なし"),$G15=""),"",$G15*N(INDEX('棚卸表'!$G$5:$G$504,$N15)))</f>
        <v/>
      </c>
      <c r="I15" s="34" t="n"/>
      <c r="J15" s="34" t="n"/>
      <c r="K15" s="23" t="n"/>
      <c r="L15" s="23" t="n"/>
      <c r="M15" s="61" t="n"/>
      <c r="N15" s="35">
        <f>IF($B15="","",IFERROR(MATCH($B15,'棚卸表'!$B$5:$B$504,0),"なし"))</f>
        <v/>
      </c>
    </row>
    <row r="16" ht="30" customHeight="1">
      <c r="A16" s="30" t="n"/>
      <c r="B16" s="23" t="n"/>
      <c r="C16" s="33">
        <f>IF($N16="","",IF($N16="なし","※棚卸表にないコード",INDEX('棚卸表'!$C$5:$C$504,$N16)&amp;""))</f>
        <v/>
      </c>
      <c r="D16" s="29">
        <f>IF(OR($N16="",$N16="なし"),"",INDEX('棚卸表'!$E$5:$E$504,$N16)&amp;"")</f>
        <v/>
      </c>
      <c r="E16" s="27">
        <f>IF(OR($N16="",$N16="なし"),"",IF(INDEX('棚卸表'!$L$5:$L$504,$N16)="","",INDEX('棚卸表'!$L$5:$L$504,$N16)))</f>
        <v/>
      </c>
      <c r="F16" s="8" t="n"/>
      <c r="G16" s="25" t="n"/>
      <c r="H16" s="72">
        <f>IF(OR(OR($N16="",$N16="なし"),$G16=""),"",$G16*N(INDEX('棚卸表'!$G$5:$G$504,$N16)))</f>
        <v/>
      </c>
      <c r="I16" s="34" t="n"/>
      <c r="J16" s="34" t="n"/>
      <c r="K16" s="23" t="n"/>
      <c r="L16" s="23" t="n"/>
      <c r="M16" s="61" t="n"/>
      <c r="N16" s="35">
        <f>IF($B16="","",IFERROR(MATCH($B16,'棚卸表'!$B$5:$B$504,0),"なし"))</f>
        <v/>
      </c>
    </row>
    <row r="17" ht="30" customHeight="1">
      <c r="A17" s="30" t="n"/>
      <c r="B17" s="23" t="n"/>
      <c r="C17" s="33">
        <f>IF($N17="","",IF($N17="なし","※棚卸表にないコード",INDEX('棚卸表'!$C$5:$C$504,$N17)&amp;""))</f>
        <v/>
      </c>
      <c r="D17" s="29">
        <f>IF(OR($N17="",$N17="なし"),"",INDEX('棚卸表'!$E$5:$E$504,$N17)&amp;"")</f>
        <v/>
      </c>
      <c r="E17" s="27">
        <f>IF(OR($N17="",$N17="なし"),"",IF(INDEX('棚卸表'!$L$5:$L$504,$N17)="","",INDEX('棚卸表'!$L$5:$L$504,$N17)))</f>
        <v/>
      </c>
      <c r="F17" s="8" t="n"/>
      <c r="G17" s="25" t="n"/>
      <c r="H17" s="72">
        <f>IF(OR(OR($N17="",$N17="なし"),$G17=""),"",$G17*N(INDEX('棚卸表'!$G$5:$G$504,$N17)))</f>
        <v/>
      </c>
      <c r="I17" s="34" t="n"/>
      <c r="J17" s="34" t="n"/>
      <c r="K17" s="23" t="n"/>
      <c r="L17" s="23" t="n"/>
      <c r="M17" s="61" t="n"/>
      <c r="N17" s="35">
        <f>IF($B17="","",IFERROR(MATCH($B17,'棚卸表'!$B$5:$B$504,0),"なし"))</f>
        <v/>
      </c>
    </row>
    <row r="18" ht="30" customHeight="1">
      <c r="A18" s="30" t="n"/>
      <c r="B18" s="23" t="n"/>
      <c r="C18" s="33">
        <f>IF($N18="","",IF($N18="なし","※棚卸表にないコード",INDEX('棚卸表'!$C$5:$C$504,$N18)&amp;""))</f>
        <v/>
      </c>
      <c r="D18" s="29">
        <f>IF(OR($N18="",$N18="なし"),"",INDEX('棚卸表'!$E$5:$E$504,$N18)&amp;"")</f>
        <v/>
      </c>
      <c r="E18" s="27">
        <f>IF(OR($N18="",$N18="なし"),"",IF(INDEX('棚卸表'!$L$5:$L$504,$N18)="","",INDEX('棚卸表'!$L$5:$L$504,$N18)))</f>
        <v/>
      </c>
      <c r="F18" s="8" t="n"/>
      <c r="G18" s="25" t="n"/>
      <c r="H18" s="72">
        <f>IF(OR(OR($N18="",$N18="なし"),$G18=""),"",$G18*N(INDEX('棚卸表'!$G$5:$G$504,$N18)))</f>
        <v/>
      </c>
      <c r="I18" s="34" t="n"/>
      <c r="J18" s="34" t="n"/>
      <c r="K18" s="23" t="n"/>
      <c r="L18" s="23" t="n"/>
      <c r="M18" s="61" t="n"/>
      <c r="N18" s="35">
        <f>IF($B18="","",IFERROR(MATCH($B18,'棚卸表'!$B$5:$B$504,0),"なし"))</f>
        <v/>
      </c>
    </row>
    <row r="19" ht="30" customHeight="1">
      <c r="A19" s="30" t="n"/>
      <c r="B19" s="23" t="n"/>
      <c r="C19" s="33">
        <f>IF($N19="","",IF($N19="なし","※棚卸表にないコード",INDEX('棚卸表'!$C$5:$C$504,$N19)&amp;""))</f>
        <v/>
      </c>
      <c r="D19" s="29">
        <f>IF(OR($N19="",$N19="なし"),"",INDEX('棚卸表'!$E$5:$E$504,$N19)&amp;"")</f>
        <v/>
      </c>
      <c r="E19" s="27">
        <f>IF(OR($N19="",$N19="なし"),"",IF(INDEX('棚卸表'!$L$5:$L$504,$N19)="","",INDEX('棚卸表'!$L$5:$L$504,$N19)))</f>
        <v/>
      </c>
      <c r="F19" s="8" t="n"/>
      <c r="G19" s="25" t="n"/>
      <c r="H19" s="72">
        <f>IF(OR(OR($N19="",$N19="なし"),$G19=""),"",$G19*N(INDEX('棚卸表'!$G$5:$G$504,$N19)))</f>
        <v/>
      </c>
      <c r="I19" s="34" t="n"/>
      <c r="J19" s="34" t="n"/>
      <c r="K19" s="23" t="n"/>
      <c r="L19" s="23" t="n"/>
      <c r="M19" s="61" t="n"/>
      <c r="N19" s="35">
        <f>IF($B19="","",IFERROR(MATCH($B19,'棚卸表'!$B$5:$B$504,0),"なし"))</f>
        <v/>
      </c>
    </row>
    <row r="20" ht="30" customHeight="1">
      <c r="A20" s="30" t="n"/>
      <c r="B20" s="23" t="n"/>
      <c r="C20" s="33">
        <f>IF($N20="","",IF($N20="なし","※棚卸表にないコード",INDEX('棚卸表'!$C$5:$C$504,$N20)&amp;""))</f>
        <v/>
      </c>
      <c r="D20" s="29">
        <f>IF(OR($N20="",$N20="なし"),"",INDEX('棚卸表'!$E$5:$E$504,$N20)&amp;"")</f>
        <v/>
      </c>
      <c r="E20" s="27">
        <f>IF(OR($N20="",$N20="なし"),"",IF(INDEX('棚卸表'!$L$5:$L$504,$N20)="","",INDEX('棚卸表'!$L$5:$L$504,$N20)))</f>
        <v/>
      </c>
      <c r="F20" s="8" t="n"/>
      <c r="G20" s="25" t="n"/>
      <c r="H20" s="72">
        <f>IF(OR(OR($N20="",$N20="なし"),$G20=""),"",$G20*N(INDEX('棚卸表'!$G$5:$G$504,$N20)))</f>
        <v/>
      </c>
      <c r="I20" s="34" t="n"/>
      <c r="J20" s="34" t="n"/>
      <c r="K20" s="23" t="n"/>
      <c r="L20" s="23" t="n"/>
      <c r="M20" s="61" t="n"/>
      <c r="N20" s="35">
        <f>IF($B20="","",IFERROR(MATCH($B20,'棚卸表'!$B$5:$B$504,0),"なし"))</f>
        <v/>
      </c>
    </row>
    <row r="21" ht="30" customHeight="1">
      <c r="A21" s="30" t="n"/>
      <c r="B21" s="23" t="n"/>
      <c r="C21" s="33">
        <f>IF($N21="","",IF($N21="なし","※棚卸表にないコード",INDEX('棚卸表'!$C$5:$C$504,$N21)&amp;""))</f>
        <v/>
      </c>
      <c r="D21" s="29">
        <f>IF(OR($N21="",$N21="なし"),"",INDEX('棚卸表'!$E$5:$E$504,$N21)&amp;"")</f>
        <v/>
      </c>
      <c r="E21" s="27">
        <f>IF(OR($N21="",$N21="なし"),"",IF(INDEX('棚卸表'!$L$5:$L$504,$N21)="","",INDEX('棚卸表'!$L$5:$L$504,$N21)))</f>
        <v/>
      </c>
      <c r="F21" s="8" t="n"/>
      <c r="G21" s="25" t="n"/>
      <c r="H21" s="72">
        <f>IF(OR(OR($N21="",$N21="なし"),$G21=""),"",$G21*N(INDEX('棚卸表'!$G$5:$G$504,$N21)))</f>
        <v/>
      </c>
      <c r="I21" s="34" t="n"/>
      <c r="J21" s="34" t="n"/>
      <c r="K21" s="23" t="n"/>
      <c r="L21" s="23" t="n"/>
      <c r="M21" s="61" t="n"/>
      <c r="N21" s="35">
        <f>IF($B21="","",IFERROR(MATCH($B21,'棚卸表'!$B$5:$B$504,0),"なし"))</f>
        <v/>
      </c>
    </row>
    <row r="22" ht="30" customHeight="1">
      <c r="A22" s="30" t="n"/>
      <c r="B22" s="23" t="n"/>
      <c r="C22" s="33">
        <f>IF($N22="","",IF($N22="なし","※棚卸表にないコード",INDEX('棚卸表'!$C$5:$C$504,$N22)&amp;""))</f>
        <v/>
      </c>
      <c r="D22" s="29">
        <f>IF(OR($N22="",$N22="なし"),"",INDEX('棚卸表'!$E$5:$E$504,$N22)&amp;"")</f>
        <v/>
      </c>
      <c r="E22" s="27">
        <f>IF(OR($N22="",$N22="なし"),"",IF(INDEX('棚卸表'!$L$5:$L$504,$N22)="","",INDEX('棚卸表'!$L$5:$L$504,$N22)))</f>
        <v/>
      </c>
      <c r="F22" s="8" t="n"/>
      <c r="G22" s="25" t="n"/>
      <c r="H22" s="72">
        <f>IF(OR(OR($N22="",$N22="なし"),$G22=""),"",$G22*N(INDEX('棚卸表'!$G$5:$G$504,$N22)))</f>
        <v/>
      </c>
      <c r="I22" s="34" t="n"/>
      <c r="J22" s="34" t="n"/>
      <c r="K22" s="23" t="n"/>
      <c r="L22" s="23" t="n"/>
      <c r="M22" s="61" t="n"/>
      <c r="N22" s="35">
        <f>IF($B22="","",IFERROR(MATCH($B22,'棚卸表'!$B$5:$B$504,0),"なし"))</f>
        <v/>
      </c>
    </row>
    <row r="23" ht="30" customHeight="1">
      <c r="A23" s="30" t="n"/>
      <c r="B23" s="23" t="n"/>
      <c r="C23" s="33">
        <f>IF($N23="","",IF($N23="なし","※棚卸表にないコード",INDEX('棚卸表'!$C$5:$C$504,$N23)&amp;""))</f>
        <v/>
      </c>
      <c r="D23" s="29">
        <f>IF(OR($N23="",$N23="なし"),"",INDEX('棚卸表'!$E$5:$E$504,$N23)&amp;"")</f>
        <v/>
      </c>
      <c r="E23" s="27">
        <f>IF(OR($N23="",$N23="なし"),"",IF(INDEX('棚卸表'!$L$5:$L$504,$N23)="","",INDEX('棚卸表'!$L$5:$L$504,$N23)))</f>
        <v/>
      </c>
      <c r="F23" s="8" t="n"/>
      <c r="G23" s="25" t="n"/>
      <c r="H23" s="72">
        <f>IF(OR(OR($N23="",$N23="なし"),$G23=""),"",$G23*N(INDEX('棚卸表'!$G$5:$G$504,$N23)))</f>
        <v/>
      </c>
      <c r="I23" s="34" t="n"/>
      <c r="J23" s="34" t="n"/>
      <c r="K23" s="23" t="n"/>
      <c r="L23" s="23" t="n"/>
      <c r="M23" s="61" t="n"/>
      <c r="N23" s="35">
        <f>IF($B23="","",IFERROR(MATCH($B23,'棚卸表'!$B$5:$B$504,0),"なし"))</f>
        <v/>
      </c>
    </row>
    <row r="24" ht="30" customHeight="1">
      <c r="A24" s="30" t="n"/>
      <c r="B24" s="23" t="n"/>
      <c r="C24" s="33">
        <f>IF($N24="","",IF($N24="なし","※棚卸表にないコード",INDEX('棚卸表'!$C$5:$C$504,$N24)&amp;""))</f>
        <v/>
      </c>
      <c r="D24" s="29">
        <f>IF(OR($N24="",$N24="なし"),"",INDEX('棚卸表'!$E$5:$E$504,$N24)&amp;"")</f>
        <v/>
      </c>
      <c r="E24" s="27">
        <f>IF(OR($N24="",$N24="なし"),"",IF(INDEX('棚卸表'!$L$5:$L$504,$N24)="","",INDEX('棚卸表'!$L$5:$L$504,$N24)))</f>
        <v/>
      </c>
      <c r="F24" s="8" t="n"/>
      <c r="G24" s="25" t="n"/>
      <c r="H24" s="72">
        <f>IF(OR(OR($N24="",$N24="なし"),$G24=""),"",$G24*N(INDEX('棚卸表'!$G$5:$G$504,$N24)))</f>
        <v/>
      </c>
      <c r="I24" s="34" t="n"/>
      <c r="J24" s="34" t="n"/>
      <c r="K24" s="23" t="n"/>
      <c r="L24" s="23" t="n"/>
      <c r="M24" s="61" t="n"/>
      <c r="N24" s="35">
        <f>IF($B24="","",IFERROR(MATCH($B24,'棚卸表'!$B$5:$B$504,0),"なし"))</f>
        <v/>
      </c>
    </row>
    <row r="25" ht="30" customHeight="1">
      <c r="A25" s="30" t="n"/>
      <c r="B25" s="23" t="n"/>
      <c r="C25" s="33">
        <f>IF($N25="","",IF($N25="なし","※棚卸表にないコード",INDEX('棚卸表'!$C$5:$C$504,$N25)&amp;""))</f>
        <v/>
      </c>
      <c r="D25" s="29">
        <f>IF(OR($N25="",$N25="なし"),"",INDEX('棚卸表'!$E$5:$E$504,$N25)&amp;"")</f>
        <v/>
      </c>
      <c r="E25" s="27">
        <f>IF(OR($N25="",$N25="なし"),"",IF(INDEX('棚卸表'!$L$5:$L$504,$N25)="","",INDEX('棚卸表'!$L$5:$L$504,$N25)))</f>
        <v/>
      </c>
      <c r="F25" s="8" t="n"/>
      <c r="G25" s="25" t="n"/>
      <c r="H25" s="72">
        <f>IF(OR(OR($N25="",$N25="なし"),$G25=""),"",$G25*N(INDEX('棚卸表'!$G$5:$G$504,$N25)))</f>
        <v/>
      </c>
      <c r="I25" s="34" t="n"/>
      <c r="J25" s="34" t="n"/>
      <c r="K25" s="23" t="n"/>
      <c r="L25" s="23" t="n"/>
      <c r="M25" s="61" t="n"/>
      <c r="N25" s="35">
        <f>IF($B25="","",IFERROR(MATCH($B25,'棚卸表'!$B$5:$B$504,0),"なし"))</f>
        <v/>
      </c>
    </row>
    <row r="26" ht="30" customHeight="1">
      <c r="A26" s="30" t="n"/>
      <c r="B26" s="23" t="n"/>
      <c r="C26" s="33">
        <f>IF($N26="","",IF($N26="なし","※棚卸表にないコード",INDEX('棚卸表'!$C$5:$C$504,$N26)&amp;""))</f>
        <v/>
      </c>
      <c r="D26" s="29">
        <f>IF(OR($N26="",$N26="なし"),"",INDEX('棚卸表'!$E$5:$E$504,$N26)&amp;"")</f>
        <v/>
      </c>
      <c r="E26" s="27">
        <f>IF(OR($N26="",$N26="なし"),"",IF(INDEX('棚卸表'!$L$5:$L$504,$N26)="","",INDEX('棚卸表'!$L$5:$L$504,$N26)))</f>
        <v/>
      </c>
      <c r="F26" s="8" t="n"/>
      <c r="G26" s="25" t="n"/>
      <c r="H26" s="72">
        <f>IF(OR(OR($N26="",$N26="なし"),$G26=""),"",$G26*N(INDEX('棚卸表'!$G$5:$G$504,$N26)))</f>
        <v/>
      </c>
      <c r="I26" s="34" t="n"/>
      <c r="J26" s="34" t="n"/>
      <c r="K26" s="23" t="n"/>
      <c r="L26" s="23" t="n"/>
      <c r="M26" s="61" t="n"/>
      <c r="N26" s="35">
        <f>IF($B26="","",IFERROR(MATCH($B26,'棚卸表'!$B$5:$B$504,0),"なし"))</f>
        <v/>
      </c>
    </row>
    <row r="27" ht="30" customHeight="1">
      <c r="A27" s="30" t="n"/>
      <c r="B27" s="23" t="n"/>
      <c r="C27" s="33">
        <f>IF($N27="","",IF($N27="なし","※棚卸表にないコード",INDEX('棚卸表'!$C$5:$C$504,$N27)&amp;""))</f>
        <v/>
      </c>
      <c r="D27" s="29">
        <f>IF(OR($N27="",$N27="なし"),"",INDEX('棚卸表'!$E$5:$E$504,$N27)&amp;"")</f>
        <v/>
      </c>
      <c r="E27" s="27">
        <f>IF(OR($N27="",$N27="なし"),"",IF(INDEX('棚卸表'!$L$5:$L$504,$N27)="","",INDEX('棚卸表'!$L$5:$L$504,$N27)))</f>
        <v/>
      </c>
      <c r="F27" s="8" t="n"/>
      <c r="G27" s="25" t="n"/>
      <c r="H27" s="72">
        <f>IF(OR(OR($N27="",$N27="なし"),$G27=""),"",$G27*N(INDEX('棚卸表'!$G$5:$G$504,$N27)))</f>
        <v/>
      </c>
      <c r="I27" s="34" t="n"/>
      <c r="J27" s="34" t="n"/>
      <c r="K27" s="23" t="n"/>
      <c r="L27" s="23" t="n"/>
      <c r="M27" s="61" t="n"/>
      <c r="N27" s="35">
        <f>IF($B27="","",IFERROR(MATCH($B27,'棚卸表'!$B$5:$B$504,0),"なし"))</f>
        <v/>
      </c>
    </row>
    <row r="28" ht="30" customHeight="1">
      <c r="A28" s="30" t="n"/>
      <c r="B28" s="23" t="n"/>
      <c r="C28" s="33">
        <f>IF($N28="","",IF($N28="なし","※棚卸表にないコード",INDEX('棚卸表'!$C$5:$C$504,$N28)&amp;""))</f>
        <v/>
      </c>
      <c r="D28" s="29">
        <f>IF(OR($N28="",$N28="なし"),"",INDEX('棚卸表'!$E$5:$E$504,$N28)&amp;"")</f>
        <v/>
      </c>
      <c r="E28" s="27">
        <f>IF(OR($N28="",$N28="なし"),"",IF(INDEX('棚卸表'!$L$5:$L$504,$N28)="","",INDEX('棚卸表'!$L$5:$L$504,$N28)))</f>
        <v/>
      </c>
      <c r="F28" s="8" t="n"/>
      <c r="G28" s="25" t="n"/>
      <c r="H28" s="72">
        <f>IF(OR(OR($N28="",$N28="なし"),$G28=""),"",$G28*N(INDEX('棚卸表'!$G$5:$G$504,$N28)))</f>
        <v/>
      </c>
      <c r="I28" s="34" t="n"/>
      <c r="J28" s="34" t="n"/>
      <c r="K28" s="23" t="n"/>
      <c r="L28" s="23" t="n"/>
      <c r="M28" s="61" t="n"/>
      <c r="N28" s="35">
        <f>IF($B28="","",IFERROR(MATCH($B28,'棚卸表'!$B$5:$B$504,0),"なし"))</f>
        <v/>
      </c>
    </row>
    <row r="29" ht="30" customHeight="1">
      <c r="A29" s="30" t="n"/>
      <c r="B29" s="23" t="n"/>
      <c r="C29" s="33">
        <f>IF($N29="","",IF($N29="なし","※棚卸表にないコード",INDEX('棚卸表'!$C$5:$C$504,$N29)&amp;""))</f>
        <v/>
      </c>
      <c r="D29" s="29">
        <f>IF(OR($N29="",$N29="なし"),"",INDEX('棚卸表'!$E$5:$E$504,$N29)&amp;"")</f>
        <v/>
      </c>
      <c r="E29" s="27">
        <f>IF(OR($N29="",$N29="なし"),"",IF(INDEX('棚卸表'!$L$5:$L$504,$N29)="","",INDEX('棚卸表'!$L$5:$L$504,$N29)))</f>
        <v/>
      </c>
      <c r="F29" s="8" t="n"/>
      <c r="G29" s="25" t="n"/>
      <c r="H29" s="72">
        <f>IF(OR(OR($N29="",$N29="なし"),$G29=""),"",$G29*N(INDEX('棚卸表'!$G$5:$G$504,$N29)))</f>
        <v/>
      </c>
      <c r="I29" s="34" t="n"/>
      <c r="J29" s="34" t="n"/>
      <c r="K29" s="23" t="n"/>
      <c r="L29" s="23" t="n"/>
      <c r="M29" s="61" t="n"/>
      <c r="N29" s="35">
        <f>IF($B29="","",IFERROR(MATCH($B29,'棚卸表'!$B$5:$B$504,0),"なし"))</f>
        <v/>
      </c>
    </row>
    <row r="30" ht="30" customHeight="1">
      <c r="A30" s="30" t="n"/>
      <c r="B30" s="23" t="n"/>
      <c r="C30" s="33">
        <f>IF($N30="","",IF($N30="なし","※棚卸表にないコード",INDEX('棚卸表'!$C$5:$C$504,$N30)&amp;""))</f>
        <v/>
      </c>
      <c r="D30" s="29">
        <f>IF(OR($N30="",$N30="なし"),"",INDEX('棚卸表'!$E$5:$E$504,$N30)&amp;"")</f>
        <v/>
      </c>
      <c r="E30" s="27">
        <f>IF(OR($N30="",$N30="なし"),"",IF(INDEX('棚卸表'!$L$5:$L$504,$N30)="","",INDEX('棚卸表'!$L$5:$L$504,$N30)))</f>
        <v/>
      </c>
      <c r="F30" s="8" t="n"/>
      <c r="G30" s="25" t="n"/>
      <c r="H30" s="72">
        <f>IF(OR(OR($N30="",$N30="なし"),$G30=""),"",$G30*N(INDEX('棚卸表'!$G$5:$G$504,$N30)))</f>
        <v/>
      </c>
      <c r="I30" s="34" t="n"/>
      <c r="J30" s="34" t="n"/>
      <c r="K30" s="23" t="n"/>
      <c r="L30" s="23" t="n"/>
      <c r="M30" s="61" t="n"/>
      <c r="N30" s="35">
        <f>IF($B30="","",IFERROR(MATCH($B30,'棚卸表'!$B$5:$B$504,0),"なし"))</f>
        <v/>
      </c>
    </row>
    <row r="31" ht="30" customHeight="1">
      <c r="A31" s="30" t="n"/>
      <c r="B31" s="23" t="n"/>
      <c r="C31" s="33">
        <f>IF($N31="","",IF($N31="なし","※棚卸表にないコード",INDEX('棚卸表'!$C$5:$C$504,$N31)&amp;""))</f>
        <v/>
      </c>
      <c r="D31" s="29">
        <f>IF(OR($N31="",$N31="なし"),"",INDEX('棚卸表'!$E$5:$E$504,$N31)&amp;"")</f>
        <v/>
      </c>
      <c r="E31" s="27">
        <f>IF(OR($N31="",$N31="なし"),"",IF(INDEX('棚卸表'!$L$5:$L$504,$N31)="","",INDEX('棚卸表'!$L$5:$L$504,$N31)))</f>
        <v/>
      </c>
      <c r="F31" s="8" t="n"/>
      <c r="G31" s="25" t="n"/>
      <c r="H31" s="72">
        <f>IF(OR(OR($N31="",$N31="なし"),$G31=""),"",$G31*N(INDEX('棚卸表'!$G$5:$G$504,$N31)))</f>
        <v/>
      </c>
      <c r="I31" s="34" t="n"/>
      <c r="J31" s="34" t="n"/>
      <c r="K31" s="23" t="n"/>
      <c r="L31" s="23" t="n"/>
      <c r="M31" s="61" t="n"/>
      <c r="N31" s="35">
        <f>IF($B31="","",IFERROR(MATCH($B31,'棚卸表'!$B$5:$B$504,0),"なし"))</f>
        <v/>
      </c>
    </row>
    <row r="32" ht="30" customHeight="1">
      <c r="A32" s="30" t="n"/>
      <c r="B32" s="23" t="n"/>
      <c r="C32" s="33">
        <f>IF($N32="","",IF($N32="なし","※棚卸表にないコード",INDEX('棚卸表'!$C$5:$C$504,$N32)&amp;""))</f>
        <v/>
      </c>
      <c r="D32" s="29">
        <f>IF(OR($N32="",$N32="なし"),"",INDEX('棚卸表'!$E$5:$E$504,$N32)&amp;"")</f>
        <v/>
      </c>
      <c r="E32" s="27">
        <f>IF(OR($N32="",$N32="なし"),"",IF(INDEX('棚卸表'!$L$5:$L$504,$N32)="","",INDEX('棚卸表'!$L$5:$L$504,$N32)))</f>
        <v/>
      </c>
      <c r="F32" s="8" t="n"/>
      <c r="G32" s="25" t="n"/>
      <c r="H32" s="72">
        <f>IF(OR(OR($N32="",$N32="なし"),$G32=""),"",$G32*N(INDEX('棚卸表'!$G$5:$G$504,$N32)))</f>
        <v/>
      </c>
      <c r="I32" s="34" t="n"/>
      <c r="J32" s="34" t="n"/>
      <c r="K32" s="23" t="n"/>
      <c r="L32" s="23" t="n"/>
      <c r="M32" s="61" t="n"/>
      <c r="N32" s="35">
        <f>IF($B32="","",IFERROR(MATCH($B32,'棚卸表'!$B$5:$B$504,0),"なし"))</f>
        <v/>
      </c>
    </row>
    <row r="33" ht="30" customHeight="1">
      <c r="A33" s="30" t="n"/>
      <c r="B33" s="23" t="n"/>
      <c r="C33" s="33">
        <f>IF($N33="","",IF($N33="なし","※棚卸表にないコード",INDEX('棚卸表'!$C$5:$C$504,$N33)&amp;""))</f>
        <v/>
      </c>
      <c r="D33" s="29">
        <f>IF(OR($N33="",$N33="なし"),"",INDEX('棚卸表'!$E$5:$E$504,$N33)&amp;"")</f>
        <v/>
      </c>
      <c r="E33" s="27">
        <f>IF(OR($N33="",$N33="なし"),"",IF(INDEX('棚卸表'!$L$5:$L$504,$N33)="","",INDEX('棚卸表'!$L$5:$L$504,$N33)))</f>
        <v/>
      </c>
      <c r="F33" s="8" t="n"/>
      <c r="G33" s="25" t="n"/>
      <c r="H33" s="72">
        <f>IF(OR(OR($N33="",$N33="なし"),$G33=""),"",$G33*N(INDEX('棚卸表'!$G$5:$G$504,$N33)))</f>
        <v/>
      </c>
      <c r="I33" s="34" t="n"/>
      <c r="J33" s="34" t="n"/>
      <c r="K33" s="23" t="n"/>
      <c r="L33" s="23" t="n"/>
      <c r="M33" s="61" t="n"/>
      <c r="N33" s="35">
        <f>IF($B33="","",IFERROR(MATCH($B33,'棚卸表'!$B$5:$B$504,0),"なし"))</f>
        <v/>
      </c>
    </row>
    <row r="34" ht="30" customHeight="1">
      <c r="A34" s="30" t="n"/>
      <c r="B34" s="23" t="n"/>
      <c r="C34" s="33">
        <f>IF($N34="","",IF($N34="なし","※棚卸表にないコード",INDEX('棚卸表'!$C$5:$C$504,$N34)&amp;""))</f>
        <v/>
      </c>
      <c r="D34" s="29">
        <f>IF(OR($N34="",$N34="なし"),"",INDEX('棚卸表'!$E$5:$E$504,$N34)&amp;"")</f>
        <v/>
      </c>
      <c r="E34" s="27">
        <f>IF(OR($N34="",$N34="なし"),"",IF(INDEX('棚卸表'!$L$5:$L$504,$N34)="","",INDEX('棚卸表'!$L$5:$L$504,$N34)))</f>
        <v/>
      </c>
      <c r="F34" s="8" t="n"/>
      <c r="G34" s="25" t="n"/>
      <c r="H34" s="72">
        <f>IF(OR(OR($N34="",$N34="なし"),$G34=""),"",$G34*N(INDEX('棚卸表'!$G$5:$G$504,$N34)))</f>
        <v/>
      </c>
      <c r="I34" s="34" t="n"/>
      <c r="J34" s="34" t="n"/>
      <c r="K34" s="23" t="n"/>
      <c r="L34" s="23" t="n"/>
      <c r="M34" s="61" t="n"/>
      <c r="N34" s="35">
        <f>IF($B34="","",IFERROR(MATCH($B34,'棚卸表'!$B$5:$B$504,0),"なし"))</f>
        <v/>
      </c>
    </row>
    <row r="35" ht="30" customHeight="1">
      <c r="A35" s="30" t="n"/>
      <c r="B35" s="23" t="n"/>
      <c r="C35" s="33">
        <f>IF($N35="","",IF($N35="なし","※棚卸表にないコード",INDEX('棚卸表'!$C$5:$C$504,$N35)&amp;""))</f>
        <v/>
      </c>
      <c r="D35" s="29">
        <f>IF(OR($N35="",$N35="なし"),"",INDEX('棚卸表'!$E$5:$E$504,$N35)&amp;"")</f>
        <v/>
      </c>
      <c r="E35" s="27">
        <f>IF(OR($N35="",$N35="なし"),"",IF(INDEX('棚卸表'!$L$5:$L$504,$N35)="","",INDEX('棚卸表'!$L$5:$L$504,$N35)))</f>
        <v/>
      </c>
      <c r="F35" s="8" t="n"/>
      <c r="G35" s="25" t="n"/>
      <c r="H35" s="72">
        <f>IF(OR(OR($N35="",$N35="なし"),$G35=""),"",$G35*N(INDEX('棚卸表'!$G$5:$G$504,$N35)))</f>
        <v/>
      </c>
      <c r="I35" s="34" t="n"/>
      <c r="J35" s="34" t="n"/>
      <c r="K35" s="23" t="n"/>
      <c r="L35" s="23" t="n"/>
      <c r="M35" s="61" t="n"/>
      <c r="N35" s="35">
        <f>IF($B35="","",IFERROR(MATCH($B35,'棚卸表'!$B$5:$B$504,0),"なし"))</f>
        <v/>
      </c>
    </row>
    <row r="36" ht="30" customHeight="1">
      <c r="A36" s="30" t="n"/>
      <c r="B36" s="23" t="n"/>
      <c r="C36" s="33">
        <f>IF($N36="","",IF($N36="なし","※棚卸表にないコード",INDEX('棚卸表'!$C$5:$C$504,$N36)&amp;""))</f>
        <v/>
      </c>
      <c r="D36" s="29">
        <f>IF(OR($N36="",$N36="なし"),"",INDEX('棚卸表'!$E$5:$E$504,$N36)&amp;"")</f>
        <v/>
      </c>
      <c r="E36" s="27">
        <f>IF(OR($N36="",$N36="なし"),"",IF(INDEX('棚卸表'!$L$5:$L$504,$N36)="","",INDEX('棚卸表'!$L$5:$L$504,$N36)))</f>
        <v/>
      </c>
      <c r="F36" s="8" t="n"/>
      <c r="G36" s="25" t="n"/>
      <c r="H36" s="72">
        <f>IF(OR(OR($N36="",$N36="なし"),$G36=""),"",$G36*N(INDEX('棚卸表'!$G$5:$G$504,$N36)))</f>
        <v/>
      </c>
      <c r="I36" s="34" t="n"/>
      <c r="J36" s="34" t="n"/>
      <c r="K36" s="23" t="n"/>
      <c r="L36" s="23" t="n"/>
      <c r="M36" s="61" t="n"/>
      <c r="N36" s="35">
        <f>IF($B36="","",IFERROR(MATCH($B36,'棚卸表'!$B$5:$B$504,0),"なし"))</f>
        <v/>
      </c>
    </row>
    <row r="37" ht="30" customHeight="1">
      <c r="A37" s="30" t="n"/>
      <c r="B37" s="23" t="n"/>
      <c r="C37" s="33">
        <f>IF($N37="","",IF($N37="なし","※棚卸表にないコード",INDEX('棚卸表'!$C$5:$C$504,$N37)&amp;""))</f>
        <v/>
      </c>
      <c r="D37" s="29">
        <f>IF(OR($N37="",$N37="なし"),"",INDEX('棚卸表'!$E$5:$E$504,$N37)&amp;"")</f>
        <v/>
      </c>
      <c r="E37" s="27">
        <f>IF(OR($N37="",$N37="なし"),"",IF(INDEX('棚卸表'!$L$5:$L$504,$N37)="","",INDEX('棚卸表'!$L$5:$L$504,$N37)))</f>
        <v/>
      </c>
      <c r="F37" s="8" t="n"/>
      <c r="G37" s="25" t="n"/>
      <c r="H37" s="72">
        <f>IF(OR(OR($N37="",$N37="なし"),$G37=""),"",$G37*N(INDEX('棚卸表'!$G$5:$G$504,$N37)))</f>
        <v/>
      </c>
      <c r="I37" s="34" t="n"/>
      <c r="J37" s="34" t="n"/>
      <c r="K37" s="23" t="n"/>
      <c r="L37" s="23" t="n"/>
      <c r="M37" s="61" t="n"/>
      <c r="N37" s="35">
        <f>IF($B37="","",IFERROR(MATCH($B37,'棚卸表'!$B$5:$B$504,0),"なし"))</f>
        <v/>
      </c>
    </row>
    <row r="38" ht="30" customHeight="1">
      <c r="A38" s="30" t="n"/>
      <c r="B38" s="23" t="n"/>
      <c r="C38" s="33">
        <f>IF($N38="","",IF($N38="なし","※棚卸表にないコード",INDEX('棚卸表'!$C$5:$C$504,$N38)&amp;""))</f>
        <v/>
      </c>
      <c r="D38" s="29">
        <f>IF(OR($N38="",$N38="なし"),"",INDEX('棚卸表'!$E$5:$E$504,$N38)&amp;"")</f>
        <v/>
      </c>
      <c r="E38" s="27">
        <f>IF(OR($N38="",$N38="なし"),"",IF(INDEX('棚卸表'!$L$5:$L$504,$N38)="","",INDEX('棚卸表'!$L$5:$L$504,$N38)))</f>
        <v/>
      </c>
      <c r="F38" s="8" t="n"/>
      <c r="G38" s="25" t="n"/>
      <c r="H38" s="72">
        <f>IF(OR(OR($N38="",$N38="なし"),$G38=""),"",$G38*N(INDEX('棚卸表'!$G$5:$G$504,$N38)))</f>
        <v/>
      </c>
      <c r="I38" s="34" t="n"/>
      <c r="J38" s="34" t="n"/>
      <c r="K38" s="23" t="n"/>
      <c r="L38" s="23" t="n"/>
      <c r="M38" s="61" t="n"/>
      <c r="N38" s="35">
        <f>IF($B38="","",IFERROR(MATCH($B38,'棚卸表'!$B$5:$B$504,0),"なし"))</f>
        <v/>
      </c>
    </row>
    <row r="39" ht="30" customHeight="1">
      <c r="A39" s="30" t="n"/>
      <c r="B39" s="23" t="n"/>
      <c r="C39" s="33">
        <f>IF($N39="","",IF($N39="なし","※棚卸表にないコード",INDEX('棚卸表'!$C$5:$C$504,$N39)&amp;""))</f>
        <v/>
      </c>
      <c r="D39" s="29">
        <f>IF(OR($N39="",$N39="なし"),"",INDEX('棚卸表'!$E$5:$E$504,$N39)&amp;"")</f>
        <v/>
      </c>
      <c r="E39" s="27">
        <f>IF(OR($N39="",$N39="なし"),"",IF(INDEX('棚卸表'!$L$5:$L$504,$N39)="","",INDEX('棚卸表'!$L$5:$L$504,$N39)))</f>
        <v/>
      </c>
      <c r="F39" s="8" t="n"/>
      <c r="G39" s="25" t="n"/>
      <c r="H39" s="72">
        <f>IF(OR(OR($N39="",$N39="なし"),$G39=""),"",$G39*N(INDEX('棚卸表'!$G$5:$G$504,$N39)))</f>
        <v/>
      </c>
      <c r="I39" s="34" t="n"/>
      <c r="J39" s="34" t="n"/>
      <c r="K39" s="23" t="n"/>
      <c r="L39" s="23" t="n"/>
      <c r="M39" s="61" t="n"/>
      <c r="N39" s="35">
        <f>IF($B39="","",IFERROR(MATCH($B39,'棚卸表'!$B$5:$B$504,0),"なし"))</f>
        <v/>
      </c>
    </row>
    <row r="40" ht="30" customHeight="1">
      <c r="A40" s="30" t="n"/>
      <c r="B40" s="23" t="n"/>
      <c r="C40" s="33">
        <f>IF($N40="","",IF($N40="なし","※棚卸表にないコード",INDEX('棚卸表'!$C$5:$C$504,$N40)&amp;""))</f>
        <v/>
      </c>
      <c r="D40" s="29">
        <f>IF(OR($N40="",$N40="なし"),"",INDEX('棚卸表'!$E$5:$E$504,$N40)&amp;"")</f>
        <v/>
      </c>
      <c r="E40" s="27">
        <f>IF(OR($N40="",$N40="なし"),"",IF(INDEX('棚卸表'!$L$5:$L$504,$N40)="","",INDEX('棚卸表'!$L$5:$L$504,$N40)))</f>
        <v/>
      </c>
      <c r="F40" s="8" t="n"/>
      <c r="G40" s="25" t="n"/>
      <c r="H40" s="72">
        <f>IF(OR(OR($N40="",$N40="なし"),$G40=""),"",$G40*N(INDEX('棚卸表'!$G$5:$G$504,$N40)))</f>
        <v/>
      </c>
      <c r="I40" s="34" t="n"/>
      <c r="J40" s="34" t="n"/>
      <c r="K40" s="23" t="n"/>
      <c r="L40" s="23" t="n"/>
      <c r="M40" s="61" t="n"/>
      <c r="N40" s="35">
        <f>IF($B40="","",IFERROR(MATCH($B40,'棚卸表'!$B$5:$B$504,0),"なし"))</f>
        <v/>
      </c>
    </row>
    <row r="41" ht="30" customHeight="1">
      <c r="A41" s="30" t="n"/>
      <c r="B41" s="23" t="n"/>
      <c r="C41" s="33">
        <f>IF($N41="","",IF($N41="なし","※棚卸表にないコード",INDEX('棚卸表'!$C$5:$C$504,$N41)&amp;""))</f>
        <v/>
      </c>
      <c r="D41" s="29">
        <f>IF(OR($N41="",$N41="なし"),"",INDEX('棚卸表'!$E$5:$E$504,$N41)&amp;"")</f>
        <v/>
      </c>
      <c r="E41" s="27">
        <f>IF(OR($N41="",$N41="なし"),"",IF(INDEX('棚卸表'!$L$5:$L$504,$N41)="","",INDEX('棚卸表'!$L$5:$L$504,$N41)))</f>
        <v/>
      </c>
      <c r="F41" s="8" t="n"/>
      <c r="G41" s="25" t="n"/>
      <c r="H41" s="72">
        <f>IF(OR(OR($N41="",$N41="なし"),$G41=""),"",$G41*N(INDEX('棚卸表'!$G$5:$G$504,$N41)))</f>
        <v/>
      </c>
      <c r="I41" s="34" t="n"/>
      <c r="J41" s="34" t="n"/>
      <c r="K41" s="23" t="n"/>
      <c r="L41" s="23" t="n"/>
      <c r="M41" s="61" t="n"/>
      <c r="N41" s="35">
        <f>IF($B41="","",IFERROR(MATCH($B41,'棚卸表'!$B$5:$B$504,0),"なし"))</f>
        <v/>
      </c>
    </row>
    <row r="42" ht="30" customHeight="1">
      <c r="A42" s="30" t="n"/>
      <c r="B42" s="23" t="n"/>
      <c r="C42" s="33">
        <f>IF($N42="","",IF($N42="なし","※棚卸表にないコード",INDEX('棚卸表'!$C$5:$C$504,$N42)&amp;""))</f>
        <v/>
      </c>
      <c r="D42" s="29">
        <f>IF(OR($N42="",$N42="なし"),"",INDEX('棚卸表'!$E$5:$E$504,$N42)&amp;"")</f>
        <v/>
      </c>
      <c r="E42" s="27">
        <f>IF(OR($N42="",$N42="なし"),"",IF(INDEX('棚卸表'!$L$5:$L$504,$N42)="","",INDEX('棚卸表'!$L$5:$L$504,$N42)))</f>
        <v/>
      </c>
      <c r="F42" s="8" t="n"/>
      <c r="G42" s="25" t="n"/>
      <c r="H42" s="72">
        <f>IF(OR(OR($N42="",$N42="なし"),$G42=""),"",$G42*N(INDEX('棚卸表'!$G$5:$G$504,$N42)))</f>
        <v/>
      </c>
      <c r="I42" s="34" t="n"/>
      <c r="J42" s="34" t="n"/>
      <c r="K42" s="23" t="n"/>
      <c r="L42" s="23" t="n"/>
      <c r="M42" s="61" t="n"/>
      <c r="N42" s="35">
        <f>IF($B42="","",IFERROR(MATCH($B42,'棚卸表'!$B$5:$B$504,0),"なし"))</f>
        <v/>
      </c>
    </row>
    <row r="43" ht="30" customHeight="1">
      <c r="A43" s="30" t="n"/>
      <c r="B43" s="23" t="n"/>
      <c r="C43" s="33">
        <f>IF($N43="","",IF($N43="なし","※棚卸表にないコード",INDEX('棚卸表'!$C$5:$C$504,$N43)&amp;""))</f>
        <v/>
      </c>
      <c r="D43" s="29">
        <f>IF(OR($N43="",$N43="なし"),"",INDEX('棚卸表'!$E$5:$E$504,$N43)&amp;"")</f>
        <v/>
      </c>
      <c r="E43" s="27">
        <f>IF(OR($N43="",$N43="なし"),"",IF(INDEX('棚卸表'!$L$5:$L$504,$N43)="","",INDEX('棚卸表'!$L$5:$L$504,$N43)))</f>
        <v/>
      </c>
      <c r="F43" s="8" t="n"/>
      <c r="G43" s="25" t="n"/>
      <c r="H43" s="72">
        <f>IF(OR(OR($N43="",$N43="なし"),$G43=""),"",$G43*N(INDEX('棚卸表'!$G$5:$G$504,$N43)))</f>
        <v/>
      </c>
      <c r="I43" s="34" t="n"/>
      <c r="J43" s="34" t="n"/>
      <c r="K43" s="23" t="n"/>
      <c r="L43" s="23" t="n"/>
      <c r="M43" s="61" t="n"/>
      <c r="N43" s="35">
        <f>IF($B43="","",IFERROR(MATCH($B43,'棚卸表'!$B$5:$B$504,0),"なし"))</f>
        <v/>
      </c>
    </row>
    <row r="44" ht="30" customHeight="1">
      <c r="A44" s="30" t="n"/>
      <c r="B44" s="23" t="n"/>
      <c r="C44" s="33">
        <f>IF($N44="","",IF($N44="なし","※棚卸表にないコード",INDEX('棚卸表'!$C$5:$C$504,$N44)&amp;""))</f>
        <v/>
      </c>
      <c r="D44" s="29">
        <f>IF(OR($N44="",$N44="なし"),"",INDEX('棚卸表'!$E$5:$E$504,$N44)&amp;"")</f>
        <v/>
      </c>
      <c r="E44" s="27">
        <f>IF(OR($N44="",$N44="なし"),"",IF(INDEX('棚卸表'!$L$5:$L$504,$N44)="","",INDEX('棚卸表'!$L$5:$L$504,$N44)))</f>
        <v/>
      </c>
      <c r="F44" s="8" t="n"/>
      <c r="G44" s="25" t="n"/>
      <c r="H44" s="72">
        <f>IF(OR(OR($N44="",$N44="なし"),$G44=""),"",$G44*N(INDEX('棚卸表'!$G$5:$G$504,$N44)))</f>
        <v/>
      </c>
      <c r="I44" s="34" t="n"/>
      <c r="J44" s="34" t="n"/>
      <c r="K44" s="23" t="n"/>
      <c r="L44" s="23" t="n"/>
      <c r="M44" s="61" t="n"/>
      <c r="N44" s="35">
        <f>IF($B44="","",IFERROR(MATCH($B44,'棚卸表'!$B$5:$B$504,0),"なし"))</f>
        <v/>
      </c>
    </row>
    <row r="45" ht="30" customHeight="1">
      <c r="A45" s="30" t="n"/>
      <c r="B45" s="23" t="n"/>
      <c r="C45" s="33">
        <f>IF($N45="","",IF($N45="なし","※棚卸表にないコード",INDEX('棚卸表'!$C$5:$C$504,$N45)&amp;""))</f>
        <v/>
      </c>
      <c r="D45" s="29">
        <f>IF(OR($N45="",$N45="なし"),"",INDEX('棚卸表'!$E$5:$E$504,$N45)&amp;"")</f>
        <v/>
      </c>
      <c r="E45" s="27">
        <f>IF(OR($N45="",$N45="なし"),"",IF(INDEX('棚卸表'!$L$5:$L$504,$N45)="","",INDEX('棚卸表'!$L$5:$L$504,$N45)))</f>
        <v/>
      </c>
      <c r="F45" s="8" t="n"/>
      <c r="G45" s="25" t="n"/>
      <c r="H45" s="72">
        <f>IF(OR(OR($N45="",$N45="なし"),$G45=""),"",$G45*N(INDEX('棚卸表'!$G$5:$G$504,$N45)))</f>
        <v/>
      </c>
      <c r="I45" s="34" t="n"/>
      <c r="J45" s="34" t="n"/>
      <c r="K45" s="23" t="n"/>
      <c r="L45" s="23" t="n"/>
      <c r="M45" s="61" t="n"/>
      <c r="N45" s="35">
        <f>IF($B45="","",IFERROR(MATCH($B45,'棚卸表'!$B$5:$B$504,0),"なし"))</f>
        <v/>
      </c>
    </row>
    <row r="46" ht="30" customHeight="1">
      <c r="A46" s="30" t="n"/>
      <c r="B46" s="23" t="n"/>
      <c r="C46" s="33">
        <f>IF($N46="","",IF($N46="なし","※棚卸表にないコード",INDEX('棚卸表'!$C$5:$C$504,$N46)&amp;""))</f>
        <v/>
      </c>
      <c r="D46" s="29">
        <f>IF(OR($N46="",$N46="なし"),"",INDEX('棚卸表'!$E$5:$E$504,$N46)&amp;"")</f>
        <v/>
      </c>
      <c r="E46" s="27">
        <f>IF(OR($N46="",$N46="なし"),"",IF(INDEX('棚卸表'!$L$5:$L$504,$N46)="","",INDEX('棚卸表'!$L$5:$L$504,$N46)))</f>
        <v/>
      </c>
      <c r="F46" s="8" t="n"/>
      <c r="G46" s="25" t="n"/>
      <c r="H46" s="72">
        <f>IF(OR(OR($N46="",$N46="なし"),$G46=""),"",$G46*N(INDEX('棚卸表'!$G$5:$G$504,$N46)))</f>
        <v/>
      </c>
      <c r="I46" s="34" t="n"/>
      <c r="J46" s="34" t="n"/>
      <c r="K46" s="23" t="n"/>
      <c r="L46" s="23" t="n"/>
      <c r="M46" s="61" t="n"/>
      <c r="N46" s="35">
        <f>IF($B46="","",IFERROR(MATCH($B46,'棚卸表'!$B$5:$B$504,0),"なし"))</f>
        <v/>
      </c>
    </row>
    <row r="47" ht="30" customHeight="1">
      <c r="A47" s="30" t="n"/>
      <c r="B47" s="23" t="n"/>
      <c r="C47" s="33">
        <f>IF($N47="","",IF($N47="なし","※棚卸表にないコード",INDEX('棚卸表'!$C$5:$C$504,$N47)&amp;""))</f>
        <v/>
      </c>
      <c r="D47" s="29">
        <f>IF(OR($N47="",$N47="なし"),"",INDEX('棚卸表'!$E$5:$E$504,$N47)&amp;"")</f>
        <v/>
      </c>
      <c r="E47" s="27">
        <f>IF(OR($N47="",$N47="なし"),"",IF(INDEX('棚卸表'!$L$5:$L$504,$N47)="","",INDEX('棚卸表'!$L$5:$L$504,$N47)))</f>
        <v/>
      </c>
      <c r="F47" s="8" t="n"/>
      <c r="G47" s="25" t="n"/>
      <c r="H47" s="72">
        <f>IF(OR(OR($N47="",$N47="なし"),$G47=""),"",$G47*N(INDEX('棚卸表'!$G$5:$G$504,$N47)))</f>
        <v/>
      </c>
      <c r="I47" s="34" t="n"/>
      <c r="J47" s="34" t="n"/>
      <c r="K47" s="23" t="n"/>
      <c r="L47" s="23" t="n"/>
      <c r="M47" s="61" t="n"/>
      <c r="N47" s="35">
        <f>IF($B47="","",IFERROR(MATCH($B47,'棚卸表'!$B$5:$B$504,0),"なし"))</f>
        <v/>
      </c>
    </row>
    <row r="48" ht="30" customHeight="1">
      <c r="A48" s="30" t="n"/>
      <c r="B48" s="23" t="n"/>
      <c r="C48" s="33">
        <f>IF($N48="","",IF($N48="なし","※棚卸表にないコード",INDEX('棚卸表'!$C$5:$C$504,$N48)&amp;""))</f>
        <v/>
      </c>
      <c r="D48" s="29">
        <f>IF(OR($N48="",$N48="なし"),"",INDEX('棚卸表'!$E$5:$E$504,$N48)&amp;"")</f>
        <v/>
      </c>
      <c r="E48" s="27">
        <f>IF(OR($N48="",$N48="なし"),"",IF(INDEX('棚卸表'!$L$5:$L$504,$N48)="","",INDEX('棚卸表'!$L$5:$L$504,$N48)))</f>
        <v/>
      </c>
      <c r="F48" s="8" t="n"/>
      <c r="G48" s="25" t="n"/>
      <c r="H48" s="72">
        <f>IF(OR(OR($N48="",$N48="なし"),$G48=""),"",$G48*N(INDEX('棚卸表'!$G$5:$G$504,$N48)))</f>
        <v/>
      </c>
      <c r="I48" s="34" t="n"/>
      <c r="J48" s="34" t="n"/>
      <c r="K48" s="23" t="n"/>
      <c r="L48" s="23" t="n"/>
      <c r="M48" s="61" t="n"/>
      <c r="N48" s="35">
        <f>IF($B48="","",IFERROR(MATCH($B48,'棚卸表'!$B$5:$B$504,0),"なし"))</f>
        <v/>
      </c>
    </row>
    <row r="49" ht="30" customHeight="1">
      <c r="A49" s="30" t="n"/>
      <c r="B49" s="23" t="n"/>
      <c r="C49" s="33">
        <f>IF($N49="","",IF($N49="なし","※棚卸表にないコード",INDEX('棚卸表'!$C$5:$C$504,$N49)&amp;""))</f>
        <v/>
      </c>
      <c r="D49" s="29">
        <f>IF(OR($N49="",$N49="なし"),"",INDEX('棚卸表'!$E$5:$E$504,$N49)&amp;"")</f>
        <v/>
      </c>
      <c r="E49" s="27">
        <f>IF(OR($N49="",$N49="なし"),"",IF(INDEX('棚卸表'!$L$5:$L$504,$N49)="","",INDEX('棚卸表'!$L$5:$L$504,$N49)))</f>
        <v/>
      </c>
      <c r="F49" s="8" t="n"/>
      <c r="G49" s="25" t="n"/>
      <c r="H49" s="72">
        <f>IF(OR(OR($N49="",$N49="なし"),$G49=""),"",$G49*N(INDEX('棚卸表'!$G$5:$G$504,$N49)))</f>
        <v/>
      </c>
      <c r="I49" s="34" t="n"/>
      <c r="J49" s="34" t="n"/>
      <c r="K49" s="23" t="n"/>
      <c r="L49" s="23" t="n"/>
      <c r="M49" s="61" t="n"/>
      <c r="N49" s="35">
        <f>IF($B49="","",IFERROR(MATCH($B49,'棚卸表'!$B$5:$B$504,0),"なし"))</f>
        <v/>
      </c>
    </row>
    <row r="50" ht="30" customHeight="1">
      <c r="A50" s="30" t="n"/>
      <c r="B50" s="23" t="n"/>
      <c r="C50" s="33">
        <f>IF($N50="","",IF($N50="なし","※棚卸表にないコード",INDEX('棚卸表'!$C$5:$C$504,$N50)&amp;""))</f>
        <v/>
      </c>
      <c r="D50" s="29">
        <f>IF(OR($N50="",$N50="なし"),"",INDEX('棚卸表'!$E$5:$E$504,$N50)&amp;"")</f>
        <v/>
      </c>
      <c r="E50" s="27">
        <f>IF(OR($N50="",$N50="なし"),"",IF(INDEX('棚卸表'!$L$5:$L$504,$N50)="","",INDEX('棚卸表'!$L$5:$L$504,$N50)))</f>
        <v/>
      </c>
      <c r="F50" s="8" t="n"/>
      <c r="G50" s="25" t="n"/>
      <c r="H50" s="72">
        <f>IF(OR(OR($N50="",$N50="なし"),$G50=""),"",$G50*N(INDEX('棚卸表'!$G$5:$G$504,$N50)))</f>
        <v/>
      </c>
      <c r="I50" s="34" t="n"/>
      <c r="J50" s="34" t="n"/>
      <c r="K50" s="23" t="n"/>
      <c r="L50" s="23" t="n"/>
      <c r="M50" s="61" t="n"/>
      <c r="N50" s="35">
        <f>IF($B50="","",IFERROR(MATCH($B50,'棚卸表'!$B$5:$B$504,0),"なし"))</f>
        <v/>
      </c>
    </row>
    <row r="51" ht="30" customHeight="1">
      <c r="A51" s="30" t="n"/>
      <c r="B51" s="23" t="n"/>
      <c r="C51" s="33">
        <f>IF($N51="","",IF($N51="なし","※棚卸表にないコード",INDEX('棚卸表'!$C$5:$C$504,$N51)&amp;""))</f>
        <v/>
      </c>
      <c r="D51" s="29">
        <f>IF(OR($N51="",$N51="なし"),"",INDEX('棚卸表'!$E$5:$E$504,$N51)&amp;"")</f>
        <v/>
      </c>
      <c r="E51" s="27">
        <f>IF(OR($N51="",$N51="なし"),"",IF(INDEX('棚卸表'!$L$5:$L$504,$N51)="","",INDEX('棚卸表'!$L$5:$L$504,$N51)))</f>
        <v/>
      </c>
      <c r="F51" s="8" t="n"/>
      <c r="G51" s="25" t="n"/>
      <c r="H51" s="72">
        <f>IF(OR(OR($N51="",$N51="なし"),$G51=""),"",$G51*N(INDEX('棚卸表'!$G$5:$G$504,$N51)))</f>
        <v/>
      </c>
      <c r="I51" s="34" t="n"/>
      <c r="J51" s="34" t="n"/>
      <c r="K51" s="23" t="n"/>
      <c r="L51" s="23" t="n"/>
      <c r="M51" s="61" t="n"/>
      <c r="N51" s="35">
        <f>IF($B51="","",IFERROR(MATCH($B51,'棚卸表'!$B$5:$B$504,0),"なし"))</f>
        <v/>
      </c>
    </row>
    <row r="52" ht="30" customHeight="1">
      <c r="A52" s="30" t="n"/>
      <c r="B52" s="23" t="n"/>
      <c r="C52" s="33">
        <f>IF($N52="","",IF($N52="なし","※棚卸表にないコード",INDEX('棚卸表'!$C$5:$C$504,$N52)&amp;""))</f>
        <v/>
      </c>
      <c r="D52" s="29">
        <f>IF(OR($N52="",$N52="なし"),"",INDEX('棚卸表'!$E$5:$E$504,$N52)&amp;"")</f>
        <v/>
      </c>
      <c r="E52" s="27">
        <f>IF(OR($N52="",$N52="なし"),"",IF(INDEX('棚卸表'!$L$5:$L$504,$N52)="","",INDEX('棚卸表'!$L$5:$L$504,$N52)))</f>
        <v/>
      </c>
      <c r="F52" s="8" t="n"/>
      <c r="G52" s="25" t="n"/>
      <c r="H52" s="72">
        <f>IF(OR(OR($N52="",$N52="なし"),$G52=""),"",$G52*N(INDEX('棚卸表'!$G$5:$G$504,$N52)))</f>
        <v/>
      </c>
      <c r="I52" s="34" t="n"/>
      <c r="J52" s="34" t="n"/>
      <c r="K52" s="23" t="n"/>
      <c r="L52" s="23" t="n"/>
      <c r="M52" s="61" t="n"/>
      <c r="N52" s="35">
        <f>IF($B52="","",IFERROR(MATCH($B52,'棚卸表'!$B$5:$B$504,0),"なし"))</f>
        <v/>
      </c>
    </row>
    <row r="53" ht="30" customHeight="1">
      <c r="A53" s="30" t="n"/>
      <c r="B53" s="23" t="n"/>
      <c r="C53" s="33">
        <f>IF($N53="","",IF($N53="なし","※棚卸表にないコード",INDEX('棚卸表'!$C$5:$C$504,$N53)&amp;""))</f>
        <v/>
      </c>
      <c r="D53" s="29">
        <f>IF(OR($N53="",$N53="なし"),"",INDEX('棚卸表'!$E$5:$E$504,$N53)&amp;"")</f>
        <v/>
      </c>
      <c r="E53" s="27">
        <f>IF(OR($N53="",$N53="なし"),"",IF(INDEX('棚卸表'!$L$5:$L$504,$N53)="","",INDEX('棚卸表'!$L$5:$L$504,$N53)))</f>
        <v/>
      </c>
      <c r="F53" s="8" t="n"/>
      <c r="G53" s="25" t="n"/>
      <c r="H53" s="72">
        <f>IF(OR(OR($N53="",$N53="なし"),$G53=""),"",$G53*N(INDEX('棚卸表'!$G$5:$G$504,$N53)))</f>
        <v/>
      </c>
      <c r="I53" s="34" t="n"/>
      <c r="J53" s="34" t="n"/>
      <c r="K53" s="23" t="n"/>
      <c r="L53" s="23" t="n"/>
      <c r="M53" s="61" t="n"/>
      <c r="N53" s="35">
        <f>IF($B53="","",IFERROR(MATCH($B53,'棚卸表'!$B$5:$B$504,0),"なし"))</f>
        <v/>
      </c>
    </row>
    <row r="54" ht="30" customHeight="1">
      <c r="A54" s="30" t="n"/>
      <c r="B54" s="23" t="n"/>
      <c r="C54" s="33">
        <f>IF($N54="","",IF($N54="なし","※棚卸表にないコード",INDEX('棚卸表'!$C$5:$C$504,$N54)&amp;""))</f>
        <v/>
      </c>
      <c r="D54" s="29">
        <f>IF(OR($N54="",$N54="なし"),"",INDEX('棚卸表'!$E$5:$E$504,$N54)&amp;"")</f>
        <v/>
      </c>
      <c r="E54" s="27">
        <f>IF(OR($N54="",$N54="なし"),"",IF(INDEX('棚卸表'!$L$5:$L$504,$N54)="","",INDEX('棚卸表'!$L$5:$L$504,$N54)))</f>
        <v/>
      </c>
      <c r="F54" s="8" t="n"/>
      <c r="G54" s="25" t="n"/>
      <c r="H54" s="72">
        <f>IF(OR(OR($N54="",$N54="なし"),$G54=""),"",$G54*N(INDEX('棚卸表'!$G$5:$G$504,$N54)))</f>
        <v/>
      </c>
      <c r="I54" s="34" t="n"/>
      <c r="J54" s="34" t="n"/>
      <c r="K54" s="23" t="n"/>
      <c r="L54" s="23" t="n"/>
      <c r="M54" s="61" t="n"/>
      <c r="N54" s="35">
        <f>IF($B54="","",IFERROR(MATCH($B54,'棚卸表'!$B$5:$B$504,0),"なし"))</f>
        <v/>
      </c>
    </row>
    <row r="55" ht="30" customHeight="1">
      <c r="A55" s="30" t="n"/>
      <c r="B55" s="23" t="n"/>
      <c r="C55" s="33">
        <f>IF($N55="","",IF($N55="なし","※棚卸表にないコード",INDEX('棚卸表'!$C$5:$C$504,$N55)&amp;""))</f>
        <v/>
      </c>
      <c r="D55" s="29">
        <f>IF(OR($N55="",$N55="なし"),"",INDEX('棚卸表'!$E$5:$E$504,$N55)&amp;"")</f>
        <v/>
      </c>
      <c r="E55" s="27">
        <f>IF(OR($N55="",$N55="なし"),"",IF(INDEX('棚卸表'!$L$5:$L$504,$N55)="","",INDEX('棚卸表'!$L$5:$L$504,$N55)))</f>
        <v/>
      </c>
      <c r="F55" s="8" t="n"/>
      <c r="G55" s="25" t="n"/>
      <c r="H55" s="72">
        <f>IF(OR(OR($N55="",$N55="なし"),$G55=""),"",$G55*N(INDEX('棚卸表'!$G$5:$G$504,$N55)))</f>
        <v/>
      </c>
      <c r="I55" s="34" t="n"/>
      <c r="J55" s="34" t="n"/>
      <c r="K55" s="23" t="n"/>
      <c r="L55" s="23" t="n"/>
      <c r="M55" s="61" t="n"/>
      <c r="N55" s="35">
        <f>IF($B55="","",IFERROR(MATCH($B55,'棚卸表'!$B$5:$B$504,0),"なし"))</f>
        <v/>
      </c>
    </row>
    <row r="56" ht="30" customHeight="1">
      <c r="A56" s="30" t="n"/>
      <c r="B56" s="23" t="n"/>
      <c r="C56" s="33">
        <f>IF($N56="","",IF($N56="なし","※棚卸表にないコード",INDEX('棚卸表'!$C$5:$C$504,$N56)&amp;""))</f>
        <v/>
      </c>
      <c r="D56" s="29">
        <f>IF(OR($N56="",$N56="なし"),"",INDEX('棚卸表'!$E$5:$E$504,$N56)&amp;"")</f>
        <v/>
      </c>
      <c r="E56" s="27">
        <f>IF(OR($N56="",$N56="なし"),"",IF(INDEX('棚卸表'!$L$5:$L$504,$N56)="","",INDEX('棚卸表'!$L$5:$L$504,$N56)))</f>
        <v/>
      </c>
      <c r="F56" s="8" t="n"/>
      <c r="G56" s="25" t="n"/>
      <c r="H56" s="72">
        <f>IF(OR(OR($N56="",$N56="なし"),$G56=""),"",$G56*N(INDEX('棚卸表'!$G$5:$G$504,$N56)))</f>
        <v/>
      </c>
      <c r="I56" s="34" t="n"/>
      <c r="J56" s="34" t="n"/>
      <c r="K56" s="23" t="n"/>
      <c r="L56" s="23" t="n"/>
      <c r="M56" s="61" t="n"/>
      <c r="N56" s="35">
        <f>IF($B56="","",IFERROR(MATCH($B56,'棚卸表'!$B$5:$B$504,0),"なし"))</f>
        <v/>
      </c>
    </row>
    <row r="57" ht="30" customHeight="1">
      <c r="A57" s="30" t="n"/>
      <c r="B57" s="23" t="n"/>
      <c r="C57" s="33">
        <f>IF($N57="","",IF($N57="なし","※棚卸表にないコード",INDEX('棚卸表'!$C$5:$C$504,$N57)&amp;""))</f>
        <v/>
      </c>
      <c r="D57" s="29">
        <f>IF(OR($N57="",$N57="なし"),"",INDEX('棚卸表'!$E$5:$E$504,$N57)&amp;"")</f>
        <v/>
      </c>
      <c r="E57" s="27">
        <f>IF(OR($N57="",$N57="なし"),"",IF(INDEX('棚卸表'!$L$5:$L$504,$N57)="","",INDEX('棚卸表'!$L$5:$L$504,$N57)))</f>
        <v/>
      </c>
      <c r="F57" s="8" t="n"/>
      <c r="G57" s="25" t="n"/>
      <c r="H57" s="72">
        <f>IF(OR(OR($N57="",$N57="なし"),$G57=""),"",$G57*N(INDEX('棚卸表'!$G$5:$G$504,$N57)))</f>
        <v/>
      </c>
      <c r="I57" s="34" t="n"/>
      <c r="J57" s="34" t="n"/>
      <c r="K57" s="23" t="n"/>
      <c r="L57" s="23" t="n"/>
      <c r="M57" s="61" t="n"/>
      <c r="N57" s="35">
        <f>IF($B57="","",IFERROR(MATCH($B57,'棚卸表'!$B$5:$B$504,0),"なし"))</f>
        <v/>
      </c>
    </row>
    <row r="58" ht="30" customHeight="1">
      <c r="A58" s="30" t="n"/>
      <c r="B58" s="23" t="n"/>
      <c r="C58" s="33">
        <f>IF($N58="","",IF($N58="なし","※棚卸表にないコード",INDEX('棚卸表'!$C$5:$C$504,$N58)&amp;""))</f>
        <v/>
      </c>
      <c r="D58" s="29">
        <f>IF(OR($N58="",$N58="なし"),"",INDEX('棚卸表'!$E$5:$E$504,$N58)&amp;"")</f>
        <v/>
      </c>
      <c r="E58" s="27">
        <f>IF(OR($N58="",$N58="なし"),"",IF(INDEX('棚卸表'!$L$5:$L$504,$N58)="","",INDEX('棚卸表'!$L$5:$L$504,$N58)))</f>
        <v/>
      </c>
      <c r="F58" s="8" t="n"/>
      <c r="G58" s="25" t="n"/>
      <c r="H58" s="72">
        <f>IF(OR(OR($N58="",$N58="なし"),$G58=""),"",$G58*N(INDEX('棚卸表'!$G$5:$G$504,$N58)))</f>
        <v/>
      </c>
      <c r="I58" s="34" t="n"/>
      <c r="J58" s="34" t="n"/>
      <c r="K58" s="23" t="n"/>
      <c r="L58" s="23" t="n"/>
      <c r="M58" s="61" t="n"/>
      <c r="N58" s="35">
        <f>IF($B58="","",IFERROR(MATCH($B58,'棚卸表'!$B$5:$B$504,0),"なし"))</f>
        <v/>
      </c>
    </row>
    <row r="59" ht="30" customHeight="1">
      <c r="A59" s="30" t="n"/>
      <c r="B59" s="23" t="n"/>
      <c r="C59" s="33">
        <f>IF($N59="","",IF($N59="なし","※棚卸表にないコード",INDEX('棚卸表'!$C$5:$C$504,$N59)&amp;""))</f>
        <v/>
      </c>
      <c r="D59" s="29">
        <f>IF(OR($N59="",$N59="なし"),"",INDEX('棚卸表'!$E$5:$E$504,$N59)&amp;"")</f>
        <v/>
      </c>
      <c r="E59" s="27">
        <f>IF(OR($N59="",$N59="なし"),"",IF(INDEX('棚卸表'!$L$5:$L$504,$N59)="","",INDEX('棚卸表'!$L$5:$L$504,$N59)))</f>
        <v/>
      </c>
      <c r="F59" s="8" t="n"/>
      <c r="G59" s="25" t="n"/>
      <c r="H59" s="72">
        <f>IF(OR(OR($N59="",$N59="なし"),$G59=""),"",$G59*N(INDEX('棚卸表'!$G$5:$G$504,$N59)))</f>
        <v/>
      </c>
      <c r="I59" s="34" t="n"/>
      <c r="J59" s="34" t="n"/>
      <c r="K59" s="23" t="n"/>
      <c r="L59" s="23" t="n"/>
      <c r="M59" s="61" t="n"/>
      <c r="N59" s="35">
        <f>IF($B59="","",IFERROR(MATCH($B59,'棚卸表'!$B$5:$B$504,0),"なし"))</f>
        <v/>
      </c>
    </row>
    <row r="60" ht="30" customHeight="1">
      <c r="A60" s="30" t="n"/>
      <c r="B60" s="23" t="n"/>
      <c r="C60" s="33">
        <f>IF($N60="","",IF($N60="なし","※棚卸表にないコード",INDEX('棚卸表'!$C$5:$C$504,$N60)&amp;""))</f>
        <v/>
      </c>
      <c r="D60" s="29">
        <f>IF(OR($N60="",$N60="なし"),"",INDEX('棚卸表'!$E$5:$E$504,$N60)&amp;"")</f>
        <v/>
      </c>
      <c r="E60" s="27">
        <f>IF(OR($N60="",$N60="なし"),"",IF(INDEX('棚卸表'!$L$5:$L$504,$N60)="","",INDEX('棚卸表'!$L$5:$L$504,$N60)))</f>
        <v/>
      </c>
      <c r="F60" s="8" t="n"/>
      <c r="G60" s="25" t="n"/>
      <c r="H60" s="72">
        <f>IF(OR(OR($N60="",$N60="なし"),$G60=""),"",$G60*N(INDEX('棚卸表'!$G$5:$G$504,$N60)))</f>
        <v/>
      </c>
      <c r="I60" s="34" t="n"/>
      <c r="J60" s="34" t="n"/>
      <c r="K60" s="23" t="n"/>
      <c r="L60" s="23" t="n"/>
      <c r="M60" s="61" t="n"/>
      <c r="N60" s="35">
        <f>IF($B60="","",IFERROR(MATCH($B60,'棚卸表'!$B$5:$B$504,0),"なし"))</f>
        <v/>
      </c>
    </row>
    <row r="61" ht="30" customHeight="1">
      <c r="A61" s="30" t="n"/>
      <c r="B61" s="23" t="n"/>
      <c r="C61" s="33">
        <f>IF($N61="","",IF($N61="なし","※棚卸表にないコード",INDEX('棚卸表'!$C$5:$C$504,$N61)&amp;""))</f>
        <v/>
      </c>
      <c r="D61" s="29">
        <f>IF(OR($N61="",$N61="なし"),"",INDEX('棚卸表'!$E$5:$E$504,$N61)&amp;"")</f>
        <v/>
      </c>
      <c r="E61" s="27">
        <f>IF(OR($N61="",$N61="なし"),"",IF(INDEX('棚卸表'!$L$5:$L$504,$N61)="","",INDEX('棚卸表'!$L$5:$L$504,$N61)))</f>
        <v/>
      </c>
      <c r="F61" s="8" t="n"/>
      <c r="G61" s="25" t="n"/>
      <c r="H61" s="72">
        <f>IF(OR(OR($N61="",$N61="なし"),$G61=""),"",$G61*N(INDEX('棚卸表'!$G$5:$G$504,$N61)))</f>
        <v/>
      </c>
      <c r="I61" s="34" t="n"/>
      <c r="J61" s="34" t="n"/>
      <c r="K61" s="23" t="n"/>
      <c r="L61" s="23" t="n"/>
      <c r="M61" s="61" t="n"/>
      <c r="N61" s="35">
        <f>IF($B61="","",IFERROR(MATCH($B61,'棚卸表'!$B$5:$B$504,0),"なし"))</f>
        <v/>
      </c>
    </row>
    <row r="62" ht="30" customHeight="1">
      <c r="A62" s="30" t="n"/>
      <c r="B62" s="23" t="n"/>
      <c r="C62" s="33">
        <f>IF($N62="","",IF($N62="なし","※棚卸表にないコード",INDEX('棚卸表'!$C$5:$C$504,$N62)&amp;""))</f>
        <v/>
      </c>
      <c r="D62" s="29">
        <f>IF(OR($N62="",$N62="なし"),"",INDEX('棚卸表'!$E$5:$E$504,$N62)&amp;"")</f>
        <v/>
      </c>
      <c r="E62" s="27">
        <f>IF(OR($N62="",$N62="なし"),"",IF(INDEX('棚卸表'!$L$5:$L$504,$N62)="","",INDEX('棚卸表'!$L$5:$L$504,$N62)))</f>
        <v/>
      </c>
      <c r="F62" s="8" t="n"/>
      <c r="G62" s="25" t="n"/>
      <c r="H62" s="72">
        <f>IF(OR(OR($N62="",$N62="なし"),$G62=""),"",$G62*N(INDEX('棚卸表'!$G$5:$G$504,$N62)))</f>
        <v/>
      </c>
      <c r="I62" s="34" t="n"/>
      <c r="J62" s="34" t="n"/>
      <c r="K62" s="23" t="n"/>
      <c r="L62" s="23" t="n"/>
      <c r="M62" s="61" t="n"/>
      <c r="N62" s="35">
        <f>IF($B62="","",IFERROR(MATCH($B62,'棚卸表'!$B$5:$B$504,0),"なし"))</f>
        <v/>
      </c>
    </row>
    <row r="63" ht="30" customHeight="1">
      <c r="A63" s="30" t="n"/>
      <c r="B63" s="23" t="n"/>
      <c r="C63" s="33">
        <f>IF($N63="","",IF($N63="なし","※棚卸表にないコード",INDEX('棚卸表'!$C$5:$C$504,$N63)&amp;""))</f>
        <v/>
      </c>
      <c r="D63" s="29">
        <f>IF(OR($N63="",$N63="なし"),"",INDEX('棚卸表'!$E$5:$E$504,$N63)&amp;"")</f>
        <v/>
      </c>
      <c r="E63" s="27">
        <f>IF(OR($N63="",$N63="なし"),"",IF(INDEX('棚卸表'!$L$5:$L$504,$N63)="","",INDEX('棚卸表'!$L$5:$L$504,$N63)))</f>
        <v/>
      </c>
      <c r="F63" s="8" t="n"/>
      <c r="G63" s="25" t="n"/>
      <c r="H63" s="72">
        <f>IF(OR(OR($N63="",$N63="なし"),$G63=""),"",$G63*N(INDEX('棚卸表'!$G$5:$G$504,$N63)))</f>
        <v/>
      </c>
      <c r="I63" s="34" t="n"/>
      <c r="J63" s="34" t="n"/>
      <c r="K63" s="23" t="n"/>
      <c r="L63" s="23" t="n"/>
      <c r="M63" s="61" t="n"/>
      <c r="N63" s="35">
        <f>IF($B63="","",IFERROR(MATCH($B63,'棚卸表'!$B$5:$B$504,0),"なし"))</f>
        <v/>
      </c>
    </row>
    <row r="64" ht="30" customHeight="1">
      <c r="A64" s="30" t="n"/>
      <c r="B64" s="23" t="n"/>
      <c r="C64" s="33">
        <f>IF($N64="","",IF($N64="なし","※棚卸表にないコード",INDEX('棚卸表'!$C$5:$C$504,$N64)&amp;""))</f>
        <v/>
      </c>
      <c r="D64" s="29">
        <f>IF(OR($N64="",$N64="なし"),"",INDEX('棚卸表'!$E$5:$E$504,$N64)&amp;"")</f>
        <v/>
      </c>
      <c r="E64" s="27">
        <f>IF(OR($N64="",$N64="なし"),"",IF(INDEX('棚卸表'!$L$5:$L$504,$N64)="","",INDEX('棚卸表'!$L$5:$L$504,$N64)))</f>
        <v/>
      </c>
      <c r="F64" s="8" t="n"/>
      <c r="G64" s="25" t="n"/>
      <c r="H64" s="72">
        <f>IF(OR(OR($N64="",$N64="なし"),$G64=""),"",$G64*N(INDEX('棚卸表'!$G$5:$G$504,$N64)))</f>
        <v/>
      </c>
      <c r="I64" s="34" t="n"/>
      <c r="J64" s="34" t="n"/>
      <c r="K64" s="23" t="n"/>
      <c r="L64" s="23" t="n"/>
      <c r="M64" s="61" t="n"/>
      <c r="N64" s="35">
        <f>IF($B64="","",IFERROR(MATCH($B64,'棚卸表'!$B$5:$B$504,0),"なし"))</f>
        <v/>
      </c>
    </row>
    <row r="65" ht="30" customHeight="1">
      <c r="A65" s="30" t="n"/>
      <c r="B65" s="23" t="n"/>
      <c r="C65" s="33">
        <f>IF($N65="","",IF($N65="なし","※棚卸表にないコード",INDEX('棚卸表'!$C$5:$C$504,$N65)&amp;""))</f>
        <v/>
      </c>
      <c r="D65" s="29">
        <f>IF(OR($N65="",$N65="なし"),"",INDEX('棚卸表'!$E$5:$E$504,$N65)&amp;"")</f>
        <v/>
      </c>
      <c r="E65" s="27">
        <f>IF(OR($N65="",$N65="なし"),"",IF(INDEX('棚卸表'!$L$5:$L$504,$N65)="","",INDEX('棚卸表'!$L$5:$L$504,$N65)))</f>
        <v/>
      </c>
      <c r="F65" s="8" t="n"/>
      <c r="G65" s="25" t="n"/>
      <c r="H65" s="72">
        <f>IF(OR(OR($N65="",$N65="なし"),$G65=""),"",$G65*N(INDEX('棚卸表'!$G$5:$G$504,$N65)))</f>
        <v/>
      </c>
      <c r="I65" s="34" t="n"/>
      <c r="J65" s="34" t="n"/>
      <c r="K65" s="23" t="n"/>
      <c r="L65" s="23" t="n"/>
      <c r="M65" s="61" t="n"/>
      <c r="N65" s="35">
        <f>IF($B65="","",IFERROR(MATCH($B65,'棚卸表'!$B$5:$B$504,0),"なし"))</f>
        <v/>
      </c>
    </row>
    <row r="66" ht="30" customHeight="1">
      <c r="A66" s="30" t="n"/>
      <c r="B66" s="23" t="n"/>
      <c r="C66" s="33">
        <f>IF($N66="","",IF($N66="なし","※棚卸表にないコード",INDEX('棚卸表'!$C$5:$C$504,$N66)&amp;""))</f>
        <v/>
      </c>
      <c r="D66" s="29">
        <f>IF(OR($N66="",$N66="なし"),"",INDEX('棚卸表'!$E$5:$E$504,$N66)&amp;"")</f>
        <v/>
      </c>
      <c r="E66" s="27">
        <f>IF(OR($N66="",$N66="なし"),"",IF(INDEX('棚卸表'!$L$5:$L$504,$N66)="","",INDEX('棚卸表'!$L$5:$L$504,$N66)))</f>
        <v/>
      </c>
      <c r="F66" s="8" t="n"/>
      <c r="G66" s="25" t="n"/>
      <c r="H66" s="72">
        <f>IF(OR(OR($N66="",$N66="なし"),$G66=""),"",$G66*N(INDEX('棚卸表'!$G$5:$G$504,$N66)))</f>
        <v/>
      </c>
      <c r="I66" s="34" t="n"/>
      <c r="J66" s="34" t="n"/>
      <c r="K66" s="23" t="n"/>
      <c r="L66" s="23" t="n"/>
      <c r="M66" s="61" t="n"/>
      <c r="N66" s="35">
        <f>IF($B66="","",IFERROR(MATCH($B66,'棚卸表'!$B$5:$B$504,0),"なし"))</f>
        <v/>
      </c>
    </row>
    <row r="67" ht="30" customHeight="1">
      <c r="A67" s="30" t="n"/>
      <c r="B67" s="23" t="n"/>
      <c r="C67" s="33">
        <f>IF($N67="","",IF($N67="なし","※棚卸表にないコード",INDEX('棚卸表'!$C$5:$C$504,$N67)&amp;""))</f>
        <v/>
      </c>
      <c r="D67" s="29">
        <f>IF(OR($N67="",$N67="なし"),"",INDEX('棚卸表'!$E$5:$E$504,$N67)&amp;"")</f>
        <v/>
      </c>
      <c r="E67" s="27">
        <f>IF(OR($N67="",$N67="なし"),"",IF(INDEX('棚卸表'!$L$5:$L$504,$N67)="","",INDEX('棚卸表'!$L$5:$L$504,$N67)))</f>
        <v/>
      </c>
      <c r="F67" s="8" t="n"/>
      <c r="G67" s="25" t="n"/>
      <c r="H67" s="72">
        <f>IF(OR(OR($N67="",$N67="なし"),$G67=""),"",$G67*N(INDEX('棚卸表'!$G$5:$G$504,$N67)))</f>
        <v/>
      </c>
      <c r="I67" s="34" t="n"/>
      <c r="J67" s="34" t="n"/>
      <c r="K67" s="23" t="n"/>
      <c r="L67" s="23" t="n"/>
      <c r="M67" s="61" t="n"/>
      <c r="N67" s="35">
        <f>IF($B67="","",IFERROR(MATCH($B67,'棚卸表'!$B$5:$B$504,0),"なし"))</f>
        <v/>
      </c>
    </row>
    <row r="68" ht="30" customHeight="1">
      <c r="A68" s="30" t="n"/>
      <c r="B68" s="23" t="n"/>
      <c r="C68" s="33">
        <f>IF($N68="","",IF($N68="なし","※棚卸表にないコード",INDEX('棚卸表'!$C$5:$C$504,$N68)&amp;""))</f>
        <v/>
      </c>
      <c r="D68" s="29">
        <f>IF(OR($N68="",$N68="なし"),"",INDEX('棚卸表'!$E$5:$E$504,$N68)&amp;"")</f>
        <v/>
      </c>
      <c r="E68" s="27">
        <f>IF(OR($N68="",$N68="なし"),"",IF(INDEX('棚卸表'!$L$5:$L$504,$N68)="","",INDEX('棚卸表'!$L$5:$L$504,$N68)))</f>
        <v/>
      </c>
      <c r="F68" s="8" t="n"/>
      <c r="G68" s="25" t="n"/>
      <c r="H68" s="72">
        <f>IF(OR(OR($N68="",$N68="なし"),$G68=""),"",$G68*N(INDEX('棚卸表'!$G$5:$G$504,$N68)))</f>
        <v/>
      </c>
      <c r="I68" s="34" t="n"/>
      <c r="J68" s="34" t="n"/>
      <c r="K68" s="23" t="n"/>
      <c r="L68" s="23" t="n"/>
      <c r="M68" s="61" t="n"/>
      <c r="N68" s="35">
        <f>IF($B68="","",IFERROR(MATCH($B68,'棚卸表'!$B$5:$B$504,0),"なし"))</f>
        <v/>
      </c>
    </row>
    <row r="69" ht="30" customHeight="1">
      <c r="A69" s="30" t="n"/>
      <c r="B69" s="23" t="n"/>
      <c r="C69" s="33">
        <f>IF($N69="","",IF($N69="なし","※棚卸表にないコード",INDEX('棚卸表'!$C$5:$C$504,$N69)&amp;""))</f>
        <v/>
      </c>
      <c r="D69" s="29">
        <f>IF(OR($N69="",$N69="なし"),"",INDEX('棚卸表'!$E$5:$E$504,$N69)&amp;"")</f>
        <v/>
      </c>
      <c r="E69" s="27">
        <f>IF(OR($N69="",$N69="なし"),"",IF(INDEX('棚卸表'!$L$5:$L$504,$N69)="","",INDEX('棚卸表'!$L$5:$L$504,$N69)))</f>
        <v/>
      </c>
      <c r="F69" s="8" t="n"/>
      <c r="G69" s="25" t="n"/>
      <c r="H69" s="72">
        <f>IF(OR(OR($N69="",$N69="なし"),$G69=""),"",$G69*N(INDEX('棚卸表'!$G$5:$G$504,$N69)))</f>
        <v/>
      </c>
      <c r="I69" s="34" t="n"/>
      <c r="J69" s="34" t="n"/>
      <c r="K69" s="23" t="n"/>
      <c r="L69" s="23" t="n"/>
      <c r="M69" s="61" t="n"/>
      <c r="N69" s="35">
        <f>IF($B69="","",IFERROR(MATCH($B69,'棚卸表'!$B$5:$B$504,0),"なし"))</f>
        <v/>
      </c>
    </row>
    <row r="70" ht="30" customHeight="1">
      <c r="A70" s="30" t="n"/>
      <c r="B70" s="23" t="n"/>
      <c r="C70" s="33">
        <f>IF($N70="","",IF($N70="なし","※棚卸表にないコード",INDEX('棚卸表'!$C$5:$C$504,$N70)&amp;""))</f>
        <v/>
      </c>
      <c r="D70" s="29">
        <f>IF(OR($N70="",$N70="なし"),"",INDEX('棚卸表'!$E$5:$E$504,$N70)&amp;"")</f>
        <v/>
      </c>
      <c r="E70" s="27">
        <f>IF(OR($N70="",$N70="なし"),"",IF(INDEX('棚卸表'!$L$5:$L$504,$N70)="","",INDEX('棚卸表'!$L$5:$L$504,$N70)))</f>
        <v/>
      </c>
      <c r="F70" s="8" t="n"/>
      <c r="G70" s="25" t="n"/>
      <c r="H70" s="72">
        <f>IF(OR(OR($N70="",$N70="なし"),$G70=""),"",$G70*N(INDEX('棚卸表'!$G$5:$G$504,$N70)))</f>
        <v/>
      </c>
      <c r="I70" s="34" t="n"/>
      <c r="J70" s="34" t="n"/>
      <c r="K70" s="23" t="n"/>
      <c r="L70" s="23" t="n"/>
      <c r="M70" s="61" t="n"/>
      <c r="N70" s="35">
        <f>IF($B70="","",IFERROR(MATCH($B70,'棚卸表'!$B$5:$B$504,0),"なし"))</f>
        <v/>
      </c>
    </row>
    <row r="71" ht="30" customHeight="1">
      <c r="A71" s="30" t="n"/>
      <c r="B71" s="23" t="n"/>
      <c r="C71" s="33">
        <f>IF($N71="","",IF($N71="なし","※棚卸表にないコード",INDEX('棚卸表'!$C$5:$C$504,$N71)&amp;""))</f>
        <v/>
      </c>
      <c r="D71" s="29">
        <f>IF(OR($N71="",$N71="なし"),"",INDEX('棚卸表'!$E$5:$E$504,$N71)&amp;"")</f>
        <v/>
      </c>
      <c r="E71" s="27">
        <f>IF(OR($N71="",$N71="なし"),"",IF(INDEX('棚卸表'!$L$5:$L$504,$N71)="","",INDEX('棚卸表'!$L$5:$L$504,$N71)))</f>
        <v/>
      </c>
      <c r="F71" s="8" t="n"/>
      <c r="G71" s="25" t="n"/>
      <c r="H71" s="72">
        <f>IF(OR(OR($N71="",$N71="なし"),$G71=""),"",$G71*N(INDEX('棚卸表'!$G$5:$G$504,$N71)))</f>
        <v/>
      </c>
      <c r="I71" s="34" t="n"/>
      <c r="J71" s="34" t="n"/>
      <c r="K71" s="23" t="n"/>
      <c r="L71" s="23" t="n"/>
      <c r="M71" s="61" t="n"/>
      <c r="N71" s="35">
        <f>IF($B71="","",IFERROR(MATCH($B71,'棚卸表'!$B$5:$B$504,0),"なし"))</f>
        <v/>
      </c>
    </row>
    <row r="72" ht="30" customHeight="1">
      <c r="A72" s="30" t="n"/>
      <c r="B72" s="23" t="n"/>
      <c r="C72" s="33">
        <f>IF($N72="","",IF($N72="なし","※棚卸表にないコード",INDEX('棚卸表'!$C$5:$C$504,$N72)&amp;""))</f>
        <v/>
      </c>
      <c r="D72" s="29">
        <f>IF(OR($N72="",$N72="なし"),"",INDEX('棚卸表'!$E$5:$E$504,$N72)&amp;"")</f>
        <v/>
      </c>
      <c r="E72" s="27">
        <f>IF(OR($N72="",$N72="なし"),"",IF(INDEX('棚卸表'!$L$5:$L$504,$N72)="","",INDEX('棚卸表'!$L$5:$L$504,$N72)))</f>
        <v/>
      </c>
      <c r="F72" s="8" t="n"/>
      <c r="G72" s="25" t="n"/>
      <c r="H72" s="72">
        <f>IF(OR(OR($N72="",$N72="なし"),$G72=""),"",$G72*N(INDEX('棚卸表'!$G$5:$G$504,$N72)))</f>
        <v/>
      </c>
      <c r="I72" s="34" t="n"/>
      <c r="J72" s="34" t="n"/>
      <c r="K72" s="23" t="n"/>
      <c r="L72" s="23" t="n"/>
      <c r="M72" s="61" t="n"/>
      <c r="N72" s="35">
        <f>IF($B72="","",IFERROR(MATCH($B72,'棚卸表'!$B$5:$B$504,0),"なし"))</f>
        <v/>
      </c>
    </row>
    <row r="73" ht="30" customHeight="1">
      <c r="A73" s="30" t="n"/>
      <c r="B73" s="23" t="n"/>
      <c r="C73" s="33">
        <f>IF($N73="","",IF($N73="なし","※棚卸表にないコード",INDEX('棚卸表'!$C$5:$C$504,$N73)&amp;""))</f>
        <v/>
      </c>
      <c r="D73" s="29">
        <f>IF(OR($N73="",$N73="なし"),"",INDEX('棚卸表'!$E$5:$E$504,$N73)&amp;"")</f>
        <v/>
      </c>
      <c r="E73" s="27">
        <f>IF(OR($N73="",$N73="なし"),"",IF(INDEX('棚卸表'!$L$5:$L$504,$N73)="","",INDEX('棚卸表'!$L$5:$L$504,$N73)))</f>
        <v/>
      </c>
      <c r="F73" s="8" t="n"/>
      <c r="G73" s="25" t="n"/>
      <c r="H73" s="72">
        <f>IF(OR(OR($N73="",$N73="なし"),$G73=""),"",$G73*N(INDEX('棚卸表'!$G$5:$G$504,$N73)))</f>
        <v/>
      </c>
      <c r="I73" s="34" t="n"/>
      <c r="J73" s="34" t="n"/>
      <c r="K73" s="23" t="n"/>
      <c r="L73" s="23" t="n"/>
      <c r="M73" s="61" t="n"/>
      <c r="N73" s="35">
        <f>IF($B73="","",IFERROR(MATCH($B73,'棚卸表'!$B$5:$B$504,0),"なし"))</f>
        <v/>
      </c>
    </row>
    <row r="74" ht="30" customHeight="1">
      <c r="A74" s="30" t="n"/>
      <c r="B74" s="23" t="n"/>
      <c r="C74" s="33">
        <f>IF($N74="","",IF($N74="なし","※棚卸表にないコード",INDEX('棚卸表'!$C$5:$C$504,$N74)&amp;""))</f>
        <v/>
      </c>
      <c r="D74" s="29">
        <f>IF(OR($N74="",$N74="なし"),"",INDEX('棚卸表'!$E$5:$E$504,$N74)&amp;"")</f>
        <v/>
      </c>
      <c r="E74" s="27">
        <f>IF(OR($N74="",$N74="なし"),"",IF(INDEX('棚卸表'!$L$5:$L$504,$N74)="","",INDEX('棚卸表'!$L$5:$L$504,$N74)))</f>
        <v/>
      </c>
      <c r="F74" s="8" t="n"/>
      <c r="G74" s="25" t="n"/>
      <c r="H74" s="72">
        <f>IF(OR(OR($N74="",$N74="なし"),$G74=""),"",$G74*N(INDEX('棚卸表'!$G$5:$G$504,$N74)))</f>
        <v/>
      </c>
      <c r="I74" s="34" t="n"/>
      <c r="J74" s="34" t="n"/>
      <c r="K74" s="23" t="n"/>
      <c r="L74" s="23" t="n"/>
      <c r="M74" s="61" t="n"/>
      <c r="N74" s="35">
        <f>IF($B74="","",IFERROR(MATCH($B74,'棚卸表'!$B$5:$B$504,0),"なし"))</f>
        <v/>
      </c>
    </row>
    <row r="75" ht="30" customHeight="1">
      <c r="A75" s="30" t="n"/>
      <c r="B75" s="23" t="n"/>
      <c r="C75" s="33">
        <f>IF($N75="","",IF($N75="なし","※棚卸表にないコード",INDEX('棚卸表'!$C$5:$C$504,$N75)&amp;""))</f>
        <v/>
      </c>
      <c r="D75" s="29">
        <f>IF(OR($N75="",$N75="なし"),"",INDEX('棚卸表'!$E$5:$E$504,$N75)&amp;"")</f>
        <v/>
      </c>
      <c r="E75" s="27">
        <f>IF(OR($N75="",$N75="なし"),"",IF(INDEX('棚卸表'!$L$5:$L$504,$N75)="","",INDEX('棚卸表'!$L$5:$L$504,$N75)))</f>
        <v/>
      </c>
      <c r="F75" s="8" t="n"/>
      <c r="G75" s="25" t="n"/>
      <c r="H75" s="72">
        <f>IF(OR(OR($N75="",$N75="なし"),$G75=""),"",$G75*N(INDEX('棚卸表'!$G$5:$G$504,$N75)))</f>
        <v/>
      </c>
      <c r="I75" s="34" t="n"/>
      <c r="J75" s="34" t="n"/>
      <c r="K75" s="23" t="n"/>
      <c r="L75" s="23" t="n"/>
      <c r="M75" s="61" t="n"/>
      <c r="N75" s="35">
        <f>IF($B75="","",IFERROR(MATCH($B75,'棚卸表'!$B$5:$B$504,0),"なし"))</f>
        <v/>
      </c>
    </row>
    <row r="76" ht="30" customHeight="1">
      <c r="A76" s="30" t="n"/>
      <c r="B76" s="23" t="n"/>
      <c r="C76" s="33">
        <f>IF($N76="","",IF($N76="なし","※棚卸表にないコード",INDEX('棚卸表'!$C$5:$C$504,$N76)&amp;""))</f>
        <v/>
      </c>
      <c r="D76" s="29">
        <f>IF(OR($N76="",$N76="なし"),"",INDEX('棚卸表'!$E$5:$E$504,$N76)&amp;"")</f>
        <v/>
      </c>
      <c r="E76" s="27">
        <f>IF(OR($N76="",$N76="なし"),"",IF(INDEX('棚卸表'!$L$5:$L$504,$N76)="","",INDEX('棚卸表'!$L$5:$L$504,$N76)))</f>
        <v/>
      </c>
      <c r="F76" s="8" t="n"/>
      <c r="G76" s="25" t="n"/>
      <c r="H76" s="72">
        <f>IF(OR(OR($N76="",$N76="なし"),$G76=""),"",$G76*N(INDEX('棚卸表'!$G$5:$G$504,$N76)))</f>
        <v/>
      </c>
      <c r="I76" s="34" t="n"/>
      <c r="J76" s="34" t="n"/>
      <c r="K76" s="23" t="n"/>
      <c r="L76" s="23" t="n"/>
      <c r="M76" s="61" t="n"/>
      <c r="N76" s="35">
        <f>IF($B76="","",IFERROR(MATCH($B76,'棚卸表'!$B$5:$B$504,0),"なし"))</f>
        <v/>
      </c>
    </row>
    <row r="77" ht="30" customHeight="1">
      <c r="A77" s="30" t="n"/>
      <c r="B77" s="23" t="n"/>
      <c r="C77" s="33">
        <f>IF($N77="","",IF($N77="なし","※棚卸表にないコード",INDEX('棚卸表'!$C$5:$C$504,$N77)&amp;""))</f>
        <v/>
      </c>
      <c r="D77" s="29">
        <f>IF(OR($N77="",$N77="なし"),"",INDEX('棚卸表'!$E$5:$E$504,$N77)&amp;"")</f>
        <v/>
      </c>
      <c r="E77" s="27">
        <f>IF(OR($N77="",$N77="なし"),"",IF(INDEX('棚卸表'!$L$5:$L$504,$N77)="","",INDEX('棚卸表'!$L$5:$L$504,$N77)))</f>
        <v/>
      </c>
      <c r="F77" s="8" t="n"/>
      <c r="G77" s="25" t="n"/>
      <c r="H77" s="72">
        <f>IF(OR(OR($N77="",$N77="なし"),$G77=""),"",$G77*N(INDEX('棚卸表'!$G$5:$G$504,$N77)))</f>
        <v/>
      </c>
      <c r="I77" s="34" t="n"/>
      <c r="J77" s="34" t="n"/>
      <c r="K77" s="23" t="n"/>
      <c r="L77" s="23" t="n"/>
      <c r="M77" s="61" t="n"/>
      <c r="N77" s="35">
        <f>IF($B77="","",IFERROR(MATCH($B77,'棚卸表'!$B$5:$B$504,0),"なし"))</f>
        <v/>
      </c>
    </row>
    <row r="78" ht="30" customHeight="1">
      <c r="A78" s="30" t="n"/>
      <c r="B78" s="23" t="n"/>
      <c r="C78" s="33">
        <f>IF($N78="","",IF($N78="なし","※棚卸表にないコード",INDEX('棚卸表'!$C$5:$C$504,$N78)&amp;""))</f>
        <v/>
      </c>
      <c r="D78" s="29">
        <f>IF(OR($N78="",$N78="なし"),"",INDEX('棚卸表'!$E$5:$E$504,$N78)&amp;"")</f>
        <v/>
      </c>
      <c r="E78" s="27">
        <f>IF(OR($N78="",$N78="なし"),"",IF(INDEX('棚卸表'!$L$5:$L$504,$N78)="","",INDEX('棚卸表'!$L$5:$L$504,$N78)))</f>
        <v/>
      </c>
      <c r="F78" s="8" t="n"/>
      <c r="G78" s="25" t="n"/>
      <c r="H78" s="72">
        <f>IF(OR(OR($N78="",$N78="なし"),$G78=""),"",$G78*N(INDEX('棚卸表'!$G$5:$G$504,$N78)))</f>
        <v/>
      </c>
      <c r="I78" s="34" t="n"/>
      <c r="J78" s="34" t="n"/>
      <c r="K78" s="23" t="n"/>
      <c r="L78" s="23" t="n"/>
      <c r="M78" s="61" t="n"/>
      <c r="N78" s="35">
        <f>IF($B78="","",IFERROR(MATCH($B78,'棚卸表'!$B$5:$B$504,0),"なし"))</f>
        <v/>
      </c>
    </row>
    <row r="79" ht="30" customHeight="1">
      <c r="A79" s="30" t="n"/>
      <c r="B79" s="23" t="n"/>
      <c r="C79" s="33">
        <f>IF($N79="","",IF($N79="なし","※棚卸表にないコード",INDEX('棚卸表'!$C$5:$C$504,$N79)&amp;""))</f>
        <v/>
      </c>
      <c r="D79" s="29">
        <f>IF(OR($N79="",$N79="なし"),"",INDEX('棚卸表'!$E$5:$E$504,$N79)&amp;"")</f>
        <v/>
      </c>
      <c r="E79" s="27">
        <f>IF(OR($N79="",$N79="なし"),"",IF(INDEX('棚卸表'!$L$5:$L$504,$N79)="","",INDEX('棚卸表'!$L$5:$L$504,$N79)))</f>
        <v/>
      </c>
      <c r="F79" s="8" t="n"/>
      <c r="G79" s="25" t="n"/>
      <c r="H79" s="72">
        <f>IF(OR(OR($N79="",$N79="なし"),$G79=""),"",$G79*N(INDEX('棚卸表'!$G$5:$G$504,$N79)))</f>
        <v/>
      </c>
      <c r="I79" s="34" t="n"/>
      <c r="J79" s="34" t="n"/>
      <c r="K79" s="23" t="n"/>
      <c r="L79" s="23" t="n"/>
      <c r="M79" s="61" t="n"/>
      <c r="N79" s="35">
        <f>IF($B79="","",IFERROR(MATCH($B79,'棚卸表'!$B$5:$B$504,0),"なし"))</f>
        <v/>
      </c>
    </row>
    <row r="80" ht="30" customHeight="1">
      <c r="A80" s="30" t="n"/>
      <c r="B80" s="23" t="n"/>
      <c r="C80" s="33">
        <f>IF($N80="","",IF($N80="なし","※棚卸表にないコード",INDEX('棚卸表'!$C$5:$C$504,$N80)&amp;""))</f>
        <v/>
      </c>
      <c r="D80" s="29">
        <f>IF(OR($N80="",$N80="なし"),"",INDEX('棚卸表'!$E$5:$E$504,$N80)&amp;"")</f>
        <v/>
      </c>
      <c r="E80" s="27">
        <f>IF(OR($N80="",$N80="なし"),"",IF(INDEX('棚卸表'!$L$5:$L$504,$N80)="","",INDEX('棚卸表'!$L$5:$L$504,$N80)))</f>
        <v/>
      </c>
      <c r="F80" s="8" t="n"/>
      <c r="G80" s="25" t="n"/>
      <c r="H80" s="72">
        <f>IF(OR(OR($N80="",$N80="なし"),$G80=""),"",$G80*N(INDEX('棚卸表'!$G$5:$G$504,$N80)))</f>
        <v/>
      </c>
      <c r="I80" s="34" t="n"/>
      <c r="J80" s="34" t="n"/>
      <c r="K80" s="23" t="n"/>
      <c r="L80" s="23" t="n"/>
      <c r="M80" s="61" t="n"/>
      <c r="N80" s="35">
        <f>IF($B80="","",IFERROR(MATCH($B80,'棚卸表'!$B$5:$B$504,0),"なし"))</f>
        <v/>
      </c>
    </row>
    <row r="81" ht="30" customHeight="1">
      <c r="A81" s="30" t="n"/>
      <c r="B81" s="23" t="n"/>
      <c r="C81" s="33">
        <f>IF($N81="","",IF($N81="なし","※棚卸表にないコード",INDEX('棚卸表'!$C$5:$C$504,$N81)&amp;""))</f>
        <v/>
      </c>
      <c r="D81" s="29">
        <f>IF(OR($N81="",$N81="なし"),"",INDEX('棚卸表'!$E$5:$E$504,$N81)&amp;"")</f>
        <v/>
      </c>
      <c r="E81" s="27">
        <f>IF(OR($N81="",$N81="なし"),"",IF(INDEX('棚卸表'!$L$5:$L$504,$N81)="","",INDEX('棚卸表'!$L$5:$L$504,$N81)))</f>
        <v/>
      </c>
      <c r="F81" s="8" t="n"/>
      <c r="G81" s="25" t="n"/>
      <c r="H81" s="72">
        <f>IF(OR(OR($N81="",$N81="なし"),$G81=""),"",$G81*N(INDEX('棚卸表'!$G$5:$G$504,$N81)))</f>
        <v/>
      </c>
      <c r="I81" s="34" t="n"/>
      <c r="J81" s="34" t="n"/>
      <c r="K81" s="23" t="n"/>
      <c r="L81" s="23" t="n"/>
      <c r="M81" s="61" t="n"/>
      <c r="N81" s="35">
        <f>IF($B81="","",IFERROR(MATCH($B81,'棚卸表'!$B$5:$B$504,0),"なし"))</f>
        <v/>
      </c>
    </row>
    <row r="82" ht="30" customHeight="1">
      <c r="A82" s="30" t="n"/>
      <c r="B82" s="23" t="n"/>
      <c r="C82" s="33">
        <f>IF($N82="","",IF($N82="なし","※棚卸表にないコード",INDEX('棚卸表'!$C$5:$C$504,$N82)&amp;""))</f>
        <v/>
      </c>
      <c r="D82" s="29">
        <f>IF(OR($N82="",$N82="なし"),"",INDEX('棚卸表'!$E$5:$E$504,$N82)&amp;"")</f>
        <v/>
      </c>
      <c r="E82" s="27">
        <f>IF(OR($N82="",$N82="なし"),"",IF(INDEX('棚卸表'!$L$5:$L$504,$N82)="","",INDEX('棚卸表'!$L$5:$L$504,$N82)))</f>
        <v/>
      </c>
      <c r="F82" s="8" t="n"/>
      <c r="G82" s="25" t="n"/>
      <c r="H82" s="72">
        <f>IF(OR(OR($N82="",$N82="なし"),$G82=""),"",$G82*N(INDEX('棚卸表'!$G$5:$G$504,$N82)))</f>
        <v/>
      </c>
      <c r="I82" s="34" t="n"/>
      <c r="J82" s="34" t="n"/>
      <c r="K82" s="23" t="n"/>
      <c r="L82" s="23" t="n"/>
      <c r="M82" s="61" t="n"/>
      <c r="N82" s="35">
        <f>IF($B82="","",IFERROR(MATCH($B82,'棚卸表'!$B$5:$B$504,0),"なし"))</f>
        <v/>
      </c>
    </row>
    <row r="83" ht="30" customHeight="1">
      <c r="A83" s="30" t="n"/>
      <c r="B83" s="23" t="n"/>
      <c r="C83" s="33">
        <f>IF($N83="","",IF($N83="なし","※棚卸表にないコード",INDEX('棚卸表'!$C$5:$C$504,$N83)&amp;""))</f>
        <v/>
      </c>
      <c r="D83" s="29">
        <f>IF(OR($N83="",$N83="なし"),"",INDEX('棚卸表'!$E$5:$E$504,$N83)&amp;"")</f>
        <v/>
      </c>
      <c r="E83" s="27">
        <f>IF(OR($N83="",$N83="なし"),"",IF(INDEX('棚卸表'!$L$5:$L$504,$N83)="","",INDEX('棚卸表'!$L$5:$L$504,$N83)))</f>
        <v/>
      </c>
      <c r="F83" s="8" t="n"/>
      <c r="G83" s="25" t="n"/>
      <c r="H83" s="72">
        <f>IF(OR(OR($N83="",$N83="なし"),$G83=""),"",$G83*N(INDEX('棚卸表'!$G$5:$G$504,$N83)))</f>
        <v/>
      </c>
      <c r="I83" s="34" t="n"/>
      <c r="J83" s="34" t="n"/>
      <c r="K83" s="23" t="n"/>
      <c r="L83" s="23" t="n"/>
      <c r="M83" s="61" t="n"/>
      <c r="N83" s="35">
        <f>IF($B83="","",IFERROR(MATCH($B83,'棚卸表'!$B$5:$B$504,0),"なし"))</f>
        <v/>
      </c>
    </row>
    <row r="84" ht="30" customHeight="1">
      <c r="A84" s="30" t="n"/>
      <c r="B84" s="23" t="n"/>
      <c r="C84" s="33">
        <f>IF($N84="","",IF($N84="なし","※棚卸表にないコード",INDEX('棚卸表'!$C$5:$C$504,$N84)&amp;""))</f>
        <v/>
      </c>
      <c r="D84" s="29">
        <f>IF(OR($N84="",$N84="なし"),"",INDEX('棚卸表'!$E$5:$E$504,$N84)&amp;"")</f>
        <v/>
      </c>
      <c r="E84" s="27">
        <f>IF(OR($N84="",$N84="なし"),"",IF(INDEX('棚卸表'!$L$5:$L$504,$N84)="","",INDEX('棚卸表'!$L$5:$L$504,$N84)))</f>
        <v/>
      </c>
      <c r="F84" s="8" t="n"/>
      <c r="G84" s="25" t="n"/>
      <c r="H84" s="72">
        <f>IF(OR(OR($N84="",$N84="なし"),$G84=""),"",$G84*N(INDEX('棚卸表'!$G$5:$G$504,$N84)))</f>
        <v/>
      </c>
      <c r="I84" s="34" t="n"/>
      <c r="J84" s="34" t="n"/>
      <c r="K84" s="23" t="n"/>
      <c r="L84" s="23" t="n"/>
      <c r="M84" s="61" t="n"/>
      <c r="N84" s="35">
        <f>IF($B84="","",IFERROR(MATCH($B84,'棚卸表'!$B$5:$B$504,0),"なし"))</f>
        <v/>
      </c>
    </row>
    <row r="85" ht="30" customHeight="1">
      <c r="A85" s="30" t="n"/>
      <c r="B85" s="23" t="n"/>
      <c r="C85" s="33">
        <f>IF($N85="","",IF($N85="なし","※棚卸表にないコード",INDEX('棚卸表'!$C$5:$C$504,$N85)&amp;""))</f>
        <v/>
      </c>
      <c r="D85" s="29">
        <f>IF(OR($N85="",$N85="なし"),"",INDEX('棚卸表'!$E$5:$E$504,$N85)&amp;"")</f>
        <v/>
      </c>
      <c r="E85" s="27">
        <f>IF(OR($N85="",$N85="なし"),"",IF(INDEX('棚卸表'!$L$5:$L$504,$N85)="","",INDEX('棚卸表'!$L$5:$L$504,$N85)))</f>
        <v/>
      </c>
      <c r="F85" s="8" t="n"/>
      <c r="G85" s="25" t="n"/>
      <c r="H85" s="72">
        <f>IF(OR(OR($N85="",$N85="なし"),$G85=""),"",$G85*N(INDEX('棚卸表'!$G$5:$G$504,$N85)))</f>
        <v/>
      </c>
      <c r="I85" s="34" t="n"/>
      <c r="J85" s="34" t="n"/>
      <c r="K85" s="23" t="n"/>
      <c r="L85" s="23" t="n"/>
      <c r="M85" s="61" t="n"/>
      <c r="N85" s="35">
        <f>IF($B85="","",IFERROR(MATCH($B85,'棚卸表'!$B$5:$B$504,0),"なし"))</f>
        <v/>
      </c>
    </row>
    <row r="86" ht="30" customHeight="1">
      <c r="A86" s="30" t="n"/>
      <c r="B86" s="23" t="n"/>
      <c r="C86" s="33">
        <f>IF($N86="","",IF($N86="なし","※棚卸表にないコード",INDEX('棚卸表'!$C$5:$C$504,$N86)&amp;""))</f>
        <v/>
      </c>
      <c r="D86" s="29">
        <f>IF(OR($N86="",$N86="なし"),"",INDEX('棚卸表'!$E$5:$E$504,$N86)&amp;"")</f>
        <v/>
      </c>
      <c r="E86" s="27">
        <f>IF(OR($N86="",$N86="なし"),"",IF(INDEX('棚卸表'!$L$5:$L$504,$N86)="","",INDEX('棚卸表'!$L$5:$L$504,$N86)))</f>
        <v/>
      </c>
      <c r="F86" s="8" t="n"/>
      <c r="G86" s="25" t="n"/>
      <c r="H86" s="72">
        <f>IF(OR(OR($N86="",$N86="なし"),$G86=""),"",$G86*N(INDEX('棚卸表'!$G$5:$G$504,$N86)))</f>
        <v/>
      </c>
      <c r="I86" s="34" t="n"/>
      <c r="J86" s="34" t="n"/>
      <c r="K86" s="23" t="n"/>
      <c r="L86" s="23" t="n"/>
      <c r="M86" s="61" t="n"/>
      <c r="N86" s="35">
        <f>IF($B86="","",IFERROR(MATCH($B86,'棚卸表'!$B$5:$B$504,0),"なし"))</f>
        <v/>
      </c>
    </row>
    <row r="87" ht="30" customHeight="1">
      <c r="A87" s="30" t="n"/>
      <c r="B87" s="23" t="n"/>
      <c r="C87" s="33">
        <f>IF($N87="","",IF($N87="なし","※棚卸表にないコード",INDEX('棚卸表'!$C$5:$C$504,$N87)&amp;""))</f>
        <v/>
      </c>
      <c r="D87" s="29">
        <f>IF(OR($N87="",$N87="なし"),"",INDEX('棚卸表'!$E$5:$E$504,$N87)&amp;"")</f>
        <v/>
      </c>
      <c r="E87" s="27">
        <f>IF(OR($N87="",$N87="なし"),"",IF(INDEX('棚卸表'!$L$5:$L$504,$N87)="","",INDEX('棚卸表'!$L$5:$L$504,$N87)))</f>
        <v/>
      </c>
      <c r="F87" s="8" t="n"/>
      <c r="G87" s="25" t="n"/>
      <c r="H87" s="72">
        <f>IF(OR(OR($N87="",$N87="なし"),$G87=""),"",$G87*N(INDEX('棚卸表'!$G$5:$G$504,$N87)))</f>
        <v/>
      </c>
      <c r="I87" s="34" t="n"/>
      <c r="J87" s="34" t="n"/>
      <c r="K87" s="23" t="n"/>
      <c r="L87" s="23" t="n"/>
      <c r="M87" s="61" t="n"/>
      <c r="N87" s="35">
        <f>IF($B87="","",IFERROR(MATCH($B87,'棚卸表'!$B$5:$B$504,0),"なし"))</f>
        <v/>
      </c>
    </row>
    <row r="88" ht="30" customHeight="1">
      <c r="A88" s="30" t="n"/>
      <c r="B88" s="23" t="n"/>
      <c r="C88" s="33">
        <f>IF($N88="","",IF($N88="なし","※棚卸表にないコード",INDEX('棚卸表'!$C$5:$C$504,$N88)&amp;""))</f>
        <v/>
      </c>
      <c r="D88" s="29">
        <f>IF(OR($N88="",$N88="なし"),"",INDEX('棚卸表'!$E$5:$E$504,$N88)&amp;"")</f>
        <v/>
      </c>
      <c r="E88" s="27">
        <f>IF(OR($N88="",$N88="なし"),"",IF(INDEX('棚卸表'!$L$5:$L$504,$N88)="","",INDEX('棚卸表'!$L$5:$L$504,$N88)))</f>
        <v/>
      </c>
      <c r="F88" s="8" t="n"/>
      <c r="G88" s="25" t="n"/>
      <c r="H88" s="72">
        <f>IF(OR(OR($N88="",$N88="なし"),$G88=""),"",$G88*N(INDEX('棚卸表'!$G$5:$G$504,$N88)))</f>
        <v/>
      </c>
      <c r="I88" s="34" t="n"/>
      <c r="J88" s="34" t="n"/>
      <c r="K88" s="23" t="n"/>
      <c r="L88" s="23" t="n"/>
      <c r="M88" s="61" t="n"/>
      <c r="N88" s="35">
        <f>IF($B88="","",IFERROR(MATCH($B88,'棚卸表'!$B$5:$B$504,0),"なし"))</f>
        <v/>
      </c>
    </row>
    <row r="89" ht="30" customHeight="1">
      <c r="A89" s="30" t="n"/>
      <c r="B89" s="23" t="n"/>
      <c r="C89" s="33">
        <f>IF($N89="","",IF($N89="なし","※棚卸表にないコード",INDEX('棚卸表'!$C$5:$C$504,$N89)&amp;""))</f>
        <v/>
      </c>
      <c r="D89" s="29">
        <f>IF(OR($N89="",$N89="なし"),"",INDEX('棚卸表'!$E$5:$E$504,$N89)&amp;"")</f>
        <v/>
      </c>
      <c r="E89" s="27">
        <f>IF(OR($N89="",$N89="なし"),"",IF(INDEX('棚卸表'!$L$5:$L$504,$N89)="","",INDEX('棚卸表'!$L$5:$L$504,$N89)))</f>
        <v/>
      </c>
      <c r="F89" s="8" t="n"/>
      <c r="G89" s="25" t="n"/>
      <c r="H89" s="72">
        <f>IF(OR(OR($N89="",$N89="なし"),$G89=""),"",$G89*N(INDEX('棚卸表'!$G$5:$G$504,$N89)))</f>
        <v/>
      </c>
      <c r="I89" s="34" t="n"/>
      <c r="J89" s="34" t="n"/>
      <c r="K89" s="23" t="n"/>
      <c r="L89" s="23" t="n"/>
      <c r="M89" s="61" t="n"/>
      <c r="N89" s="35">
        <f>IF($B89="","",IFERROR(MATCH($B89,'棚卸表'!$B$5:$B$504,0),"なし"))</f>
        <v/>
      </c>
    </row>
    <row r="90" ht="30" customHeight="1">
      <c r="A90" s="30" t="n"/>
      <c r="B90" s="23" t="n"/>
      <c r="C90" s="33">
        <f>IF($N90="","",IF($N90="なし","※棚卸表にないコード",INDEX('棚卸表'!$C$5:$C$504,$N90)&amp;""))</f>
        <v/>
      </c>
      <c r="D90" s="29">
        <f>IF(OR($N90="",$N90="なし"),"",INDEX('棚卸表'!$E$5:$E$504,$N90)&amp;"")</f>
        <v/>
      </c>
      <c r="E90" s="27">
        <f>IF(OR($N90="",$N90="なし"),"",IF(INDEX('棚卸表'!$L$5:$L$504,$N90)="","",INDEX('棚卸表'!$L$5:$L$504,$N90)))</f>
        <v/>
      </c>
      <c r="F90" s="8" t="n"/>
      <c r="G90" s="25" t="n"/>
      <c r="H90" s="72">
        <f>IF(OR(OR($N90="",$N90="なし"),$G90=""),"",$G90*N(INDEX('棚卸表'!$G$5:$G$504,$N90)))</f>
        <v/>
      </c>
      <c r="I90" s="34" t="n"/>
      <c r="J90" s="34" t="n"/>
      <c r="K90" s="23" t="n"/>
      <c r="L90" s="23" t="n"/>
      <c r="M90" s="61" t="n"/>
      <c r="N90" s="35">
        <f>IF($B90="","",IFERROR(MATCH($B90,'棚卸表'!$B$5:$B$504,0),"なし"))</f>
        <v/>
      </c>
    </row>
    <row r="91" ht="30" customHeight="1">
      <c r="A91" s="30" t="n"/>
      <c r="B91" s="23" t="n"/>
      <c r="C91" s="33">
        <f>IF($N91="","",IF($N91="なし","※棚卸表にないコード",INDEX('棚卸表'!$C$5:$C$504,$N91)&amp;""))</f>
        <v/>
      </c>
      <c r="D91" s="29">
        <f>IF(OR($N91="",$N91="なし"),"",INDEX('棚卸表'!$E$5:$E$504,$N91)&amp;"")</f>
        <v/>
      </c>
      <c r="E91" s="27">
        <f>IF(OR($N91="",$N91="なし"),"",IF(INDEX('棚卸表'!$L$5:$L$504,$N91)="","",INDEX('棚卸表'!$L$5:$L$504,$N91)))</f>
        <v/>
      </c>
      <c r="F91" s="8" t="n"/>
      <c r="G91" s="25" t="n"/>
      <c r="H91" s="72">
        <f>IF(OR(OR($N91="",$N91="なし"),$G91=""),"",$G91*N(INDEX('棚卸表'!$G$5:$G$504,$N91)))</f>
        <v/>
      </c>
      <c r="I91" s="34" t="n"/>
      <c r="J91" s="34" t="n"/>
      <c r="K91" s="23" t="n"/>
      <c r="L91" s="23" t="n"/>
      <c r="M91" s="61" t="n"/>
      <c r="N91" s="35">
        <f>IF($B91="","",IFERROR(MATCH($B91,'棚卸表'!$B$5:$B$504,0),"なし"))</f>
        <v/>
      </c>
    </row>
    <row r="92" ht="30" customHeight="1">
      <c r="A92" s="30" t="n"/>
      <c r="B92" s="23" t="n"/>
      <c r="C92" s="33">
        <f>IF($N92="","",IF($N92="なし","※棚卸表にないコード",INDEX('棚卸表'!$C$5:$C$504,$N92)&amp;""))</f>
        <v/>
      </c>
      <c r="D92" s="29">
        <f>IF(OR($N92="",$N92="なし"),"",INDEX('棚卸表'!$E$5:$E$504,$N92)&amp;"")</f>
        <v/>
      </c>
      <c r="E92" s="27">
        <f>IF(OR($N92="",$N92="なし"),"",IF(INDEX('棚卸表'!$L$5:$L$504,$N92)="","",INDEX('棚卸表'!$L$5:$L$504,$N92)))</f>
        <v/>
      </c>
      <c r="F92" s="8" t="n"/>
      <c r="G92" s="25" t="n"/>
      <c r="H92" s="72">
        <f>IF(OR(OR($N92="",$N92="なし"),$G92=""),"",$G92*N(INDEX('棚卸表'!$G$5:$G$504,$N92)))</f>
        <v/>
      </c>
      <c r="I92" s="34" t="n"/>
      <c r="J92" s="34" t="n"/>
      <c r="K92" s="23" t="n"/>
      <c r="L92" s="23" t="n"/>
      <c r="M92" s="61" t="n"/>
      <c r="N92" s="35">
        <f>IF($B92="","",IFERROR(MATCH($B92,'棚卸表'!$B$5:$B$504,0),"なし"))</f>
        <v/>
      </c>
    </row>
    <row r="93" ht="30" customHeight="1">
      <c r="A93" s="30" t="n"/>
      <c r="B93" s="23" t="n"/>
      <c r="C93" s="33">
        <f>IF($N93="","",IF($N93="なし","※棚卸表にないコード",INDEX('棚卸表'!$C$5:$C$504,$N93)&amp;""))</f>
        <v/>
      </c>
      <c r="D93" s="29">
        <f>IF(OR($N93="",$N93="なし"),"",INDEX('棚卸表'!$E$5:$E$504,$N93)&amp;"")</f>
        <v/>
      </c>
      <c r="E93" s="27">
        <f>IF(OR($N93="",$N93="なし"),"",IF(INDEX('棚卸表'!$L$5:$L$504,$N93)="","",INDEX('棚卸表'!$L$5:$L$504,$N93)))</f>
        <v/>
      </c>
      <c r="F93" s="8" t="n"/>
      <c r="G93" s="25" t="n"/>
      <c r="H93" s="72">
        <f>IF(OR(OR($N93="",$N93="なし"),$G93=""),"",$G93*N(INDEX('棚卸表'!$G$5:$G$504,$N93)))</f>
        <v/>
      </c>
      <c r="I93" s="34" t="n"/>
      <c r="J93" s="34" t="n"/>
      <c r="K93" s="23" t="n"/>
      <c r="L93" s="23" t="n"/>
      <c r="M93" s="61" t="n"/>
      <c r="N93" s="35">
        <f>IF($B93="","",IFERROR(MATCH($B93,'棚卸表'!$B$5:$B$504,0),"なし"))</f>
        <v/>
      </c>
    </row>
    <row r="94" ht="30" customHeight="1">
      <c r="A94" s="30" t="n"/>
      <c r="B94" s="23" t="n"/>
      <c r="C94" s="33">
        <f>IF($N94="","",IF($N94="なし","※棚卸表にないコード",INDEX('棚卸表'!$C$5:$C$504,$N94)&amp;""))</f>
        <v/>
      </c>
      <c r="D94" s="29">
        <f>IF(OR($N94="",$N94="なし"),"",INDEX('棚卸表'!$E$5:$E$504,$N94)&amp;"")</f>
        <v/>
      </c>
      <c r="E94" s="27">
        <f>IF(OR($N94="",$N94="なし"),"",IF(INDEX('棚卸表'!$L$5:$L$504,$N94)="","",INDEX('棚卸表'!$L$5:$L$504,$N94)))</f>
        <v/>
      </c>
      <c r="F94" s="8" t="n"/>
      <c r="G94" s="25" t="n"/>
      <c r="H94" s="72">
        <f>IF(OR(OR($N94="",$N94="なし"),$G94=""),"",$G94*N(INDEX('棚卸表'!$G$5:$G$504,$N94)))</f>
        <v/>
      </c>
      <c r="I94" s="34" t="n"/>
      <c r="J94" s="34" t="n"/>
      <c r="K94" s="23" t="n"/>
      <c r="L94" s="23" t="n"/>
      <c r="M94" s="61" t="n"/>
      <c r="N94" s="35">
        <f>IF($B94="","",IFERROR(MATCH($B94,'棚卸表'!$B$5:$B$504,0),"なし"))</f>
        <v/>
      </c>
    </row>
    <row r="95" ht="30" customHeight="1">
      <c r="A95" s="30" t="n"/>
      <c r="B95" s="23" t="n"/>
      <c r="C95" s="33">
        <f>IF($N95="","",IF($N95="なし","※棚卸表にないコード",INDEX('棚卸表'!$C$5:$C$504,$N95)&amp;""))</f>
        <v/>
      </c>
      <c r="D95" s="29">
        <f>IF(OR($N95="",$N95="なし"),"",INDEX('棚卸表'!$E$5:$E$504,$N95)&amp;"")</f>
        <v/>
      </c>
      <c r="E95" s="27">
        <f>IF(OR($N95="",$N95="なし"),"",IF(INDEX('棚卸表'!$L$5:$L$504,$N95)="","",INDEX('棚卸表'!$L$5:$L$504,$N95)))</f>
        <v/>
      </c>
      <c r="F95" s="8" t="n"/>
      <c r="G95" s="25" t="n"/>
      <c r="H95" s="72">
        <f>IF(OR(OR($N95="",$N95="なし"),$G95=""),"",$G95*N(INDEX('棚卸表'!$G$5:$G$504,$N95)))</f>
        <v/>
      </c>
      <c r="I95" s="34" t="n"/>
      <c r="J95" s="34" t="n"/>
      <c r="K95" s="23" t="n"/>
      <c r="L95" s="23" t="n"/>
      <c r="M95" s="61" t="n"/>
      <c r="N95" s="35">
        <f>IF($B95="","",IFERROR(MATCH($B95,'棚卸表'!$B$5:$B$504,0),"なし"))</f>
        <v/>
      </c>
    </row>
    <row r="96" ht="30" customHeight="1">
      <c r="A96" s="30" t="n"/>
      <c r="B96" s="23" t="n"/>
      <c r="C96" s="33">
        <f>IF($N96="","",IF($N96="なし","※棚卸表にないコード",INDEX('棚卸表'!$C$5:$C$504,$N96)&amp;""))</f>
        <v/>
      </c>
      <c r="D96" s="29">
        <f>IF(OR($N96="",$N96="なし"),"",INDEX('棚卸表'!$E$5:$E$504,$N96)&amp;"")</f>
        <v/>
      </c>
      <c r="E96" s="27">
        <f>IF(OR($N96="",$N96="なし"),"",IF(INDEX('棚卸表'!$L$5:$L$504,$N96)="","",INDEX('棚卸表'!$L$5:$L$504,$N96)))</f>
        <v/>
      </c>
      <c r="F96" s="8" t="n"/>
      <c r="G96" s="25" t="n"/>
      <c r="H96" s="72">
        <f>IF(OR(OR($N96="",$N96="なし"),$G96=""),"",$G96*N(INDEX('棚卸表'!$G$5:$G$504,$N96)))</f>
        <v/>
      </c>
      <c r="I96" s="34" t="n"/>
      <c r="J96" s="34" t="n"/>
      <c r="K96" s="23" t="n"/>
      <c r="L96" s="23" t="n"/>
      <c r="M96" s="61" t="n"/>
      <c r="N96" s="35">
        <f>IF($B96="","",IFERROR(MATCH($B96,'棚卸表'!$B$5:$B$504,0),"なし"))</f>
        <v/>
      </c>
    </row>
    <row r="97" ht="30" customHeight="1">
      <c r="A97" s="30" t="n"/>
      <c r="B97" s="23" t="n"/>
      <c r="C97" s="33">
        <f>IF($N97="","",IF($N97="なし","※棚卸表にないコード",INDEX('棚卸表'!$C$5:$C$504,$N97)&amp;""))</f>
        <v/>
      </c>
      <c r="D97" s="29">
        <f>IF(OR($N97="",$N97="なし"),"",INDEX('棚卸表'!$E$5:$E$504,$N97)&amp;"")</f>
        <v/>
      </c>
      <c r="E97" s="27">
        <f>IF(OR($N97="",$N97="なし"),"",IF(INDEX('棚卸表'!$L$5:$L$504,$N97)="","",INDEX('棚卸表'!$L$5:$L$504,$N97)))</f>
        <v/>
      </c>
      <c r="F97" s="8" t="n"/>
      <c r="G97" s="25" t="n"/>
      <c r="H97" s="72">
        <f>IF(OR(OR($N97="",$N97="なし"),$G97=""),"",$G97*N(INDEX('棚卸表'!$G$5:$G$504,$N97)))</f>
        <v/>
      </c>
      <c r="I97" s="34" t="n"/>
      <c r="J97" s="34" t="n"/>
      <c r="K97" s="23" t="n"/>
      <c r="L97" s="23" t="n"/>
      <c r="M97" s="61" t="n"/>
      <c r="N97" s="35">
        <f>IF($B97="","",IFERROR(MATCH($B97,'棚卸表'!$B$5:$B$504,0),"なし"))</f>
        <v/>
      </c>
    </row>
    <row r="98" ht="30" customHeight="1">
      <c r="A98" s="30" t="n"/>
      <c r="B98" s="23" t="n"/>
      <c r="C98" s="33">
        <f>IF($N98="","",IF($N98="なし","※棚卸表にないコード",INDEX('棚卸表'!$C$5:$C$504,$N98)&amp;""))</f>
        <v/>
      </c>
      <c r="D98" s="29">
        <f>IF(OR($N98="",$N98="なし"),"",INDEX('棚卸表'!$E$5:$E$504,$N98)&amp;"")</f>
        <v/>
      </c>
      <c r="E98" s="27">
        <f>IF(OR($N98="",$N98="なし"),"",IF(INDEX('棚卸表'!$L$5:$L$504,$N98)="","",INDEX('棚卸表'!$L$5:$L$504,$N98)))</f>
        <v/>
      </c>
      <c r="F98" s="8" t="n"/>
      <c r="G98" s="25" t="n"/>
      <c r="H98" s="72">
        <f>IF(OR(OR($N98="",$N98="なし"),$G98=""),"",$G98*N(INDEX('棚卸表'!$G$5:$G$504,$N98)))</f>
        <v/>
      </c>
      <c r="I98" s="34" t="n"/>
      <c r="J98" s="34" t="n"/>
      <c r="K98" s="23" t="n"/>
      <c r="L98" s="23" t="n"/>
      <c r="M98" s="61" t="n"/>
      <c r="N98" s="35">
        <f>IF($B98="","",IFERROR(MATCH($B98,'棚卸表'!$B$5:$B$504,0),"なし"))</f>
        <v/>
      </c>
    </row>
    <row r="99" ht="30" customHeight="1">
      <c r="A99" s="30" t="n"/>
      <c r="B99" s="23" t="n"/>
      <c r="C99" s="33">
        <f>IF($N99="","",IF($N99="なし","※棚卸表にないコード",INDEX('棚卸表'!$C$5:$C$504,$N99)&amp;""))</f>
        <v/>
      </c>
      <c r="D99" s="29">
        <f>IF(OR($N99="",$N99="なし"),"",INDEX('棚卸表'!$E$5:$E$504,$N99)&amp;"")</f>
        <v/>
      </c>
      <c r="E99" s="27">
        <f>IF(OR($N99="",$N99="なし"),"",IF(INDEX('棚卸表'!$L$5:$L$504,$N99)="","",INDEX('棚卸表'!$L$5:$L$504,$N99)))</f>
        <v/>
      </c>
      <c r="F99" s="8" t="n"/>
      <c r="G99" s="25" t="n"/>
      <c r="H99" s="72">
        <f>IF(OR(OR($N99="",$N99="なし"),$G99=""),"",$G99*N(INDEX('棚卸表'!$G$5:$G$504,$N99)))</f>
        <v/>
      </c>
      <c r="I99" s="34" t="n"/>
      <c r="J99" s="34" t="n"/>
      <c r="K99" s="23" t="n"/>
      <c r="L99" s="23" t="n"/>
      <c r="M99" s="61" t="n"/>
      <c r="N99" s="35">
        <f>IF($B99="","",IFERROR(MATCH($B99,'棚卸表'!$B$5:$B$504,0),"なし"))</f>
        <v/>
      </c>
    </row>
    <row r="100" ht="30" customHeight="1">
      <c r="A100" s="30" t="n"/>
      <c r="B100" s="23" t="n"/>
      <c r="C100" s="33">
        <f>IF($N100="","",IF($N100="なし","※棚卸表にないコード",INDEX('棚卸表'!$C$5:$C$504,$N100)&amp;""))</f>
        <v/>
      </c>
      <c r="D100" s="29">
        <f>IF(OR($N100="",$N100="なし"),"",INDEX('棚卸表'!$E$5:$E$504,$N100)&amp;"")</f>
        <v/>
      </c>
      <c r="E100" s="27">
        <f>IF(OR($N100="",$N100="なし"),"",IF(INDEX('棚卸表'!$L$5:$L$504,$N100)="","",INDEX('棚卸表'!$L$5:$L$504,$N100)))</f>
        <v/>
      </c>
      <c r="F100" s="8" t="n"/>
      <c r="G100" s="25" t="n"/>
      <c r="H100" s="72">
        <f>IF(OR(OR($N100="",$N100="なし"),$G100=""),"",$G100*N(INDEX('棚卸表'!$G$5:$G$504,$N100)))</f>
        <v/>
      </c>
      <c r="I100" s="34" t="n"/>
      <c r="J100" s="34" t="n"/>
      <c r="K100" s="23" t="n"/>
      <c r="L100" s="23" t="n"/>
      <c r="M100" s="61" t="n"/>
      <c r="N100" s="35">
        <f>IF($B100="","",IFERROR(MATCH($B100,'棚卸表'!$B$5:$B$504,0),"なし"))</f>
        <v/>
      </c>
    </row>
    <row r="101" ht="30" customHeight="1">
      <c r="A101" s="30" t="n"/>
      <c r="B101" s="23" t="n"/>
      <c r="C101" s="33">
        <f>IF($N101="","",IF($N101="なし","※棚卸表にないコード",INDEX('棚卸表'!$C$5:$C$504,$N101)&amp;""))</f>
        <v/>
      </c>
      <c r="D101" s="29">
        <f>IF(OR($N101="",$N101="なし"),"",INDEX('棚卸表'!$E$5:$E$504,$N101)&amp;"")</f>
        <v/>
      </c>
      <c r="E101" s="27">
        <f>IF(OR($N101="",$N101="なし"),"",IF(INDEX('棚卸表'!$L$5:$L$504,$N101)="","",INDEX('棚卸表'!$L$5:$L$504,$N101)))</f>
        <v/>
      </c>
      <c r="F101" s="8" t="n"/>
      <c r="G101" s="25" t="n"/>
      <c r="H101" s="72">
        <f>IF(OR(OR($N101="",$N101="なし"),$G101=""),"",$G101*N(INDEX('棚卸表'!$G$5:$G$504,$N101)))</f>
        <v/>
      </c>
      <c r="I101" s="34" t="n"/>
      <c r="J101" s="34" t="n"/>
      <c r="K101" s="23" t="n"/>
      <c r="L101" s="23" t="n"/>
      <c r="M101" s="61" t="n"/>
      <c r="N101" s="35">
        <f>IF($B101="","",IFERROR(MATCH($B101,'棚卸表'!$B$5:$B$504,0),"なし"))</f>
        <v/>
      </c>
    </row>
    <row r="102" ht="30" customHeight="1">
      <c r="A102" s="30" t="n"/>
      <c r="B102" s="23" t="n"/>
      <c r="C102" s="33">
        <f>IF($N102="","",IF($N102="なし","※棚卸表にないコード",INDEX('棚卸表'!$C$5:$C$504,$N102)&amp;""))</f>
        <v/>
      </c>
      <c r="D102" s="29">
        <f>IF(OR($N102="",$N102="なし"),"",INDEX('棚卸表'!$E$5:$E$504,$N102)&amp;"")</f>
        <v/>
      </c>
      <c r="E102" s="27">
        <f>IF(OR($N102="",$N102="なし"),"",IF(INDEX('棚卸表'!$L$5:$L$504,$N102)="","",INDEX('棚卸表'!$L$5:$L$504,$N102)))</f>
        <v/>
      </c>
      <c r="F102" s="8" t="n"/>
      <c r="G102" s="25" t="n"/>
      <c r="H102" s="72">
        <f>IF(OR(OR($N102="",$N102="なし"),$G102=""),"",$G102*N(INDEX('棚卸表'!$G$5:$G$504,$N102)))</f>
        <v/>
      </c>
      <c r="I102" s="34" t="n"/>
      <c r="J102" s="34" t="n"/>
      <c r="K102" s="23" t="n"/>
      <c r="L102" s="23" t="n"/>
      <c r="M102" s="61" t="n"/>
      <c r="N102" s="35">
        <f>IF($B102="","",IFERROR(MATCH($B102,'棚卸表'!$B$5:$B$504,0),"なし"))</f>
        <v/>
      </c>
    </row>
    <row r="103" ht="30" customHeight="1">
      <c r="A103" s="30" t="n"/>
      <c r="B103" s="23" t="n"/>
      <c r="C103" s="33">
        <f>IF($N103="","",IF($N103="なし","※棚卸表にないコード",INDEX('棚卸表'!$C$5:$C$504,$N103)&amp;""))</f>
        <v/>
      </c>
      <c r="D103" s="29">
        <f>IF(OR($N103="",$N103="なし"),"",INDEX('棚卸表'!$E$5:$E$504,$N103)&amp;"")</f>
        <v/>
      </c>
      <c r="E103" s="27">
        <f>IF(OR($N103="",$N103="なし"),"",IF(INDEX('棚卸表'!$L$5:$L$504,$N103)="","",INDEX('棚卸表'!$L$5:$L$504,$N103)))</f>
        <v/>
      </c>
      <c r="F103" s="8" t="n"/>
      <c r="G103" s="25" t="n"/>
      <c r="H103" s="72">
        <f>IF(OR(OR($N103="",$N103="なし"),$G103=""),"",$G103*N(INDEX('棚卸表'!$G$5:$G$504,$N103)))</f>
        <v/>
      </c>
      <c r="I103" s="34" t="n"/>
      <c r="J103" s="34" t="n"/>
      <c r="K103" s="23" t="n"/>
      <c r="L103" s="23" t="n"/>
      <c r="M103" s="61" t="n"/>
      <c r="N103" s="35">
        <f>IF($B103="","",IFERROR(MATCH($B103,'棚卸表'!$B$5:$B$504,0),"なし"))</f>
        <v/>
      </c>
    </row>
    <row r="104" ht="30" customHeight="1">
      <c r="A104" s="30" t="n"/>
      <c r="B104" s="23" t="n"/>
      <c r="C104" s="33">
        <f>IF($N104="","",IF($N104="なし","※棚卸表にないコード",INDEX('棚卸表'!$C$5:$C$504,$N104)&amp;""))</f>
        <v/>
      </c>
      <c r="D104" s="29">
        <f>IF(OR($N104="",$N104="なし"),"",INDEX('棚卸表'!$E$5:$E$504,$N104)&amp;"")</f>
        <v/>
      </c>
      <c r="E104" s="27">
        <f>IF(OR($N104="",$N104="なし"),"",IF(INDEX('棚卸表'!$L$5:$L$504,$N104)="","",INDEX('棚卸表'!$L$5:$L$504,$N104)))</f>
        <v/>
      </c>
      <c r="F104" s="8" t="n"/>
      <c r="G104" s="25" t="n"/>
      <c r="H104" s="72">
        <f>IF(OR(OR($N104="",$N104="なし"),$G104=""),"",$G104*N(INDEX('棚卸表'!$G$5:$G$504,$N104)))</f>
        <v/>
      </c>
      <c r="I104" s="34" t="n"/>
      <c r="J104" s="34" t="n"/>
      <c r="K104" s="23" t="n"/>
      <c r="L104" s="23" t="n"/>
      <c r="M104" s="61" t="n"/>
      <c r="N104" s="35">
        <f>IF($B104="","",IFERROR(MATCH($B104,'棚卸表'!$B$5:$B$504,0),"なし"))</f>
        <v/>
      </c>
    </row>
    <row r="105" ht="30" customHeight="1">
      <c r="A105" s="30" t="n"/>
      <c r="B105" s="23" t="n"/>
      <c r="C105" s="33">
        <f>IF($N105="","",IF($N105="なし","※棚卸表にないコード",INDEX('棚卸表'!$C$5:$C$504,$N105)&amp;""))</f>
        <v/>
      </c>
      <c r="D105" s="29">
        <f>IF(OR($N105="",$N105="なし"),"",INDEX('棚卸表'!$E$5:$E$504,$N105)&amp;"")</f>
        <v/>
      </c>
      <c r="E105" s="27">
        <f>IF(OR($N105="",$N105="なし"),"",IF(INDEX('棚卸表'!$L$5:$L$504,$N105)="","",INDEX('棚卸表'!$L$5:$L$504,$N105)))</f>
        <v/>
      </c>
      <c r="F105" s="8" t="n"/>
      <c r="G105" s="25" t="n"/>
      <c r="H105" s="72">
        <f>IF(OR(OR($N105="",$N105="なし"),$G105=""),"",$G105*N(INDEX('棚卸表'!$G$5:$G$504,$N105)))</f>
        <v/>
      </c>
      <c r="I105" s="34" t="n"/>
      <c r="J105" s="34" t="n"/>
      <c r="K105" s="23" t="n"/>
      <c r="L105" s="23" t="n"/>
      <c r="M105" s="61" t="n"/>
      <c r="N105" s="35">
        <f>IF($B105="","",IFERROR(MATCH($B105,'棚卸表'!$B$5:$B$504,0),"なし"))</f>
        <v/>
      </c>
    </row>
    <row r="106" ht="30" customHeight="1">
      <c r="A106" s="30" t="n"/>
      <c r="B106" s="23" t="n"/>
      <c r="C106" s="33">
        <f>IF($N106="","",IF($N106="なし","※棚卸表にないコード",INDEX('棚卸表'!$C$5:$C$504,$N106)&amp;""))</f>
        <v/>
      </c>
      <c r="D106" s="29">
        <f>IF(OR($N106="",$N106="なし"),"",INDEX('棚卸表'!$E$5:$E$504,$N106)&amp;"")</f>
        <v/>
      </c>
      <c r="E106" s="27">
        <f>IF(OR($N106="",$N106="なし"),"",IF(INDEX('棚卸表'!$L$5:$L$504,$N106)="","",INDEX('棚卸表'!$L$5:$L$504,$N106)))</f>
        <v/>
      </c>
      <c r="F106" s="8" t="n"/>
      <c r="G106" s="25" t="n"/>
      <c r="H106" s="72">
        <f>IF(OR(OR($N106="",$N106="なし"),$G106=""),"",$G106*N(INDEX('棚卸表'!$G$5:$G$504,$N106)))</f>
        <v/>
      </c>
      <c r="I106" s="34" t="n"/>
      <c r="J106" s="34" t="n"/>
      <c r="K106" s="23" t="n"/>
      <c r="L106" s="23" t="n"/>
      <c r="M106" s="61" t="n"/>
      <c r="N106" s="35">
        <f>IF($B106="","",IFERROR(MATCH($B106,'棚卸表'!$B$5:$B$504,0),"なし"))</f>
        <v/>
      </c>
    </row>
    <row r="107" ht="30" customHeight="1">
      <c r="A107" s="30" t="n"/>
      <c r="B107" s="23" t="n"/>
      <c r="C107" s="33">
        <f>IF($N107="","",IF($N107="なし","※棚卸表にないコード",INDEX('棚卸表'!$C$5:$C$504,$N107)&amp;""))</f>
        <v/>
      </c>
      <c r="D107" s="29">
        <f>IF(OR($N107="",$N107="なし"),"",INDEX('棚卸表'!$E$5:$E$504,$N107)&amp;"")</f>
        <v/>
      </c>
      <c r="E107" s="27">
        <f>IF(OR($N107="",$N107="なし"),"",IF(INDEX('棚卸表'!$L$5:$L$504,$N107)="","",INDEX('棚卸表'!$L$5:$L$504,$N107)))</f>
        <v/>
      </c>
      <c r="F107" s="8" t="n"/>
      <c r="G107" s="25" t="n"/>
      <c r="H107" s="72">
        <f>IF(OR(OR($N107="",$N107="なし"),$G107=""),"",$G107*N(INDEX('棚卸表'!$G$5:$G$504,$N107)))</f>
        <v/>
      </c>
      <c r="I107" s="34" t="n"/>
      <c r="J107" s="34" t="n"/>
      <c r="K107" s="23" t="n"/>
      <c r="L107" s="23" t="n"/>
      <c r="M107" s="61" t="n"/>
      <c r="N107" s="35">
        <f>IF($B107="","",IFERROR(MATCH($B107,'棚卸表'!$B$5:$B$504,0),"なし"))</f>
        <v/>
      </c>
    </row>
    <row r="108" ht="30" customHeight="1">
      <c r="A108" s="30" t="n"/>
      <c r="B108" s="23" t="n"/>
      <c r="C108" s="33">
        <f>IF($N108="","",IF($N108="なし","※棚卸表にないコード",INDEX('棚卸表'!$C$5:$C$504,$N108)&amp;""))</f>
        <v/>
      </c>
      <c r="D108" s="29">
        <f>IF(OR($N108="",$N108="なし"),"",INDEX('棚卸表'!$E$5:$E$504,$N108)&amp;"")</f>
        <v/>
      </c>
      <c r="E108" s="27">
        <f>IF(OR($N108="",$N108="なし"),"",IF(INDEX('棚卸表'!$L$5:$L$504,$N108)="","",INDEX('棚卸表'!$L$5:$L$504,$N108)))</f>
        <v/>
      </c>
      <c r="F108" s="8" t="n"/>
      <c r="G108" s="25" t="n"/>
      <c r="H108" s="72">
        <f>IF(OR(OR($N108="",$N108="なし"),$G108=""),"",$G108*N(INDEX('棚卸表'!$G$5:$G$504,$N108)))</f>
        <v/>
      </c>
      <c r="I108" s="34" t="n"/>
      <c r="J108" s="34" t="n"/>
      <c r="K108" s="23" t="n"/>
      <c r="L108" s="23" t="n"/>
      <c r="M108" s="61" t="n"/>
      <c r="N108" s="35">
        <f>IF($B108="","",IFERROR(MATCH($B108,'棚卸表'!$B$5:$B$504,0),"なし"))</f>
        <v/>
      </c>
    </row>
    <row r="109" ht="30" customHeight="1">
      <c r="A109" s="30" t="n"/>
      <c r="B109" s="23" t="n"/>
      <c r="C109" s="33">
        <f>IF($N109="","",IF($N109="なし","※棚卸表にないコード",INDEX('棚卸表'!$C$5:$C$504,$N109)&amp;""))</f>
        <v/>
      </c>
      <c r="D109" s="29">
        <f>IF(OR($N109="",$N109="なし"),"",INDEX('棚卸表'!$E$5:$E$504,$N109)&amp;"")</f>
        <v/>
      </c>
      <c r="E109" s="27">
        <f>IF(OR($N109="",$N109="なし"),"",IF(INDEX('棚卸表'!$L$5:$L$504,$N109)="","",INDEX('棚卸表'!$L$5:$L$504,$N109)))</f>
        <v/>
      </c>
      <c r="F109" s="8" t="n"/>
      <c r="G109" s="25" t="n"/>
      <c r="H109" s="72">
        <f>IF(OR(OR($N109="",$N109="なし"),$G109=""),"",$G109*N(INDEX('棚卸表'!$G$5:$G$504,$N109)))</f>
        <v/>
      </c>
      <c r="I109" s="34" t="n"/>
      <c r="J109" s="34" t="n"/>
      <c r="K109" s="23" t="n"/>
      <c r="L109" s="23" t="n"/>
      <c r="M109" s="61" t="n"/>
      <c r="N109" s="35">
        <f>IF($B109="","",IFERROR(MATCH($B109,'棚卸表'!$B$5:$B$504,0),"なし"))</f>
        <v/>
      </c>
    </row>
    <row r="110" ht="30" customHeight="1">
      <c r="A110" s="30" t="n"/>
      <c r="B110" s="23" t="n"/>
      <c r="C110" s="33">
        <f>IF($N110="","",IF($N110="なし","※棚卸表にないコード",INDEX('棚卸表'!$C$5:$C$504,$N110)&amp;""))</f>
        <v/>
      </c>
      <c r="D110" s="29">
        <f>IF(OR($N110="",$N110="なし"),"",INDEX('棚卸表'!$E$5:$E$504,$N110)&amp;"")</f>
        <v/>
      </c>
      <c r="E110" s="27">
        <f>IF(OR($N110="",$N110="なし"),"",IF(INDEX('棚卸表'!$L$5:$L$504,$N110)="","",INDEX('棚卸表'!$L$5:$L$504,$N110)))</f>
        <v/>
      </c>
      <c r="F110" s="8" t="n"/>
      <c r="G110" s="25" t="n"/>
      <c r="H110" s="72">
        <f>IF(OR(OR($N110="",$N110="なし"),$G110=""),"",$G110*N(INDEX('棚卸表'!$G$5:$G$504,$N110)))</f>
        <v/>
      </c>
      <c r="I110" s="34" t="n"/>
      <c r="J110" s="34" t="n"/>
      <c r="K110" s="23" t="n"/>
      <c r="L110" s="23" t="n"/>
      <c r="M110" s="61" t="n"/>
      <c r="N110" s="35">
        <f>IF($B110="","",IFERROR(MATCH($B110,'棚卸表'!$B$5:$B$504,0),"なし"))</f>
        <v/>
      </c>
    </row>
    <row r="111" ht="30" customHeight="1">
      <c r="A111" s="30" t="n"/>
      <c r="B111" s="23" t="n"/>
      <c r="C111" s="33">
        <f>IF($N111="","",IF($N111="なし","※棚卸表にないコード",INDEX('棚卸表'!$C$5:$C$504,$N111)&amp;""))</f>
        <v/>
      </c>
      <c r="D111" s="29">
        <f>IF(OR($N111="",$N111="なし"),"",INDEX('棚卸表'!$E$5:$E$504,$N111)&amp;"")</f>
        <v/>
      </c>
      <c r="E111" s="27">
        <f>IF(OR($N111="",$N111="なし"),"",IF(INDEX('棚卸表'!$L$5:$L$504,$N111)="","",INDEX('棚卸表'!$L$5:$L$504,$N111)))</f>
        <v/>
      </c>
      <c r="F111" s="8" t="n"/>
      <c r="G111" s="25" t="n"/>
      <c r="H111" s="72">
        <f>IF(OR(OR($N111="",$N111="なし"),$G111=""),"",$G111*N(INDEX('棚卸表'!$G$5:$G$504,$N111)))</f>
        <v/>
      </c>
      <c r="I111" s="34" t="n"/>
      <c r="J111" s="34" t="n"/>
      <c r="K111" s="23" t="n"/>
      <c r="L111" s="23" t="n"/>
      <c r="M111" s="61" t="n"/>
      <c r="N111" s="35">
        <f>IF($B111="","",IFERROR(MATCH($B111,'棚卸表'!$B$5:$B$504,0),"なし"))</f>
        <v/>
      </c>
    </row>
    <row r="112" ht="30" customHeight="1">
      <c r="A112" s="30" t="n"/>
      <c r="B112" s="23" t="n"/>
      <c r="C112" s="33">
        <f>IF($N112="","",IF($N112="なし","※棚卸表にないコード",INDEX('棚卸表'!$C$5:$C$504,$N112)&amp;""))</f>
        <v/>
      </c>
      <c r="D112" s="29">
        <f>IF(OR($N112="",$N112="なし"),"",INDEX('棚卸表'!$E$5:$E$504,$N112)&amp;"")</f>
        <v/>
      </c>
      <c r="E112" s="27">
        <f>IF(OR($N112="",$N112="なし"),"",IF(INDEX('棚卸表'!$L$5:$L$504,$N112)="","",INDEX('棚卸表'!$L$5:$L$504,$N112)))</f>
        <v/>
      </c>
      <c r="F112" s="8" t="n"/>
      <c r="G112" s="25" t="n"/>
      <c r="H112" s="72">
        <f>IF(OR(OR($N112="",$N112="なし"),$G112=""),"",$G112*N(INDEX('棚卸表'!$G$5:$G$504,$N112)))</f>
        <v/>
      </c>
      <c r="I112" s="34" t="n"/>
      <c r="J112" s="34" t="n"/>
      <c r="K112" s="23" t="n"/>
      <c r="L112" s="23" t="n"/>
      <c r="M112" s="61" t="n"/>
      <c r="N112" s="35">
        <f>IF($B112="","",IFERROR(MATCH($B112,'棚卸表'!$B$5:$B$504,0),"なし"))</f>
        <v/>
      </c>
    </row>
    <row r="113" ht="30" customHeight="1">
      <c r="A113" s="30" t="n"/>
      <c r="B113" s="23" t="n"/>
      <c r="C113" s="33">
        <f>IF($N113="","",IF($N113="なし","※棚卸表にないコード",INDEX('棚卸表'!$C$5:$C$504,$N113)&amp;""))</f>
        <v/>
      </c>
      <c r="D113" s="29">
        <f>IF(OR($N113="",$N113="なし"),"",INDEX('棚卸表'!$E$5:$E$504,$N113)&amp;"")</f>
        <v/>
      </c>
      <c r="E113" s="27">
        <f>IF(OR($N113="",$N113="なし"),"",IF(INDEX('棚卸表'!$L$5:$L$504,$N113)="","",INDEX('棚卸表'!$L$5:$L$504,$N113)))</f>
        <v/>
      </c>
      <c r="F113" s="8" t="n"/>
      <c r="G113" s="25" t="n"/>
      <c r="H113" s="72">
        <f>IF(OR(OR($N113="",$N113="なし"),$G113=""),"",$G113*N(INDEX('棚卸表'!$G$5:$G$504,$N113)))</f>
        <v/>
      </c>
      <c r="I113" s="34" t="n"/>
      <c r="J113" s="34" t="n"/>
      <c r="K113" s="23" t="n"/>
      <c r="L113" s="23" t="n"/>
      <c r="M113" s="61" t="n"/>
      <c r="N113" s="35">
        <f>IF($B113="","",IFERROR(MATCH($B113,'棚卸表'!$B$5:$B$504,0),"なし"))</f>
        <v/>
      </c>
    </row>
    <row r="114" ht="30" customHeight="1">
      <c r="A114" s="30" t="n"/>
      <c r="B114" s="23" t="n"/>
      <c r="C114" s="33">
        <f>IF($N114="","",IF($N114="なし","※棚卸表にないコード",INDEX('棚卸表'!$C$5:$C$504,$N114)&amp;""))</f>
        <v/>
      </c>
      <c r="D114" s="29">
        <f>IF(OR($N114="",$N114="なし"),"",INDEX('棚卸表'!$E$5:$E$504,$N114)&amp;"")</f>
        <v/>
      </c>
      <c r="E114" s="27">
        <f>IF(OR($N114="",$N114="なし"),"",IF(INDEX('棚卸表'!$L$5:$L$504,$N114)="","",INDEX('棚卸表'!$L$5:$L$504,$N114)))</f>
        <v/>
      </c>
      <c r="F114" s="8" t="n"/>
      <c r="G114" s="25" t="n"/>
      <c r="H114" s="72">
        <f>IF(OR(OR($N114="",$N114="なし"),$G114=""),"",$G114*N(INDEX('棚卸表'!$G$5:$G$504,$N114)))</f>
        <v/>
      </c>
      <c r="I114" s="34" t="n"/>
      <c r="J114" s="34" t="n"/>
      <c r="K114" s="23" t="n"/>
      <c r="L114" s="23" t="n"/>
      <c r="M114" s="61" t="n"/>
      <c r="N114" s="35">
        <f>IF($B114="","",IFERROR(MATCH($B114,'棚卸表'!$B$5:$B$504,0),"なし"))</f>
        <v/>
      </c>
    </row>
    <row r="115" ht="30" customHeight="1">
      <c r="A115" s="30" t="n"/>
      <c r="B115" s="23" t="n"/>
      <c r="C115" s="33">
        <f>IF($N115="","",IF($N115="なし","※棚卸表にないコード",INDEX('棚卸表'!$C$5:$C$504,$N115)&amp;""))</f>
        <v/>
      </c>
      <c r="D115" s="29">
        <f>IF(OR($N115="",$N115="なし"),"",INDEX('棚卸表'!$E$5:$E$504,$N115)&amp;"")</f>
        <v/>
      </c>
      <c r="E115" s="27">
        <f>IF(OR($N115="",$N115="なし"),"",IF(INDEX('棚卸表'!$L$5:$L$504,$N115)="","",INDEX('棚卸表'!$L$5:$L$504,$N115)))</f>
        <v/>
      </c>
      <c r="F115" s="8" t="n"/>
      <c r="G115" s="25" t="n"/>
      <c r="H115" s="72">
        <f>IF(OR(OR($N115="",$N115="なし"),$G115=""),"",$G115*N(INDEX('棚卸表'!$G$5:$G$504,$N115)))</f>
        <v/>
      </c>
      <c r="I115" s="34" t="n"/>
      <c r="J115" s="34" t="n"/>
      <c r="K115" s="23" t="n"/>
      <c r="L115" s="23" t="n"/>
      <c r="M115" s="61" t="n"/>
      <c r="N115" s="35">
        <f>IF($B115="","",IFERROR(MATCH($B115,'棚卸表'!$B$5:$B$504,0),"なし"))</f>
        <v/>
      </c>
    </row>
    <row r="116" ht="30" customHeight="1">
      <c r="A116" s="30" t="n"/>
      <c r="B116" s="23" t="n"/>
      <c r="C116" s="33">
        <f>IF($N116="","",IF($N116="なし","※棚卸表にないコード",INDEX('棚卸表'!$C$5:$C$504,$N116)&amp;""))</f>
        <v/>
      </c>
      <c r="D116" s="29">
        <f>IF(OR($N116="",$N116="なし"),"",INDEX('棚卸表'!$E$5:$E$504,$N116)&amp;"")</f>
        <v/>
      </c>
      <c r="E116" s="27">
        <f>IF(OR($N116="",$N116="なし"),"",IF(INDEX('棚卸表'!$L$5:$L$504,$N116)="","",INDEX('棚卸表'!$L$5:$L$504,$N116)))</f>
        <v/>
      </c>
      <c r="F116" s="8" t="n"/>
      <c r="G116" s="25" t="n"/>
      <c r="H116" s="72">
        <f>IF(OR(OR($N116="",$N116="なし"),$G116=""),"",$G116*N(INDEX('棚卸表'!$G$5:$G$504,$N116)))</f>
        <v/>
      </c>
      <c r="I116" s="34" t="n"/>
      <c r="J116" s="34" t="n"/>
      <c r="K116" s="23" t="n"/>
      <c r="L116" s="23" t="n"/>
      <c r="M116" s="61" t="n"/>
      <c r="N116" s="35">
        <f>IF($B116="","",IFERROR(MATCH($B116,'棚卸表'!$B$5:$B$504,0),"なし"))</f>
        <v/>
      </c>
    </row>
    <row r="117" ht="30" customHeight="1">
      <c r="A117" s="30" t="n"/>
      <c r="B117" s="23" t="n"/>
      <c r="C117" s="33">
        <f>IF($N117="","",IF($N117="なし","※棚卸表にないコード",INDEX('棚卸表'!$C$5:$C$504,$N117)&amp;""))</f>
        <v/>
      </c>
      <c r="D117" s="29">
        <f>IF(OR($N117="",$N117="なし"),"",INDEX('棚卸表'!$E$5:$E$504,$N117)&amp;"")</f>
        <v/>
      </c>
      <c r="E117" s="27">
        <f>IF(OR($N117="",$N117="なし"),"",IF(INDEX('棚卸表'!$L$5:$L$504,$N117)="","",INDEX('棚卸表'!$L$5:$L$504,$N117)))</f>
        <v/>
      </c>
      <c r="F117" s="8" t="n"/>
      <c r="G117" s="25" t="n"/>
      <c r="H117" s="72">
        <f>IF(OR(OR($N117="",$N117="なし"),$G117=""),"",$G117*N(INDEX('棚卸表'!$G$5:$G$504,$N117)))</f>
        <v/>
      </c>
      <c r="I117" s="34" t="n"/>
      <c r="J117" s="34" t="n"/>
      <c r="K117" s="23" t="n"/>
      <c r="L117" s="23" t="n"/>
      <c r="M117" s="61" t="n"/>
      <c r="N117" s="35">
        <f>IF($B117="","",IFERROR(MATCH($B117,'棚卸表'!$B$5:$B$504,0),"なし"))</f>
        <v/>
      </c>
    </row>
    <row r="118" ht="30" customHeight="1">
      <c r="A118" s="30" t="n"/>
      <c r="B118" s="23" t="n"/>
      <c r="C118" s="33">
        <f>IF($N118="","",IF($N118="なし","※棚卸表にないコード",INDEX('棚卸表'!$C$5:$C$504,$N118)&amp;""))</f>
        <v/>
      </c>
      <c r="D118" s="29">
        <f>IF(OR($N118="",$N118="なし"),"",INDEX('棚卸表'!$E$5:$E$504,$N118)&amp;"")</f>
        <v/>
      </c>
      <c r="E118" s="27">
        <f>IF(OR($N118="",$N118="なし"),"",IF(INDEX('棚卸表'!$L$5:$L$504,$N118)="","",INDEX('棚卸表'!$L$5:$L$504,$N118)))</f>
        <v/>
      </c>
      <c r="F118" s="8" t="n"/>
      <c r="G118" s="25" t="n"/>
      <c r="H118" s="72">
        <f>IF(OR(OR($N118="",$N118="なし"),$G118=""),"",$G118*N(INDEX('棚卸表'!$G$5:$G$504,$N118)))</f>
        <v/>
      </c>
      <c r="I118" s="34" t="n"/>
      <c r="J118" s="34" t="n"/>
      <c r="K118" s="23" t="n"/>
      <c r="L118" s="23" t="n"/>
      <c r="M118" s="61" t="n"/>
      <c r="N118" s="35">
        <f>IF($B118="","",IFERROR(MATCH($B118,'棚卸表'!$B$5:$B$504,0),"なし"))</f>
        <v/>
      </c>
    </row>
    <row r="119" ht="30" customHeight="1">
      <c r="A119" s="30" t="n"/>
      <c r="B119" s="23" t="n"/>
      <c r="C119" s="33">
        <f>IF($N119="","",IF($N119="なし","※棚卸表にないコード",INDEX('棚卸表'!$C$5:$C$504,$N119)&amp;""))</f>
        <v/>
      </c>
      <c r="D119" s="29">
        <f>IF(OR($N119="",$N119="なし"),"",INDEX('棚卸表'!$E$5:$E$504,$N119)&amp;"")</f>
        <v/>
      </c>
      <c r="E119" s="27">
        <f>IF(OR($N119="",$N119="なし"),"",IF(INDEX('棚卸表'!$L$5:$L$504,$N119)="","",INDEX('棚卸表'!$L$5:$L$504,$N119)))</f>
        <v/>
      </c>
      <c r="F119" s="8" t="n"/>
      <c r="G119" s="25" t="n"/>
      <c r="H119" s="72">
        <f>IF(OR(OR($N119="",$N119="なし"),$G119=""),"",$G119*N(INDEX('棚卸表'!$G$5:$G$504,$N119)))</f>
        <v/>
      </c>
      <c r="I119" s="34" t="n"/>
      <c r="J119" s="34" t="n"/>
      <c r="K119" s="23" t="n"/>
      <c r="L119" s="23" t="n"/>
      <c r="M119" s="61" t="n"/>
      <c r="N119" s="35">
        <f>IF($B119="","",IFERROR(MATCH($B119,'棚卸表'!$B$5:$B$504,0),"なし"))</f>
        <v/>
      </c>
    </row>
    <row r="120" ht="30" customHeight="1">
      <c r="A120" s="30" t="n"/>
      <c r="B120" s="23" t="n"/>
      <c r="C120" s="33">
        <f>IF($N120="","",IF($N120="なし","※棚卸表にないコード",INDEX('棚卸表'!$C$5:$C$504,$N120)&amp;""))</f>
        <v/>
      </c>
      <c r="D120" s="29">
        <f>IF(OR($N120="",$N120="なし"),"",INDEX('棚卸表'!$E$5:$E$504,$N120)&amp;"")</f>
        <v/>
      </c>
      <c r="E120" s="27">
        <f>IF(OR($N120="",$N120="なし"),"",IF(INDEX('棚卸表'!$L$5:$L$504,$N120)="","",INDEX('棚卸表'!$L$5:$L$504,$N120)))</f>
        <v/>
      </c>
      <c r="F120" s="8" t="n"/>
      <c r="G120" s="25" t="n"/>
      <c r="H120" s="72">
        <f>IF(OR(OR($N120="",$N120="なし"),$G120=""),"",$G120*N(INDEX('棚卸表'!$G$5:$G$504,$N120)))</f>
        <v/>
      </c>
      <c r="I120" s="34" t="n"/>
      <c r="J120" s="34" t="n"/>
      <c r="K120" s="23" t="n"/>
      <c r="L120" s="23" t="n"/>
      <c r="M120" s="61" t="n"/>
      <c r="N120" s="35">
        <f>IF($B120="","",IFERROR(MATCH($B120,'棚卸表'!$B$5:$B$504,0),"なし"))</f>
        <v/>
      </c>
    </row>
    <row r="121" ht="30" customHeight="1">
      <c r="A121" s="30" t="n"/>
      <c r="B121" s="23" t="n"/>
      <c r="C121" s="33">
        <f>IF($N121="","",IF($N121="なし","※棚卸表にないコード",INDEX('棚卸表'!$C$5:$C$504,$N121)&amp;""))</f>
        <v/>
      </c>
      <c r="D121" s="29">
        <f>IF(OR($N121="",$N121="なし"),"",INDEX('棚卸表'!$E$5:$E$504,$N121)&amp;"")</f>
        <v/>
      </c>
      <c r="E121" s="27">
        <f>IF(OR($N121="",$N121="なし"),"",IF(INDEX('棚卸表'!$L$5:$L$504,$N121)="","",INDEX('棚卸表'!$L$5:$L$504,$N121)))</f>
        <v/>
      </c>
      <c r="F121" s="8" t="n"/>
      <c r="G121" s="25" t="n"/>
      <c r="H121" s="72">
        <f>IF(OR(OR($N121="",$N121="なし"),$G121=""),"",$G121*N(INDEX('棚卸表'!$G$5:$G$504,$N121)))</f>
        <v/>
      </c>
      <c r="I121" s="34" t="n"/>
      <c r="J121" s="34" t="n"/>
      <c r="K121" s="23" t="n"/>
      <c r="L121" s="23" t="n"/>
      <c r="M121" s="61" t="n"/>
      <c r="N121" s="35">
        <f>IF($B121="","",IFERROR(MATCH($B121,'棚卸表'!$B$5:$B$504,0),"なし"))</f>
        <v/>
      </c>
    </row>
    <row r="122" ht="30" customHeight="1">
      <c r="A122" s="30" t="n"/>
      <c r="B122" s="23" t="n"/>
      <c r="C122" s="33">
        <f>IF($N122="","",IF($N122="なし","※棚卸表にないコード",INDEX('棚卸表'!$C$5:$C$504,$N122)&amp;""))</f>
        <v/>
      </c>
      <c r="D122" s="29">
        <f>IF(OR($N122="",$N122="なし"),"",INDEX('棚卸表'!$E$5:$E$504,$N122)&amp;"")</f>
        <v/>
      </c>
      <c r="E122" s="27">
        <f>IF(OR($N122="",$N122="なし"),"",IF(INDEX('棚卸表'!$L$5:$L$504,$N122)="","",INDEX('棚卸表'!$L$5:$L$504,$N122)))</f>
        <v/>
      </c>
      <c r="F122" s="8" t="n"/>
      <c r="G122" s="25" t="n"/>
      <c r="H122" s="72">
        <f>IF(OR(OR($N122="",$N122="なし"),$G122=""),"",$G122*N(INDEX('棚卸表'!$G$5:$G$504,$N122)))</f>
        <v/>
      </c>
      <c r="I122" s="34" t="n"/>
      <c r="J122" s="34" t="n"/>
      <c r="K122" s="23" t="n"/>
      <c r="L122" s="23" t="n"/>
      <c r="M122" s="61" t="n"/>
      <c r="N122" s="35">
        <f>IF($B122="","",IFERROR(MATCH($B122,'棚卸表'!$B$5:$B$504,0),"なし"))</f>
        <v/>
      </c>
    </row>
    <row r="123" ht="30" customHeight="1">
      <c r="A123" s="30" t="n"/>
      <c r="B123" s="23" t="n"/>
      <c r="C123" s="33">
        <f>IF($N123="","",IF($N123="なし","※棚卸表にないコード",INDEX('棚卸表'!$C$5:$C$504,$N123)&amp;""))</f>
        <v/>
      </c>
      <c r="D123" s="29">
        <f>IF(OR($N123="",$N123="なし"),"",INDEX('棚卸表'!$E$5:$E$504,$N123)&amp;"")</f>
        <v/>
      </c>
      <c r="E123" s="27">
        <f>IF(OR($N123="",$N123="なし"),"",IF(INDEX('棚卸表'!$L$5:$L$504,$N123)="","",INDEX('棚卸表'!$L$5:$L$504,$N123)))</f>
        <v/>
      </c>
      <c r="F123" s="8" t="n"/>
      <c r="G123" s="25" t="n"/>
      <c r="H123" s="72">
        <f>IF(OR(OR($N123="",$N123="なし"),$G123=""),"",$G123*N(INDEX('棚卸表'!$G$5:$G$504,$N123)))</f>
        <v/>
      </c>
      <c r="I123" s="34" t="n"/>
      <c r="J123" s="34" t="n"/>
      <c r="K123" s="23" t="n"/>
      <c r="L123" s="23" t="n"/>
      <c r="M123" s="61" t="n"/>
      <c r="N123" s="35">
        <f>IF($B123="","",IFERROR(MATCH($B123,'棚卸表'!$B$5:$B$504,0),"なし"))</f>
        <v/>
      </c>
    </row>
    <row r="124" ht="30" customHeight="1">
      <c r="A124" s="30" t="n"/>
      <c r="B124" s="23" t="n"/>
      <c r="C124" s="33">
        <f>IF($N124="","",IF($N124="なし","※棚卸表にないコード",INDEX('棚卸表'!$C$5:$C$504,$N124)&amp;""))</f>
        <v/>
      </c>
      <c r="D124" s="29">
        <f>IF(OR($N124="",$N124="なし"),"",INDEX('棚卸表'!$E$5:$E$504,$N124)&amp;"")</f>
        <v/>
      </c>
      <c r="E124" s="27">
        <f>IF(OR($N124="",$N124="なし"),"",IF(INDEX('棚卸表'!$L$5:$L$504,$N124)="","",INDEX('棚卸表'!$L$5:$L$504,$N124)))</f>
        <v/>
      </c>
      <c r="F124" s="8" t="n"/>
      <c r="G124" s="25" t="n"/>
      <c r="H124" s="72">
        <f>IF(OR(OR($N124="",$N124="なし"),$G124=""),"",$G124*N(INDEX('棚卸表'!$G$5:$G$504,$N124)))</f>
        <v/>
      </c>
      <c r="I124" s="34" t="n"/>
      <c r="J124" s="34" t="n"/>
      <c r="K124" s="23" t="n"/>
      <c r="L124" s="23" t="n"/>
      <c r="M124" s="61" t="n"/>
      <c r="N124" s="35">
        <f>IF($B124="","",IFERROR(MATCH($B124,'棚卸表'!$B$5:$B$504,0),"なし"))</f>
        <v/>
      </c>
    </row>
    <row r="125" ht="30" customHeight="1">
      <c r="A125" s="30" t="n"/>
      <c r="B125" s="23" t="n"/>
      <c r="C125" s="33">
        <f>IF($N125="","",IF($N125="なし","※棚卸表にないコード",INDEX('棚卸表'!$C$5:$C$504,$N125)&amp;""))</f>
        <v/>
      </c>
      <c r="D125" s="29">
        <f>IF(OR($N125="",$N125="なし"),"",INDEX('棚卸表'!$E$5:$E$504,$N125)&amp;"")</f>
        <v/>
      </c>
      <c r="E125" s="27">
        <f>IF(OR($N125="",$N125="なし"),"",IF(INDEX('棚卸表'!$L$5:$L$504,$N125)="","",INDEX('棚卸表'!$L$5:$L$504,$N125)))</f>
        <v/>
      </c>
      <c r="F125" s="8" t="n"/>
      <c r="G125" s="25" t="n"/>
      <c r="H125" s="72">
        <f>IF(OR(OR($N125="",$N125="なし"),$G125=""),"",$G125*N(INDEX('棚卸表'!$G$5:$G$504,$N125)))</f>
        <v/>
      </c>
      <c r="I125" s="34" t="n"/>
      <c r="J125" s="34" t="n"/>
      <c r="K125" s="23" t="n"/>
      <c r="L125" s="23" t="n"/>
      <c r="M125" s="61" t="n"/>
      <c r="N125" s="35">
        <f>IF($B125="","",IFERROR(MATCH($B125,'棚卸表'!$B$5:$B$504,0),"なし"))</f>
        <v/>
      </c>
    </row>
    <row r="126" ht="30" customHeight="1">
      <c r="A126" s="30" t="n"/>
      <c r="B126" s="23" t="n"/>
      <c r="C126" s="33">
        <f>IF($N126="","",IF($N126="なし","※棚卸表にないコード",INDEX('棚卸表'!$C$5:$C$504,$N126)&amp;""))</f>
        <v/>
      </c>
      <c r="D126" s="29">
        <f>IF(OR($N126="",$N126="なし"),"",INDEX('棚卸表'!$E$5:$E$504,$N126)&amp;"")</f>
        <v/>
      </c>
      <c r="E126" s="27">
        <f>IF(OR($N126="",$N126="なし"),"",IF(INDEX('棚卸表'!$L$5:$L$504,$N126)="","",INDEX('棚卸表'!$L$5:$L$504,$N126)))</f>
        <v/>
      </c>
      <c r="F126" s="8" t="n"/>
      <c r="G126" s="25" t="n"/>
      <c r="H126" s="72">
        <f>IF(OR(OR($N126="",$N126="なし"),$G126=""),"",$G126*N(INDEX('棚卸表'!$G$5:$G$504,$N126)))</f>
        <v/>
      </c>
      <c r="I126" s="34" t="n"/>
      <c r="J126" s="34" t="n"/>
      <c r="K126" s="23" t="n"/>
      <c r="L126" s="23" t="n"/>
      <c r="M126" s="61" t="n"/>
      <c r="N126" s="35">
        <f>IF($B126="","",IFERROR(MATCH($B126,'棚卸表'!$B$5:$B$504,0),"なし"))</f>
        <v/>
      </c>
    </row>
    <row r="127" ht="30" customHeight="1">
      <c r="A127" s="30" t="n"/>
      <c r="B127" s="23" t="n"/>
      <c r="C127" s="33">
        <f>IF($N127="","",IF($N127="なし","※棚卸表にないコード",INDEX('棚卸表'!$C$5:$C$504,$N127)&amp;""))</f>
        <v/>
      </c>
      <c r="D127" s="29">
        <f>IF(OR($N127="",$N127="なし"),"",INDEX('棚卸表'!$E$5:$E$504,$N127)&amp;"")</f>
        <v/>
      </c>
      <c r="E127" s="27">
        <f>IF(OR($N127="",$N127="なし"),"",IF(INDEX('棚卸表'!$L$5:$L$504,$N127)="","",INDEX('棚卸表'!$L$5:$L$504,$N127)))</f>
        <v/>
      </c>
      <c r="F127" s="8" t="n"/>
      <c r="G127" s="25" t="n"/>
      <c r="H127" s="72">
        <f>IF(OR(OR($N127="",$N127="なし"),$G127=""),"",$G127*N(INDEX('棚卸表'!$G$5:$G$504,$N127)))</f>
        <v/>
      </c>
      <c r="I127" s="34" t="n"/>
      <c r="J127" s="34" t="n"/>
      <c r="K127" s="23" t="n"/>
      <c r="L127" s="23" t="n"/>
      <c r="M127" s="61" t="n"/>
      <c r="N127" s="35">
        <f>IF($B127="","",IFERROR(MATCH($B127,'棚卸表'!$B$5:$B$504,0),"なし"))</f>
        <v/>
      </c>
    </row>
    <row r="128" ht="30" customHeight="1">
      <c r="A128" s="30" t="n"/>
      <c r="B128" s="23" t="n"/>
      <c r="C128" s="33">
        <f>IF($N128="","",IF($N128="なし","※棚卸表にないコード",INDEX('棚卸表'!$C$5:$C$504,$N128)&amp;""))</f>
        <v/>
      </c>
      <c r="D128" s="29">
        <f>IF(OR($N128="",$N128="なし"),"",INDEX('棚卸表'!$E$5:$E$504,$N128)&amp;"")</f>
        <v/>
      </c>
      <c r="E128" s="27">
        <f>IF(OR($N128="",$N128="なし"),"",IF(INDEX('棚卸表'!$L$5:$L$504,$N128)="","",INDEX('棚卸表'!$L$5:$L$504,$N128)))</f>
        <v/>
      </c>
      <c r="F128" s="8" t="n"/>
      <c r="G128" s="25" t="n"/>
      <c r="H128" s="72">
        <f>IF(OR(OR($N128="",$N128="なし"),$G128=""),"",$G128*N(INDEX('棚卸表'!$G$5:$G$504,$N128)))</f>
        <v/>
      </c>
      <c r="I128" s="34" t="n"/>
      <c r="J128" s="34" t="n"/>
      <c r="K128" s="23" t="n"/>
      <c r="L128" s="23" t="n"/>
      <c r="M128" s="61" t="n"/>
      <c r="N128" s="35">
        <f>IF($B128="","",IFERROR(MATCH($B128,'棚卸表'!$B$5:$B$504,0),"なし"))</f>
        <v/>
      </c>
    </row>
    <row r="129" ht="30" customHeight="1">
      <c r="A129" s="30" t="n"/>
      <c r="B129" s="23" t="n"/>
      <c r="C129" s="33">
        <f>IF($N129="","",IF($N129="なし","※棚卸表にないコード",INDEX('棚卸表'!$C$5:$C$504,$N129)&amp;""))</f>
        <v/>
      </c>
      <c r="D129" s="29">
        <f>IF(OR($N129="",$N129="なし"),"",INDEX('棚卸表'!$E$5:$E$504,$N129)&amp;"")</f>
        <v/>
      </c>
      <c r="E129" s="27">
        <f>IF(OR($N129="",$N129="なし"),"",IF(INDEX('棚卸表'!$L$5:$L$504,$N129)="","",INDEX('棚卸表'!$L$5:$L$504,$N129)))</f>
        <v/>
      </c>
      <c r="F129" s="8" t="n"/>
      <c r="G129" s="25" t="n"/>
      <c r="H129" s="72">
        <f>IF(OR(OR($N129="",$N129="なし"),$G129=""),"",$G129*N(INDEX('棚卸表'!$G$5:$G$504,$N129)))</f>
        <v/>
      </c>
      <c r="I129" s="34" t="n"/>
      <c r="J129" s="34" t="n"/>
      <c r="K129" s="23" t="n"/>
      <c r="L129" s="23" t="n"/>
      <c r="M129" s="61" t="n"/>
      <c r="N129" s="35">
        <f>IF($B129="","",IFERROR(MATCH($B129,'棚卸表'!$B$5:$B$504,0),"なし"))</f>
        <v/>
      </c>
    </row>
    <row r="130" ht="30" customHeight="1">
      <c r="A130" s="30" t="n"/>
      <c r="B130" s="23" t="n"/>
      <c r="C130" s="33">
        <f>IF($N130="","",IF($N130="なし","※棚卸表にないコード",INDEX('棚卸表'!$C$5:$C$504,$N130)&amp;""))</f>
        <v/>
      </c>
      <c r="D130" s="29">
        <f>IF(OR($N130="",$N130="なし"),"",INDEX('棚卸表'!$E$5:$E$504,$N130)&amp;"")</f>
        <v/>
      </c>
      <c r="E130" s="27">
        <f>IF(OR($N130="",$N130="なし"),"",IF(INDEX('棚卸表'!$L$5:$L$504,$N130)="","",INDEX('棚卸表'!$L$5:$L$504,$N130)))</f>
        <v/>
      </c>
      <c r="F130" s="8" t="n"/>
      <c r="G130" s="25" t="n"/>
      <c r="H130" s="72">
        <f>IF(OR(OR($N130="",$N130="なし"),$G130=""),"",$G130*N(INDEX('棚卸表'!$G$5:$G$504,$N130)))</f>
        <v/>
      </c>
      <c r="I130" s="34" t="n"/>
      <c r="J130" s="34" t="n"/>
      <c r="K130" s="23" t="n"/>
      <c r="L130" s="23" t="n"/>
      <c r="M130" s="61" t="n"/>
      <c r="N130" s="35">
        <f>IF($B130="","",IFERROR(MATCH($B130,'棚卸表'!$B$5:$B$504,0),"なし"))</f>
        <v/>
      </c>
    </row>
    <row r="131" ht="30" customHeight="1">
      <c r="A131" s="30" t="n"/>
      <c r="B131" s="23" t="n"/>
      <c r="C131" s="33">
        <f>IF($N131="","",IF($N131="なし","※棚卸表にないコード",INDEX('棚卸表'!$C$5:$C$504,$N131)&amp;""))</f>
        <v/>
      </c>
      <c r="D131" s="29">
        <f>IF(OR($N131="",$N131="なし"),"",INDEX('棚卸表'!$E$5:$E$504,$N131)&amp;"")</f>
        <v/>
      </c>
      <c r="E131" s="27">
        <f>IF(OR($N131="",$N131="なし"),"",IF(INDEX('棚卸表'!$L$5:$L$504,$N131)="","",INDEX('棚卸表'!$L$5:$L$504,$N131)))</f>
        <v/>
      </c>
      <c r="F131" s="8" t="n"/>
      <c r="G131" s="25" t="n"/>
      <c r="H131" s="72">
        <f>IF(OR(OR($N131="",$N131="なし"),$G131=""),"",$G131*N(INDEX('棚卸表'!$G$5:$G$504,$N131)))</f>
        <v/>
      </c>
      <c r="I131" s="34" t="n"/>
      <c r="J131" s="34" t="n"/>
      <c r="K131" s="23" t="n"/>
      <c r="L131" s="23" t="n"/>
      <c r="M131" s="61" t="n"/>
      <c r="N131" s="35">
        <f>IF($B131="","",IFERROR(MATCH($B131,'棚卸表'!$B$5:$B$504,0),"なし"))</f>
        <v/>
      </c>
    </row>
    <row r="132" ht="30" customHeight="1">
      <c r="A132" s="30" t="n"/>
      <c r="B132" s="23" t="n"/>
      <c r="C132" s="33">
        <f>IF($N132="","",IF($N132="なし","※棚卸表にないコード",INDEX('棚卸表'!$C$5:$C$504,$N132)&amp;""))</f>
        <v/>
      </c>
      <c r="D132" s="29">
        <f>IF(OR($N132="",$N132="なし"),"",INDEX('棚卸表'!$E$5:$E$504,$N132)&amp;"")</f>
        <v/>
      </c>
      <c r="E132" s="27">
        <f>IF(OR($N132="",$N132="なし"),"",IF(INDEX('棚卸表'!$L$5:$L$504,$N132)="","",INDEX('棚卸表'!$L$5:$L$504,$N132)))</f>
        <v/>
      </c>
      <c r="F132" s="8" t="n"/>
      <c r="G132" s="25" t="n"/>
      <c r="H132" s="72">
        <f>IF(OR(OR($N132="",$N132="なし"),$G132=""),"",$G132*N(INDEX('棚卸表'!$G$5:$G$504,$N132)))</f>
        <v/>
      </c>
      <c r="I132" s="34" t="n"/>
      <c r="J132" s="34" t="n"/>
      <c r="K132" s="23" t="n"/>
      <c r="L132" s="23" t="n"/>
      <c r="M132" s="61" t="n"/>
      <c r="N132" s="35">
        <f>IF($B132="","",IFERROR(MATCH($B132,'棚卸表'!$B$5:$B$504,0),"なし"))</f>
        <v/>
      </c>
    </row>
    <row r="133" ht="30" customHeight="1">
      <c r="A133" s="30" t="n"/>
      <c r="B133" s="23" t="n"/>
      <c r="C133" s="33">
        <f>IF($N133="","",IF($N133="なし","※棚卸表にないコード",INDEX('棚卸表'!$C$5:$C$504,$N133)&amp;""))</f>
        <v/>
      </c>
      <c r="D133" s="29">
        <f>IF(OR($N133="",$N133="なし"),"",INDEX('棚卸表'!$E$5:$E$504,$N133)&amp;"")</f>
        <v/>
      </c>
      <c r="E133" s="27">
        <f>IF(OR($N133="",$N133="なし"),"",IF(INDEX('棚卸表'!$L$5:$L$504,$N133)="","",INDEX('棚卸表'!$L$5:$L$504,$N133)))</f>
        <v/>
      </c>
      <c r="F133" s="8" t="n"/>
      <c r="G133" s="25" t="n"/>
      <c r="H133" s="72">
        <f>IF(OR(OR($N133="",$N133="なし"),$G133=""),"",$G133*N(INDEX('棚卸表'!$G$5:$G$504,$N133)))</f>
        <v/>
      </c>
      <c r="I133" s="34" t="n"/>
      <c r="J133" s="34" t="n"/>
      <c r="K133" s="23" t="n"/>
      <c r="L133" s="23" t="n"/>
      <c r="M133" s="61" t="n"/>
      <c r="N133" s="35">
        <f>IF($B133="","",IFERROR(MATCH($B133,'棚卸表'!$B$5:$B$504,0),"なし"))</f>
        <v/>
      </c>
    </row>
    <row r="134" ht="30" customHeight="1">
      <c r="A134" s="30" t="n"/>
      <c r="B134" s="23" t="n"/>
      <c r="C134" s="33">
        <f>IF($N134="","",IF($N134="なし","※棚卸表にないコード",INDEX('棚卸表'!$C$5:$C$504,$N134)&amp;""))</f>
        <v/>
      </c>
      <c r="D134" s="29">
        <f>IF(OR($N134="",$N134="なし"),"",INDEX('棚卸表'!$E$5:$E$504,$N134)&amp;"")</f>
        <v/>
      </c>
      <c r="E134" s="27">
        <f>IF(OR($N134="",$N134="なし"),"",IF(INDEX('棚卸表'!$L$5:$L$504,$N134)="","",INDEX('棚卸表'!$L$5:$L$504,$N134)))</f>
        <v/>
      </c>
      <c r="F134" s="8" t="n"/>
      <c r="G134" s="25" t="n"/>
      <c r="H134" s="72">
        <f>IF(OR(OR($N134="",$N134="なし"),$G134=""),"",$G134*N(INDEX('棚卸表'!$G$5:$G$504,$N134)))</f>
        <v/>
      </c>
      <c r="I134" s="34" t="n"/>
      <c r="J134" s="34" t="n"/>
      <c r="K134" s="23" t="n"/>
      <c r="L134" s="23" t="n"/>
      <c r="M134" s="61" t="n"/>
      <c r="N134" s="35">
        <f>IF($B134="","",IFERROR(MATCH($B134,'棚卸表'!$B$5:$B$504,0),"なし"))</f>
        <v/>
      </c>
    </row>
    <row r="135" ht="30" customHeight="1">
      <c r="A135" s="30" t="n"/>
      <c r="B135" s="23" t="n"/>
      <c r="C135" s="33">
        <f>IF($N135="","",IF($N135="なし","※棚卸表にないコード",INDEX('棚卸表'!$C$5:$C$504,$N135)&amp;""))</f>
        <v/>
      </c>
      <c r="D135" s="29">
        <f>IF(OR($N135="",$N135="なし"),"",INDEX('棚卸表'!$E$5:$E$504,$N135)&amp;"")</f>
        <v/>
      </c>
      <c r="E135" s="27">
        <f>IF(OR($N135="",$N135="なし"),"",IF(INDEX('棚卸表'!$L$5:$L$504,$N135)="","",INDEX('棚卸表'!$L$5:$L$504,$N135)))</f>
        <v/>
      </c>
      <c r="F135" s="8" t="n"/>
      <c r="G135" s="25" t="n"/>
      <c r="H135" s="72">
        <f>IF(OR(OR($N135="",$N135="なし"),$G135=""),"",$G135*N(INDEX('棚卸表'!$G$5:$G$504,$N135)))</f>
        <v/>
      </c>
      <c r="I135" s="34" t="n"/>
      <c r="J135" s="34" t="n"/>
      <c r="K135" s="23" t="n"/>
      <c r="L135" s="23" t="n"/>
      <c r="M135" s="61" t="n"/>
      <c r="N135" s="35">
        <f>IF($B135="","",IFERROR(MATCH($B135,'棚卸表'!$B$5:$B$504,0),"なし"))</f>
        <v/>
      </c>
    </row>
    <row r="136" ht="30" customHeight="1">
      <c r="A136" s="30" t="n"/>
      <c r="B136" s="23" t="n"/>
      <c r="C136" s="33">
        <f>IF($N136="","",IF($N136="なし","※棚卸表にないコード",INDEX('棚卸表'!$C$5:$C$504,$N136)&amp;""))</f>
        <v/>
      </c>
      <c r="D136" s="29">
        <f>IF(OR($N136="",$N136="なし"),"",INDEX('棚卸表'!$E$5:$E$504,$N136)&amp;"")</f>
        <v/>
      </c>
      <c r="E136" s="27">
        <f>IF(OR($N136="",$N136="なし"),"",IF(INDEX('棚卸表'!$L$5:$L$504,$N136)="","",INDEX('棚卸表'!$L$5:$L$504,$N136)))</f>
        <v/>
      </c>
      <c r="F136" s="8" t="n"/>
      <c r="G136" s="25" t="n"/>
      <c r="H136" s="72">
        <f>IF(OR(OR($N136="",$N136="なし"),$G136=""),"",$G136*N(INDEX('棚卸表'!$G$5:$G$504,$N136)))</f>
        <v/>
      </c>
      <c r="I136" s="34" t="n"/>
      <c r="J136" s="34" t="n"/>
      <c r="K136" s="23" t="n"/>
      <c r="L136" s="23" t="n"/>
      <c r="M136" s="61" t="n"/>
      <c r="N136" s="35">
        <f>IF($B136="","",IFERROR(MATCH($B136,'棚卸表'!$B$5:$B$504,0),"なし"))</f>
        <v/>
      </c>
    </row>
    <row r="137" ht="30" customHeight="1">
      <c r="A137" s="30" t="n"/>
      <c r="B137" s="23" t="n"/>
      <c r="C137" s="33">
        <f>IF($N137="","",IF($N137="なし","※棚卸表にないコード",INDEX('棚卸表'!$C$5:$C$504,$N137)&amp;""))</f>
        <v/>
      </c>
      <c r="D137" s="29">
        <f>IF(OR($N137="",$N137="なし"),"",INDEX('棚卸表'!$E$5:$E$504,$N137)&amp;"")</f>
        <v/>
      </c>
      <c r="E137" s="27">
        <f>IF(OR($N137="",$N137="なし"),"",IF(INDEX('棚卸表'!$L$5:$L$504,$N137)="","",INDEX('棚卸表'!$L$5:$L$504,$N137)))</f>
        <v/>
      </c>
      <c r="F137" s="8" t="n"/>
      <c r="G137" s="25" t="n"/>
      <c r="H137" s="72">
        <f>IF(OR(OR($N137="",$N137="なし"),$G137=""),"",$G137*N(INDEX('棚卸表'!$G$5:$G$504,$N137)))</f>
        <v/>
      </c>
      <c r="I137" s="34" t="n"/>
      <c r="J137" s="34" t="n"/>
      <c r="K137" s="23" t="n"/>
      <c r="L137" s="23" t="n"/>
      <c r="M137" s="61" t="n"/>
      <c r="N137" s="35">
        <f>IF($B137="","",IFERROR(MATCH($B137,'棚卸表'!$B$5:$B$504,0),"なし"))</f>
        <v/>
      </c>
    </row>
    <row r="138" ht="30" customHeight="1">
      <c r="A138" s="30" t="n"/>
      <c r="B138" s="23" t="n"/>
      <c r="C138" s="33">
        <f>IF($N138="","",IF($N138="なし","※棚卸表にないコード",INDEX('棚卸表'!$C$5:$C$504,$N138)&amp;""))</f>
        <v/>
      </c>
      <c r="D138" s="29">
        <f>IF(OR($N138="",$N138="なし"),"",INDEX('棚卸表'!$E$5:$E$504,$N138)&amp;"")</f>
        <v/>
      </c>
      <c r="E138" s="27">
        <f>IF(OR($N138="",$N138="なし"),"",IF(INDEX('棚卸表'!$L$5:$L$504,$N138)="","",INDEX('棚卸表'!$L$5:$L$504,$N138)))</f>
        <v/>
      </c>
      <c r="F138" s="8" t="n"/>
      <c r="G138" s="25" t="n"/>
      <c r="H138" s="72">
        <f>IF(OR(OR($N138="",$N138="なし"),$G138=""),"",$G138*N(INDEX('棚卸表'!$G$5:$G$504,$N138)))</f>
        <v/>
      </c>
      <c r="I138" s="34" t="n"/>
      <c r="J138" s="34" t="n"/>
      <c r="K138" s="23" t="n"/>
      <c r="L138" s="23" t="n"/>
      <c r="M138" s="61" t="n"/>
      <c r="N138" s="35">
        <f>IF($B138="","",IFERROR(MATCH($B138,'棚卸表'!$B$5:$B$504,0),"なし"))</f>
        <v/>
      </c>
    </row>
    <row r="139" ht="30" customHeight="1">
      <c r="A139" s="30" t="n"/>
      <c r="B139" s="23" t="n"/>
      <c r="C139" s="33">
        <f>IF($N139="","",IF($N139="なし","※棚卸表にないコード",INDEX('棚卸表'!$C$5:$C$504,$N139)&amp;""))</f>
        <v/>
      </c>
      <c r="D139" s="29">
        <f>IF(OR($N139="",$N139="なし"),"",INDEX('棚卸表'!$E$5:$E$504,$N139)&amp;"")</f>
        <v/>
      </c>
      <c r="E139" s="27">
        <f>IF(OR($N139="",$N139="なし"),"",IF(INDEX('棚卸表'!$L$5:$L$504,$N139)="","",INDEX('棚卸表'!$L$5:$L$504,$N139)))</f>
        <v/>
      </c>
      <c r="F139" s="8" t="n"/>
      <c r="G139" s="25" t="n"/>
      <c r="H139" s="72">
        <f>IF(OR(OR($N139="",$N139="なし"),$G139=""),"",$G139*N(INDEX('棚卸表'!$G$5:$G$504,$N139)))</f>
        <v/>
      </c>
      <c r="I139" s="34" t="n"/>
      <c r="J139" s="34" t="n"/>
      <c r="K139" s="23" t="n"/>
      <c r="L139" s="23" t="n"/>
      <c r="M139" s="61" t="n"/>
      <c r="N139" s="35">
        <f>IF($B139="","",IFERROR(MATCH($B139,'棚卸表'!$B$5:$B$504,0),"なし"))</f>
        <v/>
      </c>
    </row>
    <row r="140" ht="30" customHeight="1">
      <c r="A140" s="30" t="n"/>
      <c r="B140" s="23" t="n"/>
      <c r="C140" s="33">
        <f>IF($N140="","",IF($N140="なし","※棚卸表にないコード",INDEX('棚卸表'!$C$5:$C$504,$N140)&amp;""))</f>
        <v/>
      </c>
      <c r="D140" s="29">
        <f>IF(OR($N140="",$N140="なし"),"",INDEX('棚卸表'!$E$5:$E$504,$N140)&amp;"")</f>
        <v/>
      </c>
      <c r="E140" s="27">
        <f>IF(OR($N140="",$N140="なし"),"",IF(INDEX('棚卸表'!$L$5:$L$504,$N140)="","",INDEX('棚卸表'!$L$5:$L$504,$N140)))</f>
        <v/>
      </c>
      <c r="F140" s="8" t="n"/>
      <c r="G140" s="25" t="n"/>
      <c r="H140" s="72">
        <f>IF(OR(OR($N140="",$N140="なし"),$G140=""),"",$G140*N(INDEX('棚卸表'!$G$5:$G$504,$N140)))</f>
        <v/>
      </c>
      <c r="I140" s="34" t="n"/>
      <c r="J140" s="34" t="n"/>
      <c r="K140" s="23" t="n"/>
      <c r="L140" s="23" t="n"/>
      <c r="M140" s="61" t="n"/>
      <c r="N140" s="35">
        <f>IF($B140="","",IFERROR(MATCH($B140,'棚卸表'!$B$5:$B$504,0),"なし"))</f>
        <v/>
      </c>
    </row>
    <row r="141" ht="30" customHeight="1">
      <c r="A141" s="30" t="n"/>
      <c r="B141" s="23" t="n"/>
      <c r="C141" s="33">
        <f>IF($N141="","",IF($N141="なし","※棚卸表にないコード",INDEX('棚卸表'!$C$5:$C$504,$N141)&amp;""))</f>
        <v/>
      </c>
      <c r="D141" s="29">
        <f>IF(OR($N141="",$N141="なし"),"",INDEX('棚卸表'!$E$5:$E$504,$N141)&amp;"")</f>
        <v/>
      </c>
      <c r="E141" s="27">
        <f>IF(OR($N141="",$N141="なし"),"",IF(INDEX('棚卸表'!$L$5:$L$504,$N141)="","",INDEX('棚卸表'!$L$5:$L$504,$N141)))</f>
        <v/>
      </c>
      <c r="F141" s="8" t="n"/>
      <c r="G141" s="25" t="n"/>
      <c r="H141" s="72">
        <f>IF(OR(OR($N141="",$N141="なし"),$G141=""),"",$G141*N(INDEX('棚卸表'!$G$5:$G$504,$N141)))</f>
        <v/>
      </c>
      <c r="I141" s="34" t="n"/>
      <c r="J141" s="34" t="n"/>
      <c r="K141" s="23" t="n"/>
      <c r="L141" s="23" t="n"/>
      <c r="M141" s="61" t="n"/>
      <c r="N141" s="35">
        <f>IF($B141="","",IFERROR(MATCH($B141,'棚卸表'!$B$5:$B$504,0),"なし"))</f>
        <v/>
      </c>
    </row>
    <row r="142" ht="30" customHeight="1">
      <c r="A142" s="30" t="n"/>
      <c r="B142" s="23" t="n"/>
      <c r="C142" s="33">
        <f>IF($N142="","",IF($N142="なし","※棚卸表にないコード",INDEX('棚卸表'!$C$5:$C$504,$N142)&amp;""))</f>
        <v/>
      </c>
      <c r="D142" s="29">
        <f>IF(OR($N142="",$N142="なし"),"",INDEX('棚卸表'!$E$5:$E$504,$N142)&amp;"")</f>
        <v/>
      </c>
      <c r="E142" s="27">
        <f>IF(OR($N142="",$N142="なし"),"",IF(INDEX('棚卸表'!$L$5:$L$504,$N142)="","",INDEX('棚卸表'!$L$5:$L$504,$N142)))</f>
        <v/>
      </c>
      <c r="F142" s="8" t="n"/>
      <c r="G142" s="25" t="n"/>
      <c r="H142" s="72">
        <f>IF(OR(OR($N142="",$N142="なし"),$G142=""),"",$G142*N(INDEX('棚卸表'!$G$5:$G$504,$N142)))</f>
        <v/>
      </c>
      <c r="I142" s="34" t="n"/>
      <c r="J142" s="34" t="n"/>
      <c r="K142" s="23" t="n"/>
      <c r="L142" s="23" t="n"/>
      <c r="M142" s="61" t="n"/>
      <c r="N142" s="35">
        <f>IF($B142="","",IFERROR(MATCH($B142,'棚卸表'!$B$5:$B$504,0),"なし"))</f>
        <v/>
      </c>
    </row>
    <row r="143" ht="30" customHeight="1">
      <c r="A143" s="30" t="n"/>
      <c r="B143" s="23" t="n"/>
      <c r="C143" s="33">
        <f>IF($N143="","",IF($N143="なし","※棚卸表にないコード",INDEX('棚卸表'!$C$5:$C$504,$N143)&amp;""))</f>
        <v/>
      </c>
      <c r="D143" s="29">
        <f>IF(OR($N143="",$N143="なし"),"",INDEX('棚卸表'!$E$5:$E$504,$N143)&amp;"")</f>
        <v/>
      </c>
      <c r="E143" s="27">
        <f>IF(OR($N143="",$N143="なし"),"",IF(INDEX('棚卸表'!$L$5:$L$504,$N143)="","",INDEX('棚卸表'!$L$5:$L$504,$N143)))</f>
        <v/>
      </c>
      <c r="F143" s="8" t="n"/>
      <c r="G143" s="25" t="n"/>
      <c r="H143" s="72">
        <f>IF(OR(OR($N143="",$N143="なし"),$G143=""),"",$G143*N(INDEX('棚卸表'!$G$5:$G$504,$N143)))</f>
        <v/>
      </c>
      <c r="I143" s="34" t="n"/>
      <c r="J143" s="34" t="n"/>
      <c r="K143" s="23" t="n"/>
      <c r="L143" s="23" t="n"/>
      <c r="M143" s="61" t="n"/>
      <c r="N143" s="35">
        <f>IF($B143="","",IFERROR(MATCH($B143,'棚卸表'!$B$5:$B$504,0),"なし"))</f>
        <v/>
      </c>
    </row>
    <row r="144" ht="30" customHeight="1">
      <c r="A144" s="30" t="n"/>
      <c r="B144" s="23" t="n"/>
      <c r="C144" s="33">
        <f>IF($N144="","",IF($N144="なし","※棚卸表にないコード",INDEX('棚卸表'!$C$5:$C$504,$N144)&amp;""))</f>
        <v/>
      </c>
      <c r="D144" s="29">
        <f>IF(OR($N144="",$N144="なし"),"",INDEX('棚卸表'!$E$5:$E$504,$N144)&amp;"")</f>
        <v/>
      </c>
      <c r="E144" s="27">
        <f>IF(OR($N144="",$N144="なし"),"",IF(INDEX('棚卸表'!$L$5:$L$504,$N144)="","",INDEX('棚卸表'!$L$5:$L$504,$N144)))</f>
        <v/>
      </c>
      <c r="F144" s="8" t="n"/>
      <c r="G144" s="25" t="n"/>
      <c r="H144" s="72">
        <f>IF(OR(OR($N144="",$N144="なし"),$G144=""),"",$G144*N(INDEX('棚卸表'!$G$5:$G$504,$N144)))</f>
        <v/>
      </c>
      <c r="I144" s="34" t="n"/>
      <c r="J144" s="34" t="n"/>
      <c r="K144" s="23" t="n"/>
      <c r="L144" s="23" t="n"/>
      <c r="M144" s="61" t="n"/>
      <c r="N144" s="35">
        <f>IF($B144="","",IFERROR(MATCH($B144,'棚卸表'!$B$5:$B$504,0),"なし"))</f>
        <v/>
      </c>
    </row>
    <row r="145" ht="30" customHeight="1">
      <c r="A145" s="30" t="n"/>
      <c r="B145" s="23" t="n"/>
      <c r="C145" s="33">
        <f>IF($N145="","",IF($N145="なし","※棚卸表にないコード",INDEX('棚卸表'!$C$5:$C$504,$N145)&amp;""))</f>
        <v/>
      </c>
      <c r="D145" s="29">
        <f>IF(OR($N145="",$N145="なし"),"",INDEX('棚卸表'!$E$5:$E$504,$N145)&amp;"")</f>
        <v/>
      </c>
      <c r="E145" s="27">
        <f>IF(OR($N145="",$N145="なし"),"",IF(INDEX('棚卸表'!$L$5:$L$504,$N145)="","",INDEX('棚卸表'!$L$5:$L$504,$N145)))</f>
        <v/>
      </c>
      <c r="F145" s="8" t="n"/>
      <c r="G145" s="25" t="n"/>
      <c r="H145" s="72">
        <f>IF(OR(OR($N145="",$N145="なし"),$G145=""),"",$G145*N(INDEX('棚卸表'!$G$5:$G$504,$N145)))</f>
        <v/>
      </c>
      <c r="I145" s="34" t="n"/>
      <c r="J145" s="34" t="n"/>
      <c r="K145" s="23" t="n"/>
      <c r="L145" s="23" t="n"/>
      <c r="M145" s="61" t="n"/>
      <c r="N145" s="35">
        <f>IF($B145="","",IFERROR(MATCH($B145,'棚卸表'!$B$5:$B$504,0),"なし"))</f>
        <v/>
      </c>
    </row>
    <row r="146" ht="30" customHeight="1">
      <c r="A146" s="30" t="n"/>
      <c r="B146" s="23" t="n"/>
      <c r="C146" s="33">
        <f>IF($N146="","",IF($N146="なし","※棚卸表にないコード",INDEX('棚卸表'!$C$5:$C$504,$N146)&amp;""))</f>
        <v/>
      </c>
      <c r="D146" s="29">
        <f>IF(OR($N146="",$N146="なし"),"",INDEX('棚卸表'!$E$5:$E$504,$N146)&amp;"")</f>
        <v/>
      </c>
      <c r="E146" s="27">
        <f>IF(OR($N146="",$N146="なし"),"",IF(INDEX('棚卸表'!$L$5:$L$504,$N146)="","",INDEX('棚卸表'!$L$5:$L$504,$N146)))</f>
        <v/>
      </c>
      <c r="F146" s="8" t="n"/>
      <c r="G146" s="25" t="n"/>
      <c r="H146" s="72">
        <f>IF(OR(OR($N146="",$N146="なし"),$G146=""),"",$G146*N(INDEX('棚卸表'!$G$5:$G$504,$N146)))</f>
        <v/>
      </c>
      <c r="I146" s="34" t="n"/>
      <c r="J146" s="34" t="n"/>
      <c r="K146" s="23" t="n"/>
      <c r="L146" s="23" t="n"/>
      <c r="M146" s="61" t="n"/>
      <c r="N146" s="35">
        <f>IF($B146="","",IFERROR(MATCH($B146,'棚卸表'!$B$5:$B$504,0),"なし"))</f>
        <v/>
      </c>
    </row>
    <row r="147" ht="30" customHeight="1">
      <c r="A147" s="30" t="n"/>
      <c r="B147" s="23" t="n"/>
      <c r="C147" s="33">
        <f>IF($N147="","",IF($N147="なし","※棚卸表にないコード",INDEX('棚卸表'!$C$5:$C$504,$N147)&amp;""))</f>
        <v/>
      </c>
      <c r="D147" s="29">
        <f>IF(OR($N147="",$N147="なし"),"",INDEX('棚卸表'!$E$5:$E$504,$N147)&amp;"")</f>
        <v/>
      </c>
      <c r="E147" s="27">
        <f>IF(OR($N147="",$N147="なし"),"",IF(INDEX('棚卸表'!$L$5:$L$504,$N147)="","",INDEX('棚卸表'!$L$5:$L$504,$N147)))</f>
        <v/>
      </c>
      <c r="F147" s="8" t="n"/>
      <c r="G147" s="25" t="n"/>
      <c r="H147" s="72">
        <f>IF(OR(OR($N147="",$N147="なし"),$G147=""),"",$G147*N(INDEX('棚卸表'!$G$5:$G$504,$N147)))</f>
        <v/>
      </c>
      <c r="I147" s="34" t="n"/>
      <c r="J147" s="34" t="n"/>
      <c r="K147" s="23" t="n"/>
      <c r="L147" s="23" t="n"/>
      <c r="M147" s="61" t="n"/>
      <c r="N147" s="35">
        <f>IF($B147="","",IFERROR(MATCH($B147,'棚卸表'!$B$5:$B$504,0),"なし"))</f>
        <v/>
      </c>
    </row>
    <row r="148" ht="30" customHeight="1">
      <c r="A148" s="30" t="n"/>
      <c r="B148" s="23" t="n"/>
      <c r="C148" s="33">
        <f>IF($N148="","",IF($N148="なし","※棚卸表にないコード",INDEX('棚卸表'!$C$5:$C$504,$N148)&amp;""))</f>
        <v/>
      </c>
      <c r="D148" s="29">
        <f>IF(OR($N148="",$N148="なし"),"",INDEX('棚卸表'!$E$5:$E$504,$N148)&amp;"")</f>
        <v/>
      </c>
      <c r="E148" s="27">
        <f>IF(OR($N148="",$N148="なし"),"",IF(INDEX('棚卸表'!$L$5:$L$504,$N148)="","",INDEX('棚卸表'!$L$5:$L$504,$N148)))</f>
        <v/>
      </c>
      <c r="F148" s="8" t="n"/>
      <c r="G148" s="25" t="n"/>
      <c r="H148" s="72">
        <f>IF(OR(OR($N148="",$N148="なし"),$G148=""),"",$G148*N(INDEX('棚卸表'!$G$5:$G$504,$N148)))</f>
        <v/>
      </c>
      <c r="I148" s="34" t="n"/>
      <c r="J148" s="34" t="n"/>
      <c r="K148" s="23" t="n"/>
      <c r="L148" s="23" t="n"/>
      <c r="M148" s="61" t="n"/>
      <c r="N148" s="35">
        <f>IF($B148="","",IFERROR(MATCH($B148,'棚卸表'!$B$5:$B$504,0),"なし"))</f>
        <v/>
      </c>
    </row>
    <row r="149" ht="30" customHeight="1">
      <c r="A149" s="30" t="n"/>
      <c r="B149" s="23" t="n"/>
      <c r="C149" s="33">
        <f>IF($N149="","",IF($N149="なし","※棚卸表にないコード",INDEX('棚卸表'!$C$5:$C$504,$N149)&amp;""))</f>
        <v/>
      </c>
      <c r="D149" s="29">
        <f>IF(OR($N149="",$N149="なし"),"",INDEX('棚卸表'!$E$5:$E$504,$N149)&amp;"")</f>
        <v/>
      </c>
      <c r="E149" s="27">
        <f>IF(OR($N149="",$N149="なし"),"",IF(INDEX('棚卸表'!$L$5:$L$504,$N149)="","",INDEX('棚卸表'!$L$5:$L$504,$N149)))</f>
        <v/>
      </c>
      <c r="F149" s="8" t="n"/>
      <c r="G149" s="25" t="n"/>
      <c r="H149" s="72">
        <f>IF(OR(OR($N149="",$N149="なし"),$G149=""),"",$G149*N(INDEX('棚卸表'!$G$5:$G$504,$N149)))</f>
        <v/>
      </c>
      <c r="I149" s="34" t="n"/>
      <c r="J149" s="34" t="n"/>
      <c r="K149" s="23" t="n"/>
      <c r="L149" s="23" t="n"/>
      <c r="M149" s="61" t="n"/>
      <c r="N149" s="35">
        <f>IF($B149="","",IFERROR(MATCH($B149,'棚卸表'!$B$5:$B$504,0),"なし"))</f>
        <v/>
      </c>
    </row>
    <row r="150" ht="30" customHeight="1">
      <c r="A150" s="30" t="n"/>
      <c r="B150" s="23" t="n"/>
      <c r="C150" s="33">
        <f>IF($N150="","",IF($N150="なし","※棚卸表にないコード",INDEX('棚卸表'!$C$5:$C$504,$N150)&amp;""))</f>
        <v/>
      </c>
      <c r="D150" s="29">
        <f>IF(OR($N150="",$N150="なし"),"",INDEX('棚卸表'!$E$5:$E$504,$N150)&amp;"")</f>
        <v/>
      </c>
      <c r="E150" s="27">
        <f>IF(OR($N150="",$N150="なし"),"",IF(INDEX('棚卸表'!$L$5:$L$504,$N150)="","",INDEX('棚卸表'!$L$5:$L$504,$N150)))</f>
        <v/>
      </c>
      <c r="F150" s="8" t="n"/>
      <c r="G150" s="25" t="n"/>
      <c r="H150" s="72">
        <f>IF(OR(OR($N150="",$N150="なし"),$G150=""),"",$G150*N(INDEX('棚卸表'!$G$5:$G$504,$N150)))</f>
        <v/>
      </c>
      <c r="I150" s="34" t="n"/>
      <c r="J150" s="34" t="n"/>
      <c r="K150" s="23" t="n"/>
      <c r="L150" s="23" t="n"/>
      <c r="M150" s="61" t="n"/>
      <c r="N150" s="35">
        <f>IF($B150="","",IFERROR(MATCH($B150,'棚卸表'!$B$5:$B$504,0),"なし"))</f>
        <v/>
      </c>
    </row>
    <row r="151" ht="30" customHeight="1">
      <c r="A151" s="30" t="n"/>
      <c r="B151" s="23" t="n"/>
      <c r="C151" s="33">
        <f>IF($N151="","",IF($N151="なし","※棚卸表にないコード",INDEX('棚卸表'!$C$5:$C$504,$N151)&amp;""))</f>
        <v/>
      </c>
      <c r="D151" s="29">
        <f>IF(OR($N151="",$N151="なし"),"",INDEX('棚卸表'!$E$5:$E$504,$N151)&amp;"")</f>
        <v/>
      </c>
      <c r="E151" s="27">
        <f>IF(OR($N151="",$N151="なし"),"",IF(INDEX('棚卸表'!$L$5:$L$504,$N151)="","",INDEX('棚卸表'!$L$5:$L$504,$N151)))</f>
        <v/>
      </c>
      <c r="F151" s="8" t="n"/>
      <c r="G151" s="25" t="n"/>
      <c r="H151" s="72">
        <f>IF(OR(OR($N151="",$N151="なし"),$G151=""),"",$G151*N(INDEX('棚卸表'!$G$5:$G$504,$N151)))</f>
        <v/>
      </c>
      <c r="I151" s="34" t="n"/>
      <c r="J151" s="34" t="n"/>
      <c r="K151" s="23" t="n"/>
      <c r="L151" s="23" t="n"/>
      <c r="M151" s="61" t="n"/>
      <c r="N151" s="35">
        <f>IF($B151="","",IFERROR(MATCH($B151,'棚卸表'!$B$5:$B$504,0),"なし"))</f>
        <v/>
      </c>
    </row>
    <row r="152" ht="30" customHeight="1">
      <c r="A152" s="30" t="n"/>
      <c r="B152" s="23" t="n"/>
      <c r="C152" s="33">
        <f>IF($N152="","",IF($N152="なし","※棚卸表にないコード",INDEX('棚卸表'!$C$5:$C$504,$N152)&amp;""))</f>
        <v/>
      </c>
      <c r="D152" s="29">
        <f>IF(OR($N152="",$N152="なし"),"",INDEX('棚卸表'!$E$5:$E$504,$N152)&amp;"")</f>
        <v/>
      </c>
      <c r="E152" s="27">
        <f>IF(OR($N152="",$N152="なし"),"",IF(INDEX('棚卸表'!$L$5:$L$504,$N152)="","",INDEX('棚卸表'!$L$5:$L$504,$N152)))</f>
        <v/>
      </c>
      <c r="F152" s="8" t="n"/>
      <c r="G152" s="25" t="n"/>
      <c r="H152" s="72">
        <f>IF(OR(OR($N152="",$N152="なし"),$G152=""),"",$G152*N(INDEX('棚卸表'!$G$5:$G$504,$N152)))</f>
        <v/>
      </c>
      <c r="I152" s="34" t="n"/>
      <c r="J152" s="34" t="n"/>
      <c r="K152" s="23" t="n"/>
      <c r="L152" s="23" t="n"/>
      <c r="M152" s="61" t="n"/>
      <c r="N152" s="35">
        <f>IF($B152="","",IFERROR(MATCH($B152,'棚卸表'!$B$5:$B$504,0),"なし"))</f>
        <v/>
      </c>
    </row>
    <row r="153" ht="30" customHeight="1">
      <c r="A153" s="30" t="n"/>
      <c r="B153" s="23" t="n"/>
      <c r="C153" s="33">
        <f>IF($N153="","",IF($N153="なし","※棚卸表にないコード",INDEX('棚卸表'!$C$5:$C$504,$N153)&amp;""))</f>
        <v/>
      </c>
      <c r="D153" s="29">
        <f>IF(OR($N153="",$N153="なし"),"",INDEX('棚卸表'!$E$5:$E$504,$N153)&amp;"")</f>
        <v/>
      </c>
      <c r="E153" s="27">
        <f>IF(OR($N153="",$N153="なし"),"",IF(INDEX('棚卸表'!$L$5:$L$504,$N153)="","",INDEX('棚卸表'!$L$5:$L$504,$N153)))</f>
        <v/>
      </c>
      <c r="F153" s="8" t="n"/>
      <c r="G153" s="25" t="n"/>
      <c r="H153" s="72">
        <f>IF(OR(OR($N153="",$N153="なし"),$G153=""),"",$G153*N(INDEX('棚卸表'!$G$5:$G$504,$N153)))</f>
        <v/>
      </c>
      <c r="I153" s="34" t="n"/>
      <c r="J153" s="34" t="n"/>
      <c r="K153" s="23" t="n"/>
      <c r="L153" s="23" t="n"/>
      <c r="M153" s="61" t="n"/>
      <c r="N153" s="35">
        <f>IF($B153="","",IFERROR(MATCH($B153,'棚卸表'!$B$5:$B$504,0),"なし"))</f>
        <v/>
      </c>
    </row>
    <row r="154" ht="30" customHeight="1">
      <c r="A154" s="30" t="n"/>
      <c r="B154" s="23" t="n"/>
      <c r="C154" s="33">
        <f>IF($N154="","",IF($N154="なし","※棚卸表にないコード",INDEX('棚卸表'!$C$5:$C$504,$N154)&amp;""))</f>
        <v/>
      </c>
      <c r="D154" s="29">
        <f>IF(OR($N154="",$N154="なし"),"",INDEX('棚卸表'!$E$5:$E$504,$N154)&amp;"")</f>
        <v/>
      </c>
      <c r="E154" s="27">
        <f>IF(OR($N154="",$N154="なし"),"",IF(INDEX('棚卸表'!$L$5:$L$504,$N154)="","",INDEX('棚卸表'!$L$5:$L$504,$N154)))</f>
        <v/>
      </c>
      <c r="F154" s="8" t="n"/>
      <c r="G154" s="25" t="n"/>
      <c r="H154" s="72">
        <f>IF(OR(OR($N154="",$N154="なし"),$G154=""),"",$G154*N(INDEX('棚卸表'!$G$5:$G$504,$N154)))</f>
        <v/>
      </c>
      <c r="I154" s="34" t="n"/>
      <c r="J154" s="34" t="n"/>
      <c r="K154" s="23" t="n"/>
      <c r="L154" s="23" t="n"/>
      <c r="M154" s="61" t="n"/>
      <c r="N154" s="35">
        <f>IF($B154="","",IFERROR(MATCH($B154,'棚卸表'!$B$5:$B$504,0),"なし"))</f>
        <v/>
      </c>
    </row>
    <row r="155" ht="30" customHeight="1">
      <c r="A155" s="30" t="n"/>
      <c r="B155" s="23" t="n"/>
      <c r="C155" s="33">
        <f>IF($N155="","",IF($N155="なし","※棚卸表にないコード",INDEX('棚卸表'!$C$5:$C$504,$N155)&amp;""))</f>
        <v/>
      </c>
      <c r="D155" s="29">
        <f>IF(OR($N155="",$N155="なし"),"",INDEX('棚卸表'!$E$5:$E$504,$N155)&amp;"")</f>
        <v/>
      </c>
      <c r="E155" s="27">
        <f>IF(OR($N155="",$N155="なし"),"",IF(INDEX('棚卸表'!$L$5:$L$504,$N155)="","",INDEX('棚卸表'!$L$5:$L$504,$N155)))</f>
        <v/>
      </c>
      <c r="F155" s="8" t="n"/>
      <c r="G155" s="25" t="n"/>
      <c r="H155" s="72">
        <f>IF(OR(OR($N155="",$N155="なし"),$G155=""),"",$G155*N(INDEX('棚卸表'!$G$5:$G$504,$N155)))</f>
        <v/>
      </c>
      <c r="I155" s="34" t="n"/>
      <c r="J155" s="34" t="n"/>
      <c r="K155" s="23" t="n"/>
      <c r="L155" s="23" t="n"/>
      <c r="M155" s="61" t="n"/>
      <c r="N155" s="35">
        <f>IF($B155="","",IFERROR(MATCH($B155,'棚卸表'!$B$5:$B$504,0),"なし"))</f>
        <v/>
      </c>
    </row>
    <row r="156" ht="30" customHeight="1">
      <c r="A156" s="30" t="n"/>
      <c r="B156" s="23" t="n"/>
      <c r="C156" s="33">
        <f>IF($N156="","",IF($N156="なし","※棚卸表にないコード",INDEX('棚卸表'!$C$5:$C$504,$N156)&amp;""))</f>
        <v/>
      </c>
      <c r="D156" s="29">
        <f>IF(OR($N156="",$N156="なし"),"",INDEX('棚卸表'!$E$5:$E$504,$N156)&amp;"")</f>
        <v/>
      </c>
      <c r="E156" s="27">
        <f>IF(OR($N156="",$N156="なし"),"",IF(INDEX('棚卸表'!$L$5:$L$504,$N156)="","",INDEX('棚卸表'!$L$5:$L$504,$N156)))</f>
        <v/>
      </c>
      <c r="F156" s="8" t="n"/>
      <c r="G156" s="25" t="n"/>
      <c r="H156" s="72">
        <f>IF(OR(OR($N156="",$N156="なし"),$G156=""),"",$G156*N(INDEX('棚卸表'!$G$5:$G$504,$N156)))</f>
        <v/>
      </c>
      <c r="I156" s="34" t="n"/>
      <c r="J156" s="34" t="n"/>
      <c r="K156" s="23" t="n"/>
      <c r="L156" s="23" t="n"/>
      <c r="M156" s="61" t="n"/>
      <c r="N156" s="35">
        <f>IF($B156="","",IFERROR(MATCH($B156,'棚卸表'!$B$5:$B$504,0),"なし"))</f>
        <v/>
      </c>
    </row>
    <row r="157" ht="30" customHeight="1">
      <c r="A157" s="30" t="n"/>
      <c r="B157" s="23" t="n"/>
      <c r="C157" s="33">
        <f>IF($N157="","",IF($N157="なし","※棚卸表にないコード",INDEX('棚卸表'!$C$5:$C$504,$N157)&amp;""))</f>
        <v/>
      </c>
      <c r="D157" s="29">
        <f>IF(OR($N157="",$N157="なし"),"",INDEX('棚卸表'!$E$5:$E$504,$N157)&amp;"")</f>
        <v/>
      </c>
      <c r="E157" s="27">
        <f>IF(OR($N157="",$N157="なし"),"",IF(INDEX('棚卸表'!$L$5:$L$504,$N157)="","",INDEX('棚卸表'!$L$5:$L$504,$N157)))</f>
        <v/>
      </c>
      <c r="F157" s="8" t="n"/>
      <c r="G157" s="25" t="n"/>
      <c r="H157" s="72">
        <f>IF(OR(OR($N157="",$N157="なし"),$G157=""),"",$G157*N(INDEX('棚卸表'!$G$5:$G$504,$N157)))</f>
        <v/>
      </c>
      <c r="I157" s="34" t="n"/>
      <c r="J157" s="34" t="n"/>
      <c r="K157" s="23" t="n"/>
      <c r="L157" s="23" t="n"/>
      <c r="M157" s="61" t="n"/>
      <c r="N157" s="35">
        <f>IF($B157="","",IFERROR(MATCH($B157,'棚卸表'!$B$5:$B$504,0),"なし"))</f>
        <v/>
      </c>
    </row>
    <row r="158" ht="30" customHeight="1">
      <c r="A158" s="30" t="n"/>
      <c r="B158" s="23" t="n"/>
      <c r="C158" s="33">
        <f>IF($N158="","",IF($N158="なし","※棚卸表にないコード",INDEX('棚卸表'!$C$5:$C$504,$N158)&amp;""))</f>
        <v/>
      </c>
      <c r="D158" s="29">
        <f>IF(OR($N158="",$N158="なし"),"",INDEX('棚卸表'!$E$5:$E$504,$N158)&amp;"")</f>
        <v/>
      </c>
      <c r="E158" s="27">
        <f>IF(OR($N158="",$N158="なし"),"",IF(INDEX('棚卸表'!$L$5:$L$504,$N158)="","",INDEX('棚卸表'!$L$5:$L$504,$N158)))</f>
        <v/>
      </c>
      <c r="F158" s="8" t="n"/>
      <c r="G158" s="25" t="n"/>
      <c r="H158" s="72">
        <f>IF(OR(OR($N158="",$N158="なし"),$G158=""),"",$G158*N(INDEX('棚卸表'!$G$5:$G$504,$N158)))</f>
        <v/>
      </c>
      <c r="I158" s="34" t="n"/>
      <c r="J158" s="34" t="n"/>
      <c r="K158" s="23" t="n"/>
      <c r="L158" s="23" t="n"/>
      <c r="M158" s="61" t="n"/>
      <c r="N158" s="35">
        <f>IF($B158="","",IFERROR(MATCH($B158,'棚卸表'!$B$5:$B$504,0),"なし"))</f>
        <v/>
      </c>
    </row>
    <row r="159" ht="30" customHeight="1">
      <c r="A159" s="30" t="n"/>
      <c r="B159" s="23" t="n"/>
      <c r="C159" s="33">
        <f>IF($N159="","",IF($N159="なし","※棚卸表にないコード",INDEX('棚卸表'!$C$5:$C$504,$N159)&amp;""))</f>
        <v/>
      </c>
      <c r="D159" s="29">
        <f>IF(OR($N159="",$N159="なし"),"",INDEX('棚卸表'!$E$5:$E$504,$N159)&amp;"")</f>
        <v/>
      </c>
      <c r="E159" s="27">
        <f>IF(OR($N159="",$N159="なし"),"",IF(INDEX('棚卸表'!$L$5:$L$504,$N159)="","",INDEX('棚卸表'!$L$5:$L$504,$N159)))</f>
        <v/>
      </c>
      <c r="F159" s="8" t="n"/>
      <c r="G159" s="25" t="n"/>
      <c r="H159" s="72">
        <f>IF(OR(OR($N159="",$N159="なし"),$G159=""),"",$G159*N(INDEX('棚卸表'!$G$5:$G$504,$N159)))</f>
        <v/>
      </c>
      <c r="I159" s="34" t="n"/>
      <c r="J159" s="34" t="n"/>
      <c r="K159" s="23" t="n"/>
      <c r="L159" s="23" t="n"/>
      <c r="M159" s="61" t="n"/>
      <c r="N159" s="35">
        <f>IF($B159="","",IFERROR(MATCH($B159,'棚卸表'!$B$5:$B$504,0),"なし"))</f>
        <v/>
      </c>
    </row>
    <row r="160" ht="30" customHeight="1">
      <c r="A160" s="30" t="n"/>
      <c r="B160" s="23" t="n"/>
      <c r="C160" s="33">
        <f>IF($N160="","",IF($N160="なし","※棚卸表にないコード",INDEX('棚卸表'!$C$5:$C$504,$N160)&amp;""))</f>
        <v/>
      </c>
      <c r="D160" s="29">
        <f>IF(OR($N160="",$N160="なし"),"",INDEX('棚卸表'!$E$5:$E$504,$N160)&amp;"")</f>
        <v/>
      </c>
      <c r="E160" s="27">
        <f>IF(OR($N160="",$N160="なし"),"",IF(INDEX('棚卸表'!$L$5:$L$504,$N160)="","",INDEX('棚卸表'!$L$5:$L$504,$N160)))</f>
        <v/>
      </c>
      <c r="F160" s="8" t="n"/>
      <c r="G160" s="25" t="n"/>
      <c r="H160" s="72">
        <f>IF(OR(OR($N160="",$N160="なし"),$G160=""),"",$G160*N(INDEX('棚卸表'!$G$5:$G$504,$N160)))</f>
        <v/>
      </c>
      <c r="I160" s="34" t="n"/>
      <c r="J160" s="34" t="n"/>
      <c r="K160" s="23" t="n"/>
      <c r="L160" s="23" t="n"/>
      <c r="M160" s="61" t="n"/>
      <c r="N160" s="35">
        <f>IF($B160="","",IFERROR(MATCH($B160,'棚卸表'!$B$5:$B$504,0),"なし"))</f>
        <v/>
      </c>
    </row>
    <row r="161" ht="30" customHeight="1">
      <c r="A161" s="30" t="n"/>
      <c r="B161" s="23" t="n"/>
      <c r="C161" s="33">
        <f>IF($N161="","",IF($N161="なし","※棚卸表にないコード",INDEX('棚卸表'!$C$5:$C$504,$N161)&amp;""))</f>
        <v/>
      </c>
      <c r="D161" s="29">
        <f>IF(OR($N161="",$N161="なし"),"",INDEX('棚卸表'!$E$5:$E$504,$N161)&amp;"")</f>
        <v/>
      </c>
      <c r="E161" s="27">
        <f>IF(OR($N161="",$N161="なし"),"",IF(INDEX('棚卸表'!$L$5:$L$504,$N161)="","",INDEX('棚卸表'!$L$5:$L$504,$N161)))</f>
        <v/>
      </c>
      <c r="F161" s="8" t="n"/>
      <c r="G161" s="25" t="n"/>
      <c r="H161" s="72">
        <f>IF(OR(OR($N161="",$N161="なし"),$G161=""),"",$G161*N(INDEX('棚卸表'!$G$5:$G$504,$N161)))</f>
        <v/>
      </c>
      <c r="I161" s="34" t="n"/>
      <c r="J161" s="34" t="n"/>
      <c r="K161" s="23" t="n"/>
      <c r="L161" s="23" t="n"/>
      <c r="M161" s="61" t="n"/>
      <c r="N161" s="35">
        <f>IF($B161="","",IFERROR(MATCH($B161,'棚卸表'!$B$5:$B$504,0),"なし"))</f>
        <v/>
      </c>
    </row>
    <row r="162" ht="30" customHeight="1">
      <c r="A162" s="30" t="n"/>
      <c r="B162" s="23" t="n"/>
      <c r="C162" s="33">
        <f>IF($N162="","",IF($N162="なし","※棚卸表にないコード",INDEX('棚卸表'!$C$5:$C$504,$N162)&amp;""))</f>
        <v/>
      </c>
      <c r="D162" s="29">
        <f>IF(OR($N162="",$N162="なし"),"",INDEX('棚卸表'!$E$5:$E$504,$N162)&amp;"")</f>
        <v/>
      </c>
      <c r="E162" s="27">
        <f>IF(OR($N162="",$N162="なし"),"",IF(INDEX('棚卸表'!$L$5:$L$504,$N162)="","",INDEX('棚卸表'!$L$5:$L$504,$N162)))</f>
        <v/>
      </c>
      <c r="F162" s="8" t="n"/>
      <c r="G162" s="25" t="n"/>
      <c r="H162" s="72">
        <f>IF(OR(OR($N162="",$N162="なし"),$G162=""),"",$G162*N(INDEX('棚卸表'!$G$5:$G$504,$N162)))</f>
        <v/>
      </c>
      <c r="I162" s="34" t="n"/>
      <c r="J162" s="34" t="n"/>
      <c r="K162" s="23" t="n"/>
      <c r="L162" s="23" t="n"/>
      <c r="M162" s="61" t="n"/>
      <c r="N162" s="35">
        <f>IF($B162="","",IFERROR(MATCH($B162,'棚卸表'!$B$5:$B$504,0),"なし"))</f>
        <v/>
      </c>
    </row>
    <row r="163" ht="30" customHeight="1">
      <c r="A163" s="30" t="n"/>
      <c r="B163" s="23" t="n"/>
      <c r="C163" s="33">
        <f>IF($N163="","",IF($N163="なし","※棚卸表にないコード",INDEX('棚卸表'!$C$5:$C$504,$N163)&amp;""))</f>
        <v/>
      </c>
      <c r="D163" s="29">
        <f>IF(OR($N163="",$N163="なし"),"",INDEX('棚卸表'!$E$5:$E$504,$N163)&amp;"")</f>
        <v/>
      </c>
      <c r="E163" s="27">
        <f>IF(OR($N163="",$N163="なし"),"",IF(INDEX('棚卸表'!$L$5:$L$504,$N163)="","",INDEX('棚卸表'!$L$5:$L$504,$N163)))</f>
        <v/>
      </c>
      <c r="F163" s="8" t="n"/>
      <c r="G163" s="25" t="n"/>
      <c r="H163" s="72">
        <f>IF(OR(OR($N163="",$N163="なし"),$G163=""),"",$G163*N(INDEX('棚卸表'!$G$5:$G$504,$N163)))</f>
        <v/>
      </c>
      <c r="I163" s="34" t="n"/>
      <c r="J163" s="34" t="n"/>
      <c r="K163" s="23" t="n"/>
      <c r="L163" s="23" t="n"/>
      <c r="M163" s="61" t="n"/>
      <c r="N163" s="35">
        <f>IF($B163="","",IFERROR(MATCH($B163,'棚卸表'!$B$5:$B$504,0),"なし"))</f>
        <v/>
      </c>
    </row>
    <row r="164" ht="30" customHeight="1">
      <c r="A164" s="30" t="n"/>
      <c r="B164" s="23" t="n"/>
      <c r="C164" s="33">
        <f>IF($N164="","",IF($N164="なし","※棚卸表にないコード",INDEX('棚卸表'!$C$5:$C$504,$N164)&amp;""))</f>
        <v/>
      </c>
      <c r="D164" s="29">
        <f>IF(OR($N164="",$N164="なし"),"",INDEX('棚卸表'!$E$5:$E$504,$N164)&amp;"")</f>
        <v/>
      </c>
      <c r="E164" s="27">
        <f>IF(OR($N164="",$N164="なし"),"",IF(INDEX('棚卸表'!$L$5:$L$504,$N164)="","",INDEX('棚卸表'!$L$5:$L$504,$N164)))</f>
        <v/>
      </c>
      <c r="F164" s="8" t="n"/>
      <c r="G164" s="25" t="n"/>
      <c r="H164" s="72">
        <f>IF(OR(OR($N164="",$N164="なし"),$G164=""),"",$G164*N(INDEX('棚卸表'!$G$5:$G$504,$N164)))</f>
        <v/>
      </c>
      <c r="I164" s="34" t="n"/>
      <c r="J164" s="34" t="n"/>
      <c r="K164" s="23" t="n"/>
      <c r="L164" s="23" t="n"/>
      <c r="M164" s="61" t="n"/>
      <c r="N164" s="35">
        <f>IF($B164="","",IFERROR(MATCH($B164,'棚卸表'!$B$5:$B$504,0),"なし"))</f>
        <v/>
      </c>
    </row>
    <row r="165" ht="30" customHeight="1">
      <c r="A165" s="30" t="n"/>
      <c r="B165" s="23" t="n"/>
      <c r="C165" s="33">
        <f>IF($N165="","",IF($N165="なし","※棚卸表にないコード",INDEX('棚卸表'!$C$5:$C$504,$N165)&amp;""))</f>
        <v/>
      </c>
      <c r="D165" s="29">
        <f>IF(OR($N165="",$N165="なし"),"",INDEX('棚卸表'!$E$5:$E$504,$N165)&amp;"")</f>
        <v/>
      </c>
      <c r="E165" s="27">
        <f>IF(OR($N165="",$N165="なし"),"",IF(INDEX('棚卸表'!$L$5:$L$504,$N165)="","",INDEX('棚卸表'!$L$5:$L$504,$N165)))</f>
        <v/>
      </c>
      <c r="F165" s="8" t="n"/>
      <c r="G165" s="25" t="n"/>
      <c r="H165" s="72">
        <f>IF(OR(OR($N165="",$N165="なし"),$G165=""),"",$G165*N(INDEX('棚卸表'!$G$5:$G$504,$N165)))</f>
        <v/>
      </c>
      <c r="I165" s="34" t="n"/>
      <c r="J165" s="34" t="n"/>
      <c r="K165" s="23" t="n"/>
      <c r="L165" s="23" t="n"/>
      <c r="M165" s="61" t="n"/>
      <c r="N165" s="35">
        <f>IF($B165="","",IFERROR(MATCH($B165,'棚卸表'!$B$5:$B$504,0),"なし"))</f>
        <v/>
      </c>
    </row>
    <row r="166" ht="30" customHeight="1">
      <c r="A166" s="30" t="n"/>
      <c r="B166" s="23" t="n"/>
      <c r="C166" s="33">
        <f>IF($N166="","",IF($N166="なし","※棚卸表にないコード",INDEX('棚卸表'!$C$5:$C$504,$N166)&amp;""))</f>
        <v/>
      </c>
      <c r="D166" s="29">
        <f>IF(OR($N166="",$N166="なし"),"",INDEX('棚卸表'!$E$5:$E$504,$N166)&amp;"")</f>
        <v/>
      </c>
      <c r="E166" s="27">
        <f>IF(OR($N166="",$N166="なし"),"",IF(INDEX('棚卸表'!$L$5:$L$504,$N166)="","",INDEX('棚卸表'!$L$5:$L$504,$N166)))</f>
        <v/>
      </c>
      <c r="F166" s="8" t="n"/>
      <c r="G166" s="25" t="n"/>
      <c r="H166" s="72">
        <f>IF(OR(OR($N166="",$N166="なし"),$G166=""),"",$G166*N(INDEX('棚卸表'!$G$5:$G$504,$N166)))</f>
        <v/>
      </c>
      <c r="I166" s="34" t="n"/>
      <c r="J166" s="34" t="n"/>
      <c r="K166" s="23" t="n"/>
      <c r="L166" s="23" t="n"/>
      <c r="M166" s="61" t="n"/>
      <c r="N166" s="35">
        <f>IF($B166="","",IFERROR(MATCH($B166,'棚卸表'!$B$5:$B$504,0),"なし"))</f>
        <v/>
      </c>
    </row>
    <row r="167" ht="30" customHeight="1">
      <c r="A167" s="30" t="n"/>
      <c r="B167" s="23" t="n"/>
      <c r="C167" s="33">
        <f>IF($N167="","",IF($N167="なし","※棚卸表にないコード",INDEX('棚卸表'!$C$5:$C$504,$N167)&amp;""))</f>
        <v/>
      </c>
      <c r="D167" s="29">
        <f>IF(OR($N167="",$N167="なし"),"",INDEX('棚卸表'!$E$5:$E$504,$N167)&amp;"")</f>
        <v/>
      </c>
      <c r="E167" s="27">
        <f>IF(OR($N167="",$N167="なし"),"",IF(INDEX('棚卸表'!$L$5:$L$504,$N167)="","",INDEX('棚卸表'!$L$5:$L$504,$N167)))</f>
        <v/>
      </c>
      <c r="F167" s="8" t="n"/>
      <c r="G167" s="25" t="n"/>
      <c r="H167" s="72">
        <f>IF(OR(OR($N167="",$N167="なし"),$G167=""),"",$G167*N(INDEX('棚卸表'!$G$5:$G$504,$N167)))</f>
        <v/>
      </c>
      <c r="I167" s="34" t="n"/>
      <c r="J167" s="34" t="n"/>
      <c r="K167" s="23" t="n"/>
      <c r="L167" s="23" t="n"/>
      <c r="M167" s="61" t="n"/>
      <c r="N167" s="35">
        <f>IF($B167="","",IFERROR(MATCH($B167,'棚卸表'!$B$5:$B$504,0),"なし"))</f>
        <v/>
      </c>
    </row>
    <row r="168" ht="30" customHeight="1">
      <c r="A168" s="30" t="n"/>
      <c r="B168" s="23" t="n"/>
      <c r="C168" s="33">
        <f>IF($N168="","",IF($N168="なし","※棚卸表にないコード",INDEX('棚卸表'!$C$5:$C$504,$N168)&amp;""))</f>
        <v/>
      </c>
      <c r="D168" s="29">
        <f>IF(OR($N168="",$N168="なし"),"",INDEX('棚卸表'!$E$5:$E$504,$N168)&amp;"")</f>
        <v/>
      </c>
      <c r="E168" s="27">
        <f>IF(OR($N168="",$N168="なし"),"",IF(INDEX('棚卸表'!$L$5:$L$504,$N168)="","",INDEX('棚卸表'!$L$5:$L$504,$N168)))</f>
        <v/>
      </c>
      <c r="F168" s="8" t="n"/>
      <c r="G168" s="25" t="n"/>
      <c r="H168" s="72">
        <f>IF(OR(OR($N168="",$N168="なし"),$G168=""),"",$G168*N(INDEX('棚卸表'!$G$5:$G$504,$N168)))</f>
        <v/>
      </c>
      <c r="I168" s="34" t="n"/>
      <c r="J168" s="34" t="n"/>
      <c r="K168" s="23" t="n"/>
      <c r="L168" s="23" t="n"/>
      <c r="M168" s="61" t="n"/>
      <c r="N168" s="35">
        <f>IF($B168="","",IFERROR(MATCH($B168,'棚卸表'!$B$5:$B$504,0),"なし"))</f>
        <v/>
      </c>
    </row>
    <row r="169" ht="30" customHeight="1">
      <c r="A169" s="30" t="n"/>
      <c r="B169" s="23" t="n"/>
      <c r="C169" s="33">
        <f>IF($N169="","",IF($N169="なし","※棚卸表にないコード",INDEX('棚卸表'!$C$5:$C$504,$N169)&amp;""))</f>
        <v/>
      </c>
      <c r="D169" s="29">
        <f>IF(OR($N169="",$N169="なし"),"",INDEX('棚卸表'!$E$5:$E$504,$N169)&amp;"")</f>
        <v/>
      </c>
      <c r="E169" s="27">
        <f>IF(OR($N169="",$N169="なし"),"",IF(INDEX('棚卸表'!$L$5:$L$504,$N169)="","",INDEX('棚卸表'!$L$5:$L$504,$N169)))</f>
        <v/>
      </c>
      <c r="F169" s="8" t="n"/>
      <c r="G169" s="25" t="n"/>
      <c r="H169" s="72">
        <f>IF(OR(OR($N169="",$N169="なし"),$G169=""),"",$G169*N(INDEX('棚卸表'!$G$5:$G$504,$N169)))</f>
        <v/>
      </c>
      <c r="I169" s="34" t="n"/>
      <c r="J169" s="34" t="n"/>
      <c r="K169" s="23" t="n"/>
      <c r="L169" s="23" t="n"/>
      <c r="M169" s="61" t="n"/>
      <c r="N169" s="35">
        <f>IF($B169="","",IFERROR(MATCH($B169,'棚卸表'!$B$5:$B$504,0),"なし"))</f>
        <v/>
      </c>
    </row>
    <row r="170" ht="30" customHeight="1">
      <c r="A170" s="30" t="n"/>
      <c r="B170" s="23" t="n"/>
      <c r="C170" s="33">
        <f>IF($N170="","",IF($N170="なし","※棚卸表にないコード",INDEX('棚卸表'!$C$5:$C$504,$N170)&amp;""))</f>
        <v/>
      </c>
      <c r="D170" s="29">
        <f>IF(OR($N170="",$N170="なし"),"",INDEX('棚卸表'!$E$5:$E$504,$N170)&amp;"")</f>
        <v/>
      </c>
      <c r="E170" s="27">
        <f>IF(OR($N170="",$N170="なし"),"",IF(INDEX('棚卸表'!$L$5:$L$504,$N170)="","",INDEX('棚卸表'!$L$5:$L$504,$N170)))</f>
        <v/>
      </c>
      <c r="F170" s="8" t="n"/>
      <c r="G170" s="25" t="n"/>
      <c r="H170" s="72">
        <f>IF(OR(OR($N170="",$N170="なし"),$G170=""),"",$G170*N(INDEX('棚卸表'!$G$5:$G$504,$N170)))</f>
        <v/>
      </c>
      <c r="I170" s="34" t="n"/>
      <c r="J170" s="34" t="n"/>
      <c r="K170" s="23" t="n"/>
      <c r="L170" s="23" t="n"/>
      <c r="M170" s="61" t="n"/>
      <c r="N170" s="35">
        <f>IF($B170="","",IFERROR(MATCH($B170,'棚卸表'!$B$5:$B$504,0),"なし"))</f>
        <v/>
      </c>
    </row>
    <row r="171" ht="30" customHeight="1">
      <c r="A171" s="30" t="n"/>
      <c r="B171" s="23" t="n"/>
      <c r="C171" s="33">
        <f>IF($N171="","",IF($N171="なし","※棚卸表にないコード",INDEX('棚卸表'!$C$5:$C$504,$N171)&amp;""))</f>
        <v/>
      </c>
      <c r="D171" s="29">
        <f>IF(OR($N171="",$N171="なし"),"",INDEX('棚卸表'!$E$5:$E$504,$N171)&amp;"")</f>
        <v/>
      </c>
      <c r="E171" s="27">
        <f>IF(OR($N171="",$N171="なし"),"",IF(INDEX('棚卸表'!$L$5:$L$504,$N171)="","",INDEX('棚卸表'!$L$5:$L$504,$N171)))</f>
        <v/>
      </c>
      <c r="F171" s="8" t="n"/>
      <c r="G171" s="25" t="n"/>
      <c r="H171" s="72">
        <f>IF(OR(OR($N171="",$N171="なし"),$G171=""),"",$G171*N(INDEX('棚卸表'!$G$5:$G$504,$N171)))</f>
        <v/>
      </c>
      <c r="I171" s="34" t="n"/>
      <c r="J171" s="34" t="n"/>
      <c r="K171" s="23" t="n"/>
      <c r="L171" s="23" t="n"/>
      <c r="M171" s="61" t="n"/>
      <c r="N171" s="35">
        <f>IF($B171="","",IFERROR(MATCH($B171,'棚卸表'!$B$5:$B$504,0),"なし"))</f>
        <v/>
      </c>
    </row>
    <row r="172" ht="30" customHeight="1">
      <c r="A172" s="30" t="n"/>
      <c r="B172" s="23" t="n"/>
      <c r="C172" s="33">
        <f>IF($N172="","",IF($N172="なし","※棚卸表にないコード",INDEX('棚卸表'!$C$5:$C$504,$N172)&amp;""))</f>
        <v/>
      </c>
      <c r="D172" s="29">
        <f>IF(OR($N172="",$N172="なし"),"",INDEX('棚卸表'!$E$5:$E$504,$N172)&amp;"")</f>
        <v/>
      </c>
      <c r="E172" s="27">
        <f>IF(OR($N172="",$N172="なし"),"",IF(INDEX('棚卸表'!$L$5:$L$504,$N172)="","",INDEX('棚卸表'!$L$5:$L$504,$N172)))</f>
        <v/>
      </c>
      <c r="F172" s="8" t="n"/>
      <c r="G172" s="25" t="n"/>
      <c r="H172" s="72">
        <f>IF(OR(OR($N172="",$N172="なし"),$G172=""),"",$G172*N(INDEX('棚卸表'!$G$5:$G$504,$N172)))</f>
        <v/>
      </c>
      <c r="I172" s="34" t="n"/>
      <c r="J172" s="34" t="n"/>
      <c r="K172" s="23" t="n"/>
      <c r="L172" s="23" t="n"/>
      <c r="M172" s="61" t="n"/>
      <c r="N172" s="35">
        <f>IF($B172="","",IFERROR(MATCH($B172,'棚卸表'!$B$5:$B$504,0),"なし"))</f>
        <v/>
      </c>
    </row>
    <row r="173" ht="30" customHeight="1">
      <c r="A173" s="30" t="n"/>
      <c r="B173" s="23" t="n"/>
      <c r="C173" s="33">
        <f>IF($N173="","",IF($N173="なし","※棚卸表にないコード",INDEX('棚卸表'!$C$5:$C$504,$N173)&amp;""))</f>
        <v/>
      </c>
      <c r="D173" s="29">
        <f>IF(OR($N173="",$N173="なし"),"",INDEX('棚卸表'!$E$5:$E$504,$N173)&amp;"")</f>
        <v/>
      </c>
      <c r="E173" s="27">
        <f>IF(OR($N173="",$N173="なし"),"",IF(INDEX('棚卸表'!$L$5:$L$504,$N173)="","",INDEX('棚卸表'!$L$5:$L$504,$N173)))</f>
        <v/>
      </c>
      <c r="F173" s="8" t="n"/>
      <c r="G173" s="25" t="n"/>
      <c r="H173" s="72">
        <f>IF(OR(OR($N173="",$N173="なし"),$G173=""),"",$G173*N(INDEX('棚卸表'!$G$5:$G$504,$N173)))</f>
        <v/>
      </c>
      <c r="I173" s="34" t="n"/>
      <c r="J173" s="34" t="n"/>
      <c r="K173" s="23" t="n"/>
      <c r="L173" s="23" t="n"/>
      <c r="M173" s="61" t="n"/>
      <c r="N173" s="35">
        <f>IF($B173="","",IFERROR(MATCH($B173,'棚卸表'!$B$5:$B$504,0),"なし"))</f>
        <v/>
      </c>
    </row>
    <row r="174" ht="30" customHeight="1">
      <c r="A174" s="30" t="n"/>
      <c r="B174" s="23" t="n"/>
      <c r="C174" s="33">
        <f>IF($N174="","",IF($N174="なし","※棚卸表にないコード",INDEX('棚卸表'!$C$5:$C$504,$N174)&amp;""))</f>
        <v/>
      </c>
      <c r="D174" s="29">
        <f>IF(OR($N174="",$N174="なし"),"",INDEX('棚卸表'!$E$5:$E$504,$N174)&amp;"")</f>
        <v/>
      </c>
      <c r="E174" s="27">
        <f>IF(OR($N174="",$N174="なし"),"",IF(INDEX('棚卸表'!$L$5:$L$504,$N174)="","",INDEX('棚卸表'!$L$5:$L$504,$N174)))</f>
        <v/>
      </c>
      <c r="F174" s="8" t="n"/>
      <c r="G174" s="25" t="n"/>
      <c r="H174" s="72">
        <f>IF(OR(OR($N174="",$N174="なし"),$G174=""),"",$G174*N(INDEX('棚卸表'!$G$5:$G$504,$N174)))</f>
        <v/>
      </c>
      <c r="I174" s="34" t="n"/>
      <c r="J174" s="34" t="n"/>
      <c r="K174" s="23" t="n"/>
      <c r="L174" s="23" t="n"/>
      <c r="M174" s="61" t="n"/>
      <c r="N174" s="35">
        <f>IF($B174="","",IFERROR(MATCH($B174,'棚卸表'!$B$5:$B$504,0),"なし"))</f>
        <v/>
      </c>
    </row>
    <row r="175" ht="30" customHeight="1">
      <c r="A175" s="30" t="n"/>
      <c r="B175" s="23" t="n"/>
      <c r="C175" s="33">
        <f>IF($N175="","",IF($N175="なし","※棚卸表にないコード",INDEX('棚卸表'!$C$5:$C$504,$N175)&amp;""))</f>
        <v/>
      </c>
      <c r="D175" s="29">
        <f>IF(OR($N175="",$N175="なし"),"",INDEX('棚卸表'!$E$5:$E$504,$N175)&amp;"")</f>
        <v/>
      </c>
      <c r="E175" s="27">
        <f>IF(OR($N175="",$N175="なし"),"",IF(INDEX('棚卸表'!$L$5:$L$504,$N175)="","",INDEX('棚卸表'!$L$5:$L$504,$N175)))</f>
        <v/>
      </c>
      <c r="F175" s="8" t="n"/>
      <c r="G175" s="25" t="n"/>
      <c r="H175" s="72">
        <f>IF(OR(OR($N175="",$N175="なし"),$G175=""),"",$G175*N(INDEX('棚卸表'!$G$5:$G$504,$N175)))</f>
        <v/>
      </c>
      <c r="I175" s="34" t="n"/>
      <c r="J175" s="34" t="n"/>
      <c r="K175" s="23" t="n"/>
      <c r="L175" s="23" t="n"/>
      <c r="M175" s="61" t="n"/>
      <c r="N175" s="35">
        <f>IF($B175="","",IFERROR(MATCH($B175,'棚卸表'!$B$5:$B$504,0),"なし"))</f>
        <v/>
      </c>
    </row>
    <row r="176" ht="30" customHeight="1">
      <c r="A176" s="30" t="n"/>
      <c r="B176" s="23" t="n"/>
      <c r="C176" s="33">
        <f>IF($N176="","",IF($N176="なし","※棚卸表にないコード",INDEX('棚卸表'!$C$5:$C$504,$N176)&amp;""))</f>
        <v/>
      </c>
      <c r="D176" s="29">
        <f>IF(OR($N176="",$N176="なし"),"",INDEX('棚卸表'!$E$5:$E$504,$N176)&amp;"")</f>
        <v/>
      </c>
      <c r="E176" s="27">
        <f>IF(OR($N176="",$N176="なし"),"",IF(INDEX('棚卸表'!$L$5:$L$504,$N176)="","",INDEX('棚卸表'!$L$5:$L$504,$N176)))</f>
        <v/>
      </c>
      <c r="F176" s="8" t="n"/>
      <c r="G176" s="25" t="n"/>
      <c r="H176" s="72">
        <f>IF(OR(OR($N176="",$N176="なし"),$G176=""),"",$G176*N(INDEX('棚卸表'!$G$5:$G$504,$N176)))</f>
        <v/>
      </c>
      <c r="I176" s="34" t="n"/>
      <c r="J176" s="34" t="n"/>
      <c r="K176" s="23" t="n"/>
      <c r="L176" s="23" t="n"/>
      <c r="M176" s="61" t="n"/>
      <c r="N176" s="35">
        <f>IF($B176="","",IFERROR(MATCH($B176,'棚卸表'!$B$5:$B$504,0),"なし"))</f>
        <v/>
      </c>
    </row>
    <row r="177" ht="30" customHeight="1">
      <c r="A177" s="30" t="n"/>
      <c r="B177" s="23" t="n"/>
      <c r="C177" s="33">
        <f>IF($N177="","",IF($N177="なし","※棚卸表にないコード",INDEX('棚卸表'!$C$5:$C$504,$N177)&amp;""))</f>
        <v/>
      </c>
      <c r="D177" s="29">
        <f>IF(OR($N177="",$N177="なし"),"",INDEX('棚卸表'!$E$5:$E$504,$N177)&amp;"")</f>
        <v/>
      </c>
      <c r="E177" s="27">
        <f>IF(OR($N177="",$N177="なし"),"",IF(INDEX('棚卸表'!$L$5:$L$504,$N177)="","",INDEX('棚卸表'!$L$5:$L$504,$N177)))</f>
        <v/>
      </c>
      <c r="F177" s="8" t="n"/>
      <c r="G177" s="25" t="n"/>
      <c r="H177" s="72">
        <f>IF(OR(OR($N177="",$N177="なし"),$G177=""),"",$G177*N(INDEX('棚卸表'!$G$5:$G$504,$N177)))</f>
        <v/>
      </c>
      <c r="I177" s="34" t="n"/>
      <c r="J177" s="34" t="n"/>
      <c r="K177" s="23" t="n"/>
      <c r="L177" s="23" t="n"/>
      <c r="M177" s="61" t="n"/>
      <c r="N177" s="35">
        <f>IF($B177="","",IFERROR(MATCH($B177,'棚卸表'!$B$5:$B$504,0),"なし"))</f>
        <v/>
      </c>
    </row>
    <row r="178" ht="30" customHeight="1">
      <c r="A178" s="30" t="n"/>
      <c r="B178" s="23" t="n"/>
      <c r="C178" s="33">
        <f>IF($N178="","",IF($N178="なし","※棚卸表にないコード",INDEX('棚卸表'!$C$5:$C$504,$N178)&amp;""))</f>
        <v/>
      </c>
      <c r="D178" s="29">
        <f>IF(OR($N178="",$N178="なし"),"",INDEX('棚卸表'!$E$5:$E$504,$N178)&amp;"")</f>
        <v/>
      </c>
      <c r="E178" s="27">
        <f>IF(OR($N178="",$N178="なし"),"",IF(INDEX('棚卸表'!$L$5:$L$504,$N178)="","",INDEX('棚卸表'!$L$5:$L$504,$N178)))</f>
        <v/>
      </c>
      <c r="F178" s="8" t="n"/>
      <c r="G178" s="25" t="n"/>
      <c r="H178" s="72">
        <f>IF(OR(OR($N178="",$N178="なし"),$G178=""),"",$G178*N(INDEX('棚卸表'!$G$5:$G$504,$N178)))</f>
        <v/>
      </c>
      <c r="I178" s="34" t="n"/>
      <c r="J178" s="34" t="n"/>
      <c r="K178" s="23" t="n"/>
      <c r="L178" s="23" t="n"/>
      <c r="M178" s="61" t="n"/>
      <c r="N178" s="35">
        <f>IF($B178="","",IFERROR(MATCH($B178,'棚卸表'!$B$5:$B$504,0),"なし"))</f>
        <v/>
      </c>
    </row>
    <row r="179" ht="30" customHeight="1">
      <c r="A179" s="30" t="n"/>
      <c r="B179" s="23" t="n"/>
      <c r="C179" s="33">
        <f>IF($N179="","",IF($N179="なし","※棚卸表にないコード",INDEX('棚卸表'!$C$5:$C$504,$N179)&amp;""))</f>
        <v/>
      </c>
      <c r="D179" s="29">
        <f>IF(OR($N179="",$N179="なし"),"",INDEX('棚卸表'!$E$5:$E$504,$N179)&amp;"")</f>
        <v/>
      </c>
      <c r="E179" s="27">
        <f>IF(OR($N179="",$N179="なし"),"",IF(INDEX('棚卸表'!$L$5:$L$504,$N179)="","",INDEX('棚卸表'!$L$5:$L$504,$N179)))</f>
        <v/>
      </c>
      <c r="F179" s="8" t="n"/>
      <c r="G179" s="25" t="n"/>
      <c r="H179" s="72">
        <f>IF(OR(OR($N179="",$N179="なし"),$G179=""),"",$G179*N(INDEX('棚卸表'!$G$5:$G$504,$N179)))</f>
        <v/>
      </c>
      <c r="I179" s="34" t="n"/>
      <c r="J179" s="34" t="n"/>
      <c r="K179" s="23" t="n"/>
      <c r="L179" s="23" t="n"/>
      <c r="M179" s="61" t="n"/>
      <c r="N179" s="35">
        <f>IF($B179="","",IFERROR(MATCH($B179,'棚卸表'!$B$5:$B$504,0),"なし"))</f>
        <v/>
      </c>
    </row>
    <row r="180" ht="30" customHeight="1">
      <c r="A180" s="30" t="n"/>
      <c r="B180" s="23" t="n"/>
      <c r="C180" s="33">
        <f>IF($N180="","",IF($N180="なし","※棚卸表にないコード",INDEX('棚卸表'!$C$5:$C$504,$N180)&amp;""))</f>
        <v/>
      </c>
      <c r="D180" s="29">
        <f>IF(OR($N180="",$N180="なし"),"",INDEX('棚卸表'!$E$5:$E$504,$N180)&amp;"")</f>
        <v/>
      </c>
      <c r="E180" s="27">
        <f>IF(OR($N180="",$N180="なし"),"",IF(INDEX('棚卸表'!$L$5:$L$504,$N180)="","",INDEX('棚卸表'!$L$5:$L$504,$N180)))</f>
        <v/>
      </c>
      <c r="F180" s="8" t="n"/>
      <c r="G180" s="25" t="n"/>
      <c r="H180" s="72">
        <f>IF(OR(OR($N180="",$N180="なし"),$G180=""),"",$G180*N(INDEX('棚卸表'!$G$5:$G$504,$N180)))</f>
        <v/>
      </c>
      <c r="I180" s="34" t="n"/>
      <c r="J180" s="34" t="n"/>
      <c r="K180" s="23" t="n"/>
      <c r="L180" s="23" t="n"/>
      <c r="M180" s="61" t="n"/>
      <c r="N180" s="35">
        <f>IF($B180="","",IFERROR(MATCH($B180,'棚卸表'!$B$5:$B$504,0),"なし"))</f>
        <v/>
      </c>
    </row>
    <row r="181" ht="30" customHeight="1">
      <c r="A181" s="30" t="n"/>
      <c r="B181" s="23" t="n"/>
      <c r="C181" s="33">
        <f>IF($N181="","",IF($N181="なし","※棚卸表にないコード",INDEX('棚卸表'!$C$5:$C$504,$N181)&amp;""))</f>
        <v/>
      </c>
      <c r="D181" s="29">
        <f>IF(OR($N181="",$N181="なし"),"",INDEX('棚卸表'!$E$5:$E$504,$N181)&amp;"")</f>
        <v/>
      </c>
      <c r="E181" s="27">
        <f>IF(OR($N181="",$N181="なし"),"",IF(INDEX('棚卸表'!$L$5:$L$504,$N181)="","",INDEX('棚卸表'!$L$5:$L$504,$N181)))</f>
        <v/>
      </c>
      <c r="F181" s="8" t="n"/>
      <c r="G181" s="25" t="n"/>
      <c r="H181" s="72">
        <f>IF(OR(OR($N181="",$N181="なし"),$G181=""),"",$G181*N(INDEX('棚卸表'!$G$5:$G$504,$N181)))</f>
        <v/>
      </c>
      <c r="I181" s="34" t="n"/>
      <c r="J181" s="34" t="n"/>
      <c r="K181" s="23" t="n"/>
      <c r="L181" s="23" t="n"/>
      <c r="M181" s="61" t="n"/>
      <c r="N181" s="35">
        <f>IF($B181="","",IFERROR(MATCH($B181,'棚卸表'!$B$5:$B$504,0),"なし"))</f>
        <v/>
      </c>
    </row>
    <row r="182" ht="30" customHeight="1">
      <c r="A182" s="30" t="n"/>
      <c r="B182" s="23" t="n"/>
      <c r="C182" s="33">
        <f>IF($N182="","",IF($N182="なし","※棚卸表にないコード",INDEX('棚卸表'!$C$5:$C$504,$N182)&amp;""))</f>
        <v/>
      </c>
      <c r="D182" s="29">
        <f>IF(OR($N182="",$N182="なし"),"",INDEX('棚卸表'!$E$5:$E$504,$N182)&amp;"")</f>
        <v/>
      </c>
      <c r="E182" s="27">
        <f>IF(OR($N182="",$N182="なし"),"",IF(INDEX('棚卸表'!$L$5:$L$504,$N182)="","",INDEX('棚卸表'!$L$5:$L$504,$N182)))</f>
        <v/>
      </c>
      <c r="F182" s="8" t="n"/>
      <c r="G182" s="25" t="n"/>
      <c r="H182" s="72">
        <f>IF(OR(OR($N182="",$N182="なし"),$G182=""),"",$G182*N(INDEX('棚卸表'!$G$5:$G$504,$N182)))</f>
        <v/>
      </c>
      <c r="I182" s="34" t="n"/>
      <c r="J182" s="34" t="n"/>
      <c r="K182" s="23" t="n"/>
      <c r="L182" s="23" t="n"/>
      <c r="M182" s="61" t="n"/>
      <c r="N182" s="35">
        <f>IF($B182="","",IFERROR(MATCH($B182,'棚卸表'!$B$5:$B$504,0),"なし"))</f>
        <v/>
      </c>
    </row>
    <row r="183" ht="30" customHeight="1">
      <c r="A183" s="30" t="n"/>
      <c r="B183" s="23" t="n"/>
      <c r="C183" s="33">
        <f>IF($N183="","",IF($N183="なし","※棚卸表にないコード",INDEX('棚卸表'!$C$5:$C$504,$N183)&amp;""))</f>
        <v/>
      </c>
      <c r="D183" s="29">
        <f>IF(OR($N183="",$N183="なし"),"",INDEX('棚卸表'!$E$5:$E$504,$N183)&amp;"")</f>
        <v/>
      </c>
      <c r="E183" s="27">
        <f>IF(OR($N183="",$N183="なし"),"",IF(INDEX('棚卸表'!$L$5:$L$504,$N183)="","",INDEX('棚卸表'!$L$5:$L$504,$N183)))</f>
        <v/>
      </c>
      <c r="F183" s="8" t="n"/>
      <c r="G183" s="25" t="n"/>
      <c r="H183" s="72">
        <f>IF(OR(OR($N183="",$N183="なし"),$G183=""),"",$G183*N(INDEX('棚卸表'!$G$5:$G$504,$N183)))</f>
        <v/>
      </c>
      <c r="I183" s="34" t="n"/>
      <c r="J183" s="34" t="n"/>
      <c r="K183" s="23" t="n"/>
      <c r="L183" s="23" t="n"/>
      <c r="M183" s="61" t="n"/>
      <c r="N183" s="35">
        <f>IF($B183="","",IFERROR(MATCH($B183,'棚卸表'!$B$5:$B$504,0),"なし"))</f>
        <v/>
      </c>
    </row>
    <row r="184" ht="30" customHeight="1">
      <c r="A184" s="30" t="n"/>
      <c r="B184" s="23" t="n"/>
      <c r="C184" s="33">
        <f>IF($N184="","",IF($N184="なし","※棚卸表にないコード",INDEX('棚卸表'!$C$5:$C$504,$N184)&amp;""))</f>
        <v/>
      </c>
      <c r="D184" s="29">
        <f>IF(OR($N184="",$N184="なし"),"",INDEX('棚卸表'!$E$5:$E$504,$N184)&amp;"")</f>
        <v/>
      </c>
      <c r="E184" s="27">
        <f>IF(OR($N184="",$N184="なし"),"",IF(INDEX('棚卸表'!$L$5:$L$504,$N184)="","",INDEX('棚卸表'!$L$5:$L$504,$N184)))</f>
        <v/>
      </c>
      <c r="F184" s="8" t="n"/>
      <c r="G184" s="25" t="n"/>
      <c r="H184" s="72">
        <f>IF(OR(OR($N184="",$N184="なし"),$G184=""),"",$G184*N(INDEX('棚卸表'!$G$5:$G$504,$N184)))</f>
        <v/>
      </c>
      <c r="I184" s="34" t="n"/>
      <c r="J184" s="34" t="n"/>
      <c r="K184" s="23" t="n"/>
      <c r="L184" s="23" t="n"/>
      <c r="M184" s="61" t="n"/>
      <c r="N184" s="35">
        <f>IF($B184="","",IFERROR(MATCH($B184,'棚卸表'!$B$5:$B$504,0),"なし"))</f>
        <v/>
      </c>
    </row>
    <row r="185" ht="30" customHeight="1">
      <c r="A185" s="30" t="n"/>
      <c r="B185" s="23" t="n"/>
      <c r="C185" s="33">
        <f>IF($N185="","",IF($N185="なし","※棚卸表にないコード",INDEX('棚卸表'!$C$5:$C$504,$N185)&amp;""))</f>
        <v/>
      </c>
      <c r="D185" s="29">
        <f>IF(OR($N185="",$N185="なし"),"",INDEX('棚卸表'!$E$5:$E$504,$N185)&amp;"")</f>
        <v/>
      </c>
      <c r="E185" s="27">
        <f>IF(OR($N185="",$N185="なし"),"",IF(INDEX('棚卸表'!$L$5:$L$504,$N185)="","",INDEX('棚卸表'!$L$5:$L$504,$N185)))</f>
        <v/>
      </c>
      <c r="F185" s="8" t="n"/>
      <c r="G185" s="25" t="n"/>
      <c r="H185" s="72">
        <f>IF(OR(OR($N185="",$N185="なし"),$G185=""),"",$G185*N(INDEX('棚卸表'!$G$5:$G$504,$N185)))</f>
        <v/>
      </c>
      <c r="I185" s="34" t="n"/>
      <c r="J185" s="34" t="n"/>
      <c r="K185" s="23" t="n"/>
      <c r="L185" s="23" t="n"/>
      <c r="M185" s="61" t="n"/>
      <c r="N185" s="35">
        <f>IF($B185="","",IFERROR(MATCH($B185,'棚卸表'!$B$5:$B$504,0),"なし"))</f>
        <v/>
      </c>
    </row>
    <row r="186" ht="30" customHeight="1">
      <c r="A186" s="30" t="n"/>
      <c r="B186" s="23" t="n"/>
      <c r="C186" s="33">
        <f>IF($N186="","",IF($N186="なし","※棚卸表にないコード",INDEX('棚卸表'!$C$5:$C$504,$N186)&amp;""))</f>
        <v/>
      </c>
      <c r="D186" s="29">
        <f>IF(OR($N186="",$N186="なし"),"",INDEX('棚卸表'!$E$5:$E$504,$N186)&amp;"")</f>
        <v/>
      </c>
      <c r="E186" s="27">
        <f>IF(OR($N186="",$N186="なし"),"",IF(INDEX('棚卸表'!$L$5:$L$504,$N186)="","",INDEX('棚卸表'!$L$5:$L$504,$N186)))</f>
        <v/>
      </c>
      <c r="F186" s="8" t="n"/>
      <c r="G186" s="25" t="n"/>
      <c r="H186" s="72">
        <f>IF(OR(OR($N186="",$N186="なし"),$G186=""),"",$G186*N(INDEX('棚卸表'!$G$5:$G$504,$N186)))</f>
        <v/>
      </c>
      <c r="I186" s="34" t="n"/>
      <c r="J186" s="34" t="n"/>
      <c r="K186" s="23" t="n"/>
      <c r="L186" s="23" t="n"/>
      <c r="M186" s="61" t="n"/>
      <c r="N186" s="35">
        <f>IF($B186="","",IFERROR(MATCH($B186,'棚卸表'!$B$5:$B$504,0),"なし"))</f>
        <v/>
      </c>
    </row>
    <row r="187" ht="30" customHeight="1">
      <c r="A187" s="30" t="n"/>
      <c r="B187" s="23" t="n"/>
      <c r="C187" s="33">
        <f>IF($N187="","",IF($N187="なし","※棚卸表にないコード",INDEX('棚卸表'!$C$5:$C$504,$N187)&amp;""))</f>
        <v/>
      </c>
      <c r="D187" s="29">
        <f>IF(OR($N187="",$N187="なし"),"",INDEX('棚卸表'!$E$5:$E$504,$N187)&amp;"")</f>
        <v/>
      </c>
      <c r="E187" s="27">
        <f>IF(OR($N187="",$N187="なし"),"",IF(INDEX('棚卸表'!$L$5:$L$504,$N187)="","",INDEX('棚卸表'!$L$5:$L$504,$N187)))</f>
        <v/>
      </c>
      <c r="F187" s="8" t="n"/>
      <c r="G187" s="25" t="n"/>
      <c r="H187" s="72">
        <f>IF(OR(OR($N187="",$N187="なし"),$G187=""),"",$G187*N(INDEX('棚卸表'!$G$5:$G$504,$N187)))</f>
        <v/>
      </c>
      <c r="I187" s="34" t="n"/>
      <c r="J187" s="34" t="n"/>
      <c r="K187" s="23" t="n"/>
      <c r="L187" s="23" t="n"/>
      <c r="M187" s="61" t="n"/>
      <c r="N187" s="35">
        <f>IF($B187="","",IFERROR(MATCH($B187,'棚卸表'!$B$5:$B$504,0),"なし"))</f>
        <v/>
      </c>
    </row>
    <row r="188" ht="30" customHeight="1">
      <c r="A188" s="30" t="n"/>
      <c r="B188" s="23" t="n"/>
      <c r="C188" s="33">
        <f>IF($N188="","",IF($N188="なし","※棚卸表にないコード",INDEX('棚卸表'!$C$5:$C$504,$N188)&amp;""))</f>
        <v/>
      </c>
      <c r="D188" s="29">
        <f>IF(OR($N188="",$N188="なし"),"",INDEX('棚卸表'!$E$5:$E$504,$N188)&amp;"")</f>
        <v/>
      </c>
      <c r="E188" s="27">
        <f>IF(OR($N188="",$N188="なし"),"",IF(INDEX('棚卸表'!$L$5:$L$504,$N188)="","",INDEX('棚卸表'!$L$5:$L$504,$N188)))</f>
        <v/>
      </c>
      <c r="F188" s="8" t="n"/>
      <c r="G188" s="25" t="n"/>
      <c r="H188" s="72">
        <f>IF(OR(OR($N188="",$N188="なし"),$G188=""),"",$G188*N(INDEX('棚卸表'!$G$5:$G$504,$N188)))</f>
        <v/>
      </c>
      <c r="I188" s="34" t="n"/>
      <c r="J188" s="34" t="n"/>
      <c r="K188" s="23" t="n"/>
      <c r="L188" s="23" t="n"/>
      <c r="M188" s="61" t="n"/>
      <c r="N188" s="35">
        <f>IF($B188="","",IFERROR(MATCH($B188,'棚卸表'!$B$5:$B$504,0),"なし"))</f>
        <v/>
      </c>
    </row>
    <row r="189" ht="30" customHeight="1">
      <c r="A189" s="30" t="n"/>
      <c r="B189" s="23" t="n"/>
      <c r="C189" s="33">
        <f>IF($N189="","",IF($N189="なし","※棚卸表にないコード",INDEX('棚卸表'!$C$5:$C$504,$N189)&amp;""))</f>
        <v/>
      </c>
      <c r="D189" s="29">
        <f>IF(OR($N189="",$N189="なし"),"",INDEX('棚卸表'!$E$5:$E$504,$N189)&amp;"")</f>
        <v/>
      </c>
      <c r="E189" s="27">
        <f>IF(OR($N189="",$N189="なし"),"",IF(INDEX('棚卸表'!$L$5:$L$504,$N189)="","",INDEX('棚卸表'!$L$5:$L$504,$N189)))</f>
        <v/>
      </c>
      <c r="F189" s="8" t="n"/>
      <c r="G189" s="25" t="n"/>
      <c r="H189" s="72">
        <f>IF(OR(OR($N189="",$N189="なし"),$G189=""),"",$G189*N(INDEX('棚卸表'!$G$5:$G$504,$N189)))</f>
        <v/>
      </c>
      <c r="I189" s="34" t="n"/>
      <c r="J189" s="34" t="n"/>
      <c r="K189" s="23" t="n"/>
      <c r="L189" s="23" t="n"/>
      <c r="M189" s="61" t="n"/>
      <c r="N189" s="35">
        <f>IF($B189="","",IFERROR(MATCH($B189,'棚卸表'!$B$5:$B$504,0),"なし"))</f>
        <v/>
      </c>
    </row>
    <row r="190" ht="30" customHeight="1">
      <c r="A190" s="30" t="n"/>
      <c r="B190" s="23" t="n"/>
      <c r="C190" s="33">
        <f>IF($N190="","",IF($N190="なし","※棚卸表にないコード",INDEX('棚卸表'!$C$5:$C$504,$N190)&amp;""))</f>
        <v/>
      </c>
      <c r="D190" s="29">
        <f>IF(OR($N190="",$N190="なし"),"",INDEX('棚卸表'!$E$5:$E$504,$N190)&amp;"")</f>
        <v/>
      </c>
      <c r="E190" s="27">
        <f>IF(OR($N190="",$N190="なし"),"",IF(INDEX('棚卸表'!$L$5:$L$504,$N190)="","",INDEX('棚卸表'!$L$5:$L$504,$N190)))</f>
        <v/>
      </c>
      <c r="F190" s="8" t="n"/>
      <c r="G190" s="25" t="n"/>
      <c r="H190" s="72">
        <f>IF(OR(OR($N190="",$N190="なし"),$G190=""),"",$G190*N(INDEX('棚卸表'!$G$5:$G$504,$N190)))</f>
        <v/>
      </c>
      <c r="I190" s="34" t="n"/>
      <c r="J190" s="34" t="n"/>
      <c r="K190" s="23" t="n"/>
      <c r="L190" s="23" t="n"/>
      <c r="M190" s="61" t="n"/>
      <c r="N190" s="35">
        <f>IF($B190="","",IFERROR(MATCH($B190,'棚卸表'!$B$5:$B$504,0),"なし"))</f>
        <v/>
      </c>
    </row>
    <row r="191" ht="30" customHeight="1">
      <c r="A191" s="30" t="n"/>
      <c r="B191" s="23" t="n"/>
      <c r="C191" s="33">
        <f>IF($N191="","",IF($N191="なし","※棚卸表にないコード",INDEX('棚卸表'!$C$5:$C$504,$N191)&amp;""))</f>
        <v/>
      </c>
      <c r="D191" s="29">
        <f>IF(OR($N191="",$N191="なし"),"",INDEX('棚卸表'!$E$5:$E$504,$N191)&amp;"")</f>
        <v/>
      </c>
      <c r="E191" s="27">
        <f>IF(OR($N191="",$N191="なし"),"",IF(INDEX('棚卸表'!$L$5:$L$504,$N191)="","",INDEX('棚卸表'!$L$5:$L$504,$N191)))</f>
        <v/>
      </c>
      <c r="F191" s="8" t="n"/>
      <c r="G191" s="25" t="n"/>
      <c r="H191" s="72">
        <f>IF(OR(OR($N191="",$N191="なし"),$G191=""),"",$G191*N(INDEX('棚卸表'!$G$5:$G$504,$N191)))</f>
        <v/>
      </c>
      <c r="I191" s="34" t="n"/>
      <c r="J191" s="34" t="n"/>
      <c r="K191" s="23" t="n"/>
      <c r="L191" s="23" t="n"/>
      <c r="M191" s="61" t="n"/>
      <c r="N191" s="35">
        <f>IF($B191="","",IFERROR(MATCH($B191,'棚卸表'!$B$5:$B$504,0),"なし"))</f>
        <v/>
      </c>
    </row>
    <row r="192" ht="30" customHeight="1">
      <c r="A192" s="30" t="n"/>
      <c r="B192" s="23" t="n"/>
      <c r="C192" s="33">
        <f>IF($N192="","",IF($N192="なし","※棚卸表にないコード",INDEX('棚卸表'!$C$5:$C$504,$N192)&amp;""))</f>
        <v/>
      </c>
      <c r="D192" s="29">
        <f>IF(OR($N192="",$N192="なし"),"",INDEX('棚卸表'!$E$5:$E$504,$N192)&amp;"")</f>
        <v/>
      </c>
      <c r="E192" s="27">
        <f>IF(OR($N192="",$N192="なし"),"",IF(INDEX('棚卸表'!$L$5:$L$504,$N192)="","",INDEX('棚卸表'!$L$5:$L$504,$N192)))</f>
        <v/>
      </c>
      <c r="F192" s="8" t="n"/>
      <c r="G192" s="25" t="n"/>
      <c r="H192" s="72">
        <f>IF(OR(OR($N192="",$N192="なし"),$G192=""),"",$G192*N(INDEX('棚卸表'!$G$5:$G$504,$N192)))</f>
        <v/>
      </c>
      <c r="I192" s="34" t="n"/>
      <c r="J192" s="34" t="n"/>
      <c r="K192" s="23" t="n"/>
      <c r="L192" s="23" t="n"/>
      <c r="M192" s="61" t="n"/>
      <c r="N192" s="35">
        <f>IF($B192="","",IFERROR(MATCH($B192,'棚卸表'!$B$5:$B$504,0),"なし"))</f>
        <v/>
      </c>
    </row>
    <row r="193" ht="30" customHeight="1">
      <c r="A193" s="30" t="n"/>
      <c r="B193" s="23" t="n"/>
      <c r="C193" s="33">
        <f>IF($N193="","",IF($N193="なし","※棚卸表にないコード",INDEX('棚卸表'!$C$5:$C$504,$N193)&amp;""))</f>
        <v/>
      </c>
      <c r="D193" s="29">
        <f>IF(OR($N193="",$N193="なし"),"",INDEX('棚卸表'!$E$5:$E$504,$N193)&amp;"")</f>
        <v/>
      </c>
      <c r="E193" s="27">
        <f>IF(OR($N193="",$N193="なし"),"",IF(INDEX('棚卸表'!$L$5:$L$504,$N193)="","",INDEX('棚卸表'!$L$5:$L$504,$N193)))</f>
        <v/>
      </c>
      <c r="F193" s="8" t="n"/>
      <c r="G193" s="25" t="n"/>
      <c r="H193" s="72">
        <f>IF(OR(OR($N193="",$N193="なし"),$G193=""),"",$G193*N(INDEX('棚卸表'!$G$5:$G$504,$N193)))</f>
        <v/>
      </c>
      <c r="I193" s="34" t="n"/>
      <c r="J193" s="34" t="n"/>
      <c r="K193" s="23" t="n"/>
      <c r="L193" s="23" t="n"/>
      <c r="M193" s="61" t="n"/>
      <c r="N193" s="35">
        <f>IF($B193="","",IFERROR(MATCH($B193,'棚卸表'!$B$5:$B$504,0),"なし"))</f>
        <v/>
      </c>
    </row>
    <row r="194" ht="30" customHeight="1">
      <c r="A194" s="30" t="n"/>
      <c r="B194" s="23" t="n"/>
      <c r="C194" s="33">
        <f>IF($N194="","",IF($N194="なし","※棚卸表にないコード",INDEX('棚卸表'!$C$5:$C$504,$N194)&amp;""))</f>
        <v/>
      </c>
      <c r="D194" s="29">
        <f>IF(OR($N194="",$N194="なし"),"",INDEX('棚卸表'!$E$5:$E$504,$N194)&amp;"")</f>
        <v/>
      </c>
      <c r="E194" s="27">
        <f>IF(OR($N194="",$N194="なし"),"",IF(INDEX('棚卸表'!$L$5:$L$504,$N194)="","",INDEX('棚卸表'!$L$5:$L$504,$N194)))</f>
        <v/>
      </c>
      <c r="F194" s="8" t="n"/>
      <c r="G194" s="25" t="n"/>
      <c r="H194" s="72">
        <f>IF(OR(OR($N194="",$N194="なし"),$G194=""),"",$G194*N(INDEX('棚卸表'!$G$5:$G$504,$N194)))</f>
        <v/>
      </c>
      <c r="I194" s="34" t="n"/>
      <c r="J194" s="34" t="n"/>
      <c r="K194" s="23" t="n"/>
      <c r="L194" s="23" t="n"/>
      <c r="M194" s="61" t="n"/>
      <c r="N194" s="35">
        <f>IF($B194="","",IFERROR(MATCH($B194,'棚卸表'!$B$5:$B$504,0),"なし"))</f>
        <v/>
      </c>
    </row>
    <row r="195" ht="30" customHeight="1">
      <c r="A195" s="30" t="n"/>
      <c r="B195" s="23" t="n"/>
      <c r="C195" s="33">
        <f>IF($N195="","",IF($N195="なし","※棚卸表にないコード",INDEX('棚卸表'!$C$5:$C$504,$N195)&amp;""))</f>
        <v/>
      </c>
      <c r="D195" s="29">
        <f>IF(OR($N195="",$N195="なし"),"",INDEX('棚卸表'!$E$5:$E$504,$N195)&amp;"")</f>
        <v/>
      </c>
      <c r="E195" s="27">
        <f>IF(OR($N195="",$N195="なし"),"",IF(INDEX('棚卸表'!$L$5:$L$504,$N195)="","",INDEX('棚卸表'!$L$5:$L$504,$N195)))</f>
        <v/>
      </c>
      <c r="F195" s="8" t="n"/>
      <c r="G195" s="25" t="n"/>
      <c r="H195" s="72">
        <f>IF(OR(OR($N195="",$N195="なし"),$G195=""),"",$G195*N(INDEX('棚卸表'!$G$5:$G$504,$N195)))</f>
        <v/>
      </c>
      <c r="I195" s="34" t="n"/>
      <c r="J195" s="34" t="n"/>
      <c r="K195" s="23" t="n"/>
      <c r="L195" s="23" t="n"/>
      <c r="M195" s="61" t="n"/>
      <c r="N195" s="35">
        <f>IF($B195="","",IFERROR(MATCH($B195,'棚卸表'!$B$5:$B$504,0),"なし"))</f>
        <v/>
      </c>
    </row>
    <row r="196" ht="30" customHeight="1">
      <c r="A196" s="30" t="n"/>
      <c r="B196" s="23" t="n"/>
      <c r="C196" s="33">
        <f>IF($N196="","",IF($N196="なし","※棚卸表にないコード",INDEX('棚卸表'!$C$5:$C$504,$N196)&amp;""))</f>
        <v/>
      </c>
      <c r="D196" s="29">
        <f>IF(OR($N196="",$N196="なし"),"",INDEX('棚卸表'!$E$5:$E$504,$N196)&amp;"")</f>
        <v/>
      </c>
      <c r="E196" s="27">
        <f>IF(OR($N196="",$N196="なし"),"",IF(INDEX('棚卸表'!$L$5:$L$504,$N196)="","",INDEX('棚卸表'!$L$5:$L$504,$N196)))</f>
        <v/>
      </c>
      <c r="F196" s="8" t="n"/>
      <c r="G196" s="25" t="n"/>
      <c r="H196" s="72">
        <f>IF(OR(OR($N196="",$N196="なし"),$G196=""),"",$G196*N(INDEX('棚卸表'!$G$5:$G$504,$N196)))</f>
        <v/>
      </c>
      <c r="I196" s="34" t="n"/>
      <c r="J196" s="34" t="n"/>
      <c r="K196" s="23" t="n"/>
      <c r="L196" s="23" t="n"/>
      <c r="M196" s="61" t="n"/>
      <c r="N196" s="35">
        <f>IF($B196="","",IFERROR(MATCH($B196,'棚卸表'!$B$5:$B$504,0),"なし"))</f>
        <v/>
      </c>
    </row>
    <row r="197" ht="30" customHeight="1">
      <c r="A197" s="30" t="n"/>
      <c r="B197" s="23" t="n"/>
      <c r="C197" s="33">
        <f>IF($N197="","",IF($N197="なし","※棚卸表にないコード",INDEX('棚卸表'!$C$5:$C$504,$N197)&amp;""))</f>
        <v/>
      </c>
      <c r="D197" s="29">
        <f>IF(OR($N197="",$N197="なし"),"",INDEX('棚卸表'!$E$5:$E$504,$N197)&amp;"")</f>
        <v/>
      </c>
      <c r="E197" s="27">
        <f>IF(OR($N197="",$N197="なし"),"",IF(INDEX('棚卸表'!$L$5:$L$504,$N197)="","",INDEX('棚卸表'!$L$5:$L$504,$N197)))</f>
        <v/>
      </c>
      <c r="F197" s="8" t="n"/>
      <c r="G197" s="25" t="n"/>
      <c r="H197" s="72">
        <f>IF(OR(OR($N197="",$N197="なし"),$G197=""),"",$G197*N(INDEX('棚卸表'!$G$5:$G$504,$N197)))</f>
        <v/>
      </c>
      <c r="I197" s="34" t="n"/>
      <c r="J197" s="34" t="n"/>
      <c r="K197" s="23" t="n"/>
      <c r="L197" s="23" t="n"/>
      <c r="M197" s="61" t="n"/>
      <c r="N197" s="35">
        <f>IF($B197="","",IFERROR(MATCH($B197,'棚卸表'!$B$5:$B$504,0),"なし"))</f>
        <v/>
      </c>
    </row>
    <row r="198" ht="30" customHeight="1">
      <c r="A198" s="30" t="n"/>
      <c r="B198" s="23" t="n"/>
      <c r="C198" s="33">
        <f>IF($N198="","",IF($N198="なし","※棚卸表にないコード",INDEX('棚卸表'!$C$5:$C$504,$N198)&amp;""))</f>
        <v/>
      </c>
      <c r="D198" s="29">
        <f>IF(OR($N198="",$N198="なし"),"",INDEX('棚卸表'!$E$5:$E$504,$N198)&amp;"")</f>
        <v/>
      </c>
      <c r="E198" s="27">
        <f>IF(OR($N198="",$N198="なし"),"",IF(INDEX('棚卸表'!$L$5:$L$504,$N198)="","",INDEX('棚卸表'!$L$5:$L$504,$N198)))</f>
        <v/>
      </c>
      <c r="F198" s="8" t="n"/>
      <c r="G198" s="25" t="n"/>
      <c r="H198" s="72">
        <f>IF(OR(OR($N198="",$N198="なし"),$G198=""),"",$G198*N(INDEX('棚卸表'!$G$5:$G$504,$N198)))</f>
        <v/>
      </c>
      <c r="I198" s="34" t="n"/>
      <c r="J198" s="34" t="n"/>
      <c r="K198" s="23" t="n"/>
      <c r="L198" s="23" t="n"/>
      <c r="M198" s="61" t="n"/>
      <c r="N198" s="35">
        <f>IF($B198="","",IFERROR(MATCH($B198,'棚卸表'!$B$5:$B$504,0),"なし"))</f>
        <v/>
      </c>
    </row>
    <row r="199" ht="30" customHeight="1">
      <c r="A199" s="30" t="n"/>
      <c r="B199" s="23" t="n"/>
      <c r="C199" s="33">
        <f>IF($N199="","",IF($N199="なし","※棚卸表にないコード",INDEX('棚卸表'!$C$5:$C$504,$N199)&amp;""))</f>
        <v/>
      </c>
      <c r="D199" s="29">
        <f>IF(OR($N199="",$N199="なし"),"",INDEX('棚卸表'!$E$5:$E$504,$N199)&amp;"")</f>
        <v/>
      </c>
      <c r="E199" s="27">
        <f>IF(OR($N199="",$N199="なし"),"",IF(INDEX('棚卸表'!$L$5:$L$504,$N199)="","",INDEX('棚卸表'!$L$5:$L$504,$N199)))</f>
        <v/>
      </c>
      <c r="F199" s="8" t="n"/>
      <c r="G199" s="25" t="n"/>
      <c r="H199" s="72">
        <f>IF(OR(OR($N199="",$N199="なし"),$G199=""),"",$G199*N(INDEX('棚卸表'!$G$5:$G$504,$N199)))</f>
        <v/>
      </c>
      <c r="I199" s="34" t="n"/>
      <c r="J199" s="34" t="n"/>
      <c r="K199" s="23" t="n"/>
      <c r="L199" s="23" t="n"/>
      <c r="M199" s="61" t="n"/>
      <c r="N199" s="35">
        <f>IF($B199="","",IFERROR(MATCH($B199,'棚卸表'!$B$5:$B$504,0),"なし"))</f>
        <v/>
      </c>
    </row>
    <row r="200" ht="30" customHeight="1">
      <c r="A200" s="30" t="n"/>
      <c r="B200" s="23" t="n"/>
      <c r="C200" s="33">
        <f>IF($N200="","",IF($N200="なし","※棚卸表にないコード",INDEX('棚卸表'!$C$5:$C$504,$N200)&amp;""))</f>
        <v/>
      </c>
      <c r="D200" s="29">
        <f>IF(OR($N200="",$N200="なし"),"",INDEX('棚卸表'!$E$5:$E$504,$N200)&amp;"")</f>
        <v/>
      </c>
      <c r="E200" s="27">
        <f>IF(OR($N200="",$N200="なし"),"",IF(INDEX('棚卸表'!$L$5:$L$504,$N200)="","",INDEX('棚卸表'!$L$5:$L$504,$N200)))</f>
        <v/>
      </c>
      <c r="F200" s="8" t="n"/>
      <c r="G200" s="25" t="n"/>
      <c r="H200" s="72">
        <f>IF(OR(OR($N200="",$N200="なし"),$G200=""),"",$G200*N(INDEX('棚卸表'!$G$5:$G$504,$N200)))</f>
        <v/>
      </c>
      <c r="I200" s="34" t="n"/>
      <c r="J200" s="34" t="n"/>
      <c r="K200" s="23" t="n"/>
      <c r="L200" s="23" t="n"/>
      <c r="M200" s="61" t="n"/>
      <c r="N200" s="35">
        <f>IF($B200="","",IFERROR(MATCH($B200,'棚卸表'!$B$5:$B$504,0),"なし"))</f>
        <v/>
      </c>
    </row>
    <row r="201" ht="30" customHeight="1">
      <c r="A201" s="30" t="n"/>
      <c r="B201" s="23" t="n"/>
      <c r="C201" s="33">
        <f>IF($N201="","",IF($N201="なし","※棚卸表にないコード",INDEX('棚卸表'!$C$5:$C$504,$N201)&amp;""))</f>
        <v/>
      </c>
      <c r="D201" s="29">
        <f>IF(OR($N201="",$N201="なし"),"",INDEX('棚卸表'!$E$5:$E$504,$N201)&amp;"")</f>
        <v/>
      </c>
      <c r="E201" s="27">
        <f>IF(OR($N201="",$N201="なし"),"",IF(INDEX('棚卸表'!$L$5:$L$504,$N201)="","",INDEX('棚卸表'!$L$5:$L$504,$N201)))</f>
        <v/>
      </c>
      <c r="F201" s="8" t="n"/>
      <c r="G201" s="25" t="n"/>
      <c r="H201" s="72">
        <f>IF(OR(OR($N201="",$N201="なし"),$G201=""),"",$G201*N(INDEX('棚卸表'!$G$5:$G$504,$N201)))</f>
        <v/>
      </c>
      <c r="I201" s="34" t="n"/>
      <c r="J201" s="34" t="n"/>
      <c r="K201" s="23" t="n"/>
      <c r="L201" s="23" t="n"/>
      <c r="M201" s="61" t="n"/>
      <c r="N201" s="35">
        <f>IF($B201="","",IFERROR(MATCH($B201,'棚卸表'!$B$5:$B$504,0),"なし"))</f>
        <v/>
      </c>
    </row>
    <row r="202" ht="30" customHeight="1">
      <c r="A202" s="30" t="n"/>
      <c r="B202" s="23" t="n"/>
      <c r="C202" s="33">
        <f>IF($N202="","",IF($N202="なし","※棚卸表にないコード",INDEX('棚卸表'!$C$5:$C$504,$N202)&amp;""))</f>
        <v/>
      </c>
      <c r="D202" s="29">
        <f>IF(OR($N202="",$N202="なし"),"",INDEX('棚卸表'!$E$5:$E$504,$N202)&amp;"")</f>
        <v/>
      </c>
      <c r="E202" s="27">
        <f>IF(OR($N202="",$N202="なし"),"",IF(INDEX('棚卸表'!$L$5:$L$504,$N202)="","",INDEX('棚卸表'!$L$5:$L$504,$N202)))</f>
        <v/>
      </c>
      <c r="F202" s="8" t="n"/>
      <c r="G202" s="25" t="n"/>
      <c r="H202" s="72">
        <f>IF(OR(OR($N202="",$N202="なし"),$G202=""),"",$G202*N(INDEX('棚卸表'!$G$5:$G$504,$N202)))</f>
        <v/>
      </c>
      <c r="I202" s="34" t="n"/>
      <c r="J202" s="34" t="n"/>
      <c r="K202" s="23" t="n"/>
      <c r="L202" s="23" t="n"/>
      <c r="M202" s="61" t="n"/>
      <c r="N202" s="35">
        <f>IF($B202="","",IFERROR(MATCH($B202,'棚卸表'!$B$5:$B$504,0),"なし"))</f>
        <v/>
      </c>
    </row>
    <row r="203" ht="30" customHeight="1">
      <c r="A203" s="30" t="n"/>
      <c r="B203" s="23" t="n"/>
      <c r="C203" s="33">
        <f>IF($N203="","",IF($N203="なし","※棚卸表にないコード",INDEX('棚卸表'!$C$5:$C$504,$N203)&amp;""))</f>
        <v/>
      </c>
      <c r="D203" s="29">
        <f>IF(OR($N203="",$N203="なし"),"",INDEX('棚卸表'!$E$5:$E$504,$N203)&amp;"")</f>
        <v/>
      </c>
      <c r="E203" s="27">
        <f>IF(OR($N203="",$N203="なし"),"",IF(INDEX('棚卸表'!$L$5:$L$504,$N203)="","",INDEX('棚卸表'!$L$5:$L$504,$N203)))</f>
        <v/>
      </c>
      <c r="F203" s="8" t="n"/>
      <c r="G203" s="25" t="n"/>
      <c r="H203" s="72">
        <f>IF(OR(OR($N203="",$N203="なし"),$G203=""),"",$G203*N(INDEX('棚卸表'!$G$5:$G$504,$N203)))</f>
        <v/>
      </c>
      <c r="I203" s="34" t="n"/>
      <c r="J203" s="34" t="n"/>
      <c r="K203" s="23" t="n"/>
      <c r="L203" s="23" t="n"/>
      <c r="M203" s="61" t="n"/>
      <c r="N203" s="35">
        <f>IF($B203="","",IFERROR(MATCH($B203,'棚卸表'!$B$5:$B$504,0),"なし"))</f>
        <v/>
      </c>
    </row>
    <row r="204" ht="30" customHeight="1">
      <c r="A204" s="30" t="n"/>
      <c r="B204" s="23" t="n"/>
      <c r="C204" s="33">
        <f>IF($N204="","",IF($N204="なし","※棚卸表にないコード",INDEX('棚卸表'!$C$5:$C$504,$N204)&amp;""))</f>
        <v/>
      </c>
      <c r="D204" s="29">
        <f>IF(OR($N204="",$N204="なし"),"",INDEX('棚卸表'!$E$5:$E$504,$N204)&amp;"")</f>
        <v/>
      </c>
      <c r="E204" s="27">
        <f>IF(OR($N204="",$N204="なし"),"",IF(INDEX('棚卸表'!$L$5:$L$504,$N204)="","",INDEX('棚卸表'!$L$5:$L$504,$N204)))</f>
        <v/>
      </c>
      <c r="F204" s="8" t="n"/>
      <c r="G204" s="25" t="n"/>
      <c r="H204" s="72">
        <f>IF(OR(OR($N204="",$N204="なし"),$G204=""),"",$G204*N(INDEX('棚卸表'!$G$5:$G$504,$N204)))</f>
        <v/>
      </c>
      <c r="I204" s="34" t="n"/>
      <c r="J204" s="34" t="n"/>
      <c r="K204" s="23" t="n"/>
      <c r="L204" s="23" t="n"/>
      <c r="M204" s="61" t="n"/>
      <c r="N204" s="35">
        <f>IF($B204="","",IFERROR(MATCH($B204,'棚卸表'!$B$5:$B$504,0),"なし"))</f>
        <v/>
      </c>
    </row>
  </sheetData>
  <autoFilter ref="A4:L204"/>
  <mergeCells count="3">
    <mergeCell ref="A2:L2"/>
    <mergeCell ref="A1:L1"/>
    <mergeCell ref="C3:D3"/>
  </mergeCells>
  <conditionalFormatting sqref="C5:C204">
    <cfRule type="expression" priority="1" dxfId="0">
      <formula>$C5="※棚卸表にないコード"</formula>
    </cfRule>
  </conditionalFormatting>
  <conditionalFormatting sqref="K5:K204">
    <cfRule type="expression" priority="2" dxfId="1">
      <formula>$K5="未"</formula>
    </cfRule>
  </conditionalFormatting>
  <dataValidations count="5">
    <dataValidation sqref="A5:A204" showDropDown="0" showInputMessage="0" showErrorMessage="1" allowBlank="1" errorTitle="日付で入力してください" error="2026/9/30 のように、日付として入力してください。" type="date" operator="greaterThanOrEqual">
      <formula1>36526</formula1>
    </dataValidation>
    <dataValidation sqref="B5:B204" showDropDown="0" showInputMessage="0" showErrorMessage="1" allowBlank="1" errorTitle="一覧から選んでください" error="棚卸表に入れた品目コードから選んでください。" type="list">
      <formula1>='棚卸表'!$B$5:$B$504</formula1>
    </dataValidation>
    <dataValidation sqref="F5:F204" showDropDown="0" showInputMessage="0" showErrorMessage="1" allowBlank="1" errorTitle="一覧から選んでください" error="「設定」シートの原因の区分から選んでください。" type="list">
      <formula1>='設定'!$B$40:$B$51</formula1>
    </dataValidation>
    <dataValidation sqref="G5:G204" showDropDown="0" showInputMessage="0" showErrorMessage="1" allowBlank="1" errorTitle="数量" error="数で入れてください（不足の原因ならマイナス）。" type="decimal" operator="between">
      <formula1>-999999999</formula1>
      <formula2>999999999</formula2>
    </dataValidation>
    <dataValidation sqref="K5:K204" showDropDown="0" showInputMessage="0" showErrorMessage="1" allowBlank="1" errorTitle="一覧から選んでください" error="一覧から選んでください" type="list">
      <formula1>"済,未"</formula1>
    </dataValidation>
  </dataValidations>
  <pageMargins left="0.4" right="0.4" top="0.45" bottom="0.45" header="0.2" footer="0.2"/>
  <pageSetup orientation="landscape" paperSize="9" fitToHeight="0" fitToWidth="1"/>
</worksheet>
</file>

<file path=xl/worksheets/sheet5.xml><?xml version="1.0" encoding="utf-8"?>
<worksheet xmlns="http://schemas.openxmlformats.org/spreadsheetml/2006/main">
  <sheetPr>
    <tabColor rgb="00B9C4CF"/>
    <outlinePr summaryBelow="1" summaryRight="1"/>
    <pageSetUpPr fitToPage="1"/>
  </sheetPr>
  <dimension ref="A1:G70"/>
  <sheetViews>
    <sheetView showGridLines="0" tabSelected="0" workbookViewId="0">
      <selection activeCell="A1" sqref="A1"/>
    </sheetView>
  </sheetViews>
  <sheetFormatPr baseColWidth="8" defaultRowHeight="15"/>
  <cols>
    <col width="38" customWidth="1" min="1" max="1"/>
    <col width="15" customWidth="1" min="2" max="2"/>
    <col width="15" customWidth="1" min="3" max="3"/>
    <col width="15" customWidth="1" min="4" max="4"/>
    <col width="15" customWidth="1" min="5" max="5"/>
    <col width="10" customWidth="1" min="6" max="6"/>
    <col width="10" customWidth="1" min="7" max="7"/>
  </cols>
  <sheetData>
    <row r="1" ht="26" customHeight="1">
      <c r="A1" s="60" t="inlineStr">
        <is>
          <t>集計（棚卸の結果）</t>
        </is>
      </c>
      <c r="B1" s="61" t="n"/>
      <c r="C1" s="61" t="n"/>
      <c r="D1" s="61" t="n"/>
      <c r="E1" s="61" t="n"/>
      <c r="F1" s="61" t="n"/>
      <c r="G1" s="61" t="n"/>
    </row>
    <row r="2" ht="18" customHeight="1">
      <c r="A2" s="64" t="inlineStr">
        <is>
          <t>すべて自動で出ます（入力はありません）。棚卸表・差異の原因・設定から計算します。</t>
        </is>
      </c>
      <c r="B2" s="61" t="n"/>
      <c r="C2" s="61" t="n"/>
      <c r="D2" s="61" t="n"/>
      <c r="E2" s="61" t="n"/>
      <c r="F2" s="61" t="n"/>
      <c r="G2" s="61" t="n"/>
    </row>
    <row r="3" ht="18" customHeight="1">
      <c r="A3" s="69" t="inlineStr">
        <is>
          <t>会社名・店名</t>
        </is>
      </c>
      <c r="B3" s="36">
        <f>IF('設定'!$B$4="","",'設定'!$B$4)</f>
        <v/>
      </c>
      <c r="C3" s="61" t="n"/>
      <c r="D3" s="61" t="n"/>
      <c r="E3" s="61" t="n"/>
      <c r="F3" s="61" t="n"/>
      <c r="G3" s="61" t="n"/>
    </row>
    <row r="4" ht="18" customHeight="1">
      <c r="A4" s="69" t="inlineStr">
        <is>
          <t>棚卸日</t>
        </is>
      </c>
      <c r="B4" s="37">
        <f>IF('設定'!$B$5="","（未入力）",'設定'!$B$5)</f>
        <v/>
      </c>
      <c r="C4" s="61" t="n"/>
      <c r="D4" s="61" t="n"/>
      <c r="E4" s="61" t="n"/>
      <c r="F4" s="61" t="n"/>
      <c r="G4" s="61" t="n"/>
    </row>
    <row r="5" ht="18" customHeight="1">
      <c r="A5" s="69" t="inlineStr">
        <is>
          <t>実施責任者</t>
        </is>
      </c>
      <c r="B5" s="36">
        <f>IF('設定'!$B$7="","",'設定'!$B$7)</f>
        <v/>
      </c>
      <c r="C5" s="61" t="n"/>
      <c r="D5" s="61" t="n"/>
      <c r="E5" s="61" t="n"/>
      <c r="F5" s="61" t="n"/>
      <c r="G5" s="61" t="n"/>
    </row>
    <row r="6" ht="18" customHeight="1">
      <c r="A6" s="38">
        <f>IF(AND('設定'!$B$10="",'設定'!$B$11=""),"基準なし（差異がある品目はすべて要確認）","要確認の基準: "&amp;IF('設定'!$B$10="","","差異率 ±"&amp;ROUND('設定'!$B$10*100,2)&amp;"% 超")&amp;IF(AND('設定'!$B$10&lt;&gt;"",'設定'!$B$11&lt;&gt;"")," または ","")&amp;IF('設定'!$B$11="","","差異金額 ±"&amp;FIXED('設定'!$B$11,0)&amp;"円 超"))</f>
        <v/>
      </c>
      <c r="B6" s="70" t="n"/>
      <c r="C6" s="70" t="n"/>
      <c r="D6" s="70" t="n"/>
      <c r="E6" s="70" t="n"/>
      <c r="F6" s="70" t="n"/>
      <c r="G6" s="71" t="n"/>
    </row>
    <row r="7">
      <c r="A7" s="61" t="n"/>
      <c r="B7" s="61" t="n"/>
      <c r="C7" s="61" t="n"/>
      <c r="D7" s="61" t="n"/>
      <c r="E7" s="61" t="n"/>
      <c r="F7" s="61" t="n"/>
      <c r="G7" s="61" t="n"/>
    </row>
    <row r="8" ht="20" customHeight="1">
      <c r="A8" s="66" t="inlineStr">
        <is>
          <t>全体</t>
        </is>
      </c>
      <c r="B8" s="67" t="n"/>
      <c r="C8" s="67" t="n"/>
      <c r="D8" s="67" t="n"/>
      <c r="E8" s="67" t="n"/>
      <c r="F8" s="67" t="n"/>
      <c r="G8" s="67" t="n"/>
    </row>
    <row r="9" ht="18" customHeight="1">
      <c r="A9" s="69" t="inlineStr">
        <is>
          <t>登録した品目数</t>
        </is>
      </c>
      <c r="B9" s="40">
        <f>COUNTA('棚卸表'!$B$5:$B$504)</f>
        <v/>
      </c>
      <c r="C9" s="61" t="n"/>
      <c r="D9" s="61" t="n"/>
      <c r="E9" s="61" t="n"/>
      <c r="F9" s="61" t="n"/>
      <c r="G9" s="61" t="n"/>
    </row>
    <row r="10" ht="18" customHeight="1">
      <c r="A10" s="69" t="inlineStr">
        <is>
          <t>実棚数を入れた品目数</t>
        </is>
      </c>
      <c r="B10" s="40">
        <f>COUNTIFS('棚卸表'!$B$5:$B$504,"&lt;&gt;",'棚卸表'!$I$5:$I$504,"&lt;&gt;")</f>
        <v/>
      </c>
      <c r="C10" s="61" t="n"/>
      <c r="D10" s="61" t="n"/>
      <c r="E10" s="61" t="n"/>
      <c r="F10" s="61" t="n"/>
      <c r="G10" s="61" t="n"/>
    </row>
    <row r="11" ht="18" customHeight="1">
      <c r="A11" s="69" t="inlineStr">
        <is>
          <t>実棚数が未入力の品目数</t>
        </is>
      </c>
      <c r="B11" s="40">
        <f>COUNTIF('棚卸表'!$O$5:$O$504,"未入力")</f>
        <v/>
      </c>
      <c r="C11" s="64" t="inlineStr">
        <is>
          <t>未入力の品目は、差異の合計に入っていません。</t>
        </is>
      </c>
      <c r="D11" s="61" t="n"/>
      <c r="E11" s="61" t="n"/>
      <c r="F11" s="61" t="n"/>
      <c r="G11" s="61" t="n"/>
    </row>
    <row r="12" ht="18" customHeight="1">
      <c r="A12" s="69" t="inlineStr">
        <is>
          <t>帳簿在庫金額（全品目）</t>
        </is>
      </c>
      <c r="B12" s="72">
        <f>SUM('棚卸表'!$J$5:$J$504)</f>
        <v/>
      </c>
      <c r="C12" s="64" t="inlineStr">
        <is>
          <t>帳簿数 × 単価 の合計（円）</t>
        </is>
      </c>
      <c r="D12" s="61" t="n"/>
      <c r="E12" s="61" t="n"/>
      <c r="F12" s="61" t="n"/>
      <c r="G12" s="61" t="n"/>
    </row>
    <row r="13" ht="18" customHeight="1">
      <c r="A13" s="69" t="inlineStr">
        <is>
          <t>帳簿在庫金額（実棚数を入れた品目）</t>
        </is>
      </c>
      <c r="B13" s="72">
        <f>SUMIFS('棚卸表'!$J$5:$J$504,'棚卸表'!$I$5:$I$504,"&lt;&gt;")</f>
        <v/>
      </c>
      <c r="C13" s="64" t="inlineStr">
        <is>
          <t>差異率（金額）の分母</t>
        </is>
      </c>
      <c r="D13" s="61" t="n"/>
      <c r="E13" s="61" t="n"/>
      <c r="F13" s="61" t="n"/>
      <c r="G13" s="61" t="n"/>
    </row>
    <row r="14" ht="18" customHeight="1">
      <c r="A14" s="69" t="inlineStr">
        <is>
          <t>実地在庫金額</t>
        </is>
      </c>
      <c r="B14" s="72">
        <f>SUM('棚卸表'!$K$5:$K$504)</f>
        <v/>
      </c>
      <c r="C14" s="64" t="inlineStr">
        <is>
          <t>実棚数 × 単価 の合計（円）。期末の棚卸なら、この合計が期末の在庫金額</t>
        </is>
      </c>
      <c r="D14" s="61" t="n"/>
      <c r="E14" s="61" t="n"/>
      <c r="F14" s="61" t="n"/>
      <c r="G14" s="61" t="n"/>
    </row>
    <row r="15" ht="18" customHeight="1">
      <c r="A15" s="69" t="inlineStr">
        <is>
          <t>差異金額（実地 − 帳簿）</t>
        </is>
      </c>
      <c r="B15" s="72">
        <f>SUM('棚卸表'!$M$5:$M$504)</f>
        <v/>
      </c>
      <c r="C15" s="64" t="inlineStr">
        <is>
          <t>マイナスは帳簿より少ない</t>
        </is>
      </c>
      <c r="D15" s="61" t="n"/>
      <c r="E15" s="61" t="n"/>
      <c r="F15" s="61" t="n"/>
      <c r="G15" s="61" t="n"/>
    </row>
    <row r="16" ht="18" customHeight="1">
      <c r="A16" s="69" t="inlineStr">
        <is>
          <t xml:space="preserve">　うち不足（帳簿より少ない分）</t>
        </is>
      </c>
      <c r="B16" s="72">
        <f>SUMIF('棚卸表'!$M$5:$M$504,"&lt;0")</f>
        <v/>
      </c>
      <c r="C16" s="61" t="n"/>
      <c r="D16" s="61" t="n"/>
      <c r="E16" s="61" t="n"/>
      <c r="F16" s="61" t="n"/>
      <c r="G16" s="61" t="n"/>
    </row>
    <row r="17" ht="18" customHeight="1">
      <c r="A17" s="69" t="inlineStr">
        <is>
          <t xml:space="preserve">　うち超過（帳簿より多い分）</t>
        </is>
      </c>
      <c r="B17" s="72">
        <f>SUMIF('棚卸表'!$M$5:$M$504,"&gt;0")</f>
        <v/>
      </c>
      <c r="C17" s="64" t="inlineStr">
        <is>
          <t>不足と超過が打ち消し合うので、合計が小さくても個々の差異が大きいことがある</t>
        </is>
      </c>
      <c r="D17" s="61" t="n"/>
      <c r="E17" s="61" t="n"/>
      <c r="F17" s="61" t="n"/>
      <c r="G17" s="61" t="n"/>
    </row>
    <row r="18" ht="18" customHeight="1">
      <c r="A18" s="69" t="inlineStr">
        <is>
          <t>差異率（金額）</t>
        </is>
      </c>
      <c r="B18" s="73">
        <f>IF(B13=0,"－",ROUND(B15/B13,4))</f>
        <v/>
      </c>
      <c r="C18" s="64" t="inlineStr">
        <is>
          <t>差異金額 ÷ 帳簿在庫金額（実棚数を入れた品目）</t>
        </is>
      </c>
      <c r="D18" s="61" t="n"/>
      <c r="E18" s="61" t="n"/>
      <c r="F18" s="61" t="n"/>
      <c r="G18" s="61" t="n"/>
    </row>
    <row r="19" ht="18" customHeight="1">
      <c r="A19" s="69" t="inlineStr">
        <is>
          <t>判定: 一致</t>
        </is>
      </c>
      <c r="B19" s="40">
        <f>COUNTIF('棚卸表'!$O$5:$O$504,"一致")</f>
        <v/>
      </c>
      <c r="C19" s="61" t="n"/>
      <c r="D19" s="61" t="n"/>
      <c r="E19" s="61" t="n"/>
      <c r="F19" s="61" t="n"/>
      <c r="G19" s="61" t="n"/>
    </row>
    <row r="20" ht="18" customHeight="1">
      <c r="A20" s="69" t="inlineStr">
        <is>
          <t>判定: 許容内</t>
        </is>
      </c>
      <c r="B20" s="40">
        <f>COUNTIF('棚卸表'!$O$5:$O$504,"許容内")</f>
        <v/>
      </c>
      <c r="C20" s="61" t="n"/>
      <c r="D20" s="61" t="n"/>
      <c r="E20" s="61" t="n"/>
      <c r="F20" s="61" t="n"/>
      <c r="G20" s="61" t="n"/>
    </row>
    <row r="21" ht="18" customHeight="1">
      <c r="A21" s="69" t="inlineStr">
        <is>
          <t>判定: 要確認</t>
        </is>
      </c>
      <c r="B21" s="40">
        <f>COUNTIF('棚卸表'!$O$5:$O$504,"要確認")</f>
        <v/>
      </c>
      <c r="C21" s="61" t="n"/>
      <c r="D21" s="61" t="n"/>
      <c r="E21" s="61" t="n"/>
      <c r="F21" s="61" t="n"/>
      <c r="G21" s="61" t="n"/>
    </row>
    <row r="22" ht="18" customHeight="1">
      <c r="A22" s="69" t="inlineStr">
        <is>
          <t>要確認のうち、原因が未記録</t>
        </is>
      </c>
      <c r="B22" s="40">
        <f>COUNTIF('棚卸表'!$P$5:$P$504,"未記録")</f>
        <v/>
      </c>
      <c r="C22" s="64" t="inlineStr">
        <is>
          <t>差異の原因シートに記録がない</t>
        </is>
      </c>
      <c r="D22" s="61" t="n"/>
      <c r="E22" s="61" t="n"/>
      <c r="F22" s="61" t="n"/>
      <c r="G22" s="61" t="n"/>
    </row>
    <row r="23" ht="18" customHeight="1">
      <c r="A23" s="69" t="inlineStr">
        <is>
          <t>要確認のうち、原因の記録が一部</t>
        </is>
      </c>
      <c r="B23" s="40">
        <f>COUNTIF('棚卸表'!$P$5:$P$504,"一部")</f>
        <v/>
      </c>
      <c r="C23" s="64" t="inlineStr">
        <is>
          <t>記録した数量の合計が差異数に届いていない</t>
        </is>
      </c>
      <c r="D23" s="61" t="n"/>
      <c r="E23" s="61" t="n"/>
      <c r="F23" s="61" t="n"/>
      <c r="G23" s="61" t="n"/>
    </row>
    <row r="24" ht="18" customHeight="1">
      <c r="A24" s="69" t="inlineStr">
        <is>
          <t>帳簿の修正が「未」の記録</t>
        </is>
      </c>
      <c r="B24" s="41">
        <f>COUNTIF('差異の原因'!$K$5:$K$204,"未")</f>
        <v/>
      </c>
      <c r="C24" s="61" t="n"/>
      <c r="D24" s="61" t="n"/>
      <c r="E24" s="61" t="n"/>
      <c r="F24" s="61" t="n"/>
      <c r="G24" s="61" t="n"/>
    </row>
    <row r="25" ht="18" customHeight="1">
      <c r="A25" s="69" t="inlineStr">
        <is>
          <t>期限切れの品目</t>
        </is>
      </c>
      <c r="B25" s="40">
        <f>COUNTIF('棚卸表'!$T$5:$T$504,"期限切れ")</f>
        <v/>
      </c>
      <c r="C25" s="64" t="inlineStr">
        <is>
          <t>基準日より前の期限。実棚数が0の品目は数えない</t>
        </is>
      </c>
      <c r="D25" s="61" t="n"/>
      <c r="E25" s="61" t="n"/>
      <c r="F25" s="61" t="n"/>
      <c r="G25" s="61" t="n"/>
    </row>
    <row r="26" ht="18" customHeight="1">
      <c r="A26" s="69" t="inlineStr">
        <is>
          <t>期限切れの品目の実地金額</t>
        </is>
      </c>
      <c r="B26" s="72">
        <f>SUMIF('棚卸表'!$T$5:$T$504,"期限切れ",'棚卸表'!$K$5:$K$504)</f>
        <v/>
      </c>
      <c r="C26" s="61" t="n"/>
      <c r="D26" s="61" t="n"/>
      <c r="E26" s="61" t="n"/>
      <c r="F26" s="61" t="n"/>
      <c r="G26" s="61" t="n"/>
    </row>
    <row r="27" ht="18" customHeight="1">
      <c r="A27" s="69" t="inlineStr">
        <is>
          <t>期限が当日〜注意日数以内の品目</t>
        </is>
      </c>
      <c r="B27" s="40">
        <f>COUNTIF('棚卸表'!$T$5:$T$504,"当日")+COUNTIF('棚卸表'!$T$5:$T$504,"あと*")</f>
        <v/>
      </c>
      <c r="C27" s="64" t="inlineStr">
        <is>
          <t>期限チェックシートに一覧が出ます</t>
        </is>
      </c>
      <c r="D27" s="61" t="n"/>
      <c r="E27" s="61" t="n"/>
      <c r="F27" s="61" t="n"/>
      <c r="G27" s="61" t="n"/>
    </row>
    <row r="28">
      <c r="A28" s="61" t="n"/>
      <c r="B28" s="61" t="n"/>
      <c r="C28" s="61" t="n"/>
      <c r="D28" s="61" t="n"/>
      <c r="E28" s="61" t="n"/>
      <c r="F28" s="61" t="n"/>
      <c r="G28" s="61" t="n"/>
    </row>
    <row r="29" ht="20" customHeight="1">
      <c r="A29" s="66" t="inlineStr">
        <is>
          <t>保管場所別</t>
        </is>
      </c>
      <c r="B29" s="67" t="n"/>
      <c r="C29" s="67" t="n"/>
      <c r="D29" s="67" t="n"/>
      <c r="E29" s="67" t="n"/>
      <c r="F29" s="67" t="n"/>
      <c r="G29" s="67" t="n"/>
    </row>
    <row r="30">
      <c r="A30" s="19" t="inlineStr">
        <is>
          <t>保管場所</t>
        </is>
      </c>
      <c r="B30" s="19" t="inlineStr">
        <is>
          <t>品目数</t>
        </is>
      </c>
      <c r="C30" s="19" t="inlineStr">
        <is>
          <t>帳簿在庫金額</t>
        </is>
      </c>
      <c r="D30" s="19" t="inlineStr">
        <is>
          <t>実地在庫金額</t>
        </is>
      </c>
      <c r="E30" s="19" t="inlineStr">
        <is>
          <t>差異金額</t>
        </is>
      </c>
      <c r="F30" s="19" t="inlineStr">
        <is>
          <t>要確認</t>
        </is>
      </c>
      <c r="G30" s="19" t="inlineStr">
        <is>
          <t>未入力</t>
        </is>
      </c>
    </row>
    <row r="31" ht="16" customHeight="1">
      <c r="A31" s="42">
        <f>IF('設定'!$B$17="","",'設定'!$B$17)</f>
        <v/>
      </c>
      <c r="B31" s="43">
        <f>IF($A31="","",COUNTIF('棚卸表'!$E$5:$E$504,$A31))</f>
        <v/>
      </c>
      <c r="C31" s="72">
        <f>IF($A31="","",SUMIF('棚卸表'!$E$5:$E$504,$A31,'棚卸表'!$J$5:$J$504))</f>
        <v/>
      </c>
      <c r="D31" s="72">
        <f>IF($A31="","",SUMIF('棚卸表'!$E$5:$E$504,$A31,'棚卸表'!$K$5:$K$504))</f>
        <v/>
      </c>
      <c r="E31" s="72">
        <f>IF($A31="","",SUMIF('棚卸表'!$E$5:$E$504,$A31,'棚卸表'!$M$5:$M$504))</f>
        <v/>
      </c>
      <c r="F31" s="43">
        <f>IF($A31="","",COUNTIFS('棚卸表'!$E$5:$E$504,$A31,'棚卸表'!$O$5:$O$504,"要確認"))</f>
        <v/>
      </c>
      <c r="G31" s="43">
        <f>IF($A31="","",COUNTIFS('棚卸表'!$E$5:$E$504,$A31,'棚卸表'!$O$5:$O$504,"未入力"))</f>
        <v/>
      </c>
    </row>
    <row r="32" ht="16" customHeight="1">
      <c r="A32" s="42">
        <f>IF('設定'!$B$18="","",'設定'!$B$18)</f>
        <v/>
      </c>
      <c r="B32" s="43">
        <f>IF($A32="","",COUNTIF('棚卸表'!$E$5:$E$504,$A32))</f>
        <v/>
      </c>
      <c r="C32" s="72">
        <f>IF($A32="","",SUMIF('棚卸表'!$E$5:$E$504,$A32,'棚卸表'!$J$5:$J$504))</f>
        <v/>
      </c>
      <c r="D32" s="72">
        <f>IF($A32="","",SUMIF('棚卸表'!$E$5:$E$504,$A32,'棚卸表'!$K$5:$K$504))</f>
        <v/>
      </c>
      <c r="E32" s="72">
        <f>IF($A32="","",SUMIF('棚卸表'!$E$5:$E$504,$A32,'棚卸表'!$M$5:$M$504))</f>
        <v/>
      </c>
      <c r="F32" s="43">
        <f>IF($A32="","",COUNTIFS('棚卸表'!$E$5:$E$504,$A32,'棚卸表'!$O$5:$O$504,"要確認"))</f>
        <v/>
      </c>
      <c r="G32" s="43">
        <f>IF($A32="","",COUNTIFS('棚卸表'!$E$5:$E$504,$A32,'棚卸表'!$O$5:$O$504,"未入力"))</f>
        <v/>
      </c>
    </row>
    <row r="33" ht="16" customHeight="1">
      <c r="A33" s="42">
        <f>IF('設定'!$B$19="","",'設定'!$B$19)</f>
        <v/>
      </c>
      <c r="B33" s="43">
        <f>IF($A33="","",COUNTIF('棚卸表'!$E$5:$E$504,$A33))</f>
        <v/>
      </c>
      <c r="C33" s="72">
        <f>IF($A33="","",SUMIF('棚卸表'!$E$5:$E$504,$A33,'棚卸表'!$J$5:$J$504))</f>
        <v/>
      </c>
      <c r="D33" s="72">
        <f>IF($A33="","",SUMIF('棚卸表'!$E$5:$E$504,$A33,'棚卸表'!$K$5:$K$504))</f>
        <v/>
      </c>
      <c r="E33" s="72">
        <f>IF($A33="","",SUMIF('棚卸表'!$E$5:$E$504,$A33,'棚卸表'!$M$5:$M$504))</f>
        <v/>
      </c>
      <c r="F33" s="43">
        <f>IF($A33="","",COUNTIFS('棚卸表'!$E$5:$E$504,$A33,'棚卸表'!$O$5:$O$504,"要確認"))</f>
        <v/>
      </c>
      <c r="G33" s="43">
        <f>IF($A33="","",COUNTIFS('棚卸表'!$E$5:$E$504,$A33,'棚卸表'!$O$5:$O$504,"未入力"))</f>
        <v/>
      </c>
    </row>
    <row r="34" ht="16" customHeight="1">
      <c r="A34" s="42">
        <f>IF('設定'!$B$20="","",'設定'!$B$20)</f>
        <v/>
      </c>
      <c r="B34" s="43">
        <f>IF($A34="","",COUNTIF('棚卸表'!$E$5:$E$504,$A34))</f>
        <v/>
      </c>
      <c r="C34" s="72">
        <f>IF($A34="","",SUMIF('棚卸表'!$E$5:$E$504,$A34,'棚卸表'!$J$5:$J$504))</f>
        <v/>
      </c>
      <c r="D34" s="72">
        <f>IF($A34="","",SUMIF('棚卸表'!$E$5:$E$504,$A34,'棚卸表'!$K$5:$K$504))</f>
        <v/>
      </c>
      <c r="E34" s="72">
        <f>IF($A34="","",SUMIF('棚卸表'!$E$5:$E$504,$A34,'棚卸表'!$M$5:$M$504))</f>
        <v/>
      </c>
      <c r="F34" s="43">
        <f>IF($A34="","",COUNTIFS('棚卸表'!$E$5:$E$504,$A34,'棚卸表'!$O$5:$O$504,"要確認"))</f>
        <v/>
      </c>
      <c r="G34" s="43">
        <f>IF($A34="","",COUNTIFS('棚卸表'!$E$5:$E$504,$A34,'棚卸表'!$O$5:$O$504,"未入力"))</f>
        <v/>
      </c>
    </row>
    <row r="35" ht="16" customHeight="1">
      <c r="A35" s="42">
        <f>IF('設定'!$B$21="","",'設定'!$B$21)</f>
        <v/>
      </c>
      <c r="B35" s="43">
        <f>IF($A35="","",COUNTIF('棚卸表'!$E$5:$E$504,$A35))</f>
        <v/>
      </c>
      <c r="C35" s="72">
        <f>IF($A35="","",SUMIF('棚卸表'!$E$5:$E$504,$A35,'棚卸表'!$J$5:$J$504))</f>
        <v/>
      </c>
      <c r="D35" s="72">
        <f>IF($A35="","",SUMIF('棚卸表'!$E$5:$E$504,$A35,'棚卸表'!$K$5:$K$504))</f>
        <v/>
      </c>
      <c r="E35" s="72">
        <f>IF($A35="","",SUMIF('棚卸表'!$E$5:$E$504,$A35,'棚卸表'!$M$5:$M$504))</f>
        <v/>
      </c>
      <c r="F35" s="43">
        <f>IF($A35="","",COUNTIFS('棚卸表'!$E$5:$E$504,$A35,'棚卸表'!$O$5:$O$504,"要確認"))</f>
        <v/>
      </c>
      <c r="G35" s="43">
        <f>IF($A35="","",COUNTIFS('棚卸表'!$E$5:$E$504,$A35,'棚卸表'!$O$5:$O$504,"未入力"))</f>
        <v/>
      </c>
    </row>
    <row r="36" ht="16" customHeight="1">
      <c r="A36" s="42">
        <f>IF('設定'!$B$22="","",'設定'!$B$22)</f>
        <v/>
      </c>
      <c r="B36" s="43">
        <f>IF($A36="","",COUNTIF('棚卸表'!$E$5:$E$504,$A36))</f>
        <v/>
      </c>
      <c r="C36" s="72">
        <f>IF($A36="","",SUMIF('棚卸表'!$E$5:$E$504,$A36,'棚卸表'!$J$5:$J$504))</f>
        <v/>
      </c>
      <c r="D36" s="72">
        <f>IF($A36="","",SUMIF('棚卸表'!$E$5:$E$504,$A36,'棚卸表'!$K$5:$K$504))</f>
        <v/>
      </c>
      <c r="E36" s="72">
        <f>IF($A36="","",SUMIF('棚卸表'!$E$5:$E$504,$A36,'棚卸表'!$M$5:$M$504))</f>
        <v/>
      </c>
      <c r="F36" s="43">
        <f>IF($A36="","",COUNTIFS('棚卸表'!$E$5:$E$504,$A36,'棚卸表'!$O$5:$O$504,"要確認"))</f>
        <v/>
      </c>
      <c r="G36" s="43">
        <f>IF($A36="","",COUNTIFS('棚卸表'!$E$5:$E$504,$A36,'棚卸表'!$O$5:$O$504,"未入力"))</f>
        <v/>
      </c>
    </row>
    <row r="37" ht="16" customHeight="1">
      <c r="A37" s="42">
        <f>IF('設定'!$B$23="","",'設定'!$B$23)</f>
        <v/>
      </c>
      <c r="B37" s="43">
        <f>IF($A37="","",COUNTIF('棚卸表'!$E$5:$E$504,$A37))</f>
        <v/>
      </c>
      <c r="C37" s="72">
        <f>IF($A37="","",SUMIF('棚卸表'!$E$5:$E$504,$A37,'棚卸表'!$J$5:$J$504))</f>
        <v/>
      </c>
      <c r="D37" s="72">
        <f>IF($A37="","",SUMIF('棚卸表'!$E$5:$E$504,$A37,'棚卸表'!$K$5:$K$504))</f>
        <v/>
      </c>
      <c r="E37" s="72">
        <f>IF($A37="","",SUMIF('棚卸表'!$E$5:$E$504,$A37,'棚卸表'!$M$5:$M$504))</f>
        <v/>
      </c>
      <c r="F37" s="43">
        <f>IF($A37="","",COUNTIFS('棚卸表'!$E$5:$E$504,$A37,'棚卸表'!$O$5:$O$504,"要確認"))</f>
        <v/>
      </c>
      <c r="G37" s="43">
        <f>IF($A37="","",COUNTIFS('棚卸表'!$E$5:$E$504,$A37,'棚卸表'!$O$5:$O$504,"未入力"))</f>
        <v/>
      </c>
    </row>
    <row r="38" ht="16" customHeight="1">
      <c r="A38" s="42">
        <f>IF('設定'!$B$24="","",'設定'!$B$24)</f>
        <v/>
      </c>
      <c r="B38" s="43">
        <f>IF($A38="","",COUNTIF('棚卸表'!$E$5:$E$504,$A38))</f>
        <v/>
      </c>
      <c r="C38" s="72">
        <f>IF($A38="","",SUMIF('棚卸表'!$E$5:$E$504,$A38,'棚卸表'!$J$5:$J$504))</f>
        <v/>
      </c>
      <c r="D38" s="72">
        <f>IF($A38="","",SUMIF('棚卸表'!$E$5:$E$504,$A38,'棚卸表'!$K$5:$K$504))</f>
        <v/>
      </c>
      <c r="E38" s="72">
        <f>IF($A38="","",SUMIF('棚卸表'!$E$5:$E$504,$A38,'棚卸表'!$M$5:$M$504))</f>
        <v/>
      </c>
      <c r="F38" s="43">
        <f>IF($A38="","",COUNTIFS('棚卸表'!$E$5:$E$504,$A38,'棚卸表'!$O$5:$O$504,"要確認"))</f>
        <v/>
      </c>
      <c r="G38" s="43">
        <f>IF($A38="","",COUNTIFS('棚卸表'!$E$5:$E$504,$A38,'棚卸表'!$O$5:$O$504,"未入力"))</f>
        <v/>
      </c>
    </row>
    <row r="39" ht="16" customHeight="1">
      <c r="A39" s="42">
        <f>IF('設定'!$B$25="","",'設定'!$B$25)</f>
        <v/>
      </c>
      <c r="B39" s="43">
        <f>IF($A39="","",COUNTIF('棚卸表'!$E$5:$E$504,$A39))</f>
        <v/>
      </c>
      <c r="C39" s="72">
        <f>IF($A39="","",SUMIF('棚卸表'!$E$5:$E$504,$A39,'棚卸表'!$J$5:$J$504))</f>
        <v/>
      </c>
      <c r="D39" s="72">
        <f>IF($A39="","",SUMIF('棚卸表'!$E$5:$E$504,$A39,'棚卸表'!$K$5:$K$504))</f>
        <v/>
      </c>
      <c r="E39" s="72">
        <f>IF($A39="","",SUMIF('棚卸表'!$E$5:$E$504,$A39,'棚卸表'!$M$5:$M$504))</f>
        <v/>
      </c>
      <c r="F39" s="43">
        <f>IF($A39="","",COUNTIFS('棚卸表'!$E$5:$E$504,$A39,'棚卸表'!$O$5:$O$504,"要確認"))</f>
        <v/>
      </c>
      <c r="G39" s="43">
        <f>IF($A39="","",COUNTIFS('棚卸表'!$E$5:$E$504,$A39,'棚卸表'!$O$5:$O$504,"未入力"))</f>
        <v/>
      </c>
    </row>
    <row r="40" ht="16" customHeight="1">
      <c r="A40" s="42">
        <f>IF('設定'!$B$26="","",'設定'!$B$26)</f>
        <v/>
      </c>
      <c r="B40" s="43">
        <f>IF($A40="","",COUNTIF('棚卸表'!$E$5:$E$504,$A40))</f>
        <v/>
      </c>
      <c r="C40" s="72">
        <f>IF($A40="","",SUMIF('棚卸表'!$E$5:$E$504,$A40,'棚卸表'!$J$5:$J$504))</f>
        <v/>
      </c>
      <c r="D40" s="72">
        <f>IF($A40="","",SUMIF('棚卸表'!$E$5:$E$504,$A40,'棚卸表'!$K$5:$K$504))</f>
        <v/>
      </c>
      <c r="E40" s="72">
        <f>IF($A40="","",SUMIF('棚卸表'!$E$5:$E$504,$A40,'棚卸表'!$M$5:$M$504))</f>
        <v/>
      </c>
      <c r="F40" s="43">
        <f>IF($A40="","",COUNTIFS('棚卸表'!$E$5:$E$504,$A40,'棚卸表'!$O$5:$O$504,"要確認"))</f>
        <v/>
      </c>
      <c r="G40" s="43">
        <f>IF($A40="","",COUNTIFS('棚卸表'!$E$5:$E$504,$A40,'棚卸表'!$O$5:$O$504,"未入力"))</f>
        <v/>
      </c>
    </row>
    <row r="41" ht="16" customHeight="1">
      <c r="A41" s="42">
        <f>IF('設定'!$B$27="","",'設定'!$B$27)</f>
        <v/>
      </c>
      <c r="B41" s="43">
        <f>IF($A41="","",COUNTIF('棚卸表'!$E$5:$E$504,$A41))</f>
        <v/>
      </c>
      <c r="C41" s="72">
        <f>IF($A41="","",SUMIF('棚卸表'!$E$5:$E$504,$A41,'棚卸表'!$J$5:$J$504))</f>
        <v/>
      </c>
      <c r="D41" s="72">
        <f>IF($A41="","",SUMIF('棚卸表'!$E$5:$E$504,$A41,'棚卸表'!$K$5:$K$504))</f>
        <v/>
      </c>
      <c r="E41" s="72">
        <f>IF($A41="","",SUMIF('棚卸表'!$E$5:$E$504,$A41,'棚卸表'!$M$5:$M$504))</f>
        <v/>
      </c>
      <c r="F41" s="43">
        <f>IF($A41="","",COUNTIFS('棚卸表'!$E$5:$E$504,$A41,'棚卸表'!$O$5:$O$504,"要確認"))</f>
        <v/>
      </c>
      <c r="G41" s="43">
        <f>IF($A41="","",COUNTIFS('棚卸表'!$E$5:$E$504,$A41,'棚卸表'!$O$5:$O$504,"未入力"))</f>
        <v/>
      </c>
    </row>
    <row r="42" ht="16" customHeight="1">
      <c r="A42" s="42">
        <f>IF('設定'!$B$28="","",'設定'!$B$28)</f>
        <v/>
      </c>
      <c r="B42" s="43">
        <f>IF($A42="","",COUNTIF('棚卸表'!$E$5:$E$504,$A42))</f>
        <v/>
      </c>
      <c r="C42" s="72">
        <f>IF($A42="","",SUMIF('棚卸表'!$E$5:$E$504,$A42,'棚卸表'!$J$5:$J$504))</f>
        <v/>
      </c>
      <c r="D42" s="72">
        <f>IF($A42="","",SUMIF('棚卸表'!$E$5:$E$504,$A42,'棚卸表'!$K$5:$K$504))</f>
        <v/>
      </c>
      <c r="E42" s="72">
        <f>IF($A42="","",SUMIF('棚卸表'!$E$5:$E$504,$A42,'棚卸表'!$M$5:$M$504))</f>
        <v/>
      </c>
      <c r="F42" s="43">
        <f>IF($A42="","",COUNTIFS('棚卸表'!$E$5:$E$504,$A42,'棚卸表'!$O$5:$O$504,"要確認"))</f>
        <v/>
      </c>
      <c r="G42" s="43">
        <f>IF($A42="","",COUNTIFS('棚卸表'!$E$5:$E$504,$A42,'棚卸表'!$O$5:$O$504,"未入力"))</f>
        <v/>
      </c>
    </row>
    <row r="43" ht="16" customHeight="1">
      <c r="A43" s="42">
        <f>IF('設定'!$B$29="","",'設定'!$B$29)</f>
        <v/>
      </c>
      <c r="B43" s="43">
        <f>IF($A43="","",COUNTIF('棚卸表'!$E$5:$E$504,$A43))</f>
        <v/>
      </c>
      <c r="C43" s="72">
        <f>IF($A43="","",SUMIF('棚卸表'!$E$5:$E$504,$A43,'棚卸表'!$J$5:$J$504))</f>
        <v/>
      </c>
      <c r="D43" s="72">
        <f>IF($A43="","",SUMIF('棚卸表'!$E$5:$E$504,$A43,'棚卸表'!$K$5:$K$504))</f>
        <v/>
      </c>
      <c r="E43" s="72">
        <f>IF($A43="","",SUMIF('棚卸表'!$E$5:$E$504,$A43,'棚卸表'!$M$5:$M$504))</f>
        <v/>
      </c>
      <c r="F43" s="43">
        <f>IF($A43="","",COUNTIFS('棚卸表'!$E$5:$E$504,$A43,'棚卸表'!$O$5:$O$504,"要確認"))</f>
        <v/>
      </c>
      <c r="G43" s="43">
        <f>IF($A43="","",COUNTIFS('棚卸表'!$E$5:$E$504,$A43,'棚卸表'!$O$5:$O$504,"未入力"))</f>
        <v/>
      </c>
    </row>
    <row r="44" ht="16" customHeight="1">
      <c r="A44" s="42">
        <f>IF('設定'!$B$30="","",'設定'!$B$30)</f>
        <v/>
      </c>
      <c r="B44" s="43">
        <f>IF($A44="","",COUNTIF('棚卸表'!$E$5:$E$504,$A44))</f>
        <v/>
      </c>
      <c r="C44" s="72">
        <f>IF($A44="","",SUMIF('棚卸表'!$E$5:$E$504,$A44,'棚卸表'!$J$5:$J$504))</f>
        <v/>
      </c>
      <c r="D44" s="72">
        <f>IF($A44="","",SUMIF('棚卸表'!$E$5:$E$504,$A44,'棚卸表'!$K$5:$K$504))</f>
        <v/>
      </c>
      <c r="E44" s="72">
        <f>IF($A44="","",SUMIF('棚卸表'!$E$5:$E$504,$A44,'棚卸表'!$M$5:$M$504))</f>
        <v/>
      </c>
      <c r="F44" s="43">
        <f>IF($A44="","",COUNTIFS('棚卸表'!$E$5:$E$504,$A44,'棚卸表'!$O$5:$O$504,"要確認"))</f>
        <v/>
      </c>
      <c r="G44" s="43">
        <f>IF($A44="","",COUNTIFS('棚卸表'!$E$5:$E$504,$A44,'棚卸表'!$O$5:$O$504,"未入力"))</f>
        <v/>
      </c>
    </row>
    <row r="45" ht="16" customHeight="1">
      <c r="A45" s="42">
        <f>IF('設定'!$B$31="","",'設定'!$B$31)</f>
        <v/>
      </c>
      <c r="B45" s="43">
        <f>IF($A45="","",COUNTIF('棚卸表'!$E$5:$E$504,$A45))</f>
        <v/>
      </c>
      <c r="C45" s="72">
        <f>IF($A45="","",SUMIF('棚卸表'!$E$5:$E$504,$A45,'棚卸表'!$J$5:$J$504))</f>
        <v/>
      </c>
      <c r="D45" s="72">
        <f>IF($A45="","",SUMIF('棚卸表'!$E$5:$E$504,$A45,'棚卸表'!$K$5:$K$504))</f>
        <v/>
      </c>
      <c r="E45" s="72">
        <f>IF($A45="","",SUMIF('棚卸表'!$E$5:$E$504,$A45,'棚卸表'!$M$5:$M$504))</f>
        <v/>
      </c>
      <c r="F45" s="43">
        <f>IF($A45="","",COUNTIFS('棚卸表'!$E$5:$E$504,$A45,'棚卸表'!$O$5:$O$504,"要確認"))</f>
        <v/>
      </c>
      <c r="G45" s="43">
        <f>IF($A45="","",COUNTIFS('棚卸表'!$E$5:$E$504,$A45,'棚卸表'!$O$5:$O$504,"未入力"))</f>
        <v/>
      </c>
    </row>
    <row r="46" ht="16" customHeight="1">
      <c r="A46" s="42">
        <f>IF('設定'!$B$32="","",'設定'!$B$32)</f>
        <v/>
      </c>
      <c r="B46" s="43">
        <f>IF($A46="","",COUNTIF('棚卸表'!$E$5:$E$504,$A46))</f>
        <v/>
      </c>
      <c r="C46" s="72">
        <f>IF($A46="","",SUMIF('棚卸表'!$E$5:$E$504,$A46,'棚卸表'!$J$5:$J$504))</f>
        <v/>
      </c>
      <c r="D46" s="72">
        <f>IF($A46="","",SUMIF('棚卸表'!$E$5:$E$504,$A46,'棚卸表'!$K$5:$K$504))</f>
        <v/>
      </c>
      <c r="E46" s="72">
        <f>IF($A46="","",SUMIF('棚卸表'!$E$5:$E$504,$A46,'棚卸表'!$M$5:$M$504))</f>
        <v/>
      </c>
      <c r="F46" s="43">
        <f>IF($A46="","",COUNTIFS('棚卸表'!$E$5:$E$504,$A46,'棚卸表'!$O$5:$O$504,"要確認"))</f>
        <v/>
      </c>
      <c r="G46" s="43">
        <f>IF($A46="","",COUNTIFS('棚卸表'!$E$5:$E$504,$A46,'棚卸表'!$O$5:$O$504,"未入力"))</f>
        <v/>
      </c>
    </row>
    <row r="47" ht="16" customHeight="1">
      <c r="A47" s="42">
        <f>IF('設定'!$B$33="","",'設定'!$B$33)</f>
        <v/>
      </c>
      <c r="B47" s="43">
        <f>IF($A47="","",COUNTIF('棚卸表'!$E$5:$E$504,$A47))</f>
        <v/>
      </c>
      <c r="C47" s="72">
        <f>IF($A47="","",SUMIF('棚卸表'!$E$5:$E$504,$A47,'棚卸表'!$J$5:$J$504))</f>
        <v/>
      </c>
      <c r="D47" s="72">
        <f>IF($A47="","",SUMIF('棚卸表'!$E$5:$E$504,$A47,'棚卸表'!$K$5:$K$504))</f>
        <v/>
      </c>
      <c r="E47" s="72">
        <f>IF($A47="","",SUMIF('棚卸表'!$E$5:$E$504,$A47,'棚卸表'!$M$5:$M$504))</f>
        <v/>
      </c>
      <c r="F47" s="43">
        <f>IF($A47="","",COUNTIFS('棚卸表'!$E$5:$E$504,$A47,'棚卸表'!$O$5:$O$504,"要確認"))</f>
        <v/>
      </c>
      <c r="G47" s="43">
        <f>IF($A47="","",COUNTIFS('棚卸表'!$E$5:$E$504,$A47,'棚卸表'!$O$5:$O$504,"未入力"))</f>
        <v/>
      </c>
    </row>
    <row r="48" ht="16" customHeight="1">
      <c r="A48" s="42">
        <f>IF('設定'!$B$34="","",'設定'!$B$34)</f>
        <v/>
      </c>
      <c r="B48" s="43">
        <f>IF($A48="","",COUNTIF('棚卸表'!$E$5:$E$504,$A48))</f>
        <v/>
      </c>
      <c r="C48" s="72">
        <f>IF($A48="","",SUMIF('棚卸表'!$E$5:$E$504,$A48,'棚卸表'!$J$5:$J$504))</f>
        <v/>
      </c>
      <c r="D48" s="72">
        <f>IF($A48="","",SUMIF('棚卸表'!$E$5:$E$504,$A48,'棚卸表'!$K$5:$K$504))</f>
        <v/>
      </c>
      <c r="E48" s="72">
        <f>IF($A48="","",SUMIF('棚卸表'!$E$5:$E$504,$A48,'棚卸表'!$M$5:$M$504))</f>
        <v/>
      </c>
      <c r="F48" s="43">
        <f>IF($A48="","",COUNTIFS('棚卸表'!$E$5:$E$504,$A48,'棚卸表'!$O$5:$O$504,"要確認"))</f>
        <v/>
      </c>
      <c r="G48" s="43">
        <f>IF($A48="","",COUNTIFS('棚卸表'!$E$5:$E$504,$A48,'棚卸表'!$O$5:$O$504,"未入力"))</f>
        <v/>
      </c>
    </row>
    <row r="49" ht="16" customHeight="1">
      <c r="A49" s="42">
        <f>IF('設定'!$B$35="","",'設定'!$B$35)</f>
        <v/>
      </c>
      <c r="B49" s="43">
        <f>IF($A49="","",COUNTIF('棚卸表'!$E$5:$E$504,$A49))</f>
        <v/>
      </c>
      <c r="C49" s="72">
        <f>IF($A49="","",SUMIF('棚卸表'!$E$5:$E$504,$A49,'棚卸表'!$J$5:$J$504))</f>
        <v/>
      </c>
      <c r="D49" s="72">
        <f>IF($A49="","",SUMIF('棚卸表'!$E$5:$E$504,$A49,'棚卸表'!$K$5:$K$504))</f>
        <v/>
      </c>
      <c r="E49" s="72">
        <f>IF($A49="","",SUMIF('棚卸表'!$E$5:$E$504,$A49,'棚卸表'!$M$5:$M$504))</f>
        <v/>
      </c>
      <c r="F49" s="43">
        <f>IF($A49="","",COUNTIFS('棚卸表'!$E$5:$E$504,$A49,'棚卸表'!$O$5:$O$504,"要確認"))</f>
        <v/>
      </c>
      <c r="G49" s="43">
        <f>IF($A49="","",COUNTIFS('棚卸表'!$E$5:$E$504,$A49,'棚卸表'!$O$5:$O$504,"未入力"))</f>
        <v/>
      </c>
    </row>
    <row r="50" ht="16" customHeight="1">
      <c r="A50" s="42">
        <f>IF('設定'!$B$36="","",'設定'!$B$36)</f>
        <v/>
      </c>
      <c r="B50" s="43">
        <f>IF($A50="","",COUNTIF('棚卸表'!$E$5:$E$504,$A50))</f>
        <v/>
      </c>
      <c r="C50" s="72">
        <f>IF($A50="","",SUMIF('棚卸表'!$E$5:$E$504,$A50,'棚卸表'!$J$5:$J$504))</f>
        <v/>
      </c>
      <c r="D50" s="72">
        <f>IF($A50="","",SUMIF('棚卸表'!$E$5:$E$504,$A50,'棚卸表'!$K$5:$K$504))</f>
        <v/>
      </c>
      <c r="E50" s="72">
        <f>IF($A50="","",SUMIF('棚卸表'!$E$5:$E$504,$A50,'棚卸表'!$M$5:$M$504))</f>
        <v/>
      </c>
      <c r="F50" s="43">
        <f>IF($A50="","",COUNTIFS('棚卸表'!$E$5:$E$504,$A50,'棚卸表'!$O$5:$O$504,"要確認"))</f>
        <v/>
      </c>
      <c r="G50" s="43">
        <f>IF($A50="","",COUNTIFS('棚卸表'!$E$5:$E$504,$A50,'棚卸表'!$O$5:$O$504,"未入力"))</f>
        <v/>
      </c>
    </row>
    <row r="51" ht="16" customHeight="1">
      <c r="A51" s="44" t="inlineStr">
        <is>
          <t>（場所が空欄・一覧にない場所）</t>
        </is>
      </c>
      <c r="B51" s="43">
        <f>COUNTA('棚卸表'!$B$5:$B$504)-SUM(B31:B50)</f>
        <v/>
      </c>
      <c r="C51" s="72">
        <f>SUM('棚卸表'!$J$5:$J$504)-SUM(C31:C50)</f>
        <v/>
      </c>
      <c r="D51" s="72">
        <f>SUM('棚卸表'!$K$5:$K$504)-SUM(D31:D50)</f>
        <v/>
      </c>
      <c r="E51" s="72">
        <f>SUM('棚卸表'!$M$5:$M$504)-SUM(E31:E50)</f>
        <v/>
      </c>
      <c r="F51" s="43">
        <f>COUNTIF('棚卸表'!$O$5:$O$504,"要確認")-SUM(F31:F50)</f>
        <v/>
      </c>
      <c r="G51" s="43">
        <f>COUNTIF('棚卸表'!$O$5:$O$504,"未入力")-SUM(G31:G50)</f>
        <v/>
      </c>
    </row>
    <row r="52" ht="16" customHeight="1">
      <c r="A52" s="69" t="inlineStr">
        <is>
          <t>合計</t>
        </is>
      </c>
      <c r="B52" s="75">
        <f>SUM(B31:B51)</f>
        <v/>
      </c>
      <c r="C52" s="76">
        <f>SUM(C31:C51)</f>
        <v/>
      </c>
      <c r="D52" s="76">
        <f>SUM(D31:D51)</f>
        <v/>
      </c>
      <c r="E52" s="76">
        <f>SUM(E31:E51)</f>
        <v/>
      </c>
      <c r="F52" s="75">
        <f>SUM(F31:F51)</f>
        <v/>
      </c>
      <c r="G52" s="75">
        <f>SUM(G31:G51)</f>
        <v/>
      </c>
    </row>
    <row r="53">
      <c r="A53" s="61" t="n"/>
      <c r="B53" s="61" t="n"/>
      <c r="C53" s="61" t="n"/>
      <c r="D53" s="61" t="n"/>
      <c r="E53" s="61" t="n"/>
      <c r="F53" s="61" t="n"/>
      <c r="G53" s="61" t="n"/>
    </row>
    <row r="54" ht="20" customHeight="1">
      <c r="A54" s="66" t="inlineStr">
        <is>
          <t>原因別（差異の原因シートから）</t>
        </is>
      </c>
      <c r="B54" s="67" t="n"/>
      <c r="C54" s="67" t="n"/>
      <c r="D54" s="67" t="n"/>
      <c r="E54" s="67" t="n"/>
      <c r="F54" s="67" t="n"/>
      <c r="G54" s="67" t="n"/>
    </row>
    <row r="55">
      <c r="A55" s="19" t="inlineStr">
        <is>
          <t>原因の区分</t>
        </is>
      </c>
      <c r="B55" s="19" t="inlineStr">
        <is>
          <t>記録の件数</t>
        </is>
      </c>
      <c r="C55" s="19" t="inlineStr">
        <is>
          <t>金額の合計</t>
        </is>
      </c>
      <c r="D55" s="19" t="inlineStr">
        <is>
          <t>うち帳簿の修正が未</t>
        </is>
      </c>
      <c r="E55" s="61" t="n"/>
      <c r="F55" s="61" t="n"/>
      <c r="G55" s="61" t="n"/>
    </row>
    <row r="56" ht="16" customHeight="1">
      <c r="A56" s="42">
        <f>IF('設定'!$B$40="","",'設定'!$B$40)</f>
        <v/>
      </c>
      <c r="B56" s="43">
        <f>IF($A56="","",COUNTIF('差異の原因'!$F$5:$F$204,$A56))</f>
        <v/>
      </c>
      <c r="C56" s="72">
        <f>IF($A56="","",SUMIF('差異の原因'!$F$5:$F$204,$A56,'差異の原因'!$H$5:$H$204))</f>
        <v/>
      </c>
      <c r="D56" s="43">
        <f>IF($A56="","",COUNTIFS('差異の原因'!$F$5:$F$204,$A56,'差異の原因'!$K$5:$K$204,"未"))</f>
        <v/>
      </c>
      <c r="E56" s="61" t="n"/>
      <c r="F56" s="61" t="n"/>
      <c r="G56" s="61" t="n"/>
    </row>
    <row r="57" ht="16" customHeight="1">
      <c r="A57" s="42">
        <f>IF('設定'!$B$41="","",'設定'!$B$41)</f>
        <v/>
      </c>
      <c r="B57" s="43">
        <f>IF($A57="","",COUNTIF('差異の原因'!$F$5:$F$204,$A57))</f>
        <v/>
      </c>
      <c r="C57" s="72">
        <f>IF($A57="","",SUMIF('差異の原因'!$F$5:$F$204,$A57,'差異の原因'!$H$5:$H$204))</f>
        <v/>
      </c>
      <c r="D57" s="43">
        <f>IF($A57="","",COUNTIFS('差異の原因'!$F$5:$F$204,$A57,'差異の原因'!$K$5:$K$204,"未"))</f>
        <v/>
      </c>
      <c r="E57" s="61" t="n"/>
      <c r="F57" s="61" t="n"/>
      <c r="G57" s="61" t="n"/>
    </row>
    <row r="58" ht="16" customHeight="1">
      <c r="A58" s="42">
        <f>IF('設定'!$B$42="","",'設定'!$B$42)</f>
        <v/>
      </c>
      <c r="B58" s="43">
        <f>IF($A58="","",COUNTIF('差異の原因'!$F$5:$F$204,$A58))</f>
        <v/>
      </c>
      <c r="C58" s="72">
        <f>IF($A58="","",SUMIF('差異の原因'!$F$5:$F$204,$A58,'差異の原因'!$H$5:$H$204))</f>
        <v/>
      </c>
      <c r="D58" s="43">
        <f>IF($A58="","",COUNTIFS('差異の原因'!$F$5:$F$204,$A58,'差異の原因'!$K$5:$K$204,"未"))</f>
        <v/>
      </c>
      <c r="E58" s="61" t="n"/>
      <c r="F58" s="61" t="n"/>
      <c r="G58" s="61" t="n"/>
    </row>
    <row r="59" ht="16" customHeight="1">
      <c r="A59" s="42">
        <f>IF('設定'!$B$43="","",'設定'!$B$43)</f>
        <v/>
      </c>
      <c r="B59" s="43">
        <f>IF($A59="","",COUNTIF('差異の原因'!$F$5:$F$204,$A59))</f>
        <v/>
      </c>
      <c r="C59" s="72">
        <f>IF($A59="","",SUMIF('差異の原因'!$F$5:$F$204,$A59,'差異の原因'!$H$5:$H$204))</f>
        <v/>
      </c>
      <c r="D59" s="43">
        <f>IF($A59="","",COUNTIFS('差異の原因'!$F$5:$F$204,$A59,'差異の原因'!$K$5:$K$204,"未"))</f>
        <v/>
      </c>
      <c r="E59" s="61" t="n"/>
      <c r="F59" s="61" t="n"/>
      <c r="G59" s="61" t="n"/>
    </row>
    <row r="60" ht="16" customHeight="1">
      <c r="A60" s="42">
        <f>IF('設定'!$B$44="","",'設定'!$B$44)</f>
        <v/>
      </c>
      <c r="B60" s="43">
        <f>IF($A60="","",COUNTIF('差異の原因'!$F$5:$F$204,$A60))</f>
        <v/>
      </c>
      <c r="C60" s="72">
        <f>IF($A60="","",SUMIF('差異の原因'!$F$5:$F$204,$A60,'差異の原因'!$H$5:$H$204))</f>
        <v/>
      </c>
      <c r="D60" s="43">
        <f>IF($A60="","",COUNTIFS('差異の原因'!$F$5:$F$204,$A60,'差異の原因'!$K$5:$K$204,"未"))</f>
        <v/>
      </c>
      <c r="E60" s="61" t="n"/>
      <c r="F60" s="61" t="n"/>
      <c r="G60" s="61" t="n"/>
    </row>
    <row r="61" ht="16" customHeight="1">
      <c r="A61" s="42">
        <f>IF('設定'!$B$45="","",'設定'!$B$45)</f>
        <v/>
      </c>
      <c r="B61" s="43">
        <f>IF($A61="","",COUNTIF('差異の原因'!$F$5:$F$204,$A61))</f>
        <v/>
      </c>
      <c r="C61" s="72">
        <f>IF($A61="","",SUMIF('差異の原因'!$F$5:$F$204,$A61,'差異の原因'!$H$5:$H$204))</f>
        <v/>
      </c>
      <c r="D61" s="43">
        <f>IF($A61="","",COUNTIFS('差異の原因'!$F$5:$F$204,$A61,'差異の原因'!$K$5:$K$204,"未"))</f>
        <v/>
      </c>
      <c r="E61" s="61" t="n"/>
      <c r="F61" s="61" t="n"/>
      <c r="G61" s="61" t="n"/>
    </row>
    <row r="62" ht="16" customHeight="1">
      <c r="A62" s="42">
        <f>IF('設定'!$B$46="","",'設定'!$B$46)</f>
        <v/>
      </c>
      <c r="B62" s="43">
        <f>IF($A62="","",COUNTIF('差異の原因'!$F$5:$F$204,$A62))</f>
        <v/>
      </c>
      <c r="C62" s="72">
        <f>IF($A62="","",SUMIF('差異の原因'!$F$5:$F$204,$A62,'差異の原因'!$H$5:$H$204))</f>
        <v/>
      </c>
      <c r="D62" s="43">
        <f>IF($A62="","",COUNTIFS('差異の原因'!$F$5:$F$204,$A62,'差異の原因'!$K$5:$K$204,"未"))</f>
        <v/>
      </c>
      <c r="E62" s="61" t="n"/>
      <c r="F62" s="61" t="n"/>
      <c r="G62" s="61" t="n"/>
    </row>
    <row r="63" ht="16" customHeight="1">
      <c r="A63" s="42">
        <f>IF('設定'!$B$47="","",'設定'!$B$47)</f>
        <v/>
      </c>
      <c r="B63" s="43">
        <f>IF($A63="","",COUNTIF('差異の原因'!$F$5:$F$204,$A63))</f>
        <v/>
      </c>
      <c r="C63" s="72">
        <f>IF($A63="","",SUMIF('差異の原因'!$F$5:$F$204,$A63,'差異の原因'!$H$5:$H$204))</f>
        <v/>
      </c>
      <c r="D63" s="43">
        <f>IF($A63="","",COUNTIFS('差異の原因'!$F$5:$F$204,$A63,'差異の原因'!$K$5:$K$204,"未"))</f>
        <v/>
      </c>
      <c r="E63" s="61" t="n"/>
      <c r="F63" s="61" t="n"/>
      <c r="G63" s="61" t="n"/>
    </row>
    <row r="64" ht="16" customHeight="1">
      <c r="A64" s="42">
        <f>IF('設定'!$B$48="","",'設定'!$B$48)</f>
        <v/>
      </c>
      <c r="B64" s="43">
        <f>IF($A64="","",COUNTIF('差異の原因'!$F$5:$F$204,$A64))</f>
        <v/>
      </c>
      <c r="C64" s="72">
        <f>IF($A64="","",SUMIF('差異の原因'!$F$5:$F$204,$A64,'差異の原因'!$H$5:$H$204))</f>
        <v/>
      </c>
      <c r="D64" s="43">
        <f>IF($A64="","",COUNTIFS('差異の原因'!$F$5:$F$204,$A64,'差異の原因'!$K$5:$K$204,"未"))</f>
        <v/>
      </c>
      <c r="E64" s="61" t="n"/>
      <c r="F64" s="61" t="n"/>
      <c r="G64" s="61" t="n"/>
    </row>
    <row r="65" ht="16" customHeight="1">
      <c r="A65" s="42">
        <f>IF('設定'!$B$49="","",'設定'!$B$49)</f>
        <v/>
      </c>
      <c r="B65" s="43">
        <f>IF($A65="","",COUNTIF('差異の原因'!$F$5:$F$204,$A65))</f>
        <v/>
      </c>
      <c r="C65" s="72">
        <f>IF($A65="","",SUMIF('差異の原因'!$F$5:$F$204,$A65,'差異の原因'!$H$5:$H$204))</f>
        <v/>
      </c>
      <c r="D65" s="43">
        <f>IF($A65="","",COUNTIFS('差異の原因'!$F$5:$F$204,$A65,'差異の原因'!$K$5:$K$204,"未"))</f>
        <v/>
      </c>
      <c r="E65" s="61" t="n"/>
      <c r="F65" s="61" t="n"/>
      <c r="G65" s="61" t="n"/>
    </row>
    <row r="66" ht="16" customHeight="1">
      <c r="A66" s="42">
        <f>IF('設定'!$B$50="","",'設定'!$B$50)</f>
        <v/>
      </c>
      <c r="B66" s="43">
        <f>IF($A66="","",COUNTIF('差異の原因'!$F$5:$F$204,$A66))</f>
        <v/>
      </c>
      <c r="C66" s="72">
        <f>IF($A66="","",SUMIF('差異の原因'!$F$5:$F$204,$A66,'差異の原因'!$H$5:$H$204))</f>
        <v/>
      </c>
      <c r="D66" s="43">
        <f>IF($A66="","",COUNTIFS('差異の原因'!$F$5:$F$204,$A66,'差異の原因'!$K$5:$K$204,"未"))</f>
        <v/>
      </c>
      <c r="E66" s="61" t="n"/>
      <c r="F66" s="61" t="n"/>
      <c r="G66" s="61" t="n"/>
    </row>
    <row r="67" ht="16" customHeight="1">
      <c r="A67" s="42">
        <f>IF('設定'!$B$51="","",'設定'!$B$51)</f>
        <v/>
      </c>
      <c r="B67" s="43">
        <f>IF($A67="","",COUNTIF('差異の原因'!$F$5:$F$204,$A67))</f>
        <v/>
      </c>
      <c r="C67" s="72">
        <f>IF($A67="","",SUMIF('差異の原因'!$F$5:$F$204,$A67,'差異の原因'!$H$5:$H$204))</f>
        <v/>
      </c>
      <c r="D67" s="43">
        <f>IF($A67="","",COUNTIFS('差異の原因'!$F$5:$F$204,$A67,'差異の原因'!$K$5:$K$204,"未"))</f>
        <v/>
      </c>
      <c r="E67" s="61" t="n"/>
      <c r="F67" s="61" t="n"/>
      <c r="G67" s="61" t="n"/>
    </row>
    <row r="68" ht="18" customHeight="1">
      <c r="A68" s="69" t="inlineStr">
        <is>
          <t>原因を記録した金額の合計</t>
        </is>
      </c>
      <c r="B68" s="75">
        <f>COUNTA('差異の原因'!$B$5:$B$204)</f>
        <v/>
      </c>
      <c r="C68" s="76">
        <f>SUM('差異の原因'!$H$5:$H$204)</f>
        <v/>
      </c>
      <c r="D68" s="75">
        <f>COUNTIF('差異の原因'!$K$5:$K$204,"未")</f>
        <v/>
      </c>
      <c r="E68" s="61" t="n"/>
      <c r="F68" s="61" t="n"/>
      <c r="G68" s="61" t="n"/>
    </row>
    <row r="69" ht="18" customHeight="1">
      <c r="A69" s="69" t="inlineStr">
        <is>
          <t>差異金額のうち、原因を記録していない金額</t>
        </is>
      </c>
      <c r="B69" s="61" t="n"/>
      <c r="C69" s="76">
        <f>B15-C68</f>
        <v/>
      </c>
      <c r="D69" s="61" t="n"/>
      <c r="E69" s="61" t="n"/>
      <c r="F69" s="61" t="n"/>
      <c r="G69" s="61" t="n"/>
    </row>
    <row r="70">
      <c r="A70" s="64" t="inlineStr">
        <is>
          <t>原因の区分が空欄の記録は、上の区分ごとの件数には入らず、合計にだけ入ります。</t>
        </is>
      </c>
      <c r="B70" s="61" t="n"/>
      <c r="C70" s="61" t="n"/>
      <c r="D70" s="61" t="n"/>
      <c r="E70" s="61" t="n"/>
      <c r="F70" s="61" t="n"/>
      <c r="G70" s="61" t="n"/>
    </row>
  </sheetData>
  <mergeCells count="18">
    <mergeCell ref="C22:G22"/>
    <mergeCell ref="A1:G1"/>
    <mergeCell ref="C12:G12"/>
    <mergeCell ref="A70:G70"/>
    <mergeCell ref="A8:G8"/>
    <mergeCell ref="A6:G6"/>
    <mergeCell ref="C15:G15"/>
    <mergeCell ref="C11:G11"/>
    <mergeCell ref="C25:G25"/>
    <mergeCell ref="C27:G27"/>
    <mergeCell ref="A2:G2"/>
    <mergeCell ref="A54:G54"/>
    <mergeCell ref="A29:G29"/>
    <mergeCell ref="C14:G14"/>
    <mergeCell ref="C23:G23"/>
    <mergeCell ref="C13:G13"/>
    <mergeCell ref="C18:G18"/>
    <mergeCell ref="C17:G17"/>
  </mergeCells>
  <conditionalFormatting sqref="B21">
    <cfRule type="expression" priority="1" dxfId="0">
      <formula>AND(ISNUMBER(B21),B21&gt;0)</formula>
    </cfRule>
  </conditionalFormatting>
  <conditionalFormatting sqref="B22">
    <cfRule type="expression" priority="2" dxfId="0">
      <formula>AND(ISNUMBER(B22),B22&gt;0)</formula>
    </cfRule>
  </conditionalFormatting>
  <conditionalFormatting sqref="B23">
    <cfRule type="expression" priority="3" dxfId="0">
      <formula>AND(ISNUMBER(B23),B23&gt;0)</formula>
    </cfRule>
  </conditionalFormatting>
  <conditionalFormatting sqref="B25">
    <cfRule type="expression" priority="4" dxfId="0">
      <formula>AND(ISNUMBER(B25),B25&gt;0)</formula>
    </cfRule>
  </conditionalFormatting>
  <pageMargins left="0.4" right="0.4" top="0.4" bottom="0.4" header="0.2" footer="0.2"/>
  <pageSetup orientation="portrait" paperSize="9" fitToHeight="1" fitToWidth="1"/>
</worksheet>
</file>

<file path=xl/worksheets/sheet6.xml><?xml version="1.0" encoding="utf-8"?>
<worksheet xmlns="http://schemas.openxmlformats.org/spreadsheetml/2006/main">
  <sheetPr>
    <tabColor rgb="00B9C4CF"/>
    <outlinePr summaryBelow="1" summaryRight="1"/>
    <pageSetUpPr fitToPage="1"/>
  </sheetPr>
  <dimension ref="A1:J47"/>
  <sheetViews>
    <sheetView showGridLines="0" tabSelected="0" workbookViewId="0">
      <selection activeCell="A1" sqref="A1"/>
    </sheetView>
  </sheetViews>
  <sheetFormatPr baseColWidth="8" defaultRowHeight="15"/>
  <cols>
    <col width="4.5" customWidth="1" min="1" max="1"/>
    <col width="10.5" customWidth="1" min="2" max="2"/>
    <col width="22" customWidth="1" min="3" max="3"/>
    <col width="11" customWidth="1" min="4" max="4"/>
    <col width="6.5" customWidth="1" min="5" max="5"/>
    <col width="11" customWidth="1" min="6" max="6"/>
    <col width="18" customWidth="1" min="7" max="7"/>
    <col width="6" customWidth="1" min="8" max="8"/>
    <col width="2" customWidth="1" min="9" max="9"/>
    <col width="6" customWidth="1" min="10" max="10"/>
  </cols>
  <sheetData>
    <row r="1" ht="26" customHeight="1">
      <c r="A1" s="60" t="inlineStr">
        <is>
          <t>数える用紙（帳簿数は出していません）</t>
        </is>
      </c>
      <c r="B1" s="61" t="n"/>
      <c r="C1" s="61" t="n"/>
      <c r="D1" s="61" t="n"/>
      <c r="E1" s="61" t="n"/>
      <c r="F1" s="61" t="n"/>
      <c r="G1" s="61" t="n"/>
      <c r="H1" s="61" t="n"/>
      <c r="I1" s="61" t="n"/>
      <c r="J1" s="61" t="n"/>
    </row>
    <row r="2" ht="26" customHeight="1">
      <c r="A2" s="65" t="inlineStr">
        <is>
          <t>保管場所</t>
        </is>
      </c>
      <c r="B2" s="71" t="n"/>
      <c r="C2" s="77" t="n"/>
      <c r="D2" s="65" t="inlineStr">
        <is>
          <t>棚卸日</t>
        </is>
      </c>
      <c r="E2" s="48">
        <f>IF('設定'!$B$5="","",'設定'!$B$5)</f>
        <v/>
      </c>
      <c r="F2" s="71" t="n"/>
      <c r="G2" s="49">
        <f>IF('設定'!$B$4="","",'設定'!$B$4)</f>
        <v/>
      </c>
      <c r="H2" s="71" t="n"/>
      <c r="I2" s="61" t="n"/>
      <c r="J2" s="61" t="n"/>
    </row>
    <row r="3" ht="24" customHeight="1">
      <c r="A3" s="65" t="inlineStr">
        <is>
          <t>数えた人</t>
        </is>
      </c>
      <c r="B3" s="71" t="n"/>
      <c r="C3" s="23" t="n"/>
      <c r="D3" s="65" t="inlineStr">
        <is>
          <t>確認した人</t>
        </is>
      </c>
      <c r="E3" s="23" t="n"/>
      <c r="F3" s="71" t="n"/>
      <c r="G3" s="51" t="inlineStr">
        <is>
          <t>時刻　　：　　〜　　：</t>
        </is>
      </c>
      <c r="H3" s="71" t="n"/>
      <c r="I3" s="61" t="n"/>
      <c r="J3" s="61" t="n"/>
    </row>
    <row r="4" ht="18" customHeight="1">
      <c r="A4" s="64">
        <f>IF($C$2="","C2で保管場所を選ぶと、その場所の品目が棚卸表と同じ順に並びます。","この場所の品目: "&amp;COUNTIF('棚卸表'!$E$5:$E$504,$C$2)&amp;"品目"&amp;IF(COUNTIF('棚卸表'!$E$5:$E$504,$C$2)&gt;40,"（41品目目からは出ません。場所を分けてください）",""))</f>
        <v/>
      </c>
      <c r="B4" s="61" t="n"/>
      <c r="C4" s="61" t="n"/>
      <c r="D4" s="61" t="n"/>
      <c r="E4" s="61" t="n"/>
      <c r="F4" s="61" t="n"/>
      <c r="G4" s="61" t="n"/>
      <c r="H4" s="61" t="n"/>
      <c r="I4" s="61" t="n"/>
      <c r="J4" s="61" t="n"/>
    </row>
    <row r="5" ht="22" customHeight="1">
      <c r="A5" s="19" t="inlineStr">
        <is>
          <t>No.</t>
        </is>
      </c>
      <c r="B5" s="19" t="inlineStr">
        <is>
          <t>品目コード</t>
        </is>
      </c>
      <c r="C5" s="19" t="inlineStr">
        <is>
          <t>品名</t>
        </is>
      </c>
      <c r="D5" s="19" t="inlineStr">
        <is>
          <t>規格・入数</t>
        </is>
      </c>
      <c r="E5" s="19" t="inlineStr">
        <is>
          <t>単位</t>
        </is>
      </c>
      <c r="F5" s="19" t="inlineStr">
        <is>
          <t>数えた数</t>
        </is>
      </c>
      <c r="G5" s="19" t="inlineStr">
        <is>
          <t>期限・気づいたこと</t>
        </is>
      </c>
      <c r="H5" s="19" t="inlineStr">
        <is>
          <t>確認</t>
        </is>
      </c>
      <c r="I5" s="61" t="n"/>
      <c r="J5" s="21" t="inlineStr">
        <is>
          <t>作業列</t>
        </is>
      </c>
    </row>
    <row r="6" ht="18" customHeight="1">
      <c r="A6" s="52">
        <f>IF($J6="","",1)</f>
        <v/>
      </c>
      <c r="B6" s="52">
        <f>IF($J6="","",INDEX('棚卸表'!$B$1:$B$504,$J6)&amp;"")</f>
        <v/>
      </c>
      <c r="C6" s="53">
        <f>IF($J6="","",INDEX('棚卸表'!$C$1:$C$504,$J6)&amp;"")</f>
        <v/>
      </c>
      <c r="D6" s="53">
        <f>IF($J6="","",INDEX('棚卸表'!$D$1:$D$504,$J6)&amp;"")</f>
        <v/>
      </c>
      <c r="E6" s="52">
        <f>IF($J6="","",INDEX('棚卸表'!$F$1:$F$504,$J6)&amp;"")</f>
        <v/>
      </c>
      <c r="F6" s="52" t="n"/>
      <c r="G6" s="53" t="n"/>
      <c r="H6" s="52" t="n"/>
      <c r="I6" s="61" t="n"/>
      <c r="J6" s="78">
        <f>IFERROR(SMALL('棚卸表'!$V$5:$V$504,1),"")</f>
        <v/>
      </c>
    </row>
    <row r="7" ht="18" customHeight="1">
      <c r="A7" s="52">
        <f>IF($J7="","",2)</f>
        <v/>
      </c>
      <c r="B7" s="52">
        <f>IF($J7="","",INDEX('棚卸表'!$B$1:$B$504,$J7)&amp;"")</f>
        <v/>
      </c>
      <c r="C7" s="53">
        <f>IF($J7="","",INDEX('棚卸表'!$C$1:$C$504,$J7)&amp;"")</f>
        <v/>
      </c>
      <c r="D7" s="53">
        <f>IF($J7="","",INDEX('棚卸表'!$D$1:$D$504,$J7)&amp;"")</f>
        <v/>
      </c>
      <c r="E7" s="52">
        <f>IF($J7="","",INDEX('棚卸表'!$F$1:$F$504,$J7)&amp;"")</f>
        <v/>
      </c>
      <c r="F7" s="52" t="n"/>
      <c r="G7" s="53" t="n"/>
      <c r="H7" s="52" t="n"/>
      <c r="I7" s="61" t="n"/>
      <c r="J7" s="78">
        <f>IFERROR(SMALL('棚卸表'!$V$5:$V$504,2),"")</f>
        <v/>
      </c>
    </row>
    <row r="8" ht="18" customHeight="1">
      <c r="A8" s="52">
        <f>IF($J8="","",3)</f>
        <v/>
      </c>
      <c r="B8" s="52">
        <f>IF($J8="","",INDEX('棚卸表'!$B$1:$B$504,$J8)&amp;"")</f>
        <v/>
      </c>
      <c r="C8" s="53">
        <f>IF($J8="","",INDEX('棚卸表'!$C$1:$C$504,$J8)&amp;"")</f>
        <v/>
      </c>
      <c r="D8" s="53">
        <f>IF($J8="","",INDEX('棚卸表'!$D$1:$D$504,$J8)&amp;"")</f>
        <v/>
      </c>
      <c r="E8" s="52">
        <f>IF($J8="","",INDEX('棚卸表'!$F$1:$F$504,$J8)&amp;"")</f>
        <v/>
      </c>
      <c r="F8" s="52" t="n"/>
      <c r="G8" s="53" t="n"/>
      <c r="H8" s="52" t="n"/>
      <c r="I8" s="61" t="n"/>
      <c r="J8" s="78">
        <f>IFERROR(SMALL('棚卸表'!$V$5:$V$504,3),"")</f>
        <v/>
      </c>
    </row>
    <row r="9" ht="18" customHeight="1">
      <c r="A9" s="52">
        <f>IF($J9="","",4)</f>
        <v/>
      </c>
      <c r="B9" s="52">
        <f>IF($J9="","",INDEX('棚卸表'!$B$1:$B$504,$J9)&amp;"")</f>
        <v/>
      </c>
      <c r="C9" s="53">
        <f>IF($J9="","",INDEX('棚卸表'!$C$1:$C$504,$J9)&amp;"")</f>
        <v/>
      </c>
      <c r="D9" s="53">
        <f>IF($J9="","",INDEX('棚卸表'!$D$1:$D$504,$J9)&amp;"")</f>
        <v/>
      </c>
      <c r="E9" s="52">
        <f>IF($J9="","",INDEX('棚卸表'!$F$1:$F$504,$J9)&amp;"")</f>
        <v/>
      </c>
      <c r="F9" s="52" t="n"/>
      <c r="G9" s="53" t="n"/>
      <c r="H9" s="52" t="n"/>
      <c r="I9" s="61" t="n"/>
      <c r="J9" s="78">
        <f>IFERROR(SMALL('棚卸表'!$V$5:$V$504,4),"")</f>
        <v/>
      </c>
    </row>
    <row r="10" ht="18" customHeight="1">
      <c r="A10" s="52">
        <f>IF($J10="","",5)</f>
        <v/>
      </c>
      <c r="B10" s="52">
        <f>IF($J10="","",INDEX('棚卸表'!$B$1:$B$504,$J10)&amp;"")</f>
        <v/>
      </c>
      <c r="C10" s="53">
        <f>IF($J10="","",INDEX('棚卸表'!$C$1:$C$504,$J10)&amp;"")</f>
        <v/>
      </c>
      <c r="D10" s="53">
        <f>IF($J10="","",INDEX('棚卸表'!$D$1:$D$504,$J10)&amp;"")</f>
        <v/>
      </c>
      <c r="E10" s="52">
        <f>IF($J10="","",INDEX('棚卸表'!$F$1:$F$504,$J10)&amp;"")</f>
        <v/>
      </c>
      <c r="F10" s="52" t="n"/>
      <c r="G10" s="53" t="n"/>
      <c r="H10" s="52" t="n"/>
      <c r="I10" s="61" t="n"/>
      <c r="J10" s="78">
        <f>IFERROR(SMALL('棚卸表'!$V$5:$V$504,5),"")</f>
        <v/>
      </c>
    </row>
    <row r="11" ht="18" customHeight="1">
      <c r="A11" s="52">
        <f>IF($J11="","",6)</f>
        <v/>
      </c>
      <c r="B11" s="52">
        <f>IF($J11="","",INDEX('棚卸表'!$B$1:$B$504,$J11)&amp;"")</f>
        <v/>
      </c>
      <c r="C11" s="53">
        <f>IF($J11="","",INDEX('棚卸表'!$C$1:$C$504,$J11)&amp;"")</f>
        <v/>
      </c>
      <c r="D11" s="53">
        <f>IF($J11="","",INDEX('棚卸表'!$D$1:$D$504,$J11)&amp;"")</f>
        <v/>
      </c>
      <c r="E11" s="52">
        <f>IF($J11="","",INDEX('棚卸表'!$F$1:$F$504,$J11)&amp;"")</f>
        <v/>
      </c>
      <c r="F11" s="52" t="n"/>
      <c r="G11" s="53" t="n"/>
      <c r="H11" s="52" t="n"/>
      <c r="I11" s="61" t="n"/>
      <c r="J11" s="78">
        <f>IFERROR(SMALL('棚卸表'!$V$5:$V$504,6),"")</f>
        <v/>
      </c>
    </row>
    <row r="12" ht="18" customHeight="1">
      <c r="A12" s="52">
        <f>IF($J12="","",7)</f>
        <v/>
      </c>
      <c r="B12" s="52">
        <f>IF($J12="","",INDEX('棚卸表'!$B$1:$B$504,$J12)&amp;"")</f>
        <v/>
      </c>
      <c r="C12" s="53">
        <f>IF($J12="","",INDEX('棚卸表'!$C$1:$C$504,$J12)&amp;"")</f>
        <v/>
      </c>
      <c r="D12" s="53">
        <f>IF($J12="","",INDEX('棚卸表'!$D$1:$D$504,$J12)&amp;"")</f>
        <v/>
      </c>
      <c r="E12" s="52">
        <f>IF($J12="","",INDEX('棚卸表'!$F$1:$F$504,$J12)&amp;"")</f>
        <v/>
      </c>
      <c r="F12" s="52" t="n"/>
      <c r="G12" s="53" t="n"/>
      <c r="H12" s="52" t="n"/>
      <c r="I12" s="61" t="n"/>
      <c r="J12" s="78">
        <f>IFERROR(SMALL('棚卸表'!$V$5:$V$504,7),"")</f>
        <v/>
      </c>
    </row>
    <row r="13" ht="18" customHeight="1">
      <c r="A13" s="52">
        <f>IF($J13="","",8)</f>
        <v/>
      </c>
      <c r="B13" s="52">
        <f>IF($J13="","",INDEX('棚卸表'!$B$1:$B$504,$J13)&amp;"")</f>
        <v/>
      </c>
      <c r="C13" s="53">
        <f>IF($J13="","",INDEX('棚卸表'!$C$1:$C$504,$J13)&amp;"")</f>
        <v/>
      </c>
      <c r="D13" s="53">
        <f>IF($J13="","",INDEX('棚卸表'!$D$1:$D$504,$J13)&amp;"")</f>
        <v/>
      </c>
      <c r="E13" s="52">
        <f>IF($J13="","",INDEX('棚卸表'!$F$1:$F$504,$J13)&amp;"")</f>
        <v/>
      </c>
      <c r="F13" s="52" t="n"/>
      <c r="G13" s="53" t="n"/>
      <c r="H13" s="52" t="n"/>
      <c r="I13" s="61" t="n"/>
      <c r="J13" s="78">
        <f>IFERROR(SMALL('棚卸表'!$V$5:$V$504,8),"")</f>
        <v/>
      </c>
    </row>
    <row r="14" ht="18" customHeight="1">
      <c r="A14" s="52">
        <f>IF($J14="","",9)</f>
        <v/>
      </c>
      <c r="B14" s="52">
        <f>IF($J14="","",INDEX('棚卸表'!$B$1:$B$504,$J14)&amp;"")</f>
        <v/>
      </c>
      <c r="C14" s="53">
        <f>IF($J14="","",INDEX('棚卸表'!$C$1:$C$504,$J14)&amp;"")</f>
        <v/>
      </c>
      <c r="D14" s="53">
        <f>IF($J14="","",INDEX('棚卸表'!$D$1:$D$504,$J14)&amp;"")</f>
        <v/>
      </c>
      <c r="E14" s="52">
        <f>IF($J14="","",INDEX('棚卸表'!$F$1:$F$504,$J14)&amp;"")</f>
        <v/>
      </c>
      <c r="F14" s="52" t="n"/>
      <c r="G14" s="53" t="n"/>
      <c r="H14" s="52" t="n"/>
      <c r="I14" s="61" t="n"/>
      <c r="J14" s="78">
        <f>IFERROR(SMALL('棚卸表'!$V$5:$V$504,9),"")</f>
        <v/>
      </c>
    </row>
    <row r="15" ht="18" customHeight="1">
      <c r="A15" s="52">
        <f>IF($J15="","",10)</f>
        <v/>
      </c>
      <c r="B15" s="52">
        <f>IF($J15="","",INDEX('棚卸表'!$B$1:$B$504,$J15)&amp;"")</f>
        <v/>
      </c>
      <c r="C15" s="53">
        <f>IF($J15="","",INDEX('棚卸表'!$C$1:$C$504,$J15)&amp;"")</f>
        <v/>
      </c>
      <c r="D15" s="53">
        <f>IF($J15="","",INDEX('棚卸表'!$D$1:$D$504,$J15)&amp;"")</f>
        <v/>
      </c>
      <c r="E15" s="52">
        <f>IF($J15="","",INDEX('棚卸表'!$F$1:$F$504,$J15)&amp;"")</f>
        <v/>
      </c>
      <c r="F15" s="52" t="n"/>
      <c r="G15" s="53" t="n"/>
      <c r="H15" s="52" t="n"/>
      <c r="I15" s="61" t="n"/>
      <c r="J15" s="78">
        <f>IFERROR(SMALL('棚卸表'!$V$5:$V$504,10),"")</f>
        <v/>
      </c>
    </row>
    <row r="16" ht="18" customHeight="1">
      <c r="A16" s="52">
        <f>IF($J16="","",11)</f>
        <v/>
      </c>
      <c r="B16" s="52">
        <f>IF($J16="","",INDEX('棚卸表'!$B$1:$B$504,$J16)&amp;"")</f>
        <v/>
      </c>
      <c r="C16" s="53">
        <f>IF($J16="","",INDEX('棚卸表'!$C$1:$C$504,$J16)&amp;"")</f>
        <v/>
      </c>
      <c r="D16" s="53">
        <f>IF($J16="","",INDEX('棚卸表'!$D$1:$D$504,$J16)&amp;"")</f>
        <v/>
      </c>
      <c r="E16" s="52">
        <f>IF($J16="","",INDEX('棚卸表'!$F$1:$F$504,$J16)&amp;"")</f>
        <v/>
      </c>
      <c r="F16" s="52" t="n"/>
      <c r="G16" s="53" t="n"/>
      <c r="H16" s="52" t="n"/>
      <c r="I16" s="61" t="n"/>
      <c r="J16" s="78">
        <f>IFERROR(SMALL('棚卸表'!$V$5:$V$504,11),"")</f>
        <v/>
      </c>
    </row>
    <row r="17" ht="18" customHeight="1">
      <c r="A17" s="52">
        <f>IF($J17="","",12)</f>
        <v/>
      </c>
      <c r="B17" s="52">
        <f>IF($J17="","",INDEX('棚卸表'!$B$1:$B$504,$J17)&amp;"")</f>
        <v/>
      </c>
      <c r="C17" s="53">
        <f>IF($J17="","",INDEX('棚卸表'!$C$1:$C$504,$J17)&amp;"")</f>
        <v/>
      </c>
      <c r="D17" s="53">
        <f>IF($J17="","",INDEX('棚卸表'!$D$1:$D$504,$J17)&amp;"")</f>
        <v/>
      </c>
      <c r="E17" s="52">
        <f>IF($J17="","",INDEX('棚卸表'!$F$1:$F$504,$J17)&amp;"")</f>
        <v/>
      </c>
      <c r="F17" s="52" t="n"/>
      <c r="G17" s="53" t="n"/>
      <c r="H17" s="52" t="n"/>
      <c r="I17" s="61" t="n"/>
      <c r="J17" s="78">
        <f>IFERROR(SMALL('棚卸表'!$V$5:$V$504,12),"")</f>
        <v/>
      </c>
    </row>
    <row r="18" ht="18" customHeight="1">
      <c r="A18" s="52">
        <f>IF($J18="","",13)</f>
        <v/>
      </c>
      <c r="B18" s="52">
        <f>IF($J18="","",INDEX('棚卸表'!$B$1:$B$504,$J18)&amp;"")</f>
        <v/>
      </c>
      <c r="C18" s="53">
        <f>IF($J18="","",INDEX('棚卸表'!$C$1:$C$504,$J18)&amp;"")</f>
        <v/>
      </c>
      <c r="D18" s="53">
        <f>IF($J18="","",INDEX('棚卸表'!$D$1:$D$504,$J18)&amp;"")</f>
        <v/>
      </c>
      <c r="E18" s="52">
        <f>IF($J18="","",INDEX('棚卸表'!$F$1:$F$504,$J18)&amp;"")</f>
        <v/>
      </c>
      <c r="F18" s="52" t="n"/>
      <c r="G18" s="53" t="n"/>
      <c r="H18" s="52" t="n"/>
      <c r="I18" s="61" t="n"/>
      <c r="J18" s="78">
        <f>IFERROR(SMALL('棚卸表'!$V$5:$V$504,13),"")</f>
        <v/>
      </c>
    </row>
    <row r="19" ht="18" customHeight="1">
      <c r="A19" s="52">
        <f>IF($J19="","",14)</f>
        <v/>
      </c>
      <c r="B19" s="52">
        <f>IF($J19="","",INDEX('棚卸表'!$B$1:$B$504,$J19)&amp;"")</f>
        <v/>
      </c>
      <c r="C19" s="53">
        <f>IF($J19="","",INDEX('棚卸表'!$C$1:$C$504,$J19)&amp;"")</f>
        <v/>
      </c>
      <c r="D19" s="53">
        <f>IF($J19="","",INDEX('棚卸表'!$D$1:$D$504,$J19)&amp;"")</f>
        <v/>
      </c>
      <c r="E19" s="52">
        <f>IF($J19="","",INDEX('棚卸表'!$F$1:$F$504,$J19)&amp;"")</f>
        <v/>
      </c>
      <c r="F19" s="52" t="n"/>
      <c r="G19" s="53" t="n"/>
      <c r="H19" s="52" t="n"/>
      <c r="I19" s="61" t="n"/>
      <c r="J19" s="78">
        <f>IFERROR(SMALL('棚卸表'!$V$5:$V$504,14),"")</f>
        <v/>
      </c>
    </row>
    <row r="20" ht="18" customHeight="1">
      <c r="A20" s="52">
        <f>IF($J20="","",15)</f>
        <v/>
      </c>
      <c r="B20" s="52">
        <f>IF($J20="","",INDEX('棚卸表'!$B$1:$B$504,$J20)&amp;"")</f>
        <v/>
      </c>
      <c r="C20" s="53">
        <f>IF($J20="","",INDEX('棚卸表'!$C$1:$C$504,$J20)&amp;"")</f>
        <v/>
      </c>
      <c r="D20" s="53">
        <f>IF($J20="","",INDEX('棚卸表'!$D$1:$D$504,$J20)&amp;"")</f>
        <v/>
      </c>
      <c r="E20" s="52">
        <f>IF($J20="","",INDEX('棚卸表'!$F$1:$F$504,$J20)&amp;"")</f>
        <v/>
      </c>
      <c r="F20" s="52" t="n"/>
      <c r="G20" s="53" t="n"/>
      <c r="H20" s="52" t="n"/>
      <c r="I20" s="61" t="n"/>
      <c r="J20" s="78">
        <f>IFERROR(SMALL('棚卸表'!$V$5:$V$504,15),"")</f>
        <v/>
      </c>
    </row>
    <row r="21" ht="18" customHeight="1">
      <c r="A21" s="52">
        <f>IF($J21="","",16)</f>
        <v/>
      </c>
      <c r="B21" s="52">
        <f>IF($J21="","",INDEX('棚卸表'!$B$1:$B$504,$J21)&amp;"")</f>
        <v/>
      </c>
      <c r="C21" s="53">
        <f>IF($J21="","",INDEX('棚卸表'!$C$1:$C$504,$J21)&amp;"")</f>
        <v/>
      </c>
      <c r="D21" s="53">
        <f>IF($J21="","",INDEX('棚卸表'!$D$1:$D$504,$J21)&amp;"")</f>
        <v/>
      </c>
      <c r="E21" s="52">
        <f>IF($J21="","",INDEX('棚卸表'!$F$1:$F$504,$J21)&amp;"")</f>
        <v/>
      </c>
      <c r="F21" s="52" t="n"/>
      <c r="G21" s="53" t="n"/>
      <c r="H21" s="52" t="n"/>
      <c r="I21" s="61" t="n"/>
      <c r="J21" s="78">
        <f>IFERROR(SMALL('棚卸表'!$V$5:$V$504,16),"")</f>
        <v/>
      </c>
    </row>
    <row r="22" ht="18" customHeight="1">
      <c r="A22" s="52">
        <f>IF($J22="","",17)</f>
        <v/>
      </c>
      <c r="B22" s="52">
        <f>IF($J22="","",INDEX('棚卸表'!$B$1:$B$504,$J22)&amp;"")</f>
        <v/>
      </c>
      <c r="C22" s="53">
        <f>IF($J22="","",INDEX('棚卸表'!$C$1:$C$504,$J22)&amp;"")</f>
        <v/>
      </c>
      <c r="D22" s="53">
        <f>IF($J22="","",INDEX('棚卸表'!$D$1:$D$504,$J22)&amp;"")</f>
        <v/>
      </c>
      <c r="E22" s="52">
        <f>IF($J22="","",INDEX('棚卸表'!$F$1:$F$504,$J22)&amp;"")</f>
        <v/>
      </c>
      <c r="F22" s="52" t="n"/>
      <c r="G22" s="53" t="n"/>
      <c r="H22" s="52" t="n"/>
      <c r="I22" s="61" t="n"/>
      <c r="J22" s="78">
        <f>IFERROR(SMALL('棚卸表'!$V$5:$V$504,17),"")</f>
        <v/>
      </c>
    </row>
    <row r="23" ht="18" customHeight="1">
      <c r="A23" s="52">
        <f>IF($J23="","",18)</f>
        <v/>
      </c>
      <c r="B23" s="52">
        <f>IF($J23="","",INDEX('棚卸表'!$B$1:$B$504,$J23)&amp;"")</f>
        <v/>
      </c>
      <c r="C23" s="53">
        <f>IF($J23="","",INDEX('棚卸表'!$C$1:$C$504,$J23)&amp;"")</f>
        <v/>
      </c>
      <c r="D23" s="53">
        <f>IF($J23="","",INDEX('棚卸表'!$D$1:$D$504,$J23)&amp;"")</f>
        <v/>
      </c>
      <c r="E23" s="52">
        <f>IF($J23="","",INDEX('棚卸表'!$F$1:$F$504,$J23)&amp;"")</f>
        <v/>
      </c>
      <c r="F23" s="52" t="n"/>
      <c r="G23" s="53" t="n"/>
      <c r="H23" s="52" t="n"/>
      <c r="I23" s="61" t="n"/>
      <c r="J23" s="78">
        <f>IFERROR(SMALL('棚卸表'!$V$5:$V$504,18),"")</f>
        <v/>
      </c>
    </row>
    <row r="24" ht="18" customHeight="1">
      <c r="A24" s="52">
        <f>IF($J24="","",19)</f>
        <v/>
      </c>
      <c r="B24" s="52">
        <f>IF($J24="","",INDEX('棚卸表'!$B$1:$B$504,$J24)&amp;"")</f>
        <v/>
      </c>
      <c r="C24" s="53">
        <f>IF($J24="","",INDEX('棚卸表'!$C$1:$C$504,$J24)&amp;"")</f>
        <v/>
      </c>
      <c r="D24" s="53">
        <f>IF($J24="","",INDEX('棚卸表'!$D$1:$D$504,$J24)&amp;"")</f>
        <v/>
      </c>
      <c r="E24" s="52">
        <f>IF($J24="","",INDEX('棚卸表'!$F$1:$F$504,$J24)&amp;"")</f>
        <v/>
      </c>
      <c r="F24" s="52" t="n"/>
      <c r="G24" s="53" t="n"/>
      <c r="H24" s="52" t="n"/>
      <c r="I24" s="61" t="n"/>
      <c r="J24" s="78">
        <f>IFERROR(SMALL('棚卸表'!$V$5:$V$504,19),"")</f>
        <v/>
      </c>
    </row>
    <row r="25" ht="18" customHeight="1">
      <c r="A25" s="52">
        <f>IF($J25="","",20)</f>
        <v/>
      </c>
      <c r="B25" s="52">
        <f>IF($J25="","",INDEX('棚卸表'!$B$1:$B$504,$J25)&amp;"")</f>
        <v/>
      </c>
      <c r="C25" s="53">
        <f>IF($J25="","",INDEX('棚卸表'!$C$1:$C$504,$J25)&amp;"")</f>
        <v/>
      </c>
      <c r="D25" s="53">
        <f>IF($J25="","",INDEX('棚卸表'!$D$1:$D$504,$J25)&amp;"")</f>
        <v/>
      </c>
      <c r="E25" s="52">
        <f>IF($J25="","",INDEX('棚卸表'!$F$1:$F$504,$J25)&amp;"")</f>
        <v/>
      </c>
      <c r="F25" s="52" t="n"/>
      <c r="G25" s="53" t="n"/>
      <c r="H25" s="52" t="n"/>
      <c r="I25" s="61" t="n"/>
      <c r="J25" s="78">
        <f>IFERROR(SMALL('棚卸表'!$V$5:$V$504,20),"")</f>
        <v/>
      </c>
    </row>
    <row r="26" ht="18" customHeight="1">
      <c r="A26" s="52">
        <f>IF($J26="","",21)</f>
        <v/>
      </c>
      <c r="B26" s="52">
        <f>IF($J26="","",INDEX('棚卸表'!$B$1:$B$504,$J26)&amp;"")</f>
        <v/>
      </c>
      <c r="C26" s="53">
        <f>IF($J26="","",INDEX('棚卸表'!$C$1:$C$504,$J26)&amp;"")</f>
        <v/>
      </c>
      <c r="D26" s="53">
        <f>IF($J26="","",INDEX('棚卸表'!$D$1:$D$504,$J26)&amp;"")</f>
        <v/>
      </c>
      <c r="E26" s="52">
        <f>IF($J26="","",INDEX('棚卸表'!$F$1:$F$504,$J26)&amp;"")</f>
        <v/>
      </c>
      <c r="F26" s="52" t="n"/>
      <c r="G26" s="53" t="n"/>
      <c r="H26" s="52" t="n"/>
      <c r="I26" s="61" t="n"/>
      <c r="J26" s="78">
        <f>IFERROR(SMALL('棚卸表'!$V$5:$V$504,21),"")</f>
        <v/>
      </c>
    </row>
    <row r="27" ht="18" customHeight="1">
      <c r="A27" s="52">
        <f>IF($J27="","",22)</f>
        <v/>
      </c>
      <c r="B27" s="52">
        <f>IF($J27="","",INDEX('棚卸表'!$B$1:$B$504,$J27)&amp;"")</f>
        <v/>
      </c>
      <c r="C27" s="53">
        <f>IF($J27="","",INDEX('棚卸表'!$C$1:$C$504,$J27)&amp;"")</f>
        <v/>
      </c>
      <c r="D27" s="53">
        <f>IF($J27="","",INDEX('棚卸表'!$D$1:$D$504,$J27)&amp;"")</f>
        <v/>
      </c>
      <c r="E27" s="52">
        <f>IF($J27="","",INDEX('棚卸表'!$F$1:$F$504,$J27)&amp;"")</f>
        <v/>
      </c>
      <c r="F27" s="52" t="n"/>
      <c r="G27" s="53" t="n"/>
      <c r="H27" s="52" t="n"/>
      <c r="I27" s="61" t="n"/>
      <c r="J27" s="78">
        <f>IFERROR(SMALL('棚卸表'!$V$5:$V$504,22),"")</f>
        <v/>
      </c>
    </row>
    <row r="28" ht="18" customHeight="1">
      <c r="A28" s="52">
        <f>IF($J28="","",23)</f>
        <v/>
      </c>
      <c r="B28" s="52">
        <f>IF($J28="","",INDEX('棚卸表'!$B$1:$B$504,$J28)&amp;"")</f>
        <v/>
      </c>
      <c r="C28" s="53">
        <f>IF($J28="","",INDEX('棚卸表'!$C$1:$C$504,$J28)&amp;"")</f>
        <v/>
      </c>
      <c r="D28" s="53">
        <f>IF($J28="","",INDEX('棚卸表'!$D$1:$D$504,$J28)&amp;"")</f>
        <v/>
      </c>
      <c r="E28" s="52">
        <f>IF($J28="","",INDEX('棚卸表'!$F$1:$F$504,$J28)&amp;"")</f>
        <v/>
      </c>
      <c r="F28" s="52" t="n"/>
      <c r="G28" s="53" t="n"/>
      <c r="H28" s="52" t="n"/>
      <c r="I28" s="61" t="n"/>
      <c r="J28" s="78">
        <f>IFERROR(SMALL('棚卸表'!$V$5:$V$504,23),"")</f>
        <v/>
      </c>
    </row>
    <row r="29" ht="18" customHeight="1">
      <c r="A29" s="52">
        <f>IF($J29="","",24)</f>
        <v/>
      </c>
      <c r="B29" s="52">
        <f>IF($J29="","",INDEX('棚卸表'!$B$1:$B$504,$J29)&amp;"")</f>
        <v/>
      </c>
      <c r="C29" s="53">
        <f>IF($J29="","",INDEX('棚卸表'!$C$1:$C$504,$J29)&amp;"")</f>
        <v/>
      </c>
      <c r="D29" s="53">
        <f>IF($J29="","",INDEX('棚卸表'!$D$1:$D$504,$J29)&amp;"")</f>
        <v/>
      </c>
      <c r="E29" s="52">
        <f>IF($J29="","",INDEX('棚卸表'!$F$1:$F$504,$J29)&amp;"")</f>
        <v/>
      </c>
      <c r="F29" s="52" t="n"/>
      <c r="G29" s="53" t="n"/>
      <c r="H29" s="52" t="n"/>
      <c r="I29" s="61" t="n"/>
      <c r="J29" s="78">
        <f>IFERROR(SMALL('棚卸表'!$V$5:$V$504,24),"")</f>
        <v/>
      </c>
    </row>
    <row r="30" ht="18" customHeight="1">
      <c r="A30" s="52">
        <f>IF($J30="","",25)</f>
        <v/>
      </c>
      <c r="B30" s="52">
        <f>IF($J30="","",INDEX('棚卸表'!$B$1:$B$504,$J30)&amp;"")</f>
        <v/>
      </c>
      <c r="C30" s="53">
        <f>IF($J30="","",INDEX('棚卸表'!$C$1:$C$504,$J30)&amp;"")</f>
        <v/>
      </c>
      <c r="D30" s="53">
        <f>IF($J30="","",INDEX('棚卸表'!$D$1:$D$504,$J30)&amp;"")</f>
        <v/>
      </c>
      <c r="E30" s="52">
        <f>IF($J30="","",INDEX('棚卸表'!$F$1:$F$504,$J30)&amp;"")</f>
        <v/>
      </c>
      <c r="F30" s="52" t="n"/>
      <c r="G30" s="53" t="n"/>
      <c r="H30" s="52" t="n"/>
      <c r="I30" s="61" t="n"/>
      <c r="J30" s="78">
        <f>IFERROR(SMALL('棚卸表'!$V$5:$V$504,25),"")</f>
        <v/>
      </c>
    </row>
    <row r="31" ht="18" customHeight="1">
      <c r="A31" s="52">
        <f>IF($J31="","",26)</f>
        <v/>
      </c>
      <c r="B31" s="52">
        <f>IF($J31="","",INDEX('棚卸表'!$B$1:$B$504,$J31)&amp;"")</f>
        <v/>
      </c>
      <c r="C31" s="53">
        <f>IF($J31="","",INDEX('棚卸表'!$C$1:$C$504,$J31)&amp;"")</f>
        <v/>
      </c>
      <c r="D31" s="53">
        <f>IF($J31="","",INDEX('棚卸表'!$D$1:$D$504,$J31)&amp;"")</f>
        <v/>
      </c>
      <c r="E31" s="52">
        <f>IF($J31="","",INDEX('棚卸表'!$F$1:$F$504,$J31)&amp;"")</f>
        <v/>
      </c>
      <c r="F31" s="52" t="n"/>
      <c r="G31" s="53" t="n"/>
      <c r="H31" s="52" t="n"/>
      <c r="I31" s="61" t="n"/>
      <c r="J31" s="78">
        <f>IFERROR(SMALL('棚卸表'!$V$5:$V$504,26),"")</f>
        <v/>
      </c>
    </row>
    <row r="32" ht="18" customHeight="1">
      <c r="A32" s="52">
        <f>IF($J32="","",27)</f>
        <v/>
      </c>
      <c r="B32" s="52">
        <f>IF($J32="","",INDEX('棚卸表'!$B$1:$B$504,$J32)&amp;"")</f>
        <v/>
      </c>
      <c r="C32" s="53">
        <f>IF($J32="","",INDEX('棚卸表'!$C$1:$C$504,$J32)&amp;"")</f>
        <v/>
      </c>
      <c r="D32" s="53">
        <f>IF($J32="","",INDEX('棚卸表'!$D$1:$D$504,$J32)&amp;"")</f>
        <v/>
      </c>
      <c r="E32" s="52">
        <f>IF($J32="","",INDEX('棚卸表'!$F$1:$F$504,$J32)&amp;"")</f>
        <v/>
      </c>
      <c r="F32" s="52" t="n"/>
      <c r="G32" s="53" t="n"/>
      <c r="H32" s="52" t="n"/>
      <c r="I32" s="61" t="n"/>
      <c r="J32" s="78">
        <f>IFERROR(SMALL('棚卸表'!$V$5:$V$504,27),"")</f>
        <v/>
      </c>
    </row>
    <row r="33" ht="18" customHeight="1">
      <c r="A33" s="52">
        <f>IF($J33="","",28)</f>
        <v/>
      </c>
      <c r="B33" s="52">
        <f>IF($J33="","",INDEX('棚卸表'!$B$1:$B$504,$J33)&amp;"")</f>
        <v/>
      </c>
      <c r="C33" s="53">
        <f>IF($J33="","",INDEX('棚卸表'!$C$1:$C$504,$J33)&amp;"")</f>
        <v/>
      </c>
      <c r="D33" s="53">
        <f>IF($J33="","",INDEX('棚卸表'!$D$1:$D$504,$J33)&amp;"")</f>
        <v/>
      </c>
      <c r="E33" s="52">
        <f>IF($J33="","",INDEX('棚卸表'!$F$1:$F$504,$J33)&amp;"")</f>
        <v/>
      </c>
      <c r="F33" s="52" t="n"/>
      <c r="G33" s="53" t="n"/>
      <c r="H33" s="52" t="n"/>
      <c r="I33" s="61" t="n"/>
      <c r="J33" s="78">
        <f>IFERROR(SMALL('棚卸表'!$V$5:$V$504,28),"")</f>
        <v/>
      </c>
    </row>
    <row r="34" ht="18" customHeight="1">
      <c r="A34" s="52">
        <f>IF($J34="","",29)</f>
        <v/>
      </c>
      <c r="B34" s="52">
        <f>IF($J34="","",INDEX('棚卸表'!$B$1:$B$504,$J34)&amp;"")</f>
        <v/>
      </c>
      <c r="C34" s="53">
        <f>IF($J34="","",INDEX('棚卸表'!$C$1:$C$504,$J34)&amp;"")</f>
        <v/>
      </c>
      <c r="D34" s="53">
        <f>IF($J34="","",INDEX('棚卸表'!$D$1:$D$504,$J34)&amp;"")</f>
        <v/>
      </c>
      <c r="E34" s="52">
        <f>IF($J34="","",INDEX('棚卸表'!$F$1:$F$504,$J34)&amp;"")</f>
        <v/>
      </c>
      <c r="F34" s="52" t="n"/>
      <c r="G34" s="53" t="n"/>
      <c r="H34" s="52" t="n"/>
      <c r="I34" s="61" t="n"/>
      <c r="J34" s="78">
        <f>IFERROR(SMALL('棚卸表'!$V$5:$V$504,29),"")</f>
        <v/>
      </c>
    </row>
    <row r="35" ht="18" customHeight="1">
      <c r="A35" s="52">
        <f>IF($J35="","",30)</f>
        <v/>
      </c>
      <c r="B35" s="52">
        <f>IF($J35="","",INDEX('棚卸表'!$B$1:$B$504,$J35)&amp;"")</f>
        <v/>
      </c>
      <c r="C35" s="53">
        <f>IF($J35="","",INDEX('棚卸表'!$C$1:$C$504,$J35)&amp;"")</f>
        <v/>
      </c>
      <c r="D35" s="53">
        <f>IF($J35="","",INDEX('棚卸表'!$D$1:$D$504,$J35)&amp;"")</f>
        <v/>
      </c>
      <c r="E35" s="52">
        <f>IF($J35="","",INDEX('棚卸表'!$F$1:$F$504,$J35)&amp;"")</f>
        <v/>
      </c>
      <c r="F35" s="52" t="n"/>
      <c r="G35" s="53" t="n"/>
      <c r="H35" s="52" t="n"/>
      <c r="I35" s="61" t="n"/>
      <c r="J35" s="78">
        <f>IFERROR(SMALL('棚卸表'!$V$5:$V$504,30),"")</f>
        <v/>
      </c>
    </row>
    <row r="36" ht="18" customHeight="1">
      <c r="A36" s="52">
        <f>IF($J36="","",31)</f>
        <v/>
      </c>
      <c r="B36" s="52">
        <f>IF($J36="","",INDEX('棚卸表'!$B$1:$B$504,$J36)&amp;"")</f>
        <v/>
      </c>
      <c r="C36" s="53">
        <f>IF($J36="","",INDEX('棚卸表'!$C$1:$C$504,$J36)&amp;"")</f>
        <v/>
      </c>
      <c r="D36" s="53">
        <f>IF($J36="","",INDEX('棚卸表'!$D$1:$D$504,$J36)&amp;"")</f>
        <v/>
      </c>
      <c r="E36" s="52">
        <f>IF($J36="","",INDEX('棚卸表'!$F$1:$F$504,$J36)&amp;"")</f>
        <v/>
      </c>
      <c r="F36" s="52" t="n"/>
      <c r="G36" s="53" t="n"/>
      <c r="H36" s="52" t="n"/>
      <c r="I36" s="61" t="n"/>
      <c r="J36" s="78">
        <f>IFERROR(SMALL('棚卸表'!$V$5:$V$504,31),"")</f>
        <v/>
      </c>
    </row>
    <row r="37" ht="18" customHeight="1">
      <c r="A37" s="52">
        <f>IF($J37="","",32)</f>
        <v/>
      </c>
      <c r="B37" s="52">
        <f>IF($J37="","",INDEX('棚卸表'!$B$1:$B$504,$J37)&amp;"")</f>
        <v/>
      </c>
      <c r="C37" s="53">
        <f>IF($J37="","",INDEX('棚卸表'!$C$1:$C$504,$J37)&amp;"")</f>
        <v/>
      </c>
      <c r="D37" s="53">
        <f>IF($J37="","",INDEX('棚卸表'!$D$1:$D$504,$J37)&amp;"")</f>
        <v/>
      </c>
      <c r="E37" s="52">
        <f>IF($J37="","",INDEX('棚卸表'!$F$1:$F$504,$J37)&amp;"")</f>
        <v/>
      </c>
      <c r="F37" s="52" t="n"/>
      <c r="G37" s="53" t="n"/>
      <c r="H37" s="52" t="n"/>
      <c r="I37" s="61" t="n"/>
      <c r="J37" s="78">
        <f>IFERROR(SMALL('棚卸表'!$V$5:$V$504,32),"")</f>
        <v/>
      </c>
    </row>
    <row r="38" ht="18" customHeight="1">
      <c r="A38" s="52">
        <f>IF($J38="","",33)</f>
        <v/>
      </c>
      <c r="B38" s="52">
        <f>IF($J38="","",INDEX('棚卸表'!$B$1:$B$504,$J38)&amp;"")</f>
        <v/>
      </c>
      <c r="C38" s="53">
        <f>IF($J38="","",INDEX('棚卸表'!$C$1:$C$504,$J38)&amp;"")</f>
        <v/>
      </c>
      <c r="D38" s="53">
        <f>IF($J38="","",INDEX('棚卸表'!$D$1:$D$504,$J38)&amp;"")</f>
        <v/>
      </c>
      <c r="E38" s="52">
        <f>IF($J38="","",INDEX('棚卸表'!$F$1:$F$504,$J38)&amp;"")</f>
        <v/>
      </c>
      <c r="F38" s="52" t="n"/>
      <c r="G38" s="53" t="n"/>
      <c r="H38" s="52" t="n"/>
      <c r="I38" s="61" t="n"/>
      <c r="J38" s="78">
        <f>IFERROR(SMALL('棚卸表'!$V$5:$V$504,33),"")</f>
        <v/>
      </c>
    </row>
    <row r="39" ht="18" customHeight="1">
      <c r="A39" s="52">
        <f>IF($J39="","",34)</f>
        <v/>
      </c>
      <c r="B39" s="52">
        <f>IF($J39="","",INDEX('棚卸表'!$B$1:$B$504,$J39)&amp;"")</f>
        <v/>
      </c>
      <c r="C39" s="53">
        <f>IF($J39="","",INDEX('棚卸表'!$C$1:$C$504,$J39)&amp;"")</f>
        <v/>
      </c>
      <c r="D39" s="53">
        <f>IF($J39="","",INDEX('棚卸表'!$D$1:$D$504,$J39)&amp;"")</f>
        <v/>
      </c>
      <c r="E39" s="52">
        <f>IF($J39="","",INDEX('棚卸表'!$F$1:$F$504,$J39)&amp;"")</f>
        <v/>
      </c>
      <c r="F39" s="52" t="n"/>
      <c r="G39" s="53" t="n"/>
      <c r="H39" s="52" t="n"/>
      <c r="I39" s="61" t="n"/>
      <c r="J39" s="78">
        <f>IFERROR(SMALL('棚卸表'!$V$5:$V$504,34),"")</f>
        <v/>
      </c>
    </row>
    <row r="40" ht="18" customHeight="1">
      <c r="A40" s="52">
        <f>IF($J40="","",35)</f>
        <v/>
      </c>
      <c r="B40" s="52">
        <f>IF($J40="","",INDEX('棚卸表'!$B$1:$B$504,$J40)&amp;"")</f>
        <v/>
      </c>
      <c r="C40" s="53">
        <f>IF($J40="","",INDEX('棚卸表'!$C$1:$C$504,$J40)&amp;"")</f>
        <v/>
      </c>
      <c r="D40" s="53">
        <f>IF($J40="","",INDEX('棚卸表'!$D$1:$D$504,$J40)&amp;"")</f>
        <v/>
      </c>
      <c r="E40" s="52">
        <f>IF($J40="","",INDEX('棚卸表'!$F$1:$F$504,$J40)&amp;"")</f>
        <v/>
      </c>
      <c r="F40" s="52" t="n"/>
      <c r="G40" s="53" t="n"/>
      <c r="H40" s="52" t="n"/>
      <c r="I40" s="61" t="n"/>
      <c r="J40" s="78">
        <f>IFERROR(SMALL('棚卸表'!$V$5:$V$504,35),"")</f>
        <v/>
      </c>
    </row>
    <row r="41" ht="18" customHeight="1">
      <c r="A41" s="52">
        <f>IF($J41="","",36)</f>
        <v/>
      </c>
      <c r="B41" s="52">
        <f>IF($J41="","",INDEX('棚卸表'!$B$1:$B$504,$J41)&amp;"")</f>
        <v/>
      </c>
      <c r="C41" s="53">
        <f>IF($J41="","",INDEX('棚卸表'!$C$1:$C$504,$J41)&amp;"")</f>
        <v/>
      </c>
      <c r="D41" s="53">
        <f>IF($J41="","",INDEX('棚卸表'!$D$1:$D$504,$J41)&amp;"")</f>
        <v/>
      </c>
      <c r="E41" s="52">
        <f>IF($J41="","",INDEX('棚卸表'!$F$1:$F$504,$J41)&amp;"")</f>
        <v/>
      </c>
      <c r="F41" s="52" t="n"/>
      <c r="G41" s="53" t="n"/>
      <c r="H41" s="52" t="n"/>
      <c r="I41" s="61" t="n"/>
      <c r="J41" s="78">
        <f>IFERROR(SMALL('棚卸表'!$V$5:$V$504,36),"")</f>
        <v/>
      </c>
    </row>
    <row r="42" ht="18" customHeight="1">
      <c r="A42" s="52">
        <f>IF($J42="","",37)</f>
        <v/>
      </c>
      <c r="B42" s="52">
        <f>IF($J42="","",INDEX('棚卸表'!$B$1:$B$504,$J42)&amp;"")</f>
        <v/>
      </c>
      <c r="C42" s="53">
        <f>IF($J42="","",INDEX('棚卸表'!$C$1:$C$504,$J42)&amp;"")</f>
        <v/>
      </c>
      <c r="D42" s="53">
        <f>IF($J42="","",INDEX('棚卸表'!$D$1:$D$504,$J42)&amp;"")</f>
        <v/>
      </c>
      <c r="E42" s="52">
        <f>IF($J42="","",INDEX('棚卸表'!$F$1:$F$504,$J42)&amp;"")</f>
        <v/>
      </c>
      <c r="F42" s="52" t="n"/>
      <c r="G42" s="53" t="n"/>
      <c r="H42" s="52" t="n"/>
      <c r="I42" s="61" t="n"/>
      <c r="J42" s="78">
        <f>IFERROR(SMALL('棚卸表'!$V$5:$V$504,37),"")</f>
        <v/>
      </c>
    </row>
    <row r="43" ht="18" customHeight="1">
      <c r="A43" s="52">
        <f>IF($J43="","",38)</f>
        <v/>
      </c>
      <c r="B43" s="52">
        <f>IF($J43="","",INDEX('棚卸表'!$B$1:$B$504,$J43)&amp;"")</f>
        <v/>
      </c>
      <c r="C43" s="53">
        <f>IF($J43="","",INDEX('棚卸表'!$C$1:$C$504,$J43)&amp;"")</f>
        <v/>
      </c>
      <c r="D43" s="53">
        <f>IF($J43="","",INDEX('棚卸表'!$D$1:$D$504,$J43)&amp;"")</f>
        <v/>
      </c>
      <c r="E43" s="52">
        <f>IF($J43="","",INDEX('棚卸表'!$F$1:$F$504,$J43)&amp;"")</f>
        <v/>
      </c>
      <c r="F43" s="52" t="n"/>
      <c r="G43" s="53" t="n"/>
      <c r="H43" s="52" t="n"/>
      <c r="I43" s="61" t="n"/>
      <c r="J43" s="78">
        <f>IFERROR(SMALL('棚卸表'!$V$5:$V$504,38),"")</f>
        <v/>
      </c>
    </row>
    <row r="44" ht="18" customHeight="1">
      <c r="A44" s="52">
        <f>IF($J44="","",39)</f>
        <v/>
      </c>
      <c r="B44" s="52">
        <f>IF($J44="","",INDEX('棚卸表'!$B$1:$B$504,$J44)&amp;"")</f>
        <v/>
      </c>
      <c r="C44" s="53">
        <f>IF($J44="","",INDEX('棚卸表'!$C$1:$C$504,$J44)&amp;"")</f>
        <v/>
      </c>
      <c r="D44" s="53">
        <f>IF($J44="","",INDEX('棚卸表'!$D$1:$D$504,$J44)&amp;"")</f>
        <v/>
      </c>
      <c r="E44" s="52">
        <f>IF($J44="","",INDEX('棚卸表'!$F$1:$F$504,$J44)&amp;"")</f>
        <v/>
      </c>
      <c r="F44" s="52" t="n"/>
      <c r="G44" s="53" t="n"/>
      <c r="H44" s="52" t="n"/>
      <c r="I44" s="61" t="n"/>
      <c r="J44" s="78">
        <f>IFERROR(SMALL('棚卸表'!$V$5:$V$504,39),"")</f>
        <v/>
      </c>
    </row>
    <row r="45" ht="18" customHeight="1">
      <c r="A45" s="52">
        <f>IF($J45="","",40)</f>
        <v/>
      </c>
      <c r="B45" s="52">
        <f>IF($J45="","",INDEX('棚卸表'!$B$1:$B$504,$J45)&amp;"")</f>
        <v/>
      </c>
      <c r="C45" s="53">
        <f>IF($J45="","",INDEX('棚卸表'!$C$1:$C$504,$J45)&amp;"")</f>
        <v/>
      </c>
      <c r="D45" s="53">
        <f>IF($J45="","",INDEX('棚卸表'!$D$1:$D$504,$J45)&amp;"")</f>
        <v/>
      </c>
      <c r="E45" s="52">
        <f>IF($J45="","",INDEX('棚卸表'!$F$1:$F$504,$J45)&amp;"")</f>
        <v/>
      </c>
      <c r="F45" s="52" t="n"/>
      <c r="G45" s="53" t="n"/>
      <c r="H45" s="52" t="n"/>
      <c r="I45" s="61" t="n"/>
      <c r="J45" s="78">
        <f>IFERROR(SMALL('棚卸表'!$V$5:$V$504,40),"")</f>
        <v/>
      </c>
    </row>
    <row r="46">
      <c r="A46" s="61" t="n"/>
      <c r="B46" s="61" t="n"/>
      <c r="C46" s="61" t="n"/>
      <c r="D46" s="61" t="n"/>
      <c r="E46" s="61" t="n"/>
      <c r="F46" s="61" t="n"/>
      <c r="G46" s="61" t="n"/>
      <c r="H46" s="61" t="n"/>
      <c r="I46" s="61" t="n"/>
      <c r="J46" s="61" t="n"/>
    </row>
    <row r="47" ht="42" customHeight="1">
      <c r="A47" s="64" t="inlineStr">
        <is>
          <t>この用紙の「数えた数」は棚卸表に入りません。数え終わったら、棚卸表の「実棚数」に入れます（棚卸表を保管場所でフィルターすると、この用紙と同じ順に並びます）。棚卸表にない品物が見つかったら、空いた行に書きます。</t>
        </is>
      </c>
      <c r="B47" s="61" t="n"/>
      <c r="C47" s="61" t="n"/>
      <c r="D47" s="61" t="n"/>
      <c r="E47" s="61" t="n"/>
      <c r="F47" s="61" t="n"/>
      <c r="G47" s="61" t="n"/>
      <c r="H47" s="61" t="n"/>
      <c r="I47" s="61" t="n"/>
      <c r="J47" s="61" t="n"/>
    </row>
  </sheetData>
  <mergeCells count="9">
    <mergeCell ref="A4:H4"/>
    <mergeCell ref="A2:B2"/>
    <mergeCell ref="G2:H2"/>
    <mergeCell ref="E2:F2"/>
    <mergeCell ref="A47:H47"/>
    <mergeCell ref="A1:H1"/>
    <mergeCell ref="A3:B3"/>
    <mergeCell ref="G3:H3"/>
    <mergeCell ref="E3:F3"/>
  </mergeCells>
  <dataValidations count="1">
    <dataValidation sqref="C2" showDropDown="0" showInputMessage="0" showErrorMessage="1" allowBlank="1" errorTitle="一覧から選んでください" error="「設定」シートの保管場所の一覧から選んでください。" type="list">
      <formula1>='設定'!$B$17:$B$36</formula1>
    </dataValidation>
  </dataValidations>
  <printOptions horizontalCentered="1"/>
  <pageMargins left="0.5" right="0.5" top="0.5" bottom="0.5" header="0.2" footer="0.2"/>
  <pageSetup orientation="portrait" paperSize="9" fitToHeight="1" fitToWidth="1"/>
</worksheet>
</file>

<file path=xl/worksheets/sheet7.xml><?xml version="1.0" encoding="utf-8"?>
<worksheet xmlns="http://schemas.openxmlformats.org/spreadsheetml/2006/main">
  <sheetPr>
    <tabColor rgb="00B9C4CF"/>
    <outlinePr summaryBelow="1" summaryRight="1"/>
    <pageSetUpPr fitToPage="1"/>
  </sheetPr>
  <dimension ref="A1:L104"/>
  <sheetViews>
    <sheetView showGridLines="0" tabSelected="0" workbookViewId="0">
      <pane ySplit="4" topLeftCell="A5" activePane="bottomLeft" state="frozen"/>
      <selection pane="bottomLeft" activeCell="A1" sqref="A1"/>
    </sheetView>
  </sheetViews>
  <sheetFormatPr baseColWidth="8" defaultRowHeight="15"/>
  <cols>
    <col width="5" customWidth="1" min="1" max="1"/>
    <col width="11" customWidth="1" min="2" max="2"/>
    <col width="10" customWidth="1" min="3" max="3"/>
    <col width="11" customWidth="1" min="4" max="4"/>
    <col width="12" customWidth="1" min="5" max="5"/>
    <col width="10.5" customWidth="1" min="6" max="6"/>
    <col width="24" customWidth="1" min="7" max="7"/>
    <col width="8" customWidth="1" min="8" max="8"/>
    <col width="7" customWidth="1" min="9" max="9"/>
    <col width="11" customWidth="1" min="10" max="10"/>
    <col width="2" customWidth="1" min="11" max="11"/>
    <col width="7" customWidth="1" min="12" max="12"/>
  </cols>
  <sheetData>
    <row r="1" ht="26" customHeight="1">
      <c r="A1" s="60" t="inlineStr">
        <is>
          <t>期限チェック（期限切れ・期限が近い品目）</t>
        </is>
      </c>
      <c r="B1" s="61" t="n"/>
      <c r="C1" s="61" t="n"/>
      <c r="D1" s="61" t="n"/>
      <c r="E1" s="61" t="n"/>
      <c r="F1" s="61" t="n"/>
      <c r="G1" s="61" t="n"/>
      <c r="H1" s="61" t="n"/>
      <c r="I1" s="61" t="n"/>
      <c r="J1" s="61" t="n"/>
      <c r="K1" s="61" t="n"/>
      <c r="L1" s="61" t="n"/>
    </row>
    <row r="2" ht="20" customHeight="1">
      <c r="A2" s="65" t="inlineStr">
        <is>
          <t>基準日</t>
        </is>
      </c>
      <c r="B2" s="71" t="n"/>
      <c r="C2" s="48">
        <f>'設定'!$B$6</f>
        <v/>
      </c>
      <c r="D2" s="65" t="inlineStr">
        <is>
          <t>注意日数</t>
        </is>
      </c>
      <c r="E2" s="29">
        <f>N('設定'!$B$14)&amp;"日以内"</f>
        <v/>
      </c>
      <c r="F2" s="79">
        <f>"該当 "&amp;COUNT('棚卸表'!$W$5:$W$504)&amp;"品目"&amp;IF(COUNT('棚卸表'!$W$5:$W$504)&gt;100,"（101品目目からは出ません）","")</f>
        <v/>
      </c>
      <c r="G2" s="61" t="n"/>
      <c r="H2" s="61" t="n"/>
      <c r="I2" s="61" t="n"/>
      <c r="J2" s="61" t="n"/>
      <c r="K2" s="61" t="n"/>
      <c r="L2" s="61" t="n"/>
    </row>
    <row r="3" ht="28" customHeight="1">
      <c r="A3" s="64" t="inlineStr">
        <is>
          <t>棚卸表で期限を入れた品目のうち、期限切れ・当日・注意日数以内のものが、期限の近い順に並びます。数量は実棚数（未入力なら帳簿数）。実棚数が0の品目は出ません。基準日・注意日数は「設定」シートで変えます。</t>
        </is>
      </c>
      <c r="B3" s="61" t="n"/>
      <c r="C3" s="61" t="n"/>
      <c r="D3" s="61" t="n"/>
      <c r="E3" s="61" t="n"/>
      <c r="F3" s="61" t="n"/>
      <c r="G3" s="61" t="n"/>
      <c r="H3" s="61" t="n"/>
      <c r="I3" s="61" t="n"/>
      <c r="J3" s="61" t="n"/>
      <c r="K3" s="61" t="n"/>
      <c r="L3" s="61" t="n"/>
    </row>
    <row r="4" ht="22" customHeight="1">
      <c r="A4" s="19" t="inlineStr">
        <is>
          <t>No.</t>
        </is>
      </c>
      <c r="B4" s="19" t="inlineStr">
        <is>
          <t>期限</t>
        </is>
      </c>
      <c r="C4" s="19" t="inlineStr">
        <is>
          <t>種類</t>
        </is>
      </c>
      <c r="D4" s="19" t="inlineStr">
        <is>
          <t>状態</t>
        </is>
      </c>
      <c r="E4" s="19" t="inlineStr">
        <is>
          <t>保管場所</t>
        </is>
      </c>
      <c r="F4" s="19" t="inlineStr">
        <is>
          <t>品目コード</t>
        </is>
      </c>
      <c r="G4" s="19" t="inlineStr">
        <is>
          <t>品名</t>
        </is>
      </c>
      <c r="H4" s="19" t="inlineStr">
        <is>
          <t>数量</t>
        </is>
      </c>
      <c r="I4" s="19" t="inlineStr">
        <is>
          <t>単位</t>
        </is>
      </c>
      <c r="J4" s="19" t="inlineStr">
        <is>
          <t>金額</t>
        </is>
      </c>
      <c r="K4" s="61" t="n"/>
      <c r="L4" s="21" t="inlineStr">
        <is>
          <t>作業列</t>
        </is>
      </c>
    </row>
    <row r="5" ht="18" customHeight="1">
      <c r="A5" s="52">
        <f>IF($L5="","",1)</f>
        <v/>
      </c>
      <c r="B5" s="57">
        <f>IF($L5="","",INDEX('棚卸表'!$R$5:$R$504,$L5))</f>
        <v/>
      </c>
      <c r="C5" s="52">
        <f>IF($L5="","",INDEX('棚卸表'!$S$5:$S$504,$L5)&amp;"")</f>
        <v/>
      </c>
      <c r="D5" s="52">
        <f>IF($L5="","",INDEX('棚卸表'!$T$5:$T$504,$L5)&amp;"")</f>
        <v/>
      </c>
      <c r="E5" s="52">
        <f>IF($L5="","",INDEX('棚卸表'!$E$5:$E$504,$L5)&amp;"")</f>
        <v/>
      </c>
      <c r="F5" s="52">
        <f>IF($L5="","",INDEX('棚卸表'!$B$5:$B$504,$L5)&amp;"")</f>
        <v/>
      </c>
      <c r="G5" s="53">
        <f>IF($L5="","",INDEX('棚卸表'!$C$5:$C$504,$L5)&amp;"")</f>
        <v/>
      </c>
      <c r="H5" s="58">
        <f>IF($L5="","",IF(ISNUMBER(INDEX('棚卸表'!$I$5:$I$504,$L5)),INDEX('棚卸表'!$I$5:$I$504,$L5),INDEX('棚卸表'!$H$5:$H$504,$L5)))</f>
        <v/>
      </c>
      <c r="I5" s="52">
        <f>IF($L5="","",INDEX('棚卸表'!$F$5:$F$504,$L5)&amp;"")</f>
        <v/>
      </c>
      <c r="J5" s="80">
        <f>IF($L5="","",IF(ISNUMBER(INDEX('棚卸表'!$I$5:$I$504,$L5)),INDEX('棚卸表'!$I$5:$I$504,$L5),INDEX('棚卸表'!$H$5:$H$504,$L5))*N(INDEX('棚卸表'!$G$5:$G$504,$L5)))</f>
        <v/>
      </c>
      <c r="K5" s="61" t="n"/>
      <c r="L5" s="78">
        <f>IFERROR(MATCH(SMALL('棚卸表'!$W$5:$W$504,1),'棚卸表'!$W$5:$W$504,0),"")</f>
        <v/>
      </c>
    </row>
    <row r="6" ht="18" customHeight="1">
      <c r="A6" s="52">
        <f>IF($L6="","",2)</f>
        <v/>
      </c>
      <c r="B6" s="57">
        <f>IF($L6="","",INDEX('棚卸表'!$R$5:$R$504,$L6))</f>
        <v/>
      </c>
      <c r="C6" s="52">
        <f>IF($L6="","",INDEX('棚卸表'!$S$5:$S$504,$L6)&amp;"")</f>
        <v/>
      </c>
      <c r="D6" s="52">
        <f>IF($L6="","",INDEX('棚卸表'!$T$5:$T$504,$L6)&amp;"")</f>
        <v/>
      </c>
      <c r="E6" s="52">
        <f>IF($L6="","",INDEX('棚卸表'!$E$5:$E$504,$L6)&amp;"")</f>
        <v/>
      </c>
      <c r="F6" s="52">
        <f>IF($L6="","",INDEX('棚卸表'!$B$5:$B$504,$L6)&amp;"")</f>
        <v/>
      </c>
      <c r="G6" s="53">
        <f>IF($L6="","",INDEX('棚卸表'!$C$5:$C$504,$L6)&amp;"")</f>
        <v/>
      </c>
      <c r="H6" s="58">
        <f>IF($L6="","",IF(ISNUMBER(INDEX('棚卸表'!$I$5:$I$504,$L6)),INDEX('棚卸表'!$I$5:$I$504,$L6),INDEX('棚卸表'!$H$5:$H$504,$L6)))</f>
        <v/>
      </c>
      <c r="I6" s="52">
        <f>IF($L6="","",INDEX('棚卸表'!$F$5:$F$504,$L6)&amp;"")</f>
        <v/>
      </c>
      <c r="J6" s="80">
        <f>IF($L6="","",IF(ISNUMBER(INDEX('棚卸表'!$I$5:$I$504,$L6)),INDEX('棚卸表'!$I$5:$I$504,$L6),INDEX('棚卸表'!$H$5:$H$504,$L6))*N(INDEX('棚卸表'!$G$5:$G$504,$L6)))</f>
        <v/>
      </c>
      <c r="K6" s="61" t="n"/>
      <c r="L6" s="78">
        <f>IFERROR(MATCH(SMALL('棚卸表'!$W$5:$W$504,2),'棚卸表'!$W$5:$W$504,0),"")</f>
        <v/>
      </c>
    </row>
    <row r="7" ht="18" customHeight="1">
      <c r="A7" s="52">
        <f>IF($L7="","",3)</f>
        <v/>
      </c>
      <c r="B7" s="57">
        <f>IF($L7="","",INDEX('棚卸表'!$R$5:$R$504,$L7))</f>
        <v/>
      </c>
      <c r="C7" s="52">
        <f>IF($L7="","",INDEX('棚卸表'!$S$5:$S$504,$L7)&amp;"")</f>
        <v/>
      </c>
      <c r="D7" s="52">
        <f>IF($L7="","",INDEX('棚卸表'!$T$5:$T$504,$L7)&amp;"")</f>
        <v/>
      </c>
      <c r="E7" s="52">
        <f>IF($L7="","",INDEX('棚卸表'!$E$5:$E$504,$L7)&amp;"")</f>
        <v/>
      </c>
      <c r="F7" s="52">
        <f>IF($L7="","",INDEX('棚卸表'!$B$5:$B$504,$L7)&amp;"")</f>
        <v/>
      </c>
      <c r="G7" s="53">
        <f>IF($L7="","",INDEX('棚卸表'!$C$5:$C$504,$L7)&amp;"")</f>
        <v/>
      </c>
      <c r="H7" s="58">
        <f>IF($L7="","",IF(ISNUMBER(INDEX('棚卸表'!$I$5:$I$504,$L7)),INDEX('棚卸表'!$I$5:$I$504,$L7),INDEX('棚卸表'!$H$5:$H$504,$L7)))</f>
        <v/>
      </c>
      <c r="I7" s="52">
        <f>IF($L7="","",INDEX('棚卸表'!$F$5:$F$504,$L7)&amp;"")</f>
        <v/>
      </c>
      <c r="J7" s="80">
        <f>IF($L7="","",IF(ISNUMBER(INDEX('棚卸表'!$I$5:$I$504,$L7)),INDEX('棚卸表'!$I$5:$I$504,$L7),INDEX('棚卸表'!$H$5:$H$504,$L7))*N(INDEX('棚卸表'!$G$5:$G$504,$L7)))</f>
        <v/>
      </c>
      <c r="K7" s="61" t="n"/>
      <c r="L7" s="78">
        <f>IFERROR(MATCH(SMALL('棚卸表'!$W$5:$W$504,3),'棚卸表'!$W$5:$W$504,0),"")</f>
        <v/>
      </c>
    </row>
    <row r="8" ht="18" customHeight="1">
      <c r="A8" s="52">
        <f>IF($L8="","",4)</f>
        <v/>
      </c>
      <c r="B8" s="57">
        <f>IF($L8="","",INDEX('棚卸表'!$R$5:$R$504,$L8))</f>
        <v/>
      </c>
      <c r="C8" s="52">
        <f>IF($L8="","",INDEX('棚卸表'!$S$5:$S$504,$L8)&amp;"")</f>
        <v/>
      </c>
      <c r="D8" s="52">
        <f>IF($L8="","",INDEX('棚卸表'!$T$5:$T$504,$L8)&amp;"")</f>
        <v/>
      </c>
      <c r="E8" s="52">
        <f>IF($L8="","",INDEX('棚卸表'!$E$5:$E$504,$L8)&amp;"")</f>
        <v/>
      </c>
      <c r="F8" s="52">
        <f>IF($L8="","",INDEX('棚卸表'!$B$5:$B$504,$L8)&amp;"")</f>
        <v/>
      </c>
      <c r="G8" s="53">
        <f>IF($L8="","",INDEX('棚卸表'!$C$5:$C$504,$L8)&amp;"")</f>
        <v/>
      </c>
      <c r="H8" s="58">
        <f>IF($L8="","",IF(ISNUMBER(INDEX('棚卸表'!$I$5:$I$504,$L8)),INDEX('棚卸表'!$I$5:$I$504,$L8),INDEX('棚卸表'!$H$5:$H$504,$L8)))</f>
        <v/>
      </c>
      <c r="I8" s="52">
        <f>IF($L8="","",INDEX('棚卸表'!$F$5:$F$504,$L8)&amp;"")</f>
        <v/>
      </c>
      <c r="J8" s="80">
        <f>IF($L8="","",IF(ISNUMBER(INDEX('棚卸表'!$I$5:$I$504,$L8)),INDEX('棚卸表'!$I$5:$I$504,$L8),INDEX('棚卸表'!$H$5:$H$504,$L8))*N(INDEX('棚卸表'!$G$5:$G$504,$L8)))</f>
        <v/>
      </c>
      <c r="K8" s="61" t="n"/>
      <c r="L8" s="78">
        <f>IFERROR(MATCH(SMALL('棚卸表'!$W$5:$W$504,4),'棚卸表'!$W$5:$W$504,0),"")</f>
        <v/>
      </c>
    </row>
    <row r="9" ht="18" customHeight="1">
      <c r="A9" s="52">
        <f>IF($L9="","",5)</f>
        <v/>
      </c>
      <c r="B9" s="57">
        <f>IF($L9="","",INDEX('棚卸表'!$R$5:$R$504,$L9))</f>
        <v/>
      </c>
      <c r="C9" s="52">
        <f>IF($L9="","",INDEX('棚卸表'!$S$5:$S$504,$L9)&amp;"")</f>
        <v/>
      </c>
      <c r="D9" s="52">
        <f>IF($L9="","",INDEX('棚卸表'!$T$5:$T$504,$L9)&amp;"")</f>
        <v/>
      </c>
      <c r="E9" s="52">
        <f>IF($L9="","",INDEX('棚卸表'!$E$5:$E$504,$L9)&amp;"")</f>
        <v/>
      </c>
      <c r="F9" s="52">
        <f>IF($L9="","",INDEX('棚卸表'!$B$5:$B$504,$L9)&amp;"")</f>
        <v/>
      </c>
      <c r="G9" s="53">
        <f>IF($L9="","",INDEX('棚卸表'!$C$5:$C$504,$L9)&amp;"")</f>
        <v/>
      </c>
      <c r="H9" s="58">
        <f>IF($L9="","",IF(ISNUMBER(INDEX('棚卸表'!$I$5:$I$504,$L9)),INDEX('棚卸表'!$I$5:$I$504,$L9),INDEX('棚卸表'!$H$5:$H$504,$L9)))</f>
        <v/>
      </c>
      <c r="I9" s="52">
        <f>IF($L9="","",INDEX('棚卸表'!$F$5:$F$504,$L9)&amp;"")</f>
        <v/>
      </c>
      <c r="J9" s="80">
        <f>IF($L9="","",IF(ISNUMBER(INDEX('棚卸表'!$I$5:$I$504,$L9)),INDEX('棚卸表'!$I$5:$I$504,$L9),INDEX('棚卸表'!$H$5:$H$504,$L9))*N(INDEX('棚卸表'!$G$5:$G$504,$L9)))</f>
        <v/>
      </c>
      <c r="K9" s="61" t="n"/>
      <c r="L9" s="78">
        <f>IFERROR(MATCH(SMALL('棚卸表'!$W$5:$W$504,5),'棚卸表'!$W$5:$W$504,0),"")</f>
        <v/>
      </c>
    </row>
    <row r="10" ht="18" customHeight="1">
      <c r="A10" s="52">
        <f>IF($L10="","",6)</f>
        <v/>
      </c>
      <c r="B10" s="57">
        <f>IF($L10="","",INDEX('棚卸表'!$R$5:$R$504,$L10))</f>
        <v/>
      </c>
      <c r="C10" s="52">
        <f>IF($L10="","",INDEX('棚卸表'!$S$5:$S$504,$L10)&amp;"")</f>
        <v/>
      </c>
      <c r="D10" s="52">
        <f>IF($L10="","",INDEX('棚卸表'!$T$5:$T$504,$L10)&amp;"")</f>
        <v/>
      </c>
      <c r="E10" s="52">
        <f>IF($L10="","",INDEX('棚卸表'!$E$5:$E$504,$L10)&amp;"")</f>
        <v/>
      </c>
      <c r="F10" s="52">
        <f>IF($L10="","",INDEX('棚卸表'!$B$5:$B$504,$L10)&amp;"")</f>
        <v/>
      </c>
      <c r="G10" s="53">
        <f>IF($L10="","",INDEX('棚卸表'!$C$5:$C$504,$L10)&amp;"")</f>
        <v/>
      </c>
      <c r="H10" s="58">
        <f>IF($L10="","",IF(ISNUMBER(INDEX('棚卸表'!$I$5:$I$504,$L10)),INDEX('棚卸表'!$I$5:$I$504,$L10),INDEX('棚卸表'!$H$5:$H$504,$L10)))</f>
        <v/>
      </c>
      <c r="I10" s="52">
        <f>IF($L10="","",INDEX('棚卸表'!$F$5:$F$504,$L10)&amp;"")</f>
        <v/>
      </c>
      <c r="J10" s="80">
        <f>IF($L10="","",IF(ISNUMBER(INDEX('棚卸表'!$I$5:$I$504,$L10)),INDEX('棚卸表'!$I$5:$I$504,$L10),INDEX('棚卸表'!$H$5:$H$504,$L10))*N(INDEX('棚卸表'!$G$5:$G$504,$L10)))</f>
        <v/>
      </c>
      <c r="K10" s="61" t="n"/>
      <c r="L10" s="78">
        <f>IFERROR(MATCH(SMALL('棚卸表'!$W$5:$W$504,6),'棚卸表'!$W$5:$W$504,0),"")</f>
        <v/>
      </c>
    </row>
    <row r="11" ht="18" customHeight="1">
      <c r="A11" s="52">
        <f>IF($L11="","",7)</f>
        <v/>
      </c>
      <c r="B11" s="57">
        <f>IF($L11="","",INDEX('棚卸表'!$R$5:$R$504,$L11))</f>
        <v/>
      </c>
      <c r="C11" s="52">
        <f>IF($L11="","",INDEX('棚卸表'!$S$5:$S$504,$L11)&amp;"")</f>
        <v/>
      </c>
      <c r="D11" s="52">
        <f>IF($L11="","",INDEX('棚卸表'!$T$5:$T$504,$L11)&amp;"")</f>
        <v/>
      </c>
      <c r="E11" s="52">
        <f>IF($L11="","",INDEX('棚卸表'!$E$5:$E$504,$L11)&amp;"")</f>
        <v/>
      </c>
      <c r="F11" s="52">
        <f>IF($L11="","",INDEX('棚卸表'!$B$5:$B$504,$L11)&amp;"")</f>
        <v/>
      </c>
      <c r="G11" s="53">
        <f>IF($L11="","",INDEX('棚卸表'!$C$5:$C$504,$L11)&amp;"")</f>
        <v/>
      </c>
      <c r="H11" s="58">
        <f>IF($L11="","",IF(ISNUMBER(INDEX('棚卸表'!$I$5:$I$504,$L11)),INDEX('棚卸表'!$I$5:$I$504,$L11),INDEX('棚卸表'!$H$5:$H$504,$L11)))</f>
        <v/>
      </c>
      <c r="I11" s="52">
        <f>IF($L11="","",INDEX('棚卸表'!$F$5:$F$504,$L11)&amp;"")</f>
        <v/>
      </c>
      <c r="J11" s="80">
        <f>IF($L11="","",IF(ISNUMBER(INDEX('棚卸表'!$I$5:$I$504,$L11)),INDEX('棚卸表'!$I$5:$I$504,$L11),INDEX('棚卸表'!$H$5:$H$504,$L11))*N(INDEX('棚卸表'!$G$5:$G$504,$L11)))</f>
        <v/>
      </c>
      <c r="K11" s="61" t="n"/>
      <c r="L11" s="78">
        <f>IFERROR(MATCH(SMALL('棚卸表'!$W$5:$W$504,7),'棚卸表'!$W$5:$W$504,0),"")</f>
        <v/>
      </c>
    </row>
    <row r="12" ht="18" customHeight="1">
      <c r="A12" s="52">
        <f>IF($L12="","",8)</f>
        <v/>
      </c>
      <c r="B12" s="57">
        <f>IF($L12="","",INDEX('棚卸表'!$R$5:$R$504,$L12))</f>
        <v/>
      </c>
      <c r="C12" s="52">
        <f>IF($L12="","",INDEX('棚卸表'!$S$5:$S$504,$L12)&amp;"")</f>
        <v/>
      </c>
      <c r="D12" s="52">
        <f>IF($L12="","",INDEX('棚卸表'!$T$5:$T$504,$L12)&amp;"")</f>
        <v/>
      </c>
      <c r="E12" s="52">
        <f>IF($L12="","",INDEX('棚卸表'!$E$5:$E$504,$L12)&amp;"")</f>
        <v/>
      </c>
      <c r="F12" s="52">
        <f>IF($L12="","",INDEX('棚卸表'!$B$5:$B$504,$L12)&amp;"")</f>
        <v/>
      </c>
      <c r="G12" s="53">
        <f>IF($L12="","",INDEX('棚卸表'!$C$5:$C$504,$L12)&amp;"")</f>
        <v/>
      </c>
      <c r="H12" s="58">
        <f>IF($L12="","",IF(ISNUMBER(INDEX('棚卸表'!$I$5:$I$504,$L12)),INDEX('棚卸表'!$I$5:$I$504,$L12),INDEX('棚卸表'!$H$5:$H$504,$L12)))</f>
        <v/>
      </c>
      <c r="I12" s="52">
        <f>IF($L12="","",INDEX('棚卸表'!$F$5:$F$504,$L12)&amp;"")</f>
        <v/>
      </c>
      <c r="J12" s="80">
        <f>IF($L12="","",IF(ISNUMBER(INDEX('棚卸表'!$I$5:$I$504,$L12)),INDEX('棚卸表'!$I$5:$I$504,$L12),INDEX('棚卸表'!$H$5:$H$504,$L12))*N(INDEX('棚卸表'!$G$5:$G$504,$L12)))</f>
        <v/>
      </c>
      <c r="K12" s="61" t="n"/>
      <c r="L12" s="78">
        <f>IFERROR(MATCH(SMALL('棚卸表'!$W$5:$W$504,8),'棚卸表'!$W$5:$W$504,0),"")</f>
        <v/>
      </c>
    </row>
    <row r="13" ht="18" customHeight="1">
      <c r="A13" s="52">
        <f>IF($L13="","",9)</f>
        <v/>
      </c>
      <c r="B13" s="57">
        <f>IF($L13="","",INDEX('棚卸表'!$R$5:$R$504,$L13))</f>
        <v/>
      </c>
      <c r="C13" s="52">
        <f>IF($L13="","",INDEX('棚卸表'!$S$5:$S$504,$L13)&amp;"")</f>
        <v/>
      </c>
      <c r="D13" s="52">
        <f>IF($L13="","",INDEX('棚卸表'!$T$5:$T$504,$L13)&amp;"")</f>
        <v/>
      </c>
      <c r="E13" s="52">
        <f>IF($L13="","",INDEX('棚卸表'!$E$5:$E$504,$L13)&amp;"")</f>
        <v/>
      </c>
      <c r="F13" s="52">
        <f>IF($L13="","",INDEX('棚卸表'!$B$5:$B$504,$L13)&amp;"")</f>
        <v/>
      </c>
      <c r="G13" s="53">
        <f>IF($L13="","",INDEX('棚卸表'!$C$5:$C$504,$L13)&amp;"")</f>
        <v/>
      </c>
      <c r="H13" s="58">
        <f>IF($L13="","",IF(ISNUMBER(INDEX('棚卸表'!$I$5:$I$504,$L13)),INDEX('棚卸表'!$I$5:$I$504,$L13),INDEX('棚卸表'!$H$5:$H$504,$L13)))</f>
        <v/>
      </c>
      <c r="I13" s="52">
        <f>IF($L13="","",INDEX('棚卸表'!$F$5:$F$504,$L13)&amp;"")</f>
        <v/>
      </c>
      <c r="J13" s="80">
        <f>IF($L13="","",IF(ISNUMBER(INDEX('棚卸表'!$I$5:$I$504,$L13)),INDEX('棚卸表'!$I$5:$I$504,$L13),INDEX('棚卸表'!$H$5:$H$504,$L13))*N(INDEX('棚卸表'!$G$5:$G$504,$L13)))</f>
        <v/>
      </c>
      <c r="K13" s="61" t="n"/>
      <c r="L13" s="78">
        <f>IFERROR(MATCH(SMALL('棚卸表'!$W$5:$W$504,9),'棚卸表'!$W$5:$W$504,0),"")</f>
        <v/>
      </c>
    </row>
    <row r="14" ht="18" customHeight="1">
      <c r="A14" s="52">
        <f>IF($L14="","",10)</f>
        <v/>
      </c>
      <c r="B14" s="57">
        <f>IF($L14="","",INDEX('棚卸表'!$R$5:$R$504,$L14))</f>
        <v/>
      </c>
      <c r="C14" s="52">
        <f>IF($L14="","",INDEX('棚卸表'!$S$5:$S$504,$L14)&amp;"")</f>
        <v/>
      </c>
      <c r="D14" s="52">
        <f>IF($L14="","",INDEX('棚卸表'!$T$5:$T$504,$L14)&amp;"")</f>
        <v/>
      </c>
      <c r="E14" s="52">
        <f>IF($L14="","",INDEX('棚卸表'!$E$5:$E$504,$L14)&amp;"")</f>
        <v/>
      </c>
      <c r="F14" s="52">
        <f>IF($L14="","",INDEX('棚卸表'!$B$5:$B$504,$L14)&amp;"")</f>
        <v/>
      </c>
      <c r="G14" s="53">
        <f>IF($L14="","",INDEX('棚卸表'!$C$5:$C$504,$L14)&amp;"")</f>
        <v/>
      </c>
      <c r="H14" s="58">
        <f>IF($L14="","",IF(ISNUMBER(INDEX('棚卸表'!$I$5:$I$504,$L14)),INDEX('棚卸表'!$I$5:$I$504,$L14),INDEX('棚卸表'!$H$5:$H$504,$L14)))</f>
        <v/>
      </c>
      <c r="I14" s="52">
        <f>IF($L14="","",INDEX('棚卸表'!$F$5:$F$504,$L14)&amp;"")</f>
        <v/>
      </c>
      <c r="J14" s="80">
        <f>IF($L14="","",IF(ISNUMBER(INDEX('棚卸表'!$I$5:$I$504,$L14)),INDEX('棚卸表'!$I$5:$I$504,$L14),INDEX('棚卸表'!$H$5:$H$504,$L14))*N(INDEX('棚卸表'!$G$5:$G$504,$L14)))</f>
        <v/>
      </c>
      <c r="K14" s="61" t="n"/>
      <c r="L14" s="78">
        <f>IFERROR(MATCH(SMALL('棚卸表'!$W$5:$W$504,10),'棚卸表'!$W$5:$W$504,0),"")</f>
        <v/>
      </c>
    </row>
    <row r="15" ht="18" customHeight="1">
      <c r="A15" s="52">
        <f>IF($L15="","",11)</f>
        <v/>
      </c>
      <c r="B15" s="57">
        <f>IF($L15="","",INDEX('棚卸表'!$R$5:$R$504,$L15))</f>
        <v/>
      </c>
      <c r="C15" s="52">
        <f>IF($L15="","",INDEX('棚卸表'!$S$5:$S$504,$L15)&amp;"")</f>
        <v/>
      </c>
      <c r="D15" s="52">
        <f>IF($L15="","",INDEX('棚卸表'!$T$5:$T$504,$L15)&amp;"")</f>
        <v/>
      </c>
      <c r="E15" s="52">
        <f>IF($L15="","",INDEX('棚卸表'!$E$5:$E$504,$L15)&amp;"")</f>
        <v/>
      </c>
      <c r="F15" s="52">
        <f>IF($L15="","",INDEX('棚卸表'!$B$5:$B$504,$L15)&amp;"")</f>
        <v/>
      </c>
      <c r="G15" s="53">
        <f>IF($L15="","",INDEX('棚卸表'!$C$5:$C$504,$L15)&amp;"")</f>
        <v/>
      </c>
      <c r="H15" s="58">
        <f>IF($L15="","",IF(ISNUMBER(INDEX('棚卸表'!$I$5:$I$504,$L15)),INDEX('棚卸表'!$I$5:$I$504,$L15),INDEX('棚卸表'!$H$5:$H$504,$L15)))</f>
        <v/>
      </c>
      <c r="I15" s="52">
        <f>IF($L15="","",INDEX('棚卸表'!$F$5:$F$504,$L15)&amp;"")</f>
        <v/>
      </c>
      <c r="J15" s="80">
        <f>IF($L15="","",IF(ISNUMBER(INDEX('棚卸表'!$I$5:$I$504,$L15)),INDEX('棚卸表'!$I$5:$I$504,$L15),INDEX('棚卸表'!$H$5:$H$504,$L15))*N(INDEX('棚卸表'!$G$5:$G$504,$L15)))</f>
        <v/>
      </c>
      <c r="K15" s="61" t="n"/>
      <c r="L15" s="78">
        <f>IFERROR(MATCH(SMALL('棚卸表'!$W$5:$W$504,11),'棚卸表'!$W$5:$W$504,0),"")</f>
        <v/>
      </c>
    </row>
    <row r="16" ht="18" customHeight="1">
      <c r="A16" s="52">
        <f>IF($L16="","",12)</f>
        <v/>
      </c>
      <c r="B16" s="57">
        <f>IF($L16="","",INDEX('棚卸表'!$R$5:$R$504,$L16))</f>
        <v/>
      </c>
      <c r="C16" s="52">
        <f>IF($L16="","",INDEX('棚卸表'!$S$5:$S$504,$L16)&amp;"")</f>
        <v/>
      </c>
      <c r="D16" s="52">
        <f>IF($L16="","",INDEX('棚卸表'!$T$5:$T$504,$L16)&amp;"")</f>
        <v/>
      </c>
      <c r="E16" s="52">
        <f>IF($L16="","",INDEX('棚卸表'!$E$5:$E$504,$L16)&amp;"")</f>
        <v/>
      </c>
      <c r="F16" s="52">
        <f>IF($L16="","",INDEX('棚卸表'!$B$5:$B$504,$L16)&amp;"")</f>
        <v/>
      </c>
      <c r="G16" s="53">
        <f>IF($L16="","",INDEX('棚卸表'!$C$5:$C$504,$L16)&amp;"")</f>
        <v/>
      </c>
      <c r="H16" s="58">
        <f>IF($L16="","",IF(ISNUMBER(INDEX('棚卸表'!$I$5:$I$504,$L16)),INDEX('棚卸表'!$I$5:$I$504,$L16),INDEX('棚卸表'!$H$5:$H$504,$L16)))</f>
        <v/>
      </c>
      <c r="I16" s="52">
        <f>IF($L16="","",INDEX('棚卸表'!$F$5:$F$504,$L16)&amp;"")</f>
        <v/>
      </c>
      <c r="J16" s="80">
        <f>IF($L16="","",IF(ISNUMBER(INDEX('棚卸表'!$I$5:$I$504,$L16)),INDEX('棚卸表'!$I$5:$I$504,$L16),INDEX('棚卸表'!$H$5:$H$504,$L16))*N(INDEX('棚卸表'!$G$5:$G$504,$L16)))</f>
        <v/>
      </c>
      <c r="K16" s="61" t="n"/>
      <c r="L16" s="78">
        <f>IFERROR(MATCH(SMALL('棚卸表'!$W$5:$W$504,12),'棚卸表'!$W$5:$W$504,0),"")</f>
        <v/>
      </c>
    </row>
    <row r="17" ht="18" customHeight="1">
      <c r="A17" s="52">
        <f>IF($L17="","",13)</f>
        <v/>
      </c>
      <c r="B17" s="57">
        <f>IF($L17="","",INDEX('棚卸表'!$R$5:$R$504,$L17))</f>
        <v/>
      </c>
      <c r="C17" s="52">
        <f>IF($L17="","",INDEX('棚卸表'!$S$5:$S$504,$L17)&amp;"")</f>
        <v/>
      </c>
      <c r="D17" s="52">
        <f>IF($L17="","",INDEX('棚卸表'!$T$5:$T$504,$L17)&amp;"")</f>
        <v/>
      </c>
      <c r="E17" s="52">
        <f>IF($L17="","",INDEX('棚卸表'!$E$5:$E$504,$L17)&amp;"")</f>
        <v/>
      </c>
      <c r="F17" s="52">
        <f>IF($L17="","",INDEX('棚卸表'!$B$5:$B$504,$L17)&amp;"")</f>
        <v/>
      </c>
      <c r="G17" s="53">
        <f>IF($L17="","",INDEX('棚卸表'!$C$5:$C$504,$L17)&amp;"")</f>
        <v/>
      </c>
      <c r="H17" s="58">
        <f>IF($L17="","",IF(ISNUMBER(INDEX('棚卸表'!$I$5:$I$504,$L17)),INDEX('棚卸表'!$I$5:$I$504,$L17),INDEX('棚卸表'!$H$5:$H$504,$L17)))</f>
        <v/>
      </c>
      <c r="I17" s="52">
        <f>IF($L17="","",INDEX('棚卸表'!$F$5:$F$504,$L17)&amp;"")</f>
        <v/>
      </c>
      <c r="J17" s="80">
        <f>IF($L17="","",IF(ISNUMBER(INDEX('棚卸表'!$I$5:$I$504,$L17)),INDEX('棚卸表'!$I$5:$I$504,$L17),INDEX('棚卸表'!$H$5:$H$504,$L17))*N(INDEX('棚卸表'!$G$5:$G$504,$L17)))</f>
        <v/>
      </c>
      <c r="K17" s="61" t="n"/>
      <c r="L17" s="78">
        <f>IFERROR(MATCH(SMALL('棚卸表'!$W$5:$W$504,13),'棚卸表'!$W$5:$W$504,0),"")</f>
        <v/>
      </c>
    </row>
    <row r="18" ht="18" customHeight="1">
      <c r="A18" s="52">
        <f>IF($L18="","",14)</f>
        <v/>
      </c>
      <c r="B18" s="57">
        <f>IF($L18="","",INDEX('棚卸表'!$R$5:$R$504,$L18))</f>
        <v/>
      </c>
      <c r="C18" s="52">
        <f>IF($L18="","",INDEX('棚卸表'!$S$5:$S$504,$L18)&amp;"")</f>
        <v/>
      </c>
      <c r="D18" s="52">
        <f>IF($L18="","",INDEX('棚卸表'!$T$5:$T$504,$L18)&amp;"")</f>
        <v/>
      </c>
      <c r="E18" s="52">
        <f>IF($L18="","",INDEX('棚卸表'!$E$5:$E$504,$L18)&amp;"")</f>
        <v/>
      </c>
      <c r="F18" s="52">
        <f>IF($L18="","",INDEX('棚卸表'!$B$5:$B$504,$L18)&amp;"")</f>
        <v/>
      </c>
      <c r="G18" s="53">
        <f>IF($L18="","",INDEX('棚卸表'!$C$5:$C$504,$L18)&amp;"")</f>
        <v/>
      </c>
      <c r="H18" s="58">
        <f>IF($L18="","",IF(ISNUMBER(INDEX('棚卸表'!$I$5:$I$504,$L18)),INDEX('棚卸表'!$I$5:$I$504,$L18),INDEX('棚卸表'!$H$5:$H$504,$L18)))</f>
        <v/>
      </c>
      <c r="I18" s="52">
        <f>IF($L18="","",INDEX('棚卸表'!$F$5:$F$504,$L18)&amp;"")</f>
        <v/>
      </c>
      <c r="J18" s="80">
        <f>IF($L18="","",IF(ISNUMBER(INDEX('棚卸表'!$I$5:$I$504,$L18)),INDEX('棚卸表'!$I$5:$I$504,$L18),INDEX('棚卸表'!$H$5:$H$504,$L18))*N(INDEX('棚卸表'!$G$5:$G$504,$L18)))</f>
        <v/>
      </c>
      <c r="K18" s="61" t="n"/>
      <c r="L18" s="78">
        <f>IFERROR(MATCH(SMALL('棚卸表'!$W$5:$W$504,14),'棚卸表'!$W$5:$W$504,0),"")</f>
        <v/>
      </c>
    </row>
    <row r="19" ht="18" customHeight="1">
      <c r="A19" s="52">
        <f>IF($L19="","",15)</f>
        <v/>
      </c>
      <c r="B19" s="57">
        <f>IF($L19="","",INDEX('棚卸表'!$R$5:$R$504,$L19))</f>
        <v/>
      </c>
      <c r="C19" s="52">
        <f>IF($L19="","",INDEX('棚卸表'!$S$5:$S$504,$L19)&amp;"")</f>
        <v/>
      </c>
      <c r="D19" s="52">
        <f>IF($L19="","",INDEX('棚卸表'!$T$5:$T$504,$L19)&amp;"")</f>
        <v/>
      </c>
      <c r="E19" s="52">
        <f>IF($L19="","",INDEX('棚卸表'!$E$5:$E$504,$L19)&amp;"")</f>
        <v/>
      </c>
      <c r="F19" s="52">
        <f>IF($L19="","",INDEX('棚卸表'!$B$5:$B$504,$L19)&amp;"")</f>
        <v/>
      </c>
      <c r="G19" s="53">
        <f>IF($L19="","",INDEX('棚卸表'!$C$5:$C$504,$L19)&amp;"")</f>
        <v/>
      </c>
      <c r="H19" s="58">
        <f>IF($L19="","",IF(ISNUMBER(INDEX('棚卸表'!$I$5:$I$504,$L19)),INDEX('棚卸表'!$I$5:$I$504,$L19),INDEX('棚卸表'!$H$5:$H$504,$L19)))</f>
        <v/>
      </c>
      <c r="I19" s="52">
        <f>IF($L19="","",INDEX('棚卸表'!$F$5:$F$504,$L19)&amp;"")</f>
        <v/>
      </c>
      <c r="J19" s="80">
        <f>IF($L19="","",IF(ISNUMBER(INDEX('棚卸表'!$I$5:$I$504,$L19)),INDEX('棚卸表'!$I$5:$I$504,$L19),INDEX('棚卸表'!$H$5:$H$504,$L19))*N(INDEX('棚卸表'!$G$5:$G$504,$L19)))</f>
        <v/>
      </c>
      <c r="K19" s="61" t="n"/>
      <c r="L19" s="78">
        <f>IFERROR(MATCH(SMALL('棚卸表'!$W$5:$W$504,15),'棚卸表'!$W$5:$W$504,0),"")</f>
        <v/>
      </c>
    </row>
    <row r="20" ht="18" customHeight="1">
      <c r="A20" s="52">
        <f>IF($L20="","",16)</f>
        <v/>
      </c>
      <c r="B20" s="57">
        <f>IF($L20="","",INDEX('棚卸表'!$R$5:$R$504,$L20))</f>
        <v/>
      </c>
      <c r="C20" s="52">
        <f>IF($L20="","",INDEX('棚卸表'!$S$5:$S$504,$L20)&amp;"")</f>
        <v/>
      </c>
      <c r="D20" s="52">
        <f>IF($L20="","",INDEX('棚卸表'!$T$5:$T$504,$L20)&amp;"")</f>
        <v/>
      </c>
      <c r="E20" s="52">
        <f>IF($L20="","",INDEX('棚卸表'!$E$5:$E$504,$L20)&amp;"")</f>
        <v/>
      </c>
      <c r="F20" s="52">
        <f>IF($L20="","",INDEX('棚卸表'!$B$5:$B$504,$L20)&amp;"")</f>
        <v/>
      </c>
      <c r="G20" s="53">
        <f>IF($L20="","",INDEX('棚卸表'!$C$5:$C$504,$L20)&amp;"")</f>
        <v/>
      </c>
      <c r="H20" s="58">
        <f>IF($L20="","",IF(ISNUMBER(INDEX('棚卸表'!$I$5:$I$504,$L20)),INDEX('棚卸表'!$I$5:$I$504,$L20),INDEX('棚卸表'!$H$5:$H$504,$L20)))</f>
        <v/>
      </c>
      <c r="I20" s="52">
        <f>IF($L20="","",INDEX('棚卸表'!$F$5:$F$504,$L20)&amp;"")</f>
        <v/>
      </c>
      <c r="J20" s="80">
        <f>IF($L20="","",IF(ISNUMBER(INDEX('棚卸表'!$I$5:$I$504,$L20)),INDEX('棚卸表'!$I$5:$I$504,$L20),INDEX('棚卸表'!$H$5:$H$504,$L20))*N(INDEX('棚卸表'!$G$5:$G$504,$L20)))</f>
        <v/>
      </c>
      <c r="K20" s="61" t="n"/>
      <c r="L20" s="78">
        <f>IFERROR(MATCH(SMALL('棚卸表'!$W$5:$W$504,16),'棚卸表'!$W$5:$W$504,0),"")</f>
        <v/>
      </c>
    </row>
    <row r="21" ht="18" customHeight="1">
      <c r="A21" s="52">
        <f>IF($L21="","",17)</f>
        <v/>
      </c>
      <c r="B21" s="57">
        <f>IF($L21="","",INDEX('棚卸表'!$R$5:$R$504,$L21))</f>
        <v/>
      </c>
      <c r="C21" s="52">
        <f>IF($L21="","",INDEX('棚卸表'!$S$5:$S$504,$L21)&amp;"")</f>
        <v/>
      </c>
      <c r="D21" s="52">
        <f>IF($L21="","",INDEX('棚卸表'!$T$5:$T$504,$L21)&amp;"")</f>
        <v/>
      </c>
      <c r="E21" s="52">
        <f>IF($L21="","",INDEX('棚卸表'!$E$5:$E$504,$L21)&amp;"")</f>
        <v/>
      </c>
      <c r="F21" s="52">
        <f>IF($L21="","",INDEX('棚卸表'!$B$5:$B$504,$L21)&amp;"")</f>
        <v/>
      </c>
      <c r="G21" s="53">
        <f>IF($L21="","",INDEX('棚卸表'!$C$5:$C$504,$L21)&amp;"")</f>
        <v/>
      </c>
      <c r="H21" s="58">
        <f>IF($L21="","",IF(ISNUMBER(INDEX('棚卸表'!$I$5:$I$504,$L21)),INDEX('棚卸表'!$I$5:$I$504,$L21),INDEX('棚卸表'!$H$5:$H$504,$L21)))</f>
        <v/>
      </c>
      <c r="I21" s="52">
        <f>IF($L21="","",INDEX('棚卸表'!$F$5:$F$504,$L21)&amp;"")</f>
        <v/>
      </c>
      <c r="J21" s="80">
        <f>IF($L21="","",IF(ISNUMBER(INDEX('棚卸表'!$I$5:$I$504,$L21)),INDEX('棚卸表'!$I$5:$I$504,$L21),INDEX('棚卸表'!$H$5:$H$504,$L21))*N(INDEX('棚卸表'!$G$5:$G$504,$L21)))</f>
        <v/>
      </c>
      <c r="K21" s="61" t="n"/>
      <c r="L21" s="78">
        <f>IFERROR(MATCH(SMALL('棚卸表'!$W$5:$W$504,17),'棚卸表'!$W$5:$W$504,0),"")</f>
        <v/>
      </c>
    </row>
    <row r="22" ht="18" customHeight="1">
      <c r="A22" s="52">
        <f>IF($L22="","",18)</f>
        <v/>
      </c>
      <c r="B22" s="57">
        <f>IF($L22="","",INDEX('棚卸表'!$R$5:$R$504,$L22))</f>
        <v/>
      </c>
      <c r="C22" s="52">
        <f>IF($L22="","",INDEX('棚卸表'!$S$5:$S$504,$L22)&amp;"")</f>
        <v/>
      </c>
      <c r="D22" s="52">
        <f>IF($L22="","",INDEX('棚卸表'!$T$5:$T$504,$L22)&amp;"")</f>
        <v/>
      </c>
      <c r="E22" s="52">
        <f>IF($L22="","",INDEX('棚卸表'!$E$5:$E$504,$L22)&amp;"")</f>
        <v/>
      </c>
      <c r="F22" s="52">
        <f>IF($L22="","",INDEX('棚卸表'!$B$5:$B$504,$L22)&amp;"")</f>
        <v/>
      </c>
      <c r="G22" s="53">
        <f>IF($L22="","",INDEX('棚卸表'!$C$5:$C$504,$L22)&amp;"")</f>
        <v/>
      </c>
      <c r="H22" s="58">
        <f>IF($L22="","",IF(ISNUMBER(INDEX('棚卸表'!$I$5:$I$504,$L22)),INDEX('棚卸表'!$I$5:$I$504,$L22),INDEX('棚卸表'!$H$5:$H$504,$L22)))</f>
        <v/>
      </c>
      <c r="I22" s="52">
        <f>IF($L22="","",INDEX('棚卸表'!$F$5:$F$504,$L22)&amp;"")</f>
        <v/>
      </c>
      <c r="J22" s="80">
        <f>IF($L22="","",IF(ISNUMBER(INDEX('棚卸表'!$I$5:$I$504,$L22)),INDEX('棚卸表'!$I$5:$I$504,$L22),INDEX('棚卸表'!$H$5:$H$504,$L22))*N(INDEX('棚卸表'!$G$5:$G$504,$L22)))</f>
        <v/>
      </c>
      <c r="K22" s="61" t="n"/>
      <c r="L22" s="78">
        <f>IFERROR(MATCH(SMALL('棚卸表'!$W$5:$W$504,18),'棚卸表'!$W$5:$W$504,0),"")</f>
        <v/>
      </c>
    </row>
    <row r="23" ht="18" customHeight="1">
      <c r="A23" s="52">
        <f>IF($L23="","",19)</f>
        <v/>
      </c>
      <c r="B23" s="57">
        <f>IF($L23="","",INDEX('棚卸表'!$R$5:$R$504,$L23))</f>
        <v/>
      </c>
      <c r="C23" s="52">
        <f>IF($L23="","",INDEX('棚卸表'!$S$5:$S$504,$L23)&amp;"")</f>
        <v/>
      </c>
      <c r="D23" s="52">
        <f>IF($L23="","",INDEX('棚卸表'!$T$5:$T$504,$L23)&amp;"")</f>
        <v/>
      </c>
      <c r="E23" s="52">
        <f>IF($L23="","",INDEX('棚卸表'!$E$5:$E$504,$L23)&amp;"")</f>
        <v/>
      </c>
      <c r="F23" s="52">
        <f>IF($L23="","",INDEX('棚卸表'!$B$5:$B$504,$L23)&amp;"")</f>
        <v/>
      </c>
      <c r="G23" s="53">
        <f>IF($L23="","",INDEX('棚卸表'!$C$5:$C$504,$L23)&amp;"")</f>
        <v/>
      </c>
      <c r="H23" s="58">
        <f>IF($L23="","",IF(ISNUMBER(INDEX('棚卸表'!$I$5:$I$504,$L23)),INDEX('棚卸表'!$I$5:$I$504,$L23),INDEX('棚卸表'!$H$5:$H$504,$L23)))</f>
        <v/>
      </c>
      <c r="I23" s="52">
        <f>IF($L23="","",INDEX('棚卸表'!$F$5:$F$504,$L23)&amp;"")</f>
        <v/>
      </c>
      <c r="J23" s="80">
        <f>IF($L23="","",IF(ISNUMBER(INDEX('棚卸表'!$I$5:$I$504,$L23)),INDEX('棚卸表'!$I$5:$I$504,$L23),INDEX('棚卸表'!$H$5:$H$504,$L23))*N(INDEX('棚卸表'!$G$5:$G$504,$L23)))</f>
        <v/>
      </c>
      <c r="K23" s="61" t="n"/>
      <c r="L23" s="78">
        <f>IFERROR(MATCH(SMALL('棚卸表'!$W$5:$W$504,19),'棚卸表'!$W$5:$W$504,0),"")</f>
        <v/>
      </c>
    </row>
    <row r="24" ht="18" customHeight="1">
      <c r="A24" s="52">
        <f>IF($L24="","",20)</f>
        <v/>
      </c>
      <c r="B24" s="57">
        <f>IF($L24="","",INDEX('棚卸表'!$R$5:$R$504,$L24))</f>
        <v/>
      </c>
      <c r="C24" s="52">
        <f>IF($L24="","",INDEX('棚卸表'!$S$5:$S$504,$L24)&amp;"")</f>
        <v/>
      </c>
      <c r="D24" s="52">
        <f>IF($L24="","",INDEX('棚卸表'!$T$5:$T$504,$L24)&amp;"")</f>
        <v/>
      </c>
      <c r="E24" s="52">
        <f>IF($L24="","",INDEX('棚卸表'!$E$5:$E$504,$L24)&amp;"")</f>
        <v/>
      </c>
      <c r="F24" s="52">
        <f>IF($L24="","",INDEX('棚卸表'!$B$5:$B$504,$L24)&amp;"")</f>
        <v/>
      </c>
      <c r="G24" s="53">
        <f>IF($L24="","",INDEX('棚卸表'!$C$5:$C$504,$L24)&amp;"")</f>
        <v/>
      </c>
      <c r="H24" s="58">
        <f>IF($L24="","",IF(ISNUMBER(INDEX('棚卸表'!$I$5:$I$504,$L24)),INDEX('棚卸表'!$I$5:$I$504,$L24),INDEX('棚卸表'!$H$5:$H$504,$L24)))</f>
        <v/>
      </c>
      <c r="I24" s="52">
        <f>IF($L24="","",INDEX('棚卸表'!$F$5:$F$504,$L24)&amp;"")</f>
        <v/>
      </c>
      <c r="J24" s="80">
        <f>IF($L24="","",IF(ISNUMBER(INDEX('棚卸表'!$I$5:$I$504,$L24)),INDEX('棚卸表'!$I$5:$I$504,$L24),INDEX('棚卸表'!$H$5:$H$504,$L24))*N(INDEX('棚卸表'!$G$5:$G$504,$L24)))</f>
        <v/>
      </c>
      <c r="K24" s="61" t="n"/>
      <c r="L24" s="78">
        <f>IFERROR(MATCH(SMALL('棚卸表'!$W$5:$W$504,20),'棚卸表'!$W$5:$W$504,0),"")</f>
        <v/>
      </c>
    </row>
    <row r="25" ht="18" customHeight="1">
      <c r="A25" s="52">
        <f>IF($L25="","",21)</f>
        <v/>
      </c>
      <c r="B25" s="57">
        <f>IF($L25="","",INDEX('棚卸表'!$R$5:$R$504,$L25))</f>
        <v/>
      </c>
      <c r="C25" s="52">
        <f>IF($L25="","",INDEX('棚卸表'!$S$5:$S$504,$L25)&amp;"")</f>
        <v/>
      </c>
      <c r="D25" s="52">
        <f>IF($L25="","",INDEX('棚卸表'!$T$5:$T$504,$L25)&amp;"")</f>
        <v/>
      </c>
      <c r="E25" s="52">
        <f>IF($L25="","",INDEX('棚卸表'!$E$5:$E$504,$L25)&amp;"")</f>
        <v/>
      </c>
      <c r="F25" s="52">
        <f>IF($L25="","",INDEX('棚卸表'!$B$5:$B$504,$L25)&amp;"")</f>
        <v/>
      </c>
      <c r="G25" s="53">
        <f>IF($L25="","",INDEX('棚卸表'!$C$5:$C$504,$L25)&amp;"")</f>
        <v/>
      </c>
      <c r="H25" s="58">
        <f>IF($L25="","",IF(ISNUMBER(INDEX('棚卸表'!$I$5:$I$504,$L25)),INDEX('棚卸表'!$I$5:$I$504,$L25),INDEX('棚卸表'!$H$5:$H$504,$L25)))</f>
        <v/>
      </c>
      <c r="I25" s="52">
        <f>IF($L25="","",INDEX('棚卸表'!$F$5:$F$504,$L25)&amp;"")</f>
        <v/>
      </c>
      <c r="J25" s="80">
        <f>IF($L25="","",IF(ISNUMBER(INDEX('棚卸表'!$I$5:$I$504,$L25)),INDEX('棚卸表'!$I$5:$I$504,$L25),INDEX('棚卸表'!$H$5:$H$504,$L25))*N(INDEX('棚卸表'!$G$5:$G$504,$L25)))</f>
        <v/>
      </c>
      <c r="K25" s="61" t="n"/>
      <c r="L25" s="78">
        <f>IFERROR(MATCH(SMALL('棚卸表'!$W$5:$W$504,21),'棚卸表'!$W$5:$W$504,0),"")</f>
        <v/>
      </c>
    </row>
    <row r="26" ht="18" customHeight="1">
      <c r="A26" s="52">
        <f>IF($L26="","",22)</f>
        <v/>
      </c>
      <c r="B26" s="57">
        <f>IF($L26="","",INDEX('棚卸表'!$R$5:$R$504,$L26))</f>
        <v/>
      </c>
      <c r="C26" s="52">
        <f>IF($L26="","",INDEX('棚卸表'!$S$5:$S$504,$L26)&amp;"")</f>
        <v/>
      </c>
      <c r="D26" s="52">
        <f>IF($L26="","",INDEX('棚卸表'!$T$5:$T$504,$L26)&amp;"")</f>
        <v/>
      </c>
      <c r="E26" s="52">
        <f>IF($L26="","",INDEX('棚卸表'!$E$5:$E$504,$L26)&amp;"")</f>
        <v/>
      </c>
      <c r="F26" s="52">
        <f>IF($L26="","",INDEX('棚卸表'!$B$5:$B$504,$L26)&amp;"")</f>
        <v/>
      </c>
      <c r="G26" s="53">
        <f>IF($L26="","",INDEX('棚卸表'!$C$5:$C$504,$L26)&amp;"")</f>
        <v/>
      </c>
      <c r="H26" s="58">
        <f>IF($L26="","",IF(ISNUMBER(INDEX('棚卸表'!$I$5:$I$504,$L26)),INDEX('棚卸表'!$I$5:$I$504,$L26),INDEX('棚卸表'!$H$5:$H$504,$L26)))</f>
        <v/>
      </c>
      <c r="I26" s="52">
        <f>IF($L26="","",INDEX('棚卸表'!$F$5:$F$504,$L26)&amp;"")</f>
        <v/>
      </c>
      <c r="J26" s="80">
        <f>IF($L26="","",IF(ISNUMBER(INDEX('棚卸表'!$I$5:$I$504,$L26)),INDEX('棚卸表'!$I$5:$I$504,$L26),INDEX('棚卸表'!$H$5:$H$504,$L26))*N(INDEX('棚卸表'!$G$5:$G$504,$L26)))</f>
        <v/>
      </c>
      <c r="K26" s="61" t="n"/>
      <c r="L26" s="78">
        <f>IFERROR(MATCH(SMALL('棚卸表'!$W$5:$W$504,22),'棚卸表'!$W$5:$W$504,0),"")</f>
        <v/>
      </c>
    </row>
    <row r="27" ht="18" customHeight="1">
      <c r="A27" s="52">
        <f>IF($L27="","",23)</f>
        <v/>
      </c>
      <c r="B27" s="57">
        <f>IF($L27="","",INDEX('棚卸表'!$R$5:$R$504,$L27))</f>
        <v/>
      </c>
      <c r="C27" s="52">
        <f>IF($L27="","",INDEX('棚卸表'!$S$5:$S$504,$L27)&amp;"")</f>
        <v/>
      </c>
      <c r="D27" s="52">
        <f>IF($L27="","",INDEX('棚卸表'!$T$5:$T$504,$L27)&amp;"")</f>
        <v/>
      </c>
      <c r="E27" s="52">
        <f>IF($L27="","",INDEX('棚卸表'!$E$5:$E$504,$L27)&amp;"")</f>
        <v/>
      </c>
      <c r="F27" s="52">
        <f>IF($L27="","",INDEX('棚卸表'!$B$5:$B$504,$L27)&amp;"")</f>
        <v/>
      </c>
      <c r="G27" s="53">
        <f>IF($L27="","",INDEX('棚卸表'!$C$5:$C$504,$L27)&amp;"")</f>
        <v/>
      </c>
      <c r="H27" s="58">
        <f>IF($L27="","",IF(ISNUMBER(INDEX('棚卸表'!$I$5:$I$504,$L27)),INDEX('棚卸表'!$I$5:$I$504,$L27),INDEX('棚卸表'!$H$5:$H$504,$L27)))</f>
        <v/>
      </c>
      <c r="I27" s="52">
        <f>IF($L27="","",INDEX('棚卸表'!$F$5:$F$504,$L27)&amp;"")</f>
        <v/>
      </c>
      <c r="J27" s="80">
        <f>IF($L27="","",IF(ISNUMBER(INDEX('棚卸表'!$I$5:$I$504,$L27)),INDEX('棚卸表'!$I$5:$I$504,$L27),INDEX('棚卸表'!$H$5:$H$504,$L27))*N(INDEX('棚卸表'!$G$5:$G$504,$L27)))</f>
        <v/>
      </c>
      <c r="K27" s="61" t="n"/>
      <c r="L27" s="78">
        <f>IFERROR(MATCH(SMALL('棚卸表'!$W$5:$W$504,23),'棚卸表'!$W$5:$W$504,0),"")</f>
        <v/>
      </c>
    </row>
    <row r="28" ht="18" customHeight="1">
      <c r="A28" s="52">
        <f>IF($L28="","",24)</f>
        <v/>
      </c>
      <c r="B28" s="57">
        <f>IF($L28="","",INDEX('棚卸表'!$R$5:$R$504,$L28))</f>
        <v/>
      </c>
      <c r="C28" s="52">
        <f>IF($L28="","",INDEX('棚卸表'!$S$5:$S$504,$L28)&amp;"")</f>
        <v/>
      </c>
      <c r="D28" s="52">
        <f>IF($L28="","",INDEX('棚卸表'!$T$5:$T$504,$L28)&amp;"")</f>
        <v/>
      </c>
      <c r="E28" s="52">
        <f>IF($L28="","",INDEX('棚卸表'!$E$5:$E$504,$L28)&amp;"")</f>
        <v/>
      </c>
      <c r="F28" s="52">
        <f>IF($L28="","",INDEX('棚卸表'!$B$5:$B$504,$L28)&amp;"")</f>
        <v/>
      </c>
      <c r="G28" s="53">
        <f>IF($L28="","",INDEX('棚卸表'!$C$5:$C$504,$L28)&amp;"")</f>
        <v/>
      </c>
      <c r="H28" s="58">
        <f>IF($L28="","",IF(ISNUMBER(INDEX('棚卸表'!$I$5:$I$504,$L28)),INDEX('棚卸表'!$I$5:$I$504,$L28),INDEX('棚卸表'!$H$5:$H$504,$L28)))</f>
        <v/>
      </c>
      <c r="I28" s="52">
        <f>IF($L28="","",INDEX('棚卸表'!$F$5:$F$504,$L28)&amp;"")</f>
        <v/>
      </c>
      <c r="J28" s="80">
        <f>IF($L28="","",IF(ISNUMBER(INDEX('棚卸表'!$I$5:$I$504,$L28)),INDEX('棚卸表'!$I$5:$I$504,$L28),INDEX('棚卸表'!$H$5:$H$504,$L28))*N(INDEX('棚卸表'!$G$5:$G$504,$L28)))</f>
        <v/>
      </c>
      <c r="K28" s="61" t="n"/>
      <c r="L28" s="78">
        <f>IFERROR(MATCH(SMALL('棚卸表'!$W$5:$W$504,24),'棚卸表'!$W$5:$W$504,0),"")</f>
        <v/>
      </c>
    </row>
    <row r="29" ht="18" customHeight="1">
      <c r="A29" s="52">
        <f>IF($L29="","",25)</f>
        <v/>
      </c>
      <c r="B29" s="57">
        <f>IF($L29="","",INDEX('棚卸表'!$R$5:$R$504,$L29))</f>
        <v/>
      </c>
      <c r="C29" s="52">
        <f>IF($L29="","",INDEX('棚卸表'!$S$5:$S$504,$L29)&amp;"")</f>
        <v/>
      </c>
      <c r="D29" s="52">
        <f>IF($L29="","",INDEX('棚卸表'!$T$5:$T$504,$L29)&amp;"")</f>
        <v/>
      </c>
      <c r="E29" s="52">
        <f>IF($L29="","",INDEX('棚卸表'!$E$5:$E$504,$L29)&amp;"")</f>
        <v/>
      </c>
      <c r="F29" s="52">
        <f>IF($L29="","",INDEX('棚卸表'!$B$5:$B$504,$L29)&amp;"")</f>
        <v/>
      </c>
      <c r="G29" s="53">
        <f>IF($L29="","",INDEX('棚卸表'!$C$5:$C$504,$L29)&amp;"")</f>
        <v/>
      </c>
      <c r="H29" s="58">
        <f>IF($L29="","",IF(ISNUMBER(INDEX('棚卸表'!$I$5:$I$504,$L29)),INDEX('棚卸表'!$I$5:$I$504,$L29),INDEX('棚卸表'!$H$5:$H$504,$L29)))</f>
        <v/>
      </c>
      <c r="I29" s="52">
        <f>IF($L29="","",INDEX('棚卸表'!$F$5:$F$504,$L29)&amp;"")</f>
        <v/>
      </c>
      <c r="J29" s="80">
        <f>IF($L29="","",IF(ISNUMBER(INDEX('棚卸表'!$I$5:$I$504,$L29)),INDEX('棚卸表'!$I$5:$I$504,$L29),INDEX('棚卸表'!$H$5:$H$504,$L29))*N(INDEX('棚卸表'!$G$5:$G$504,$L29)))</f>
        <v/>
      </c>
      <c r="K29" s="61" t="n"/>
      <c r="L29" s="78">
        <f>IFERROR(MATCH(SMALL('棚卸表'!$W$5:$W$504,25),'棚卸表'!$W$5:$W$504,0),"")</f>
        <v/>
      </c>
    </row>
    <row r="30" ht="18" customHeight="1">
      <c r="A30" s="52">
        <f>IF($L30="","",26)</f>
        <v/>
      </c>
      <c r="B30" s="57">
        <f>IF($L30="","",INDEX('棚卸表'!$R$5:$R$504,$L30))</f>
        <v/>
      </c>
      <c r="C30" s="52">
        <f>IF($L30="","",INDEX('棚卸表'!$S$5:$S$504,$L30)&amp;"")</f>
        <v/>
      </c>
      <c r="D30" s="52">
        <f>IF($L30="","",INDEX('棚卸表'!$T$5:$T$504,$L30)&amp;"")</f>
        <v/>
      </c>
      <c r="E30" s="52">
        <f>IF($L30="","",INDEX('棚卸表'!$E$5:$E$504,$L30)&amp;"")</f>
        <v/>
      </c>
      <c r="F30" s="52">
        <f>IF($L30="","",INDEX('棚卸表'!$B$5:$B$504,$L30)&amp;"")</f>
        <v/>
      </c>
      <c r="G30" s="53">
        <f>IF($L30="","",INDEX('棚卸表'!$C$5:$C$504,$L30)&amp;"")</f>
        <v/>
      </c>
      <c r="H30" s="58">
        <f>IF($L30="","",IF(ISNUMBER(INDEX('棚卸表'!$I$5:$I$504,$L30)),INDEX('棚卸表'!$I$5:$I$504,$L30),INDEX('棚卸表'!$H$5:$H$504,$L30)))</f>
        <v/>
      </c>
      <c r="I30" s="52">
        <f>IF($L30="","",INDEX('棚卸表'!$F$5:$F$504,$L30)&amp;"")</f>
        <v/>
      </c>
      <c r="J30" s="80">
        <f>IF($L30="","",IF(ISNUMBER(INDEX('棚卸表'!$I$5:$I$504,$L30)),INDEX('棚卸表'!$I$5:$I$504,$L30),INDEX('棚卸表'!$H$5:$H$504,$L30))*N(INDEX('棚卸表'!$G$5:$G$504,$L30)))</f>
        <v/>
      </c>
      <c r="K30" s="61" t="n"/>
      <c r="L30" s="78">
        <f>IFERROR(MATCH(SMALL('棚卸表'!$W$5:$W$504,26),'棚卸表'!$W$5:$W$504,0),"")</f>
        <v/>
      </c>
    </row>
    <row r="31" ht="18" customHeight="1">
      <c r="A31" s="52">
        <f>IF($L31="","",27)</f>
        <v/>
      </c>
      <c r="B31" s="57">
        <f>IF($L31="","",INDEX('棚卸表'!$R$5:$R$504,$L31))</f>
        <v/>
      </c>
      <c r="C31" s="52">
        <f>IF($L31="","",INDEX('棚卸表'!$S$5:$S$504,$L31)&amp;"")</f>
        <v/>
      </c>
      <c r="D31" s="52">
        <f>IF($L31="","",INDEX('棚卸表'!$T$5:$T$504,$L31)&amp;"")</f>
        <v/>
      </c>
      <c r="E31" s="52">
        <f>IF($L31="","",INDEX('棚卸表'!$E$5:$E$504,$L31)&amp;"")</f>
        <v/>
      </c>
      <c r="F31" s="52">
        <f>IF($L31="","",INDEX('棚卸表'!$B$5:$B$504,$L31)&amp;"")</f>
        <v/>
      </c>
      <c r="G31" s="53">
        <f>IF($L31="","",INDEX('棚卸表'!$C$5:$C$504,$L31)&amp;"")</f>
        <v/>
      </c>
      <c r="H31" s="58">
        <f>IF($L31="","",IF(ISNUMBER(INDEX('棚卸表'!$I$5:$I$504,$L31)),INDEX('棚卸表'!$I$5:$I$504,$L31),INDEX('棚卸表'!$H$5:$H$504,$L31)))</f>
        <v/>
      </c>
      <c r="I31" s="52">
        <f>IF($L31="","",INDEX('棚卸表'!$F$5:$F$504,$L31)&amp;"")</f>
        <v/>
      </c>
      <c r="J31" s="80">
        <f>IF($L31="","",IF(ISNUMBER(INDEX('棚卸表'!$I$5:$I$504,$L31)),INDEX('棚卸表'!$I$5:$I$504,$L31),INDEX('棚卸表'!$H$5:$H$504,$L31))*N(INDEX('棚卸表'!$G$5:$G$504,$L31)))</f>
        <v/>
      </c>
      <c r="K31" s="61" t="n"/>
      <c r="L31" s="78">
        <f>IFERROR(MATCH(SMALL('棚卸表'!$W$5:$W$504,27),'棚卸表'!$W$5:$W$504,0),"")</f>
        <v/>
      </c>
    </row>
    <row r="32" ht="18" customHeight="1">
      <c r="A32" s="52">
        <f>IF($L32="","",28)</f>
        <v/>
      </c>
      <c r="B32" s="57">
        <f>IF($L32="","",INDEX('棚卸表'!$R$5:$R$504,$L32))</f>
        <v/>
      </c>
      <c r="C32" s="52">
        <f>IF($L32="","",INDEX('棚卸表'!$S$5:$S$504,$L32)&amp;"")</f>
        <v/>
      </c>
      <c r="D32" s="52">
        <f>IF($L32="","",INDEX('棚卸表'!$T$5:$T$504,$L32)&amp;"")</f>
        <v/>
      </c>
      <c r="E32" s="52">
        <f>IF($L32="","",INDEX('棚卸表'!$E$5:$E$504,$L32)&amp;"")</f>
        <v/>
      </c>
      <c r="F32" s="52">
        <f>IF($L32="","",INDEX('棚卸表'!$B$5:$B$504,$L32)&amp;"")</f>
        <v/>
      </c>
      <c r="G32" s="53">
        <f>IF($L32="","",INDEX('棚卸表'!$C$5:$C$504,$L32)&amp;"")</f>
        <v/>
      </c>
      <c r="H32" s="58">
        <f>IF($L32="","",IF(ISNUMBER(INDEX('棚卸表'!$I$5:$I$504,$L32)),INDEX('棚卸表'!$I$5:$I$504,$L32),INDEX('棚卸表'!$H$5:$H$504,$L32)))</f>
        <v/>
      </c>
      <c r="I32" s="52">
        <f>IF($L32="","",INDEX('棚卸表'!$F$5:$F$504,$L32)&amp;"")</f>
        <v/>
      </c>
      <c r="J32" s="80">
        <f>IF($L32="","",IF(ISNUMBER(INDEX('棚卸表'!$I$5:$I$504,$L32)),INDEX('棚卸表'!$I$5:$I$504,$L32),INDEX('棚卸表'!$H$5:$H$504,$L32))*N(INDEX('棚卸表'!$G$5:$G$504,$L32)))</f>
        <v/>
      </c>
      <c r="K32" s="61" t="n"/>
      <c r="L32" s="78">
        <f>IFERROR(MATCH(SMALL('棚卸表'!$W$5:$W$504,28),'棚卸表'!$W$5:$W$504,0),"")</f>
        <v/>
      </c>
    </row>
    <row r="33" ht="18" customHeight="1">
      <c r="A33" s="52">
        <f>IF($L33="","",29)</f>
        <v/>
      </c>
      <c r="B33" s="57">
        <f>IF($L33="","",INDEX('棚卸表'!$R$5:$R$504,$L33))</f>
        <v/>
      </c>
      <c r="C33" s="52">
        <f>IF($L33="","",INDEX('棚卸表'!$S$5:$S$504,$L33)&amp;"")</f>
        <v/>
      </c>
      <c r="D33" s="52">
        <f>IF($L33="","",INDEX('棚卸表'!$T$5:$T$504,$L33)&amp;"")</f>
        <v/>
      </c>
      <c r="E33" s="52">
        <f>IF($L33="","",INDEX('棚卸表'!$E$5:$E$504,$L33)&amp;"")</f>
        <v/>
      </c>
      <c r="F33" s="52">
        <f>IF($L33="","",INDEX('棚卸表'!$B$5:$B$504,$L33)&amp;"")</f>
        <v/>
      </c>
      <c r="G33" s="53">
        <f>IF($L33="","",INDEX('棚卸表'!$C$5:$C$504,$L33)&amp;"")</f>
        <v/>
      </c>
      <c r="H33" s="58">
        <f>IF($L33="","",IF(ISNUMBER(INDEX('棚卸表'!$I$5:$I$504,$L33)),INDEX('棚卸表'!$I$5:$I$504,$L33),INDEX('棚卸表'!$H$5:$H$504,$L33)))</f>
        <v/>
      </c>
      <c r="I33" s="52">
        <f>IF($L33="","",INDEX('棚卸表'!$F$5:$F$504,$L33)&amp;"")</f>
        <v/>
      </c>
      <c r="J33" s="80">
        <f>IF($L33="","",IF(ISNUMBER(INDEX('棚卸表'!$I$5:$I$504,$L33)),INDEX('棚卸表'!$I$5:$I$504,$L33),INDEX('棚卸表'!$H$5:$H$504,$L33))*N(INDEX('棚卸表'!$G$5:$G$504,$L33)))</f>
        <v/>
      </c>
      <c r="K33" s="61" t="n"/>
      <c r="L33" s="78">
        <f>IFERROR(MATCH(SMALL('棚卸表'!$W$5:$W$504,29),'棚卸表'!$W$5:$W$504,0),"")</f>
        <v/>
      </c>
    </row>
    <row r="34" ht="18" customHeight="1">
      <c r="A34" s="52">
        <f>IF($L34="","",30)</f>
        <v/>
      </c>
      <c r="B34" s="57">
        <f>IF($L34="","",INDEX('棚卸表'!$R$5:$R$504,$L34))</f>
        <v/>
      </c>
      <c r="C34" s="52">
        <f>IF($L34="","",INDEX('棚卸表'!$S$5:$S$504,$L34)&amp;"")</f>
        <v/>
      </c>
      <c r="D34" s="52">
        <f>IF($L34="","",INDEX('棚卸表'!$T$5:$T$504,$L34)&amp;"")</f>
        <v/>
      </c>
      <c r="E34" s="52">
        <f>IF($L34="","",INDEX('棚卸表'!$E$5:$E$504,$L34)&amp;"")</f>
        <v/>
      </c>
      <c r="F34" s="52">
        <f>IF($L34="","",INDEX('棚卸表'!$B$5:$B$504,$L34)&amp;"")</f>
        <v/>
      </c>
      <c r="G34" s="53">
        <f>IF($L34="","",INDEX('棚卸表'!$C$5:$C$504,$L34)&amp;"")</f>
        <v/>
      </c>
      <c r="H34" s="58">
        <f>IF($L34="","",IF(ISNUMBER(INDEX('棚卸表'!$I$5:$I$504,$L34)),INDEX('棚卸表'!$I$5:$I$504,$L34),INDEX('棚卸表'!$H$5:$H$504,$L34)))</f>
        <v/>
      </c>
      <c r="I34" s="52">
        <f>IF($L34="","",INDEX('棚卸表'!$F$5:$F$504,$L34)&amp;"")</f>
        <v/>
      </c>
      <c r="J34" s="80">
        <f>IF($L34="","",IF(ISNUMBER(INDEX('棚卸表'!$I$5:$I$504,$L34)),INDEX('棚卸表'!$I$5:$I$504,$L34),INDEX('棚卸表'!$H$5:$H$504,$L34))*N(INDEX('棚卸表'!$G$5:$G$504,$L34)))</f>
        <v/>
      </c>
      <c r="K34" s="61" t="n"/>
      <c r="L34" s="78">
        <f>IFERROR(MATCH(SMALL('棚卸表'!$W$5:$W$504,30),'棚卸表'!$W$5:$W$504,0),"")</f>
        <v/>
      </c>
    </row>
    <row r="35" ht="18" customHeight="1">
      <c r="A35" s="52">
        <f>IF($L35="","",31)</f>
        <v/>
      </c>
      <c r="B35" s="57">
        <f>IF($L35="","",INDEX('棚卸表'!$R$5:$R$504,$L35))</f>
        <v/>
      </c>
      <c r="C35" s="52">
        <f>IF($L35="","",INDEX('棚卸表'!$S$5:$S$504,$L35)&amp;"")</f>
        <v/>
      </c>
      <c r="D35" s="52">
        <f>IF($L35="","",INDEX('棚卸表'!$T$5:$T$504,$L35)&amp;"")</f>
        <v/>
      </c>
      <c r="E35" s="52">
        <f>IF($L35="","",INDEX('棚卸表'!$E$5:$E$504,$L35)&amp;"")</f>
        <v/>
      </c>
      <c r="F35" s="52">
        <f>IF($L35="","",INDEX('棚卸表'!$B$5:$B$504,$L35)&amp;"")</f>
        <v/>
      </c>
      <c r="G35" s="53">
        <f>IF($L35="","",INDEX('棚卸表'!$C$5:$C$504,$L35)&amp;"")</f>
        <v/>
      </c>
      <c r="H35" s="58">
        <f>IF($L35="","",IF(ISNUMBER(INDEX('棚卸表'!$I$5:$I$504,$L35)),INDEX('棚卸表'!$I$5:$I$504,$L35),INDEX('棚卸表'!$H$5:$H$504,$L35)))</f>
        <v/>
      </c>
      <c r="I35" s="52">
        <f>IF($L35="","",INDEX('棚卸表'!$F$5:$F$504,$L35)&amp;"")</f>
        <v/>
      </c>
      <c r="J35" s="80">
        <f>IF($L35="","",IF(ISNUMBER(INDEX('棚卸表'!$I$5:$I$504,$L35)),INDEX('棚卸表'!$I$5:$I$504,$L35),INDEX('棚卸表'!$H$5:$H$504,$L35))*N(INDEX('棚卸表'!$G$5:$G$504,$L35)))</f>
        <v/>
      </c>
      <c r="K35" s="61" t="n"/>
      <c r="L35" s="78">
        <f>IFERROR(MATCH(SMALL('棚卸表'!$W$5:$W$504,31),'棚卸表'!$W$5:$W$504,0),"")</f>
        <v/>
      </c>
    </row>
    <row r="36" ht="18" customHeight="1">
      <c r="A36" s="52">
        <f>IF($L36="","",32)</f>
        <v/>
      </c>
      <c r="B36" s="57">
        <f>IF($L36="","",INDEX('棚卸表'!$R$5:$R$504,$L36))</f>
        <v/>
      </c>
      <c r="C36" s="52">
        <f>IF($L36="","",INDEX('棚卸表'!$S$5:$S$504,$L36)&amp;"")</f>
        <v/>
      </c>
      <c r="D36" s="52">
        <f>IF($L36="","",INDEX('棚卸表'!$T$5:$T$504,$L36)&amp;"")</f>
        <v/>
      </c>
      <c r="E36" s="52">
        <f>IF($L36="","",INDEX('棚卸表'!$E$5:$E$504,$L36)&amp;"")</f>
        <v/>
      </c>
      <c r="F36" s="52">
        <f>IF($L36="","",INDEX('棚卸表'!$B$5:$B$504,$L36)&amp;"")</f>
        <v/>
      </c>
      <c r="G36" s="53">
        <f>IF($L36="","",INDEX('棚卸表'!$C$5:$C$504,$L36)&amp;"")</f>
        <v/>
      </c>
      <c r="H36" s="58">
        <f>IF($L36="","",IF(ISNUMBER(INDEX('棚卸表'!$I$5:$I$504,$L36)),INDEX('棚卸表'!$I$5:$I$504,$L36),INDEX('棚卸表'!$H$5:$H$504,$L36)))</f>
        <v/>
      </c>
      <c r="I36" s="52">
        <f>IF($L36="","",INDEX('棚卸表'!$F$5:$F$504,$L36)&amp;"")</f>
        <v/>
      </c>
      <c r="J36" s="80">
        <f>IF($L36="","",IF(ISNUMBER(INDEX('棚卸表'!$I$5:$I$504,$L36)),INDEX('棚卸表'!$I$5:$I$504,$L36),INDEX('棚卸表'!$H$5:$H$504,$L36))*N(INDEX('棚卸表'!$G$5:$G$504,$L36)))</f>
        <v/>
      </c>
      <c r="K36" s="61" t="n"/>
      <c r="L36" s="78">
        <f>IFERROR(MATCH(SMALL('棚卸表'!$W$5:$W$504,32),'棚卸表'!$W$5:$W$504,0),"")</f>
        <v/>
      </c>
    </row>
    <row r="37" ht="18" customHeight="1">
      <c r="A37" s="52">
        <f>IF($L37="","",33)</f>
        <v/>
      </c>
      <c r="B37" s="57">
        <f>IF($L37="","",INDEX('棚卸表'!$R$5:$R$504,$L37))</f>
        <v/>
      </c>
      <c r="C37" s="52">
        <f>IF($L37="","",INDEX('棚卸表'!$S$5:$S$504,$L37)&amp;"")</f>
        <v/>
      </c>
      <c r="D37" s="52">
        <f>IF($L37="","",INDEX('棚卸表'!$T$5:$T$504,$L37)&amp;"")</f>
        <v/>
      </c>
      <c r="E37" s="52">
        <f>IF($L37="","",INDEX('棚卸表'!$E$5:$E$504,$L37)&amp;"")</f>
        <v/>
      </c>
      <c r="F37" s="52">
        <f>IF($L37="","",INDEX('棚卸表'!$B$5:$B$504,$L37)&amp;"")</f>
        <v/>
      </c>
      <c r="G37" s="53">
        <f>IF($L37="","",INDEX('棚卸表'!$C$5:$C$504,$L37)&amp;"")</f>
        <v/>
      </c>
      <c r="H37" s="58">
        <f>IF($L37="","",IF(ISNUMBER(INDEX('棚卸表'!$I$5:$I$504,$L37)),INDEX('棚卸表'!$I$5:$I$504,$L37),INDEX('棚卸表'!$H$5:$H$504,$L37)))</f>
        <v/>
      </c>
      <c r="I37" s="52">
        <f>IF($L37="","",INDEX('棚卸表'!$F$5:$F$504,$L37)&amp;"")</f>
        <v/>
      </c>
      <c r="J37" s="80">
        <f>IF($L37="","",IF(ISNUMBER(INDEX('棚卸表'!$I$5:$I$504,$L37)),INDEX('棚卸表'!$I$5:$I$504,$L37),INDEX('棚卸表'!$H$5:$H$504,$L37))*N(INDEX('棚卸表'!$G$5:$G$504,$L37)))</f>
        <v/>
      </c>
      <c r="K37" s="61" t="n"/>
      <c r="L37" s="78">
        <f>IFERROR(MATCH(SMALL('棚卸表'!$W$5:$W$504,33),'棚卸表'!$W$5:$W$504,0),"")</f>
        <v/>
      </c>
    </row>
    <row r="38" ht="18" customHeight="1">
      <c r="A38" s="52">
        <f>IF($L38="","",34)</f>
        <v/>
      </c>
      <c r="B38" s="57">
        <f>IF($L38="","",INDEX('棚卸表'!$R$5:$R$504,$L38))</f>
        <v/>
      </c>
      <c r="C38" s="52">
        <f>IF($L38="","",INDEX('棚卸表'!$S$5:$S$504,$L38)&amp;"")</f>
        <v/>
      </c>
      <c r="D38" s="52">
        <f>IF($L38="","",INDEX('棚卸表'!$T$5:$T$504,$L38)&amp;"")</f>
        <v/>
      </c>
      <c r="E38" s="52">
        <f>IF($L38="","",INDEX('棚卸表'!$E$5:$E$504,$L38)&amp;"")</f>
        <v/>
      </c>
      <c r="F38" s="52">
        <f>IF($L38="","",INDEX('棚卸表'!$B$5:$B$504,$L38)&amp;"")</f>
        <v/>
      </c>
      <c r="G38" s="53">
        <f>IF($L38="","",INDEX('棚卸表'!$C$5:$C$504,$L38)&amp;"")</f>
        <v/>
      </c>
      <c r="H38" s="58">
        <f>IF($L38="","",IF(ISNUMBER(INDEX('棚卸表'!$I$5:$I$504,$L38)),INDEX('棚卸表'!$I$5:$I$504,$L38),INDEX('棚卸表'!$H$5:$H$504,$L38)))</f>
        <v/>
      </c>
      <c r="I38" s="52">
        <f>IF($L38="","",INDEX('棚卸表'!$F$5:$F$504,$L38)&amp;"")</f>
        <v/>
      </c>
      <c r="J38" s="80">
        <f>IF($L38="","",IF(ISNUMBER(INDEX('棚卸表'!$I$5:$I$504,$L38)),INDEX('棚卸表'!$I$5:$I$504,$L38),INDEX('棚卸表'!$H$5:$H$504,$L38))*N(INDEX('棚卸表'!$G$5:$G$504,$L38)))</f>
        <v/>
      </c>
      <c r="K38" s="61" t="n"/>
      <c r="L38" s="78">
        <f>IFERROR(MATCH(SMALL('棚卸表'!$W$5:$W$504,34),'棚卸表'!$W$5:$W$504,0),"")</f>
        <v/>
      </c>
    </row>
    <row r="39" ht="18" customHeight="1">
      <c r="A39" s="52">
        <f>IF($L39="","",35)</f>
        <v/>
      </c>
      <c r="B39" s="57">
        <f>IF($L39="","",INDEX('棚卸表'!$R$5:$R$504,$L39))</f>
        <v/>
      </c>
      <c r="C39" s="52">
        <f>IF($L39="","",INDEX('棚卸表'!$S$5:$S$504,$L39)&amp;"")</f>
        <v/>
      </c>
      <c r="D39" s="52">
        <f>IF($L39="","",INDEX('棚卸表'!$T$5:$T$504,$L39)&amp;"")</f>
        <v/>
      </c>
      <c r="E39" s="52">
        <f>IF($L39="","",INDEX('棚卸表'!$E$5:$E$504,$L39)&amp;"")</f>
        <v/>
      </c>
      <c r="F39" s="52">
        <f>IF($L39="","",INDEX('棚卸表'!$B$5:$B$504,$L39)&amp;"")</f>
        <v/>
      </c>
      <c r="G39" s="53">
        <f>IF($L39="","",INDEX('棚卸表'!$C$5:$C$504,$L39)&amp;"")</f>
        <v/>
      </c>
      <c r="H39" s="58">
        <f>IF($L39="","",IF(ISNUMBER(INDEX('棚卸表'!$I$5:$I$504,$L39)),INDEX('棚卸表'!$I$5:$I$504,$L39),INDEX('棚卸表'!$H$5:$H$504,$L39)))</f>
        <v/>
      </c>
      <c r="I39" s="52">
        <f>IF($L39="","",INDEX('棚卸表'!$F$5:$F$504,$L39)&amp;"")</f>
        <v/>
      </c>
      <c r="J39" s="80">
        <f>IF($L39="","",IF(ISNUMBER(INDEX('棚卸表'!$I$5:$I$504,$L39)),INDEX('棚卸表'!$I$5:$I$504,$L39),INDEX('棚卸表'!$H$5:$H$504,$L39))*N(INDEX('棚卸表'!$G$5:$G$504,$L39)))</f>
        <v/>
      </c>
      <c r="K39" s="61" t="n"/>
      <c r="L39" s="78">
        <f>IFERROR(MATCH(SMALL('棚卸表'!$W$5:$W$504,35),'棚卸表'!$W$5:$W$504,0),"")</f>
        <v/>
      </c>
    </row>
    <row r="40" ht="18" customHeight="1">
      <c r="A40" s="52">
        <f>IF($L40="","",36)</f>
        <v/>
      </c>
      <c r="B40" s="57">
        <f>IF($L40="","",INDEX('棚卸表'!$R$5:$R$504,$L40))</f>
        <v/>
      </c>
      <c r="C40" s="52">
        <f>IF($L40="","",INDEX('棚卸表'!$S$5:$S$504,$L40)&amp;"")</f>
        <v/>
      </c>
      <c r="D40" s="52">
        <f>IF($L40="","",INDEX('棚卸表'!$T$5:$T$504,$L40)&amp;"")</f>
        <v/>
      </c>
      <c r="E40" s="52">
        <f>IF($L40="","",INDEX('棚卸表'!$E$5:$E$504,$L40)&amp;"")</f>
        <v/>
      </c>
      <c r="F40" s="52">
        <f>IF($L40="","",INDEX('棚卸表'!$B$5:$B$504,$L40)&amp;"")</f>
        <v/>
      </c>
      <c r="G40" s="53">
        <f>IF($L40="","",INDEX('棚卸表'!$C$5:$C$504,$L40)&amp;"")</f>
        <v/>
      </c>
      <c r="H40" s="58">
        <f>IF($L40="","",IF(ISNUMBER(INDEX('棚卸表'!$I$5:$I$504,$L40)),INDEX('棚卸表'!$I$5:$I$504,$L40),INDEX('棚卸表'!$H$5:$H$504,$L40)))</f>
        <v/>
      </c>
      <c r="I40" s="52">
        <f>IF($L40="","",INDEX('棚卸表'!$F$5:$F$504,$L40)&amp;"")</f>
        <v/>
      </c>
      <c r="J40" s="80">
        <f>IF($L40="","",IF(ISNUMBER(INDEX('棚卸表'!$I$5:$I$504,$L40)),INDEX('棚卸表'!$I$5:$I$504,$L40),INDEX('棚卸表'!$H$5:$H$504,$L40))*N(INDEX('棚卸表'!$G$5:$G$504,$L40)))</f>
        <v/>
      </c>
      <c r="K40" s="61" t="n"/>
      <c r="L40" s="78">
        <f>IFERROR(MATCH(SMALL('棚卸表'!$W$5:$W$504,36),'棚卸表'!$W$5:$W$504,0),"")</f>
        <v/>
      </c>
    </row>
    <row r="41" ht="18" customHeight="1">
      <c r="A41" s="52">
        <f>IF($L41="","",37)</f>
        <v/>
      </c>
      <c r="B41" s="57">
        <f>IF($L41="","",INDEX('棚卸表'!$R$5:$R$504,$L41))</f>
        <v/>
      </c>
      <c r="C41" s="52">
        <f>IF($L41="","",INDEX('棚卸表'!$S$5:$S$504,$L41)&amp;"")</f>
        <v/>
      </c>
      <c r="D41" s="52">
        <f>IF($L41="","",INDEX('棚卸表'!$T$5:$T$504,$L41)&amp;"")</f>
        <v/>
      </c>
      <c r="E41" s="52">
        <f>IF($L41="","",INDEX('棚卸表'!$E$5:$E$504,$L41)&amp;"")</f>
        <v/>
      </c>
      <c r="F41" s="52">
        <f>IF($L41="","",INDEX('棚卸表'!$B$5:$B$504,$L41)&amp;"")</f>
        <v/>
      </c>
      <c r="G41" s="53">
        <f>IF($L41="","",INDEX('棚卸表'!$C$5:$C$504,$L41)&amp;"")</f>
        <v/>
      </c>
      <c r="H41" s="58">
        <f>IF($L41="","",IF(ISNUMBER(INDEX('棚卸表'!$I$5:$I$504,$L41)),INDEX('棚卸表'!$I$5:$I$504,$L41),INDEX('棚卸表'!$H$5:$H$504,$L41)))</f>
        <v/>
      </c>
      <c r="I41" s="52">
        <f>IF($L41="","",INDEX('棚卸表'!$F$5:$F$504,$L41)&amp;"")</f>
        <v/>
      </c>
      <c r="J41" s="80">
        <f>IF($L41="","",IF(ISNUMBER(INDEX('棚卸表'!$I$5:$I$504,$L41)),INDEX('棚卸表'!$I$5:$I$504,$L41),INDEX('棚卸表'!$H$5:$H$504,$L41))*N(INDEX('棚卸表'!$G$5:$G$504,$L41)))</f>
        <v/>
      </c>
      <c r="K41" s="61" t="n"/>
      <c r="L41" s="78">
        <f>IFERROR(MATCH(SMALL('棚卸表'!$W$5:$W$504,37),'棚卸表'!$W$5:$W$504,0),"")</f>
        <v/>
      </c>
    </row>
    <row r="42" ht="18" customHeight="1">
      <c r="A42" s="52">
        <f>IF($L42="","",38)</f>
        <v/>
      </c>
      <c r="B42" s="57">
        <f>IF($L42="","",INDEX('棚卸表'!$R$5:$R$504,$L42))</f>
        <v/>
      </c>
      <c r="C42" s="52">
        <f>IF($L42="","",INDEX('棚卸表'!$S$5:$S$504,$L42)&amp;"")</f>
        <v/>
      </c>
      <c r="D42" s="52">
        <f>IF($L42="","",INDEX('棚卸表'!$T$5:$T$504,$L42)&amp;"")</f>
        <v/>
      </c>
      <c r="E42" s="52">
        <f>IF($L42="","",INDEX('棚卸表'!$E$5:$E$504,$L42)&amp;"")</f>
        <v/>
      </c>
      <c r="F42" s="52">
        <f>IF($L42="","",INDEX('棚卸表'!$B$5:$B$504,$L42)&amp;"")</f>
        <v/>
      </c>
      <c r="G42" s="53">
        <f>IF($L42="","",INDEX('棚卸表'!$C$5:$C$504,$L42)&amp;"")</f>
        <v/>
      </c>
      <c r="H42" s="58">
        <f>IF($L42="","",IF(ISNUMBER(INDEX('棚卸表'!$I$5:$I$504,$L42)),INDEX('棚卸表'!$I$5:$I$504,$L42),INDEX('棚卸表'!$H$5:$H$504,$L42)))</f>
        <v/>
      </c>
      <c r="I42" s="52">
        <f>IF($L42="","",INDEX('棚卸表'!$F$5:$F$504,$L42)&amp;"")</f>
        <v/>
      </c>
      <c r="J42" s="80">
        <f>IF($L42="","",IF(ISNUMBER(INDEX('棚卸表'!$I$5:$I$504,$L42)),INDEX('棚卸表'!$I$5:$I$504,$L42),INDEX('棚卸表'!$H$5:$H$504,$L42))*N(INDEX('棚卸表'!$G$5:$G$504,$L42)))</f>
        <v/>
      </c>
      <c r="K42" s="61" t="n"/>
      <c r="L42" s="78">
        <f>IFERROR(MATCH(SMALL('棚卸表'!$W$5:$W$504,38),'棚卸表'!$W$5:$W$504,0),"")</f>
        <v/>
      </c>
    </row>
    <row r="43" ht="18" customHeight="1">
      <c r="A43" s="52">
        <f>IF($L43="","",39)</f>
        <v/>
      </c>
      <c r="B43" s="57">
        <f>IF($L43="","",INDEX('棚卸表'!$R$5:$R$504,$L43))</f>
        <v/>
      </c>
      <c r="C43" s="52">
        <f>IF($L43="","",INDEX('棚卸表'!$S$5:$S$504,$L43)&amp;"")</f>
        <v/>
      </c>
      <c r="D43" s="52">
        <f>IF($L43="","",INDEX('棚卸表'!$T$5:$T$504,$L43)&amp;"")</f>
        <v/>
      </c>
      <c r="E43" s="52">
        <f>IF($L43="","",INDEX('棚卸表'!$E$5:$E$504,$L43)&amp;"")</f>
        <v/>
      </c>
      <c r="F43" s="52">
        <f>IF($L43="","",INDEX('棚卸表'!$B$5:$B$504,$L43)&amp;"")</f>
        <v/>
      </c>
      <c r="G43" s="53">
        <f>IF($L43="","",INDEX('棚卸表'!$C$5:$C$504,$L43)&amp;"")</f>
        <v/>
      </c>
      <c r="H43" s="58">
        <f>IF($L43="","",IF(ISNUMBER(INDEX('棚卸表'!$I$5:$I$504,$L43)),INDEX('棚卸表'!$I$5:$I$504,$L43),INDEX('棚卸表'!$H$5:$H$504,$L43)))</f>
        <v/>
      </c>
      <c r="I43" s="52">
        <f>IF($L43="","",INDEX('棚卸表'!$F$5:$F$504,$L43)&amp;"")</f>
        <v/>
      </c>
      <c r="J43" s="80">
        <f>IF($L43="","",IF(ISNUMBER(INDEX('棚卸表'!$I$5:$I$504,$L43)),INDEX('棚卸表'!$I$5:$I$504,$L43),INDEX('棚卸表'!$H$5:$H$504,$L43))*N(INDEX('棚卸表'!$G$5:$G$504,$L43)))</f>
        <v/>
      </c>
      <c r="K43" s="61" t="n"/>
      <c r="L43" s="78">
        <f>IFERROR(MATCH(SMALL('棚卸表'!$W$5:$W$504,39),'棚卸表'!$W$5:$W$504,0),"")</f>
        <v/>
      </c>
    </row>
    <row r="44" ht="18" customHeight="1">
      <c r="A44" s="52">
        <f>IF($L44="","",40)</f>
        <v/>
      </c>
      <c r="B44" s="57">
        <f>IF($L44="","",INDEX('棚卸表'!$R$5:$R$504,$L44))</f>
        <v/>
      </c>
      <c r="C44" s="52">
        <f>IF($L44="","",INDEX('棚卸表'!$S$5:$S$504,$L44)&amp;"")</f>
        <v/>
      </c>
      <c r="D44" s="52">
        <f>IF($L44="","",INDEX('棚卸表'!$T$5:$T$504,$L44)&amp;"")</f>
        <v/>
      </c>
      <c r="E44" s="52">
        <f>IF($L44="","",INDEX('棚卸表'!$E$5:$E$504,$L44)&amp;"")</f>
        <v/>
      </c>
      <c r="F44" s="52">
        <f>IF($L44="","",INDEX('棚卸表'!$B$5:$B$504,$L44)&amp;"")</f>
        <v/>
      </c>
      <c r="G44" s="53">
        <f>IF($L44="","",INDEX('棚卸表'!$C$5:$C$504,$L44)&amp;"")</f>
        <v/>
      </c>
      <c r="H44" s="58">
        <f>IF($L44="","",IF(ISNUMBER(INDEX('棚卸表'!$I$5:$I$504,$L44)),INDEX('棚卸表'!$I$5:$I$504,$L44),INDEX('棚卸表'!$H$5:$H$504,$L44)))</f>
        <v/>
      </c>
      <c r="I44" s="52">
        <f>IF($L44="","",INDEX('棚卸表'!$F$5:$F$504,$L44)&amp;"")</f>
        <v/>
      </c>
      <c r="J44" s="80">
        <f>IF($L44="","",IF(ISNUMBER(INDEX('棚卸表'!$I$5:$I$504,$L44)),INDEX('棚卸表'!$I$5:$I$504,$L44),INDEX('棚卸表'!$H$5:$H$504,$L44))*N(INDEX('棚卸表'!$G$5:$G$504,$L44)))</f>
        <v/>
      </c>
      <c r="K44" s="61" t="n"/>
      <c r="L44" s="78">
        <f>IFERROR(MATCH(SMALL('棚卸表'!$W$5:$W$504,40),'棚卸表'!$W$5:$W$504,0),"")</f>
        <v/>
      </c>
    </row>
    <row r="45" ht="18" customHeight="1">
      <c r="A45" s="52">
        <f>IF($L45="","",41)</f>
        <v/>
      </c>
      <c r="B45" s="57">
        <f>IF($L45="","",INDEX('棚卸表'!$R$5:$R$504,$L45))</f>
        <v/>
      </c>
      <c r="C45" s="52">
        <f>IF($L45="","",INDEX('棚卸表'!$S$5:$S$504,$L45)&amp;"")</f>
        <v/>
      </c>
      <c r="D45" s="52">
        <f>IF($L45="","",INDEX('棚卸表'!$T$5:$T$504,$L45)&amp;"")</f>
        <v/>
      </c>
      <c r="E45" s="52">
        <f>IF($L45="","",INDEX('棚卸表'!$E$5:$E$504,$L45)&amp;"")</f>
        <v/>
      </c>
      <c r="F45" s="52">
        <f>IF($L45="","",INDEX('棚卸表'!$B$5:$B$504,$L45)&amp;"")</f>
        <v/>
      </c>
      <c r="G45" s="53">
        <f>IF($L45="","",INDEX('棚卸表'!$C$5:$C$504,$L45)&amp;"")</f>
        <v/>
      </c>
      <c r="H45" s="58">
        <f>IF($L45="","",IF(ISNUMBER(INDEX('棚卸表'!$I$5:$I$504,$L45)),INDEX('棚卸表'!$I$5:$I$504,$L45),INDEX('棚卸表'!$H$5:$H$504,$L45)))</f>
        <v/>
      </c>
      <c r="I45" s="52">
        <f>IF($L45="","",INDEX('棚卸表'!$F$5:$F$504,$L45)&amp;"")</f>
        <v/>
      </c>
      <c r="J45" s="80">
        <f>IF($L45="","",IF(ISNUMBER(INDEX('棚卸表'!$I$5:$I$504,$L45)),INDEX('棚卸表'!$I$5:$I$504,$L45),INDEX('棚卸表'!$H$5:$H$504,$L45))*N(INDEX('棚卸表'!$G$5:$G$504,$L45)))</f>
        <v/>
      </c>
      <c r="K45" s="61" t="n"/>
      <c r="L45" s="78">
        <f>IFERROR(MATCH(SMALL('棚卸表'!$W$5:$W$504,41),'棚卸表'!$W$5:$W$504,0),"")</f>
        <v/>
      </c>
    </row>
    <row r="46" ht="18" customHeight="1">
      <c r="A46" s="52">
        <f>IF($L46="","",42)</f>
        <v/>
      </c>
      <c r="B46" s="57">
        <f>IF($L46="","",INDEX('棚卸表'!$R$5:$R$504,$L46))</f>
        <v/>
      </c>
      <c r="C46" s="52">
        <f>IF($L46="","",INDEX('棚卸表'!$S$5:$S$504,$L46)&amp;"")</f>
        <v/>
      </c>
      <c r="D46" s="52">
        <f>IF($L46="","",INDEX('棚卸表'!$T$5:$T$504,$L46)&amp;"")</f>
        <v/>
      </c>
      <c r="E46" s="52">
        <f>IF($L46="","",INDEX('棚卸表'!$E$5:$E$504,$L46)&amp;"")</f>
        <v/>
      </c>
      <c r="F46" s="52">
        <f>IF($L46="","",INDEX('棚卸表'!$B$5:$B$504,$L46)&amp;"")</f>
        <v/>
      </c>
      <c r="G46" s="53">
        <f>IF($L46="","",INDEX('棚卸表'!$C$5:$C$504,$L46)&amp;"")</f>
        <v/>
      </c>
      <c r="H46" s="58">
        <f>IF($L46="","",IF(ISNUMBER(INDEX('棚卸表'!$I$5:$I$504,$L46)),INDEX('棚卸表'!$I$5:$I$504,$L46),INDEX('棚卸表'!$H$5:$H$504,$L46)))</f>
        <v/>
      </c>
      <c r="I46" s="52">
        <f>IF($L46="","",INDEX('棚卸表'!$F$5:$F$504,$L46)&amp;"")</f>
        <v/>
      </c>
      <c r="J46" s="80">
        <f>IF($L46="","",IF(ISNUMBER(INDEX('棚卸表'!$I$5:$I$504,$L46)),INDEX('棚卸表'!$I$5:$I$504,$L46),INDEX('棚卸表'!$H$5:$H$504,$L46))*N(INDEX('棚卸表'!$G$5:$G$504,$L46)))</f>
        <v/>
      </c>
      <c r="K46" s="61" t="n"/>
      <c r="L46" s="78">
        <f>IFERROR(MATCH(SMALL('棚卸表'!$W$5:$W$504,42),'棚卸表'!$W$5:$W$504,0),"")</f>
        <v/>
      </c>
    </row>
    <row r="47" ht="18" customHeight="1">
      <c r="A47" s="52">
        <f>IF($L47="","",43)</f>
        <v/>
      </c>
      <c r="B47" s="57">
        <f>IF($L47="","",INDEX('棚卸表'!$R$5:$R$504,$L47))</f>
        <v/>
      </c>
      <c r="C47" s="52">
        <f>IF($L47="","",INDEX('棚卸表'!$S$5:$S$504,$L47)&amp;"")</f>
        <v/>
      </c>
      <c r="D47" s="52">
        <f>IF($L47="","",INDEX('棚卸表'!$T$5:$T$504,$L47)&amp;"")</f>
        <v/>
      </c>
      <c r="E47" s="52">
        <f>IF($L47="","",INDEX('棚卸表'!$E$5:$E$504,$L47)&amp;"")</f>
        <v/>
      </c>
      <c r="F47" s="52">
        <f>IF($L47="","",INDEX('棚卸表'!$B$5:$B$504,$L47)&amp;"")</f>
        <v/>
      </c>
      <c r="G47" s="53">
        <f>IF($L47="","",INDEX('棚卸表'!$C$5:$C$504,$L47)&amp;"")</f>
        <v/>
      </c>
      <c r="H47" s="58">
        <f>IF($L47="","",IF(ISNUMBER(INDEX('棚卸表'!$I$5:$I$504,$L47)),INDEX('棚卸表'!$I$5:$I$504,$L47),INDEX('棚卸表'!$H$5:$H$504,$L47)))</f>
        <v/>
      </c>
      <c r="I47" s="52">
        <f>IF($L47="","",INDEX('棚卸表'!$F$5:$F$504,$L47)&amp;"")</f>
        <v/>
      </c>
      <c r="J47" s="80">
        <f>IF($L47="","",IF(ISNUMBER(INDEX('棚卸表'!$I$5:$I$504,$L47)),INDEX('棚卸表'!$I$5:$I$504,$L47),INDEX('棚卸表'!$H$5:$H$504,$L47))*N(INDEX('棚卸表'!$G$5:$G$504,$L47)))</f>
        <v/>
      </c>
      <c r="K47" s="61" t="n"/>
      <c r="L47" s="78">
        <f>IFERROR(MATCH(SMALL('棚卸表'!$W$5:$W$504,43),'棚卸表'!$W$5:$W$504,0),"")</f>
        <v/>
      </c>
    </row>
    <row r="48" ht="18" customHeight="1">
      <c r="A48" s="52">
        <f>IF($L48="","",44)</f>
        <v/>
      </c>
      <c r="B48" s="57">
        <f>IF($L48="","",INDEX('棚卸表'!$R$5:$R$504,$L48))</f>
        <v/>
      </c>
      <c r="C48" s="52">
        <f>IF($L48="","",INDEX('棚卸表'!$S$5:$S$504,$L48)&amp;"")</f>
        <v/>
      </c>
      <c r="D48" s="52">
        <f>IF($L48="","",INDEX('棚卸表'!$T$5:$T$504,$L48)&amp;"")</f>
        <v/>
      </c>
      <c r="E48" s="52">
        <f>IF($L48="","",INDEX('棚卸表'!$E$5:$E$504,$L48)&amp;"")</f>
        <v/>
      </c>
      <c r="F48" s="52">
        <f>IF($L48="","",INDEX('棚卸表'!$B$5:$B$504,$L48)&amp;"")</f>
        <v/>
      </c>
      <c r="G48" s="53">
        <f>IF($L48="","",INDEX('棚卸表'!$C$5:$C$504,$L48)&amp;"")</f>
        <v/>
      </c>
      <c r="H48" s="58">
        <f>IF($L48="","",IF(ISNUMBER(INDEX('棚卸表'!$I$5:$I$504,$L48)),INDEX('棚卸表'!$I$5:$I$504,$L48),INDEX('棚卸表'!$H$5:$H$504,$L48)))</f>
        <v/>
      </c>
      <c r="I48" s="52">
        <f>IF($L48="","",INDEX('棚卸表'!$F$5:$F$504,$L48)&amp;"")</f>
        <v/>
      </c>
      <c r="J48" s="80">
        <f>IF($L48="","",IF(ISNUMBER(INDEX('棚卸表'!$I$5:$I$504,$L48)),INDEX('棚卸表'!$I$5:$I$504,$L48),INDEX('棚卸表'!$H$5:$H$504,$L48))*N(INDEX('棚卸表'!$G$5:$G$504,$L48)))</f>
        <v/>
      </c>
      <c r="K48" s="61" t="n"/>
      <c r="L48" s="78">
        <f>IFERROR(MATCH(SMALL('棚卸表'!$W$5:$W$504,44),'棚卸表'!$W$5:$W$504,0),"")</f>
        <v/>
      </c>
    </row>
    <row r="49" ht="18" customHeight="1">
      <c r="A49" s="52">
        <f>IF($L49="","",45)</f>
        <v/>
      </c>
      <c r="B49" s="57">
        <f>IF($L49="","",INDEX('棚卸表'!$R$5:$R$504,$L49))</f>
        <v/>
      </c>
      <c r="C49" s="52">
        <f>IF($L49="","",INDEX('棚卸表'!$S$5:$S$504,$L49)&amp;"")</f>
        <v/>
      </c>
      <c r="D49" s="52">
        <f>IF($L49="","",INDEX('棚卸表'!$T$5:$T$504,$L49)&amp;"")</f>
        <v/>
      </c>
      <c r="E49" s="52">
        <f>IF($L49="","",INDEX('棚卸表'!$E$5:$E$504,$L49)&amp;"")</f>
        <v/>
      </c>
      <c r="F49" s="52">
        <f>IF($L49="","",INDEX('棚卸表'!$B$5:$B$504,$L49)&amp;"")</f>
        <v/>
      </c>
      <c r="G49" s="53">
        <f>IF($L49="","",INDEX('棚卸表'!$C$5:$C$504,$L49)&amp;"")</f>
        <v/>
      </c>
      <c r="H49" s="58">
        <f>IF($L49="","",IF(ISNUMBER(INDEX('棚卸表'!$I$5:$I$504,$L49)),INDEX('棚卸表'!$I$5:$I$504,$L49),INDEX('棚卸表'!$H$5:$H$504,$L49)))</f>
        <v/>
      </c>
      <c r="I49" s="52">
        <f>IF($L49="","",INDEX('棚卸表'!$F$5:$F$504,$L49)&amp;"")</f>
        <v/>
      </c>
      <c r="J49" s="80">
        <f>IF($L49="","",IF(ISNUMBER(INDEX('棚卸表'!$I$5:$I$504,$L49)),INDEX('棚卸表'!$I$5:$I$504,$L49),INDEX('棚卸表'!$H$5:$H$504,$L49))*N(INDEX('棚卸表'!$G$5:$G$504,$L49)))</f>
        <v/>
      </c>
      <c r="K49" s="61" t="n"/>
      <c r="L49" s="78">
        <f>IFERROR(MATCH(SMALL('棚卸表'!$W$5:$W$504,45),'棚卸表'!$W$5:$W$504,0),"")</f>
        <v/>
      </c>
    </row>
    <row r="50" ht="18" customHeight="1">
      <c r="A50" s="52">
        <f>IF($L50="","",46)</f>
        <v/>
      </c>
      <c r="B50" s="57">
        <f>IF($L50="","",INDEX('棚卸表'!$R$5:$R$504,$L50))</f>
        <v/>
      </c>
      <c r="C50" s="52">
        <f>IF($L50="","",INDEX('棚卸表'!$S$5:$S$504,$L50)&amp;"")</f>
        <v/>
      </c>
      <c r="D50" s="52">
        <f>IF($L50="","",INDEX('棚卸表'!$T$5:$T$504,$L50)&amp;"")</f>
        <v/>
      </c>
      <c r="E50" s="52">
        <f>IF($L50="","",INDEX('棚卸表'!$E$5:$E$504,$L50)&amp;"")</f>
        <v/>
      </c>
      <c r="F50" s="52">
        <f>IF($L50="","",INDEX('棚卸表'!$B$5:$B$504,$L50)&amp;"")</f>
        <v/>
      </c>
      <c r="G50" s="53">
        <f>IF($L50="","",INDEX('棚卸表'!$C$5:$C$504,$L50)&amp;"")</f>
        <v/>
      </c>
      <c r="H50" s="58">
        <f>IF($L50="","",IF(ISNUMBER(INDEX('棚卸表'!$I$5:$I$504,$L50)),INDEX('棚卸表'!$I$5:$I$504,$L50),INDEX('棚卸表'!$H$5:$H$504,$L50)))</f>
        <v/>
      </c>
      <c r="I50" s="52">
        <f>IF($L50="","",INDEX('棚卸表'!$F$5:$F$504,$L50)&amp;"")</f>
        <v/>
      </c>
      <c r="J50" s="80">
        <f>IF($L50="","",IF(ISNUMBER(INDEX('棚卸表'!$I$5:$I$504,$L50)),INDEX('棚卸表'!$I$5:$I$504,$L50),INDEX('棚卸表'!$H$5:$H$504,$L50))*N(INDEX('棚卸表'!$G$5:$G$504,$L50)))</f>
        <v/>
      </c>
      <c r="K50" s="61" t="n"/>
      <c r="L50" s="78">
        <f>IFERROR(MATCH(SMALL('棚卸表'!$W$5:$W$504,46),'棚卸表'!$W$5:$W$504,0),"")</f>
        <v/>
      </c>
    </row>
    <row r="51" ht="18" customHeight="1">
      <c r="A51" s="52">
        <f>IF($L51="","",47)</f>
        <v/>
      </c>
      <c r="B51" s="57">
        <f>IF($L51="","",INDEX('棚卸表'!$R$5:$R$504,$L51))</f>
        <v/>
      </c>
      <c r="C51" s="52">
        <f>IF($L51="","",INDEX('棚卸表'!$S$5:$S$504,$L51)&amp;"")</f>
        <v/>
      </c>
      <c r="D51" s="52">
        <f>IF($L51="","",INDEX('棚卸表'!$T$5:$T$504,$L51)&amp;"")</f>
        <v/>
      </c>
      <c r="E51" s="52">
        <f>IF($L51="","",INDEX('棚卸表'!$E$5:$E$504,$L51)&amp;"")</f>
        <v/>
      </c>
      <c r="F51" s="52">
        <f>IF($L51="","",INDEX('棚卸表'!$B$5:$B$504,$L51)&amp;"")</f>
        <v/>
      </c>
      <c r="G51" s="53">
        <f>IF($L51="","",INDEX('棚卸表'!$C$5:$C$504,$L51)&amp;"")</f>
        <v/>
      </c>
      <c r="H51" s="58">
        <f>IF($L51="","",IF(ISNUMBER(INDEX('棚卸表'!$I$5:$I$504,$L51)),INDEX('棚卸表'!$I$5:$I$504,$L51),INDEX('棚卸表'!$H$5:$H$504,$L51)))</f>
        <v/>
      </c>
      <c r="I51" s="52">
        <f>IF($L51="","",INDEX('棚卸表'!$F$5:$F$504,$L51)&amp;"")</f>
        <v/>
      </c>
      <c r="J51" s="80">
        <f>IF($L51="","",IF(ISNUMBER(INDEX('棚卸表'!$I$5:$I$504,$L51)),INDEX('棚卸表'!$I$5:$I$504,$L51),INDEX('棚卸表'!$H$5:$H$504,$L51))*N(INDEX('棚卸表'!$G$5:$G$504,$L51)))</f>
        <v/>
      </c>
      <c r="K51" s="61" t="n"/>
      <c r="L51" s="78">
        <f>IFERROR(MATCH(SMALL('棚卸表'!$W$5:$W$504,47),'棚卸表'!$W$5:$W$504,0),"")</f>
        <v/>
      </c>
    </row>
    <row r="52" ht="18" customHeight="1">
      <c r="A52" s="52">
        <f>IF($L52="","",48)</f>
        <v/>
      </c>
      <c r="B52" s="57">
        <f>IF($L52="","",INDEX('棚卸表'!$R$5:$R$504,$L52))</f>
        <v/>
      </c>
      <c r="C52" s="52">
        <f>IF($L52="","",INDEX('棚卸表'!$S$5:$S$504,$L52)&amp;"")</f>
        <v/>
      </c>
      <c r="D52" s="52">
        <f>IF($L52="","",INDEX('棚卸表'!$T$5:$T$504,$L52)&amp;"")</f>
        <v/>
      </c>
      <c r="E52" s="52">
        <f>IF($L52="","",INDEX('棚卸表'!$E$5:$E$504,$L52)&amp;"")</f>
        <v/>
      </c>
      <c r="F52" s="52">
        <f>IF($L52="","",INDEX('棚卸表'!$B$5:$B$504,$L52)&amp;"")</f>
        <v/>
      </c>
      <c r="G52" s="53">
        <f>IF($L52="","",INDEX('棚卸表'!$C$5:$C$504,$L52)&amp;"")</f>
        <v/>
      </c>
      <c r="H52" s="58">
        <f>IF($L52="","",IF(ISNUMBER(INDEX('棚卸表'!$I$5:$I$504,$L52)),INDEX('棚卸表'!$I$5:$I$504,$L52),INDEX('棚卸表'!$H$5:$H$504,$L52)))</f>
        <v/>
      </c>
      <c r="I52" s="52">
        <f>IF($L52="","",INDEX('棚卸表'!$F$5:$F$504,$L52)&amp;"")</f>
        <v/>
      </c>
      <c r="J52" s="80">
        <f>IF($L52="","",IF(ISNUMBER(INDEX('棚卸表'!$I$5:$I$504,$L52)),INDEX('棚卸表'!$I$5:$I$504,$L52),INDEX('棚卸表'!$H$5:$H$504,$L52))*N(INDEX('棚卸表'!$G$5:$G$504,$L52)))</f>
        <v/>
      </c>
      <c r="K52" s="61" t="n"/>
      <c r="L52" s="78">
        <f>IFERROR(MATCH(SMALL('棚卸表'!$W$5:$W$504,48),'棚卸表'!$W$5:$W$504,0),"")</f>
        <v/>
      </c>
    </row>
    <row r="53" ht="18" customHeight="1">
      <c r="A53" s="52">
        <f>IF($L53="","",49)</f>
        <v/>
      </c>
      <c r="B53" s="57">
        <f>IF($L53="","",INDEX('棚卸表'!$R$5:$R$504,$L53))</f>
        <v/>
      </c>
      <c r="C53" s="52">
        <f>IF($L53="","",INDEX('棚卸表'!$S$5:$S$504,$L53)&amp;"")</f>
        <v/>
      </c>
      <c r="D53" s="52">
        <f>IF($L53="","",INDEX('棚卸表'!$T$5:$T$504,$L53)&amp;"")</f>
        <v/>
      </c>
      <c r="E53" s="52">
        <f>IF($L53="","",INDEX('棚卸表'!$E$5:$E$504,$L53)&amp;"")</f>
        <v/>
      </c>
      <c r="F53" s="52">
        <f>IF($L53="","",INDEX('棚卸表'!$B$5:$B$504,$L53)&amp;"")</f>
        <v/>
      </c>
      <c r="G53" s="53">
        <f>IF($L53="","",INDEX('棚卸表'!$C$5:$C$504,$L53)&amp;"")</f>
        <v/>
      </c>
      <c r="H53" s="58">
        <f>IF($L53="","",IF(ISNUMBER(INDEX('棚卸表'!$I$5:$I$504,$L53)),INDEX('棚卸表'!$I$5:$I$504,$L53),INDEX('棚卸表'!$H$5:$H$504,$L53)))</f>
        <v/>
      </c>
      <c r="I53" s="52">
        <f>IF($L53="","",INDEX('棚卸表'!$F$5:$F$504,$L53)&amp;"")</f>
        <v/>
      </c>
      <c r="J53" s="80">
        <f>IF($L53="","",IF(ISNUMBER(INDEX('棚卸表'!$I$5:$I$504,$L53)),INDEX('棚卸表'!$I$5:$I$504,$L53),INDEX('棚卸表'!$H$5:$H$504,$L53))*N(INDEX('棚卸表'!$G$5:$G$504,$L53)))</f>
        <v/>
      </c>
      <c r="K53" s="61" t="n"/>
      <c r="L53" s="78">
        <f>IFERROR(MATCH(SMALL('棚卸表'!$W$5:$W$504,49),'棚卸表'!$W$5:$W$504,0),"")</f>
        <v/>
      </c>
    </row>
    <row r="54" ht="18" customHeight="1">
      <c r="A54" s="52">
        <f>IF($L54="","",50)</f>
        <v/>
      </c>
      <c r="B54" s="57">
        <f>IF($L54="","",INDEX('棚卸表'!$R$5:$R$504,$L54))</f>
        <v/>
      </c>
      <c r="C54" s="52">
        <f>IF($L54="","",INDEX('棚卸表'!$S$5:$S$504,$L54)&amp;"")</f>
        <v/>
      </c>
      <c r="D54" s="52">
        <f>IF($L54="","",INDEX('棚卸表'!$T$5:$T$504,$L54)&amp;"")</f>
        <v/>
      </c>
      <c r="E54" s="52">
        <f>IF($L54="","",INDEX('棚卸表'!$E$5:$E$504,$L54)&amp;"")</f>
        <v/>
      </c>
      <c r="F54" s="52">
        <f>IF($L54="","",INDEX('棚卸表'!$B$5:$B$504,$L54)&amp;"")</f>
        <v/>
      </c>
      <c r="G54" s="53">
        <f>IF($L54="","",INDEX('棚卸表'!$C$5:$C$504,$L54)&amp;"")</f>
        <v/>
      </c>
      <c r="H54" s="58">
        <f>IF($L54="","",IF(ISNUMBER(INDEX('棚卸表'!$I$5:$I$504,$L54)),INDEX('棚卸表'!$I$5:$I$504,$L54),INDEX('棚卸表'!$H$5:$H$504,$L54)))</f>
        <v/>
      </c>
      <c r="I54" s="52">
        <f>IF($L54="","",INDEX('棚卸表'!$F$5:$F$504,$L54)&amp;"")</f>
        <v/>
      </c>
      <c r="J54" s="80">
        <f>IF($L54="","",IF(ISNUMBER(INDEX('棚卸表'!$I$5:$I$504,$L54)),INDEX('棚卸表'!$I$5:$I$504,$L54),INDEX('棚卸表'!$H$5:$H$504,$L54))*N(INDEX('棚卸表'!$G$5:$G$504,$L54)))</f>
        <v/>
      </c>
      <c r="K54" s="61" t="n"/>
      <c r="L54" s="78">
        <f>IFERROR(MATCH(SMALL('棚卸表'!$W$5:$W$504,50),'棚卸表'!$W$5:$W$504,0),"")</f>
        <v/>
      </c>
    </row>
    <row r="55" ht="18" customHeight="1">
      <c r="A55" s="52">
        <f>IF($L55="","",51)</f>
        <v/>
      </c>
      <c r="B55" s="57">
        <f>IF($L55="","",INDEX('棚卸表'!$R$5:$R$504,$L55))</f>
        <v/>
      </c>
      <c r="C55" s="52">
        <f>IF($L55="","",INDEX('棚卸表'!$S$5:$S$504,$L55)&amp;"")</f>
        <v/>
      </c>
      <c r="D55" s="52">
        <f>IF($L55="","",INDEX('棚卸表'!$T$5:$T$504,$L55)&amp;"")</f>
        <v/>
      </c>
      <c r="E55" s="52">
        <f>IF($L55="","",INDEX('棚卸表'!$E$5:$E$504,$L55)&amp;"")</f>
        <v/>
      </c>
      <c r="F55" s="52">
        <f>IF($L55="","",INDEX('棚卸表'!$B$5:$B$504,$L55)&amp;"")</f>
        <v/>
      </c>
      <c r="G55" s="53">
        <f>IF($L55="","",INDEX('棚卸表'!$C$5:$C$504,$L55)&amp;"")</f>
        <v/>
      </c>
      <c r="H55" s="58">
        <f>IF($L55="","",IF(ISNUMBER(INDEX('棚卸表'!$I$5:$I$504,$L55)),INDEX('棚卸表'!$I$5:$I$504,$L55),INDEX('棚卸表'!$H$5:$H$504,$L55)))</f>
        <v/>
      </c>
      <c r="I55" s="52">
        <f>IF($L55="","",INDEX('棚卸表'!$F$5:$F$504,$L55)&amp;"")</f>
        <v/>
      </c>
      <c r="J55" s="80">
        <f>IF($L55="","",IF(ISNUMBER(INDEX('棚卸表'!$I$5:$I$504,$L55)),INDEX('棚卸表'!$I$5:$I$504,$L55),INDEX('棚卸表'!$H$5:$H$504,$L55))*N(INDEX('棚卸表'!$G$5:$G$504,$L55)))</f>
        <v/>
      </c>
      <c r="K55" s="61" t="n"/>
      <c r="L55" s="78">
        <f>IFERROR(MATCH(SMALL('棚卸表'!$W$5:$W$504,51),'棚卸表'!$W$5:$W$504,0),"")</f>
        <v/>
      </c>
    </row>
    <row r="56" ht="18" customHeight="1">
      <c r="A56" s="52">
        <f>IF($L56="","",52)</f>
        <v/>
      </c>
      <c r="B56" s="57">
        <f>IF($L56="","",INDEX('棚卸表'!$R$5:$R$504,$L56))</f>
        <v/>
      </c>
      <c r="C56" s="52">
        <f>IF($L56="","",INDEX('棚卸表'!$S$5:$S$504,$L56)&amp;"")</f>
        <v/>
      </c>
      <c r="D56" s="52">
        <f>IF($L56="","",INDEX('棚卸表'!$T$5:$T$504,$L56)&amp;"")</f>
        <v/>
      </c>
      <c r="E56" s="52">
        <f>IF($L56="","",INDEX('棚卸表'!$E$5:$E$504,$L56)&amp;"")</f>
        <v/>
      </c>
      <c r="F56" s="52">
        <f>IF($L56="","",INDEX('棚卸表'!$B$5:$B$504,$L56)&amp;"")</f>
        <v/>
      </c>
      <c r="G56" s="53">
        <f>IF($L56="","",INDEX('棚卸表'!$C$5:$C$504,$L56)&amp;"")</f>
        <v/>
      </c>
      <c r="H56" s="58">
        <f>IF($L56="","",IF(ISNUMBER(INDEX('棚卸表'!$I$5:$I$504,$L56)),INDEX('棚卸表'!$I$5:$I$504,$L56),INDEX('棚卸表'!$H$5:$H$504,$L56)))</f>
        <v/>
      </c>
      <c r="I56" s="52">
        <f>IF($L56="","",INDEX('棚卸表'!$F$5:$F$504,$L56)&amp;"")</f>
        <v/>
      </c>
      <c r="J56" s="80">
        <f>IF($L56="","",IF(ISNUMBER(INDEX('棚卸表'!$I$5:$I$504,$L56)),INDEX('棚卸表'!$I$5:$I$504,$L56),INDEX('棚卸表'!$H$5:$H$504,$L56))*N(INDEX('棚卸表'!$G$5:$G$504,$L56)))</f>
        <v/>
      </c>
      <c r="K56" s="61" t="n"/>
      <c r="L56" s="78">
        <f>IFERROR(MATCH(SMALL('棚卸表'!$W$5:$W$504,52),'棚卸表'!$W$5:$W$504,0),"")</f>
        <v/>
      </c>
    </row>
    <row r="57" ht="18" customHeight="1">
      <c r="A57" s="52">
        <f>IF($L57="","",53)</f>
        <v/>
      </c>
      <c r="B57" s="57">
        <f>IF($L57="","",INDEX('棚卸表'!$R$5:$R$504,$L57))</f>
        <v/>
      </c>
      <c r="C57" s="52">
        <f>IF($L57="","",INDEX('棚卸表'!$S$5:$S$504,$L57)&amp;"")</f>
        <v/>
      </c>
      <c r="D57" s="52">
        <f>IF($L57="","",INDEX('棚卸表'!$T$5:$T$504,$L57)&amp;"")</f>
        <v/>
      </c>
      <c r="E57" s="52">
        <f>IF($L57="","",INDEX('棚卸表'!$E$5:$E$504,$L57)&amp;"")</f>
        <v/>
      </c>
      <c r="F57" s="52">
        <f>IF($L57="","",INDEX('棚卸表'!$B$5:$B$504,$L57)&amp;"")</f>
        <v/>
      </c>
      <c r="G57" s="53">
        <f>IF($L57="","",INDEX('棚卸表'!$C$5:$C$504,$L57)&amp;"")</f>
        <v/>
      </c>
      <c r="H57" s="58">
        <f>IF($L57="","",IF(ISNUMBER(INDEX('棚卸表'!$I$5:$I$504,$L57)),INDEX('棚卸表'!$I$5:$I$504,$L57),INDEX('棚卸表'!$H$5:$H$504,$L57)))</f>
        <v/>
      </c>
      <c r="I57" s="52">
        <f>IF($L57="","",INDEX('棚卸表'!$F$5:$F$504,$L57)&amp;"")</f>
        <v/>
      </c>
      <c r="J57" s="80">
        <f>IF($L57="","",IF(ISNUMBER(INDEX('棚卸表'!$I$5:$I$504,$L57)),INDEX('棚卸表'!$I$5:$I$504,$L57),INDEX('棚卸表'!$H$5:$H$504,$L57))*N(INDEX('棚卸表'!$G$5:$G$504,$L57)))</f>
        <v/>
      </c>
      <c r="K57" s="61" t="n"/>
      <c r="L57" s="78">
        <f>IFERROR(MATCH(SMALL('棚卸表'!$W$5:$W$504,53),'棚卸表'!$W$5:$W$504,0),"")</f>
        <v/>
      </c>
    </row>
    <row r="58" ht="18" customHeight="1">
      <c r="A58" s="52">
        <f>IF($L58="","",54)</f>
        <v/>
      </c>
      <c r="B58" s="57">
        <f>IF($L58="","",INDEX('棚卸表'!$R$5:$R$504,$L58))</f>
        <v/>
      </c>
      <c r="C58" s="52">
        <f>IF($L58="","",INDEX('棚卸表'!$S$5:$S$504,$L58)&amp;"")</f>
        <v/>
      </c>
      <c r="D58" s="52">
        <f>IF($L58="","",INDEX('棚卸表'!$T$5:$T$504,$L58)&amp;"")</f>
        <v/>
      </c>
      <c r="E58" s="52">
        <f>IF($L58="","",INDEX('棚卸表'!$E$5:$E$504,$L58)&amp;"")</f>
        <v/>
      </c>
      <c r="F58" s="52">
        <f>IF($L58="","",INDEX('棚卸表'!$B$5:$B$504,$L58)&amp;"")</f>
        <v/>
      </c>
      <c r="G58" s="53">
        <f>IF($L58="","",INDEX('棚卸表'!$C$5:$C$504,$L58)&amp;"")</f>
        <v/>
      </c>
      <c r="H58" s="58">
        <f>IF($L58="","",IF(ISNUMBER(INDEX('棚卸表'!$I$5:$I$504,$L58)),INDEX('棚卸表'!$I$5:$I$504,$L58),INDEX('棚卸表'!$H$5:$H$504,$L58)))</f>
        <v/>
      </c>
      <c r="I58" s="52">
        <f>IF($L58="","",INDEX('棚卸表'!$F$5:$F$504,$L58)&amp;"")</f>
        <v/>
      </c>
      <c r="J58" s="80">
        <f>IF($L58="","",IF(ISNUMBER(INDEX('棚卸表'!$I$5:$I$504,$L58)),INDEX('棚卸表'!$I$5:$I$504,$L58),INDEX('棚卸表'!$H$5:$H$504,$L58))*N(INDEX('棚卸表'!$G$5:$G$504,$L58)))</f>
        <v/>
      </c>
      <c r="K58" s="61" t="n"/>
      <c r="L58" s="78">
        <f>IFERROR(MATCH(SMALL('棚卸表'!$W$5:$W$504,54),'棚卸表'!$W$5:$W$504,0),"")</f>
        <v/>
      </c>
    </row>
    <row r="59" ht="18" customHeight="1">
      <c r="A59" s="52">
        <f>IF($L59="","",55)</f>
        <v/>
      </c>
      <c r="B59" s="57">
        <f>IF($L59="","",INDEX('棚卸表'!$R$5:$R$504,$L59))</f>
        <v/>
      </c>
      <c r="C59" s="52">
        <f>IF($L59="","",INDEX('棚卸表'!$S$5:$S$504,$L59)&amp;"")</f>
        <v/>
      </c>
      <c r="D59" s="52">
        <f>IF($L59="","",INDEX('棚卸表'!$T$5:$T$504,$L59)&amp;"")</f>
        <v/>
      </c>
      <c r="E59" s="52">
        <f>IF($L59="","",INDEX('棚卸表'!$E$5:$E$504,$L59)&amp;"")</f>
        <v/>
      </c>
      <c r="F59" s="52">
        <f>IF($L59="","",INDEX('棚卸表'!$B$5:$B$504,$L59)&amp;"")</f>
        <v/>
      </c>
      <c r="G59" s="53">
        <f>IF($L59="","",INDEX('棚卸表'!$C$5:$C$504,$L59)&amp;"")</f>
        <v/>
      </c>
      <c r="H59" s="58">
        <f>IF($L59="","",IF(ISNUMBER(INDEX('棚卸表'!$I$5:$I$504,$L59)),INDEX('棚卸表'!$I$5:$I$504,$L59),INDEX('棚卸表'!$H$5:$H$504,$L59)))</f>
        <v/>
      </c>
      <c r="I59" s="52">
        <f>IF($L59="","",INDEX('棚卸表'!$F$5:$F$504,$L59)&amp;"")</f>
        <v/>
      </c>
      <c r="J59" s="80">
        <f>IF($L59="","",IF(ISNUMBER(INDEX('棚卸表'!$I$5:$I$504,$L59)),INDEX('棚卸表'!$I$5:$I$504,$L59),INDEX('棚卸表'!$H$5:$H$504,$L59))*N(INDEX('棚卸表'!$G$5:$G$504,$L59)))</f>
        <v/>
      </c>
      <c r="K59" s="61" t="n"/>
      <c r="L59" s="78">
        <f>IFERROR(MATCH(SMALL('棚卸表'!$W$5:$W$504,55),'棚卸表'!$W$5:$W$504,0),"")</f>
        <v/>
      </c>
    </row>
    <row r="60" ht="18" customHeight="1">
      <c r="A60" s="52">
        <f>IF($L60="","",56)</f>
        <v/>
      </c>
      <c r="B60" s="57">
        <f>IF($L60="","",INDEX('棚卸表'!$R$5:$R$504,$L60))</f>
        <v/>
      </c>
      <c r="C60" s="52">
        <f>IF($L60="","",INDEX('棚卸表'!$S$5:$S$504,$L60)&amp;"")</f>
        <v/>
      </c>
      <c r="D60" s="52">
        <f>IF($L60="","",INDEX('棚卸表'!$T$5:$T$504,$L60)&amp;"")</f>
        <v/>
      </c>
      <c r="E60" s="52">
        <f>IF($L60="","",INDEX('棚卸表'!$E$5:$E$504,$L60)&amp;"")</f>
        <v/>
      </c>
      <c r="F60" s="52">
        <f>IF($L60="","",INDEX('棚卸表'!$B$5:$B$504,$L60)&amp;"")</f>
        <v/>
      </c>
      <c r="G60" s="53">
        <f>IF($L60="","",INDEX('棚卸表'!$C$5:$C$504,$L60)&amp;"")</f>
        <v/>
      </c>
      <c r="H60" s="58">
        <f>IF($L60="","",IF(ISNUMBER(INDEX('棚卸表'!$I$5:$I$504,$L60)),INDEX('棚卸表'!$I$5:$I$504,$L60),INDEX('棚卸表'!$H$5:$H$504,$L60)))</f>
        <v/>
      </c>
      <c r="I60" s="52">
        <f>IF($L60="","",INDEX('棚卸表'!$F$5:$F$504,$L60)&amp;"")</f>
        <v/>
      </c>
      <c r="J60" s="80">
        <f>IF($L60="","",IF(ISNUMBER(INDEX('棚卸表'!$I$5:$I$504,$L60)),INDEX('棚卸表'!$I$5:$I$504,$L60),INDEX('棚卸表'!$H$5:$H$504,$L60))*N(INDEX('棚卸表'!$G$5:$G$504,$L60)))</f>
        <v/>
      </c>
      <c r="K60" s="61" t="n"/>
      <c r="L60" s="78">
        <f>IFERROR(MATCH(SMALL('棚卸表'!$W$5:$W$504,56),'棚卸表'!$W$5:$W$504,0),"")</f>
        <v/>
      </c>
    </row>
    <row r="61" ht="18" customHeight="1">
      <c r="A61" s="52">
        <f>IF($L61="","",57)</f>
        <v/>
      </c>
      <c r="B61" s="57">
        <f>IF($L61="","",INDEX('棚卸表'!$R$5:$R$504,$L61))</f>
        <v/>
      </c>
      <c r="C61" s="52">
        <f>IF($L61="","",INDEX('棚卸表'!$S$5:$S$504,$L61)&amp;"")</f>
        <v/>
      </c>
      <c r="D61" s="52">
        <f>IF($L61="","",INDEX('棚卸表'!$T$5:$T$504,$L61)&amp;"")</f>
        <v/>
      </c>
      <c r="E61" s="52">
        <f>IF($L61="","",INDEX('棚卸表'!$E$5:$E$504,$L61)&amp;"")</f>
        <v/>
      </c>
      <c r="F61" s="52">
        <f>IF($L61="","",INDEX('棚卸表'!$B$5:$B$504,$L61)&amp;"")</f>
        <v/>
      </c>
      <c r="G61" s="53">
        <f>IF($L61="","",INDEX('棚卸表'!$C$5:$C$504,$L61)&amp;"")</f>
        <v/>
      </c>
      <c r="H61" s="58">
        <f>IF($L61="","",IF(ISNUMBER(INDEX('棚卸表'!$I$5:$I$504,$L61)),INDEX('棚卸表'!$I$5:$I$504,$L61),INDEX('棚卸表'!$H$5:$H$504,$L61)))</f>
        <v/>
      </c>
      <c r="I61" s="52">
        <f>IF($L61="","",INDEX('棚卸表'!$F$5:$F$504,$L61)&amp;"")</f>
        <v/>
      </c>
      <c r="J61" s="80">
        <f>IF($L61="","",IF(ISNUMBER(INDEX('棚卸表'!$I$5:$I$504,$L61)),INDEX('棚卸表'!$I$5:$I$504,$L61),INDEX('棚卸表'!$H$5:$H$504,$L61))*N(INDEX('棚卸表'!$G$5:$G$504,$L61)))</f>
        <v/>
      </c>
      <c r="K61" s="61" t="n"/>
      <c r="L61" s="78">
        <f>IFERROR(MATCH(SMALL('棚卸表'!$W$5:$W$504,57),'棚卸表'!$W$5:$W$504,0),"")</f>
        <v/>
      </c>
    </row>
    <row r="62" ht="18" customHeight="1">
      <c r="A62" s="52">
        <f>IF($L62="","",58)</f>
        <v/>
      </c>
      <c r="B62" s="57">
        <f>IF($L62="","",INDEX('棚卸表'!$R$5:$R$504,$L62))</f>
        <v/>
      </c>
      <c r="C62" s="52">
        <f>IF($L62="","",INDEX('棚卸表'!$S$5:$S$504,$L62)&amp;"")</f>
        <v/>
      </c>
      <c r="D62" s="52">
        <f>IF($L62="","",INDEX('棚卸表'!$T$5:$T$504,$L62)&amp;"")</f>
        <v/>
      </c>
      <c r="E62" s="52">
        <f>IF($L62="","",INDEX('棚卸表'!$E$5:$E$504,$L62)&amp;"")</f>
        <v/>
      </c>
      <c r="F62" s="52">
        <f>IF($L62="","",INDEX('棚卸表'!$B$5:$B$504,$L62)&amp;"")</f>
        <v/>
      </c>
      <c r="G62" s="53">
        <f>IF($L62="","",INDEX('棚卸表'!$C$5:$C$504,$L62)&amp;"")</f>
        <v/>
      </c>
      <c r="H62" s="58">
        <f>IF($L62="","",IF(ISNUMBER(INDEX('棚卸表'!$I$5:$I$504,$L62)),INDEX('棚卸表'!$I$5:$I$504,$L62),INDEX('棚卸表'!$H$5:$H$504,$L62)))</f>
        <v/>
      </c>
      <c r="I62" s="52">
        <f>IF($L62="","",INDEX('棚卸表'!$F$5:$F$504,$L62)&amp;"")</f>
        <v/>
      </c>
      <c r="J62" s="80">
        <f>IF($L62="","",IF(ISNUMBER(INDEX('棚卸表'!$I$5:$I$504,$L62)),INDEX('棚卸表'!$I$5:$I$504,$L62),INDEX('棚卸表'!$H$5:$H$504,$L62))*N(INDEX('棚卸表'!$G$5:$G$504,$L62)))</f>
        <v/>
      </c>
      <c r="K62" s="61" t="n"/>
      <c r="L62" s="78">
        <f>IFERROR(MATCH(SMALL('棚卸表'!$W$5:$W$504,58),'棚卸表'!$W$5:$W$504,0),"")</f>
        <v/>
      </c>
    </row>
    <row r="63" ht="18" customHeight="1">
      <c r="A63" s="52">
        <f>IF($L63="","",59)</f>
        <v/>
      </c>
      <c r="B63" s="57">
        <f>IF($L63="","",INDEX('棚卸表'!$R$5:$R$504,$L63))</f>
        <v/>
      </c>
      <c r="C63" s="52">
        <f>IF($L63="","",INDEX('棚卸表'!$S$5:$S$504,$L63)&amp;"")</f>
        <v/>
      </c>
      <c r="D63" s="52">
        <f>IF($L63="","",INDEX('棚卸表'!$T$5:$T$504,$L63)&amp;"")</f>
        <v/>
      </c>
      <c r="E63" s="52">
        <f>IF($L63="","",INDEX('棚卸表'!$E$5:$E$504,$L63)&amp;"")</f>
        <v/>
      </c>
      <c r="F63" s="52">
        <f>IF($L63="","",INDEX('棚卸表'!$B$5:$B$504,$L63)&amp;"")</f>
        <v/>
      </c>
      <c r="G63" s="53">
        <f>IF($L63="","",INDEX('棚卸表'!$C$5:$C$504,$L63)&amp;"")</f>
        <v/>
      </c>
      <c r="H63" s="58">
        <f>IF($L63="","",IF(ISNUMBER(INDEX('棚卸表'!$I$5:$I$504,$L63)),INDEX('棚卸表'!$I$5:$I$504,$L63),INDEX('棚卸表'!$H$5:$H$504,$L63)))</f>
        <v/>
      </c>
      <c r="I63" s="52">
        <f>IF($L63="","",INDEX('棚卸表'!$F$5:$F$504,$L63)&amp;"")</f>
        <v/>
      </c>
      <c r="J63" s="80">
        <f>IF($L63="","",IF(ISNUMBER(INDEX('棚卸表'!$I$5:$I$504,$L63)),INDEX('棚卸表'!$I$5:$I$504,$L63),INDEX('棚卸表'!$H$5:$H$504,$L63))*N(INDEX('棚卸表'!$G$5:$G$504,$L63)))</f>
        <v/>
      </c>
      <c r="K63" s="61" t="n"/>
      <c r="L63" s="78">
        <f>IFERROR(MATCH(SMALL('棚卸表'!$W$5:$W$504,59),'棚卸表'!$W$5:$W$504,0),"")</f>
        <v/>
      </c>
    </row>
    <row r="64" ht="18" customHeight="1">
      <c r="A64" s="52">
        <f>IF($L64="","",60)</f>
        <v/>
      </c>
      <c r="B64" s="57">
        <f>IF($L64="","",INDEX('棚卸表'!$R$5:$R$504,$L64))</f>
        <v/>
      </c>
      <c r="C64" s="52">
        <f>IF($L64="","",INDEX('棚卸表'!$S$5:$S$504,$L64)&amp;"")</f>
        <v/>
      </c>
      <c r="D64" s="52">
        <f>IF($L64="","",INDEX('棚卸表'!$T$5:$T$504,$L64)&amp;"")</f>
        <v/>
      </c>
      <c r="E64" s="52">
        <f>IF($L64="","",INDEX('棚卸表'!$E$5:$E$504,$L64)&amp;"")</f>
        <v/>
      </c>
      <c r="F64" s="52">
        <f>IF($L64="","",INDEX('棚卸表'!$B$5:$B$504,$L64)&amp;"")</f>
        <v/>
      </c>
      <c r="G64" s="53">
        <f>IF($L64="","",INDEX('棚卸表'!$C$5:$C$504,$L64)&amp;"")</f>
        <v/>
      </c>
      <c r="H64" s="58">
        <f>IF($L64="","",IF(ISNUMBER(INDEX('棚卸表'!$I$5:$I$504,$L64)),INDEX('棚卸表'!$I$5:$I$504,$L64),INDEX('棚卸表'!$H$5:$H$504,$L64)))</f>
        <v/>
      </c>
      <c r="I64" s="52">
        <f>IF($L64="","",INDEX('棚卸表'!$F$5:$F$504,$L64)&amp;"")</f>
        <v/>
      </c>
      <c r="J64" s="80">
        <f>IF($L64="","",IF(ISNUMBER(INDEX('棚卸表'!$I$5:$I$504,$L64)),INDEX('棚卸表'!$I$5:$I$504,$L64),INDEX('棚卸表'!$H$5:$H$504,$L64))*N(INDEX('棚卸表'!$G$5:$G$504,$L64)))</f>
        <v/>
      </c>
      <c r="K64" s="61" t="n"/>
      <c r="L64" s="78">
        <f>IFERROR(MATCH(SMALL('棚卸表'!$W$5:$W$504,60),'棚卸表'!$W$5:$W$504,0),"")</f>
        <v/>
      </c>
    </row>
    <row r="65" ht="18" customHeight="1">
      <c r="A65" s="52">
        <f>IF($L65="","",61)</f>
        <v/>
      </c>
      <c r="B65" s="57">
        <f>IF($L65="","",INDEX('棚卸表'!$R$5:$R$504,$L65))</f>
        <v/>
      </c>
      <c r="C65" s="52">
        <f>IF($L65="","",INDEX('棚卸表'!$S$5:$S$504,$L65)&amp;"")</f>
        <v/>
      </c>
      <c r="D65" s="52">
        <f>IF($L65="","",INDEX('棚卸表'!$T$5:$T$504,$L65)&amp;"")</f>
        <v/>
      </c>
      <c r="E65" s="52">
        <f>IF($L65="","",INDEX('棚卸表'!$E$5:$E$504,$L65)&amp;"")</f>
        <v/>
      </c>
      <c r="F65" s="52">
        <f>IF($L65="","",INDEX('棚卸表'!$B$5:$B$504,$L65)&amp;"")</f>
        <v/>
      </c>
      <c r="G65" s="53">
        <f>IF($L65="","",INDEX('棚卸表'!$C$5:$C$504,$L65)&amp;"")</f>
        <v/>
      </c>
      <c r="H65" s="58">
        <f>IF($L65="","",IF(ISNUMBER(INDEX('棚卸表'!$I$5:$I$504,$L65)),INDEX('棚卸表'!$I$5:$I$504,$L65),INDEX('棚卸表'!$H$5:$H$504,$L65)))</f>
        <v/>
      </c>
      <c r="I65" s="52">
        <f>IF($L65="","",INDEX('棚卸表'!$F$5:$F$504,$L65)&amp;"")</f>
        <v/>
      </c>
      <c r="J65" s="80">
        <f>IF($L65="","",IF(ISNUMBER(INDEX('棚卸表'!$I$5:$I$504,$L65)),INDEX('棚卸表'!$I$5:$I$504,$L65),INDEX('棚卸表'!$H$5:$H$504,$L65))*N(INDEX('棚卸表'!$G$5:$G$504,$L65)))</f>
        <v/>
      </c>
      <c r="K65" s="61" t="n"/>
      <c r="L65" s="78">
        <f>IFERROR(MATCH(SMALL('棚卸表'!$W$5:$W$504,61),'棚卸表'!$W$5:$W$504,0),"")</f>
        <v/>
      </c>
    </row>
    <row r="66" ht="18" customHeight="1">
      <c r="A66" s="52">
        <f>IF($L66="","",62)</f>
        <v/>
      </c>
      <c r="B66" s="57">
        <f>IF($L66="","",INDEX('棚卸表'!$R$5:$R$504,$L66))</f>
        <v/>
      </c>
      <c r="C66" s="52">
        <f>IF($L66="","",INDEX('棚卸表'!$S$5:$S$504,$L66)&amp;"")</f>
        <v/>
      </c>
      <c r="D66" s="52">
        <f>IF($L66="","",INDEX('棚卸表'!$T$5:$T$504,$L66)&amp;"")</f>
        <v/>
      </c>
      <c r="E66" s="52">
        <f>IF($L66="","",INDEX('棚卸表'!$E$5:$E$504,$L66)&amp;"")</f>
        <v/>
      </c>
      <c r="F66" s="52">
        <f>IF($L66="","",INDEX('棚卸表'!$B$5:$B$504,$L66)&amp;"")</f>
        <v/>
      </c>
      <c r="G66" s="53">
        <f>IF($L66="","",INDEX('棚卸表'!$C$5:$C$504,$L66)&amp;"")</f>
        <v/>
      </c>
      <c r="H66" s="58">
        <f>IF($L66="","",IF(ISNUMBER(INDEX('棚卸表'!$I$5:$I$504,$L66)),INDEX('棚卸表'!$I$5:$I$504,$L66),INDEX('棚卸表'!$H$5:$H$504,$L66)))</f>
        <v/>
      </c>
      <c r="I66" s="52">
        <f>IF($L66="","",INDEX('棚卸表'!$F$5:$F$504,$L66)&amp;"")</f>
        <v/>
      </c>
      <c r="J66" s="80">
        <f>IF($L66="","",IF(ISNUMBER(INDEX('棚卸表'!$I$5:$I$504,$L66)),INDEX('棚卸表'!$I$5:$I$504,$L66),INDEX('棚卸表'!$H$5:$H$504,$L66))*N(INDEX('棚卸表'!$G$5:$G$504,$L66)))</f>
        <v/>
      </c>
      <c r="K66" s="61" t="n"/>
      <c r="L66" s="78">
        <f>IFERROR(MATCH(SMALL('棚卸表'!$W$5:$W$504,62),'棚卸表'!$W$5:$W$504,0),"")</f>
        <v/>
      </c>
    </row>
    <row r="67" ht="18" customHeight="1">
      <c r="A67" s="52">
        <f>IF($L67="","",63)</f>
        <v/>
      </c>
      <c r="B67" s="57">
        <f>IF($L67="","",INDEX('棚卸表'!$R$5:$R$504,$L67))</f>
        <v/>
      </c>
      <c r="C67" s="52">
        <f>IF($L67="","",INDEX('棚卸表'!$S$5:$S$504,$L67)&amp;"")</f>
        <v/>
      </c>
      <c r="D67" s="52">
        <f>IF($L67="","",INDEX('棚卸表'!$T$5:$T$504,$L67)&amp;"")</f>
        <v/>
      </c>
      <c r="E67" s="52">
        <f>IF($L67="","",INDEX('棚卸表'!$E$5:$E$504,$L67)&amp;"")</f>
        <v/>
      </c>
      <c r="F67" s="52">
        <f>IF($L67="","",INDEX('棚卸表'!$B$5:$B$504,$L67)&amp;"")</f>
        <v/>
      </c>
      <c r="G67" s="53">
        <f>IF($L67="","",INDEX('棚卸表'!$C$5:$C$504,$L67)&amp;"")</f>
        <v/>
      </c>
      <c r="H67" s="58">
        <f>IF($L67="","",IF(ISNUMBER(INDEX('棚卸表'!$I$5:$I$504,$L67)),INDEX('棚卸表'!$I$5:$I$504,$L67),INDEX('棚卸表'!$H$5:$H$504,$L67)))</f>
        <v/>
      </c>
      <c r="I67" s="52">
        <f>IF($L67="","",INDEX('棚卸表'!$F$5:$F$504,$L67)&amp;"")</f>
        <v/>
      </c>
      <c r="J67" s="80">
        <f>IF($L67="","",IF(ISNUMBER(INDEX('棚卸表'!$I$5:$I$504,$L67)),INDEX('棚卸表'!$I$5:$I$504,$L67),INDEX('棚卸表'!$H$5:$H$504,$L67))*N(INDEX('棚卸表'!$G$5:$G$504,$L67)))</f>
        <v/>
      </c>
      <c r="K67" s="61" t="n"/>
      <c r="L67" s="78">
        <f>IFERROR(MATCH(SMALL('棚卸表'!$W$5:$W$504,63),'棚卸表'!$W$5:$W$504,0),"")</f>
        <v/>
      </c>
    </row>
    <row r="68" ht="18" customHeight="1">
      <c r="A68" s="52">
        <f>IF($L68="","",64)</f>
        <v/>
      </c>
      <c r="B68" s="57">
        <f>IF($L68="","",INDEX('棚卸表'!$R$5:$R$504,$L68))</f>
        <v/>
      </c>
      <c r="C68" s="52">
        <f>IF($L68="","",INDEX('棚卸表'!$S$5:$S$504,$L68)&amp;"")</f>
        <v/>
      </c>
      <c r="D68" s="52">
        <f>IF($L68="","",INDEX('棚卸表'!$T$5:$T$504,$L68)&amp;"")</f>
        <v/>
      </c>
      <c r="E68" s="52">
        <f>IF($L68="","",INDEX('棚卸表'!$E$5:$E$504,$L68)&amp;"")</f>
        <v/>
      </c>
      <c r="F68" s="52">
        <f>IF($L68="","",INDEX('棚卸表'!$B$5:$B$504,$L68)&amp;"")</f>
        <v/>
      </c>
      <c r="G68" s="53">
        <f>IF($L68="","",INDEX('棚卸表'!$C$5:$C$504,$L68)&amp;"")</f>
        <v/>
      </c>
      <c r="H68" s="58">
        <f>IF($L68="","",IF(ISNUMBER(INDEX('棚卸表'!$I$5:$I$504,$L68)),INDEX('棚卸表'!$I$5:$I$504,$L68),INDEX('棚卸表'!$H$5:$H$504,$L68)))</f>
        <v/>
      </c>
      <c r="I68" s="52">
        <f>IF($L68="","",INDEX('棚卸表'!$F$5:$F$504,$L68)&amp;"")</f>
        <v/>
      </c>
      <c r="J68" s="80">
        <f>IF($L68="","",IF(ISNUMBER(INDEX('棚卸表'!$I$5:$I$504,$L68)),INDEX('棚卸表'!$I$5:$I$504,$L68),INDEX('棚卸表'!$H$5:$H$504,$L68))*N(INDEX('棚卸表'!$G$5:$G$504,$L68)))</f>
        <v/>
      </c>
      <c r="K68" s="61" t="n"/>
      <c r="L68" s="78">
        <f>IFERROR(MATCH(SMALL('棚卸表'!$W$5:$W$504,64),'棚卸表'!$W$5:$W$504,0),"")</f>
        <v/>
      </c>
    </row>
    <row r="69" ht="18" customHeight="1">
      <c r="A69" s="52">
        <f>IF($L69="","",65)</f>
        <v/>
      </c>
      <c r="B69" s="57">
        <f>IF($L69="","",INDEX('棚卸表'!$R$5:$R$504,$L69))</f>
        <v/>
      </c>
      <c r="C69" s="52">
        <f>IF($L69="","",INDEX('棚卸表'!$S$5:$S$504,$L69)&amp;"")</f>
        <v/>
      </c>
      <c r="D69" s="52">
        <f>IF($L69="","",INDEX('棚卸表'!$T$5:$T$504,$L69)&amp;"")</f>
        <v/>
      </c>
      <c r="E69" s="52">
        <f>IF($L69="","",INDEX('棚卸表'!$E$5:$E$504,$L69)&amp;"")</f>
        <v/>
      </c>
      <c r="F69" s="52">
        <f>IF($L69="","",INDEX('棚卸表'!$B$5:$B$504,$L69)&amp;"")</f>
        <v/>
      </c>
      <c r="G69" s="53">
        <f>IF($L69="","",INDEX('棚卸表'!$C$5:$C$504,$L69)&amp;"")</f>
        <v/>
      </c>
      <c r="H69" s="58">
        <f>IF($L69="","",IF(ISNUMBER(INDEX('棚卸表'!$I$5:$I$504,$L69)),INDEX('棚卸表'!$I$5:$I$504,$L69),INDEX('棚卸表'!$H$5:$H$504,$L69)))</f>
        <v/>
      </c>
      <c r="I69" s="52">
        <f>IF($L69="","",INDEX('棚卸表'!$F$5:$F$504,$L69)&amp;"")</f>
        <v/>
      </c>
      <c r="J69" s="80">
        <f>IF($L69="","",IF(ISNUMBER(INDEX('棚卸表'!$I$5:$I$504,$L69)),INDEX('棚卸表'!$I$5:$I$504,$L69),INDEX('棚卸表'!$H$5:$H$504,$L69))*N(INDEX('棚卸表'!$G$5:$G$504,$L69)))</f>
        <v/>
      </c>
      <c r="K69" s="61" t="n"/>
      <c r="L69" s="78">
        <f>IFERROR(MATCH(SMALL('棚卸表'!$W$5:$W$504,65),'棚卸表'!$W$5:$W$504,0),"")</f>
        <v/>
      </c>
    </row>
    <row r="70" ht="18" customHeight="1">
      <c r="A70" s="52">
        <f>IF($L70="","",66)</f>
        <v/>
      </c>
      <c r="B70" s="57">
        <f>IF($L70="","",INDEX('棚卸表'!$R$5:$R$504,$L70))</f>
        <v/>
      </c>
      <c r="C70" s="52">
        <f>IF($L70="","",INDEX('棚卸表'!$S$5:$S$504,$L70)&amp;"")</f>
        <v/>
      </c>
      <c r="D70" s="52">
        <f>IF($L70="","",INDEX('棚卸表'!$T$5:$T$504,$L70)&amp;"")</f>
        <v/>
      </c>
      <c r="E70" s="52">
        <f>IF($L70="","",INDEX('棚卸表'!$E$5:$E$504,$L70)&amp;"")</f>
        <v/>
      </c>
      <c r="F70" s="52">
        <f>IF($L70="","",INDEX('棚卸表'!$B$5:$B$504,$L70)&amp;"")</f>
        <v/>
      </c>
      <c r="G70" s="53">
        <f>IF($L70="","",INDEX('棚卸表'!$C$5:$C$504,$L70)&amp;"")</f>
        <v/>
      </c>
      <c r="H70" s="58">
        <f>IF($L70="","",IF(ISNUMBER(INDEX('棚卸表'!$I$5:$I$504,$L70)),INDEX('棚卸表'!$I$5:$I$504,$L70),INDEX('棚卸表'!$H$5:$H$504,$L70)))</f>
        <v/>
      </c>
      <c r="I70" s="52">
        <f>IF($L70="","",INDEX('棚卸表'!$F$5:$F$504,$L70)&amp;"")</f>
        <v/>
      </c>
      <c r="J70" s="80">
        <f>IF($L70="","",IF(ISNUMBER(INDEX('棚卸表'!$I$5:$I$504,$L70)),INDEX('棚卸表'!$I$5:$I$504,$L70),INDEX('棚卸表'!$H$5:$H$504,$L70))*N(INDEX('棚卸表'!$G$5:$G$504,$L70)))</f>
        <v/>
      </c>
      <c r="K70" s="61" t="n"/>
      <c r="L70" s="78">
        <f>IFERROR(MATCH(SMALL('棚卸表'!$W$5:$W$504,66),'棚卸表'!$W$5:$W$504,0),"")</f>
        <v/>
      </c>
    </row>
    <row r="71" ht="18" customHeight="1">
      <c r="A71" s="52">
        <f>IF($L71="","",67)</f>
        <v/>
      </c>
      <c r="B71" s="57">
        <f>IF($L71="","",INDEX('棚卸表'!$R$5:$R$504,$L71))</f>
        <v/>
      </c>
      <c r="C71" s="52">
        <f>IF($L71="","",INDEX('棚卸表'!$S$5:$S$504,$L71)&amp;"")</f>
        <v/>
      </c>
      <c r="D71" s="52">
        <f>IF($L71="","",INDEX('棚卸表'!$T$5:$T$504,$L71)&amp;"")</f>
        <v/>
      </c>
      <c r="E71" s="52">
        <f>IF($L71="","",INDEX('棚卸表'!$E$5:$E$504,$L71)&amp;"")</f>
        <v/>
      </c>
      <c r="F71" s="52">
        <f>IF($L71="","",INDEX('棚卸表'!$B$5:$B$504,$L71)&amp;"")</f>
        <v/>
      </c>
      <c r="G71" s="53">
        <f>IF($L71="","",INDEX('棚卸表'!$C$5:$C$504,$L71)&amp;"")</f>
        <v/>
      </c>
      <c r="H71" s="58">
        <f>IF($L71="","",IF(ISNUMBER(INDEX('棚卸表'!$I$5:$I$504,$L71)),INDEX('棚卸表'!$I$5:$I$504,$L71),INDEX('棚卸表'!$H$5:$H$504,$L71)))</f>
        <v/>
      </c>
      <c r="I71" s="52">
        <f>IF($L71="","",INDEX('棚卸表'!$F$5:$F$504,$L71)&amp;"")</f>
        <v/>
      </c>
      <c r="J71" s="80">
        <f>IF($L71="","",IF(ISNUMBER(INDEX('棚卸表'!$I$5:$I$504,$L71)),INDEX('棚卸表'!$I$5:$I$504,$L71),INDEX('棚卸表'!$H$5:$H$504,$L71))*N(INDEX('棚卸表'!$G$5:$G$504,$L71)))</f>
        <v/>
      </c>
      <c r="K71" s="61" t="n"/>
      <c r="L71" s="78">
        <f>IFERROR(MATCH(SMALL('棚卸表'!$W$5:$W$504,67),'棚卸表'!$W$5:$W$504,0),"")</f>
        <v/>
      </c>
    </row>
    <row r="72" ht="18" customHeight="1">
      <c r="A72" s="52">
        <f>IF($L72="","",68)</f>
        <v/>
      </c>
      <c r="B72" s="57">
        <f>IF($L72="","",INDEX('棚卸表'!$R$5:$R$504,$L72))</f>
        <v/>
      </c>
      <c r="C72" s="52">
        <f>IF($L72="","",INDEX('棚卸表'!$S$5:$S$504,$L72)&amp;"")</f>
        <v/>
      </c>
      <c r="D72" s="52">
        <f>IF($L72="","",INDEX('棚卸表'!$T$5:$T$504,$L72)&amp;"")</f>
        <v/>
      </c>
      <c r="E72" s="52">
        <f>IF($L72="","",INDEX('棚卸表'!$E$5:$E$504,$L72)&amp;"")</f>
        <v/>
      </c>
      <c r="F72" s="52">
        <f>IF($L72="","",INDEX('棚卸表'!$B$5:$B$504,$L72)&amp;"")</f>
        <v/>
      </c>
      <c r="G72" s="53">
        <f>IF($L72="","",INDEX('棚卸表'!$C$5:$C$504,$L72)&amp;"")</f>
        <v/>
      </c>
      <c r="H72" s="58">
        <f>IF($L72="","",IF(ISNUMBER(INDEX('棚卸表'!$I$5:$I$504,$L72)),INDEX('棚卸表'!$I$5:$I$504,$L72),INDEX('棚卸表'!$H$5:$H$504,$L72)))</f>
        <v/>
      </c>
      <c r="I72" s="52">
        <f>IF($L72="","",INDEX('棚卸表'!$F$5:$F$504,$L72)&amp;"")</f>
        <v/>
      </c>
      <c r="J72" s="80">
        <f>IF($L72="","",IF(ISNUMBER(INDEX('棚卸表'!$I$5:$I$504,$L72)),INDEX('棚卸表'!$I$5:$I$504,$L72),INDEX('棚卸表'!$H$5:$H$504,$L72))*N(INDEX('棚卸表'!$G$5:$G$504,$L72)))</f>
        <v/>
      </c>
      <c r="K72" s="61" t="n"/>
      <c r="L72" s="78">
        <f>IFERROR(MATCH(SMALL('棚卸表'!$W$5:$W$504,68),'棚卸表'!$W$5:$W$504,0),"")</f>
        <v/>
      </c>
    </row>
    <row r="73" ht="18" customHeight="1">
      <c r="A73" s="52">
        <f>IF($L73="","",69)</f>
        <v/>
      </c>
      <c r="B73" s="57">
        <f>IF($L73="","",INDEX('棚卸表'!$R$5:$R$504,$L73))</f>
        <v/>
      </c>
      <c r="C73" s="52">
        <f>IF($L73="","",INDEX('棚卸表'!$S$5:$S$504,$L73)&amp;"")</f>
        <v/>
      </c>
      <c r="D73" s="52">
        <f>IF($L73="","",INDEX('棚卸表'!$T$5:$T$504,$L73)&amp;"")</f>
        <v/>
      </c>
      <c r="E73" s="52">
        <f>IF($L73="","",INDEX('棚卸表'!$E$5:$E$504,$L73)&amp;"")</f>
        <v/>
      </c>
      <c r="F73" s="52">
        <f>IF($L73="","",INDEX('棚卸表'!$B$5:$B$504,$L73)&amp;"")</f>
        <v/>
      </c>
      <c r="G73" s="53">
        <f>IF($L73="","",INDEX('棚卸表'!$C$5:$C$504,$L73)&amp;"")</f>
        <v/>
      </c>
      <c r="H73" s="58">
        <f>IF($L73="","",IF(ISNUMBER(INDEX('棚卸表'!$I$5:$I$504,$L73)),INDEX('棚卸表'!$I$5:$I$504,$L73),INDEX('棚卸表'!$H$5:$H$504,$L73)))</f>
        <v/>
      </c>
      <c r="I73" s="52">
        <f>IF($L73="","",INDEX('棚卸表'!$F$5:$F$504,$L73)&amp;"")</f>
        <v/>
      </c>
      <c r="J73" s="80">
        <f>IF($L73="","",IF(ISNUMBER(INDEX('棚卸表'!$I$5:$I$504,$L73)),INDEX('棚卸表'!$I$5:$I$504,$L73),INDEX('棚卸表'!$H$5:$H$504,$L73))*N(INDEX('棚卸表'!$G$5:$G$504,$L73)))</f>
        <v/>
      </c>
      <c r="K73" s="61" t="n"/>
      <c r="L73" s="78">
        <f>IFERROR(MATCH(SMALL('棚卸表'!$W$5:$W$504,69),'棚卸表'!$W$5:$W$504,0),"")</f>
        <v/>
      </c>
    </row>
    <row r="74" ht="18" customHeight="1">
      <c r="A74" s="52">
        <f>IF($L74="","",70)</f>
        <v/>
      </c>
      <c r="B74" s="57">
        <f>IF($L74="","",INDEX('棚卸表'!$R$5:$R$504,$L74))</f>
        <v/>
      </c>
      <c r="C74" s="52">
        <f>IF($L74="","",INDEX('棚卸表'!$S$5:$S$504,$L74)&amp;"")</f>
        <v/>
      </c>
      <c r="D74" s="52">
        <f>IF($L74="","",INDEX('棚卸表'!$T$5:$T$504,$L74)&amp;"")</f>
        <v/>
      </c>
      <c r="E74" s="52">
        <f>IF($L74="","",INDEX('棚卸表'!$E$5:$E$504,$L74)&amp;"")</f>
        <v/>
      </c>
      <c r="F74" s="52">
        <f>IF($L74="","",INDEX('棚卸表'!$B$5:$B$504,$L74)&amp;"")</f>
        <v/>
      </c>
      <c r="G74" s="53">
        <f>IF($L74="","",INDEX('棚卸表'!$C$5:$C$504,$L74)&amp;"")</f>
        <v/>
      </c>
      <c r="H74" s="58">
        <f>IF($L74="","",IF(ISNUMBER(INDEX('棚卸表'!$I$5:$I$504,$L74)),INDEX('棚卸表'!$I$5:$I$504,$L74),INDEX('棚卸表'!$H$5:$H$504,$L74)))</f>
        <v/>
      </c>
      <c r="I74" s="52">
        <f>IF($L74="","",INDEX('棚卸表'!$F$5:$F$504,$L74)&amp;"")</f>
        <v/>
      </c>
      <c r="J74" s="80">
        <f>IF($L74="","",IF(ISNUMBER(INDEX('棚卸表'!$I$5:$I$504,$L74)),INDEX('棚卸表'!$I$5:$I$504,$L74),INDEX('棚卸表'!$H$5:$H$504,$L74))*N(INDEX('棚卸表'!$G$5:$G$504,$L74)))</f>
        <v/>
      </c>
      <c r="K74" s="61" t="n"/>
      <c r="L74" s="78">
        <f>IFERROR(MATCH(SMALL('棚卸表'!$W$5:$W$504,70),'棚卸表'!$W$5:$W$504,0),"")</f>
        <v/>
      </c>
    </row>
    <row r="75" ht="18" customHeight="1">
      <c r="A75" s="52">
        <f>IF($L75="","",71)</f>
        <v/>
      </c>
      <c r="B75" s="57">
        <f>IF($L75="","",INDEX('棚卸表'!$R$5:$R$504,$L75))</f>
        <v/>
      </c>
      <c r="C75" s="52">
        <f>IF($L75="","",INDEX('棚卸表'!$S$5:$S$504,$L75)&amp;"")</f>
        <v/>
      </c>
      <c r="D75" s="52">
        <f>IF($L75="","",INDEX('棚卸表'!$T$5:$T$504,$L75)&amp;"")</f>
        <v/>
      </c>
      <c r="E75" s="52">
        <f>IF($L75="","",INDEX('棚卸表'!$E$5:$E$504,$L75)&amp;"")</f>
        <v/>
      </c>
      <c r="F75" s="52">
        <f>IF($L75="","",INDEX('棚卸表'!$B$5:$B$504,$L75)&amp;"")</f>
        <v/>
      </c>
      <c r="G75" s="53">
        <f>IF($L75="","",INDEX('棚卸表'!$C$5:$C$504,$L75)&amp;"")</f>
        <v/>
      </c>
      <c r="H75" s="58">
        <f>IF($L75="","",IF(ISNUMBER(INDEX('棚卸表'!$I$5:$I$504,$L75)),INDEX('棚卸表'!$I$5:$I$504,$L75),INDEX('棚卸表'!$H$5:$H$504,$L75)))</f>
        <v/>
      </c>
      <c r="I75" s="52">
        <f>IF($L75="","",INDEX('棚卸表'!$F$5:$F$504,$L75)&amp;"")</f>
        <v/>
      </c>
      <c r="J75" s="80">
        <f>IF($L75="","",IF(ISNUMBER(INDEX('棚卸表'!$I$5:$I$504,$L75)),INDEX('棚卸表'!$I$5:$I$504,$L75),INDEX('棚卸表'!$H$5:$H$504,$L75))*N(INDEX('棚卸表'!$G$5:$G$504,$L75)))</f>
        <v/>
      </c>
      <c r="K75" s="61" t="n"/>
      <c r="L75" s="78">
        <f>IFERROR(MATCH(SMALL('棚卸表'!$W$5:$W$504,71),'棚卸表'!$W$5:$W$504,0),"")</f>
        <v/>
      </c>
    </row>
    <row r="76" ht="18" customHeight="1">
      <c r="A76" s="52">
        <f>IF($L76="","",72)</f>
        <v/>
      </c>
      <c r="B76" s="57">
        <f>IF($L76="","",INDEX('棚卸表'!$R$5:$R$504,$L76))</f>
        <v/>
      </c>
      <c r="C76" s="52">
        <f>IF($L76="","",INDEX('棚卸表'!$S$5:$S$504,$L76)&amp;"")</f>
        <v/>
      </c>
      <c r="D76" s="52">
        <f>IF($L76="","",INDEX('棚卸表'!$T$5:$T$504,$L76)&amp;"")</f>
        <v/>
      </c>
      <c r="E76" s="52">
        <f>IF($L76="","",INDEX('棚卸表'!$E$5:$E$504,$L76)&amp;"")</f>
        <v/>
      </c>
      <c r="F76" s="52">
        <f>IF($L76="","",INDEX('棚卸表'!$B$5:$B$504,$L76)&amp;"")</f>
        <v/>
      </c>
      <c r="G76" s="53">
        <f>IF($L76="","",INDEX('棚卸表'!$C$5:$C$504,$L76)&amp;"")</f>
        <v/>
      </c>
      <c r="H76" s="58">
        <f>IF($L76="","",IF(ISNUMBER(INDEX('棚卸表'!$I$5:$I$504,$L76)),INDEX('棚卸表'!$I$5:$I$504,$L76),INDEX('棚卸表'!$H$5:$H$504,$L76)))</f>
        <v/>
      </c>
      <c r="I76" s="52">
        <f>IF($L76="","",INDEX('棚卸表'!$F$5:$F$504,$L76)&amp;"")</f>
        <v/>
      </c>
      <c r="J76" s="80">
        <f>IF($L76="","",IF(ISNUMBER(INDEX('棚卸表'!$I$5:$I$504,$L76)),INDEX('棚卸表'!$I$5:$I$504,$L76),INDEX('棚卸表'!$H$5:$H$504,$L76))*N(INDEX('棚卸表'!$G$5:$G$504,$L76)))</f>
        <v/>
      </c>
      <c r="K76" s="61" t="n"/>
      <c r="L76" s="78">
        <f>IFERROR(MATCH(SMALL('棚卸表'!$W$5:$W$504,72),'棚卸表'!$W$5:$W$504,0),"")</f>
        <v/>
      </c>
    </row>
    <row r="77" ht="18" customHeight="1">
      <c r="A77" s="52">
        <f>IF($L77="","",73)</f>
        <v/>
      </c>
      <c r="B77" s="57">
        <f>IF($L77="","",INDEX('棚卸表'!$R$5:$R$504,$L77))</f>
        <v/>
      </c>
      <c r="C77" s="52">
        <f>IF($L77="","",INDEX('棚卸表'!$S$5:$S$504,$L77)&amp;"")</f>
        <v/>
      </c>
      <c r="D77" s="52">
        <f>IF($L77="","",INDEX('棚卸表'!$T$5:$T$504,$L77)&amp;"")</f>
        <v/>
      </c>
      <c r="E77" s="52">
        <f>IF($L77="","",INDEX('棚卸表'!$E$5:$E$504,$L77)&amp;"")</f>
        <v/>
      </c>
      <c r="F77" s="52">
        <f>IF($L77="","",INDEX('棚卸表'!$B$5:$B$504,$L77)&amp;"")</f>
        <v/>
      </c>
      <c r="G77" s="53">
        <f>IF($L77="","",INDEX('棚卸表'!$C$5:$C$504,$L77)&amp;"")</f>
        <v/>
      </c>
      <c r="H77" s="58">
        <f>IF($L77="","",IF(ISNUMBER(INDEX('棚卸表'!$I$5:$I$504,$L77)),INDEX('棚卸表'!$I$5:$I$504,$L77),INDEX('棚卸表'!$H$5:$H$504,$L77)))</f>
        <v/>
      </c>
      <c r="I77" s="52">
        <f>IF($L77="","",INDEX('棚卸表'!$F$5:$F$504,$L77)&amp;"")</f>
        <v/>
      </c>
      <c r="J77" s="80">
        <f>IF($L77="","",IF(ISNUMBER(INDEX('棚卸表'!$I$5:$I$504,$L77)),INDEX('棚卸表'!$I$5:$I$504,$L77),INDEX('棚卸表'!$H$5:$H$504,$L77))*N(INDEX('棚卸表'!$G$5:$G$504,$L77)))</f>
        <v/>
      </c>
      <c r="K77" s="61" t="n"/>
      <c r="L77" s="78">
        <f>IFERROR(MATCH(SMALL('棚卸表'!$W$5:$W$504,73),'棚卸表'!$W$5:$W$504,0),"")</f>
        <v/>
      </c>
    </row>
    <row r="78" ht="18" customHeight="1">
      <c r="A78" s="52">
        <f>IF($L78="","",74)</f>
        <v/>
      </c>
      <c r="B78" s="57">
        <f>IF($L78="","",INDEX('棚卸表'!$R$5:$R$504,$L78))</f>
        <v/>
      </c>
      <c r="C78" s="52">
        <f>IF($L78="","",INDEX('棚卸表'!$S$5:$S$504,$L78)&amp;"")</f>
        <v/>
      </c>
      <c r="D78" s="52">
        <f>IF($L78="","",INDEX('棚卸表'!$T$5:$T$504,$L78)&amp;"")</f>
        <v/>
      </c>
      <c r="E78" s="52">
        <f>IF($L78="","",INDEX('棚卸表'!$E$5:$E$504,$L78)&amp;"")</f>
        <v/>
      </c>
      <c r="F78" s="52">
        <f>IF($L78="","",INDEX('棚卸表'!$B$5:$B$504,$L78)&amp;"")</f>
        <v/>
      </c>
      <c r="G78" s="53">
        <f>IF($L78="","",INDEX('棚卸表'!$C$5:$C$504,$L78)&amp;"")</f>
        <v/>
      </c>
      <c r="H78" s="58">
        <f>IF($L78="","",IF(ISNUMBER(INDEX('棚卸表'!$I$5:$I$504,$L78)),INDEX('棚卸表'!$I$5:$I$504,$L78),INDEX('棚卸表'!$H$5:$H$504,$L78)))</f>
        <v/>
      </c>
      <c r="I78" s="52">
        <f>IF($L78="","",INDEX('棚卸表'!$F$5:$F$504,$L78)&amp;"")</f>
        <v/>
      </c>
      <c r="J78" s="80">
        <f>IF($L78="","",IF(ISNUMBER(INDEX('棚卸表'!$I$5:$I$504,$L78)),INDEX('棚卸表'!$I$5:$I$504,$L78),INDEX('棚卸表'!$H$5:$H$504,$L78))*N(INDEX('棚卸表'!$G$5:$G$504,$L78)))</f>
        <v/>
      </c>
      <c r="K78" s="61" t="n"/>
      <c r="L78" s="78">
        <f>IFERROR(MATCH(SMALL('棚卸表'!$W$5:$W$504,74),'棚卸表'!$W$5:$W$504,0),"")</f>
        <v/>
      </c>
    </row>
    <row r="79" ht="18" customHeight="1">
      <c r="A79" s="52">
        <f>IF($L79="","",75)</f>
        <v/>
      </c>
      <c r="B79" s="57">
        <f>IF($L79="","",INDEX('棚卸表'!$R$5:$R$504,$L79))</f>
        <v/>
      </c>
      <c r="C79" s="52">
        <f>IF($L79="","",INDEX('棚卸表'!$S$5:$S$504,$L79)&amp;"")</f>
        <v/>
      </c>
      <c r="D79" s="52">
        <f>IF($L79="","",INDEX('棚卸表'!$T$5:$T$504,$L79)&amp;"")</f>
        <v/>
      </c>
      <c r="E79" s="52">
        <f>IF($L79="","",INDEX('棚卸表'!$E$5:$E$504,$L79)&amp;"")</f>
        <v/>
      </c>
      <c r="F79" s="52">
        <f>IF($L79="","",INDEX('棚卸表'!$B$5:$B$504,$L79)&amp;"")</f>
        <v/>
      </c>
      <c r="G79" s="53">
        <f>IF($L79="","",INDEX('棚卸表'!$C$5:$C$504,$L79)&amp;"")</f>
        <v/>
      </c>
      <c r="H79" s="58">
        <f>IF($L79="","",IF(ISNUMBER(INDEX('棚卸表'!$I$5:$I$504,$L79)),INDEX('棚卸表'!$I$5:$I$504,$L79),INDEX('棚卸表'!$H$5:$H$504,$L79)))</f>
        <v/>
      </c>
      <c r="I79" s="52">
        <f>IF($L79="","",INDEX('棚卸表'!$F$5:$F$504,$L79)&amp;"")</f>
        <v/>
      </c>
      <c r="J79" s="80">
        <f>IF($L79="","",IF(ISNUMBER(INDEX('棚卸表'!$I$5:$I$504,$L79)),INDEX('棚卸表'!$I$5:$I$504,$L79),INDEX('棚卸表'!$H$5:$H$504,$L79))*N(INDEX('棚卸表'!$G$5:$G$504,$L79)))</f>
        <v/>
      </c>
      <c r="K79" s="61" t="n"/>
      <c r="L79" s="78">
        <f>IFERROR(MATCH(SMALL('棚卸表'!$W$5:$W$504,75),'棚卸表'!$W$5:$W$504,0),"")</f>
        <v/>
      </c>
    </row>
    <row r="80" ht="18" customHeight="1">
      <c r="A80" s="52">
        <f>IF($L80="","",76)</f>
        <v/>
      </c>
      <c r="B80" s="57">
        <f>IF($L80="","",INDEX('棚卸表'!$R$5:$R$504,$L80))</f>
        <v/>
      </c>
      <c r="C80" s="52">
        <f>IF($L80="","",INDEX('棚卸表'!$S$5:$S$504,$L80)&amp;"")</f>
        <v/>
      </c>
      <c r="D80" s="52">
        <f>IF($L80="","",INDEX('棚卸表'!$T$5:$T$504,$L80)&amp;"")</f>
        <v/>
      </c>
      <c r="E80" s="52">
        <f>IF($L80="","",INDEX('棚卸表'!$E$5:$E$504,$L80)&amp;"")</f>
        <v/>
      </c>
      <c r="F80" s="52">
        <f>IF($L80="","",INDEX('棚卸表'!$B$5:$B$504,$L80)&amp;"")</f>
        <v/>
      </c>
      <c r="G80" s="53">
        <f>IF($L80="","",INDEX('棚卸表'!$C$5:$C$504,$L80)&amp;"")</f>
        <v/>
      </c>
      <c r="H80" s="58">
        <f>IF($L80="","",IF(ISNUMBER(INDEX('棚卸表'!$I$5:$I$504,$L80)),INDEX('棚卸表'!$I$5:$I$504,$L80),INDEX('棚卸表'!$H$5:$H$504,$L80)))</f>
        <v/>
      </c>
      <c r="I80" s="52">
        <f>IF($L80="","",INDEX('棚卸表'!$F$5:$F$504,$L80)&amp;"")</f>
        <v/>
      </c>
      <c r="J80" s="80">
        <f>IF($L80="","",IF(ISNUMBER(INDEX('棚卸表'!$I$5:$I$504,$L80)),INDEX('棚卸表'!$I$5:$I$504,$L80),INDEX('棚卸表'!$H$5:$H$504,$L80))*N(INDEX('棚卸表'!$G$5:$G$504,$L80)))</f>
        <v/>
      </c>
      <c r="K80" s="61" t="n"/>
      <c r="L80" s="78">
        <f>IFERROR(MATCH(SMALL('棚卸表'!$W$5:$W$504,76),'棚卸表'!$W$5:$W$504,0),"")</f>
        <v/>
      </c>
    </row>
    <row r="81" ht="18" customHeight="1">
      <c r="A81" s="52">
        <f>IF($L81="","",77)</f>
        <v/>
      </c>
      <c r="B81" s="57">
        <f>IF($L81="","",INDEX('棚卸表'!$R$5:$R$504,$L81))</f>
        <v/>
      </c>
      <c r="C81" s="52">
        <f>IF($L81="","",INDEX('棚卸表'!$S$5:$S$504,$L81)&amp;"")</f>
        <v/>
      </c>
      <c r="D81" s="52">
        <f>IF($L81="","",INDEX('棚卸表'!$T$5:$T$504,$L81)&amp;"")</f>
        <v/>
      </c>
      <c r="E81" s="52">
        <f>IF($L81="","",INDEX('棚卸表'!$E$5:$E$504,$L81)&amp;"")</f>
        <v/>
      </c>
      <c r="F81" s="52">
        <f>IF($L81="","",INDEX('棚卸表'!$B$5:$B$504,$L81)&amp;"")</f>
        <v/>
      </c>
      <c r="G81" s="53">
        <f>IF($L81="","",INDEX('棚卸表'!$C$5:$C$504,$L81)&amp;"")</f>
        <v/>
      </c>
      <c r="H81" s="58">
        <f>IF($L81="","",IF(ISNUMBER(INDEX('棚卸表'!$I$5:$I$504,$L81)),INDEX('棚卸表'!$I$5:$I$504,$L81),INDEX('棚卸表'!$H$5:$H$504,$L81)))</f>
        <v/>
      </c>
      <c r="I81" s="52">
        <f>IF($L81="","",INDEX('棚卸表'!$F$5:$F$504,$L81)&amp;"")</f>
        <v/>
      </c>
      <c r="J81" s="80">
        <f>IF($L81="","",IF(ISNUMBER(INDEX('棚卸表'!$I$5:$I$504,$L81)),INDEX('棚卸表'!$I$5:$I$504,$L81),INDEX('棚卸表'!$H$5:$H$504,$L81))*N(INDEX('棚卸表'!$G$5:$G$504,$L81)))</f>
        <v/>
      </c>
      <c r="K81" s="61" t="n"/>
      <c r="L81" s="78">
        <f>IFERROR(MATCH(SMALL('棚卸表'!$W$5:$W$504,77),'棚卸表'!$W$5:$W$504,0),"")</f>
        <v/>
      </c>
    </row>
    <row r="82" ht="18" customHeight="1">
      <c r="A82" s="52">
        <f>IF($L82="","",78)</f>
        <v/>
      </c>
      <c r="B82" s="57">
        <f>IF($L82="","",INDEX('棚卸表'!$R$5:$R$504,$L82))</f>
        <v/>
      </c>
      <c r="C82" s="52">
        <f>IF($L82="","",INDEX('棚卸表'!$S$5:$S$504,$L82)&amp;"")</f>
        <v/>
      </c>
      <c r="D82" s="52">
        <f>IF($L82="","",INDEX('棚卸表'!$T$5:$T$504,$L82)&amp;"")</f>
        <v/>
      </c>
      <c r="E82" s="52">
        <f>IF($L82="","",INDEX('棚卸表'!$E$5:$E$504,$L82)&amp;"")</f>
        <v/>
      </c>
      <c r="F82" s="52">
        <f>IF($L82="","",INDEX('棚卸表'!$B$5:$B$504,$L82)&amp;"")</f>
        <v/>
      </c>
      <c r="G82" s="53">
        <f>IF($L82="","",INDEX('棚卸表'!$C$5:$C$504,$L82)&amp;"")</f>
        <v/>
      </c>
      <c r="H82" s="58">
        <f>IF($L82="","",IF(ISNUMBER(INDEX('棚卸表'!$I$5:$I$504,$L82)),INDEX('棚卸表'!$I$5:$I$504,$L82),INDEX('棚卸表'!$H$5:$H$504,$L82)))</f>
        <v/>
      </c>
      <c r="I82" s="52">
        <f>IF($L82="","",INDEX('棚卸表'!$F$5:$F$504,$L82)&amp;"")</f>
        <v/>
      </c>
      <c r="J82" s="80">
        <f>IF($L82="","",IF(ISNUMBER(INDEX('棚卸表'!$I$5:$I$504,$L82)),INDEX('棚卸表'!$I$5:$I$504,$L82),INDEX('棚卸表'!$H$5:$H$504,$L82))*N(INDEX('棚卸表'!$G$5:$G$504,$L82)))</f>
        <v/>
      </c>
      <c r="K82" s="61" t="n"/>
      <c r="L82" s="78">
        <f>IFERROR(MATCH(SMALL('棚卸表'!$W$5:$W$504,78),'棚卸表'!$W$5:$W$504,0),"")</f>
        <v/>
      </c>
    </row>
    <row r="83" ht="18" customHeight="1">
      <c r="A83" s="52">
        <f>IF($L83="","",79)</f>
        <v/>
      </c>
      <c r="B83" s="57">
        <f>IF($L83="","",INDEX('棚卸表'!$R$5:$R$504,$L83))</f>
        <v/>
      </c>
      <c r="C83" s="52">
        <f>IF($L83="","",INDEX('棚卸表'!$S$5:$S$504,$L83)&amp;"")</f>
        <v/>
      </c>
      <c r="D83" s="52">
        <f>IF($L83="","",INDEX('棚卸表'!$T$5:$T$504,$L83)&amp;"")</f>
        <v/>
      </c>
      <c r="E83" s="52">
        <f>IF($L83="","",INDEX('棚卸表'!$E$5:$E$504,$L83)&amp;"")</f>
        <v/>
      </c>
      <c r="F83" s="52">
        <f>IF($L83="","",INDEX('棚卸表'!$B$5:$B$504,$L83)&amp;"")</f>
        <v/>
      </c>
      <c r="G83" s="53">
        <f>IF($L83="","",INDEX('棚卸表'!$C$5:$C$504,$L83)&amp;"")</f>
        <v/>
      </c>
      <c r="H83" s="58">
        <f>IF($L83="","",IF(ISNUMBER(INDEX('棚卸表'!$I$5:$I$504,$L83)),INDEX('棚卸表'!$I$5:$I$504,$L83),INDEX('棚卸表'!$H$5:$H$504,$L83)))</f>
        <v/>
      </c>
      <c r="I83" s="52">
        <f>IF($L83="","",INDEX('棚卸表'!$F$5:$F$504,$L83)&amp;"")</f>
        <v/>
      </c>
      <c r="J83" s="80">
        <f>IF($L83="","",IF(ISNUMBER(INDEX('棚卸表'!$I$5:$I$504,$L83)),INDEX('棚卸表'!$I$5:$I$504,$L83),INDEX('棚卸表'!$H$5:$H$504,$L83))*N(INDEX('棚卸表'!$G$5:$G$504,$L83)))</f>
        <v/>
      </c>
      <c r="K83" s="61" t="n"/>
      <c r="L83" s="78">
        <f>IFERROR(MATCH(SMALL('棚卸表'!$W$5:$W$504,79),'棚卸表'!$W$5:$W$504,0),"")</f>
        <v/>
      </c>
    </row>
    <row r="84" ht="18" customHeight="1">
      <c r="A84" s="52">
        <f>IF($L84="","",80)</f>
        <v/>
      </c>
      <c r="B84" s="57">
        <f>IF($L84="","",INDEX('棚卸表'!$R$5:$R$504,$L84))</f>
        <v/>
      </c>
      <c r="C84" s="52">
        <f>IF($L84="","",INDEX('棚卸表'!$S$5:$S$504,$L84)&amp;"")</f>
        <v/>
      </c>
      <c r="D84" s="52">
        <f>IF($L84="","",INDEX('棚卸表'!$T$5:$T$504,$L84)&amp;"")</f>
        <v/>
      </c>
      <c r="E84" s="52">
        <f>IF($L84="","",INDEX('棚卸表'!$E$5:$E$504,$L84)&amp;"")</f>
        <v/>
      </c>
      <c r="F84" s="52">
        <f>IF($L84="","",INDEX('棚卸表'!$B$5:$B$504,$L84)&amp;"")</f>
        <v/>
      </c>
      <c r="G84" s="53">
        <f>IF($L84="","",INDEX('棚卸表'!$C$5:$C$504,$L84)&amp;"")</f>
        <v/>
      </c>
      <c r="H84" s="58">
        <f>IF($L84="","",IF(ISNUMBER(INDEX('棚卸表'!$I$5:$I$504,$L84)),INDEX('棚卸表'!$I$5:$I$504,$L84),INDEX('棚卸表'!$H$5:$H$504,$L84)))</f>
        <v/>
      </c>
      <c r="I84" s="52">
        <f>IF($L84="","",INDEX('棚卸表'!$F$5:$F$504,$L84)&amp;"")</f>
        <v/>
      </c>
      <c r="J84" s="80">
        <f>IF($L84="","",IF(ISNUMBER(INDEX('棚卸表'!$I$5:$I$504,$L84)),INDEX('棚卸表'!$I$5:$I$504,$L84),INDEX('棚卸表'!$H$5:$H$504,$L84))*N(INDEX('棚卸表'!$G$5:$G$504,$L84)))</f>
        <v/>
      </c>
      <c r="K84" s="61" t="n"/>
      <c r="L84" s="78">
        <f>IFERROR(MATCH(SMALL('棚卸表'!$W$5:$W$504,80),'棚卸表'!$W$5:$W$504,0),"")</f>
        <v/>
      </c>
    </row>
    <row r="85" ht="18" customHeight="1">
      <c r="A85" s="52">
        <f>IF($L85="","",81)</f>
        <v/>
      </c>
      <c r="B85" s="57">
        <f>IF($L85="","",INDEX('棚卸表'!$R$5:$R$504,$L85))</f>
        <v/>
      </c>
      <c r="C85" s="52">
        <f>IF($L85="","",INDEX('棚卸表'!$S$5:$S$504,$L85)&amp;"")</f>
        <v/>
      </c>
      <c r="D85" s="52">
        <f>IF($L85="","",INDEX('棚卸表'!$T$5:$T$504,$L85)&amp;"")</f>
        <v/>
      </c>
      <c r="E85" s="52">
        <f>IF($L85="","",INDEX('棚卸表'!$E$5:$E$504,$L85)&amp;"")</f>
        <v/>
      </c>
      <c r="F85" s="52">
        <f>IF($L85="","",INDEX('棚卸表'!$B$5:$B$504,$L85)&amp;"")</f>
        <v/>
      </c>
      <c r="G85" s="53">
        <f>IF($L85="","",INDEX('棚卸表'!$C$5:$C$504,$L85)&amp;"")</f>
        <v/>
      </c>
      <c r="H85" s="58">
        <f>IF($L85="","",IF(ISNUMBER(INDEX('棚卸表'!$I$5:$I$504,$L85)),INDEX('棚卸表'!$I$5:$I$504,$L85),INDEX('棚卸表'!$H$5:$H$504,$L85)))</f>
        <v/>
      </c>
      <c r="I85" s="52">
        <f>IF($L85="","",INDEX('棚卸表'!$F$5:$F$504,$L85)&amp;"")</f>
        <v/>
      </c>
      <c r="J85" s="80">
        <f>IF($L85="","",IF(ISNUMBER(INDEX('棚卸表'!$I$5:$I$504,$L85)),INDEX('棚卸表'!$I$5:$I$504,$L85),INDEX('棚卸表'!$H$5:$H$504,$L85))*N(INDEX('棚卸表'!$G$5:$G$504,$L85)))</f>
        <v/>
      </c>
      <c r="K85" s="61" t="n"/>
      <c r="L85" s="78">
        <f>IFERROR(MATCH(SMALL('棚卸表'!$W$5:$W$504,81),'棚卸表'!$W$5:$W$504,0),"")</f>
        <v/>
      </c>
    </row>
    <row r="86" ht="18" customHeight="1">
      <c r="A86" s="52">
        <f>IF($L86="","",82)</f>
        <v/>
      </c>
      <c r="B86" s="57">
        <f>IF($L86="","",INDEX('棚卸表'!$R$5:$R$504,$L86))</f>
        <v/>
      </c>
      <c r="C86" s="52">
        <f>IF($L86="","",INDEX('棚卸表'!$S$5:$S$504,$L86)&amp;"")</f>
        <v/>
      </c>
      <c r="D86" s="52">
        <f>IF($L86="","",INDEX('棚卸表'!$T$5:$T$504,$L86)&amp;"")</f>
        <v/>
      </c>
      <c r="E86" s="52">
        <f>IF($L86="","",INDEX('棚卸表'!$E$5:$E$504,$L86)&amp;"")</f>
        <v/>
      </c>
      <c r="F86" s="52">
        <f>IF($L86="","",INDEX('棚卸表'!$B$5:$B$504,$L86)&amp;"")</f>
        <v/>
      </c>
      <c r="G86" s="53">
        <f>IF($L86="","",INDEX('棚卸表'!$C$5:$C$504,$L86)&amp;"")</f>
        <v/>
      </c>
      <c r="H86" s="58">
        <f>IF($L86="","",IF(ISNUMBER(INDEX('棚卸表'!$I$5:$I$504,$L86)),INDEX('棚卸表'!$I$5:$I$504,$L86),INDEX('棚卸表'!$H$5:$H$504,$L86)))</f>
        <v/>
      </c>
      <c r="I86" s="52">
        <f>IF($L86="","",INDEX('棚卸表'!$F$5:$F$504,$L86)&amp;"")</f>
        <v/>
      </c>
      <c r="J86" s="80">
        <f>IF($L86="","",IF(ISNUMBER(INDEX('棚卸表'!$I$5:$I$504,$L86)),INDEX('棚卸表'!$I$5:$I$504,$L86),INDEX('棚卸表'!$H$5:$H$504,$L86))*N(INDEX('棚卸表'!$G$5:$G$504,$L86)))</f>
        <v/>
      </c>
      <c r="K86" s="61" t="n"/>
      <c r="L86" s="78">
        <f>IFERROR(MATCH(SMALL('棚卸表'!$W$5:$W$504,82),'棚卸表'!$W$5:$W$504,0),"")</f>
        <v/>
      </c>
    </row>
    <row r="87" ht="18" customHeight="1">
      <c r="A87" s="52">
        <f>IF($L87="","",83)</f>
        <v/>
      </c>
      <c r="B87" s="57">
        <f>IF($L87="","",INDEX('棚卸表'!$R$5:$R$504,$L87))</f>
        <v/>
      </c>
      <c r="C87" s="52">
        <f>IF($L87="","",INDEX('棚卸表'!$S$5:$S$504,$L87)&amp;"")</f>
        <v/>
      </c>
      <c r="D87" s="52">
        <f>IF($L87="","",INDEX('棚卸表'!$T$5:$T$504,$L87)&amp;"")</f>
        <v/>
      </c>
      <c r="E87" s="52">
        <f>IF($L87="","",INDEX('棚卸表'!$E$5:$E$504,$L87)&amp;"")</f>
        <v/>
      </c>
      <c r="F87" s="52">
        <f>IF($L87="","",INDEX('棚卸表'!$B$5:$B$504,$L87)&amp;"")</f>
        <v/>
      </c>
      <c r="G87" s="53">
        <f>IF($L87="","",INDEX('棚卸表'!$C$5:$C$504,$L87)&amp;"")</f>
        <v/>
      </c>
      <c r="H87" s="58">
        <f>IF($L87="","",IF(ISNUMBER(INDEX('棚卸表'!$I$5:$I$504,$L87)),INDEX('棚卸表'!$I$5:$I$504,$L87),INDEX('棚卸表'!$H$5:$H$504,$L87)))</f>
        <v/>
      </c>
      <c r="I87" s="52">
        <f>IF($L87="","",INDEX('棚卸表'!$F$5:$F$504,$L87)&amp;"")</f>
        <v/>
      </c>
      <c r="J87" s="80">
        <f>IF($L87="","",IF(ISNUMBER(INDEX('棚卸表'!$I$5:$I$504,$L87)),INDEX('棚卸表'!$I$5:$I$504,$L87),INDEX('棚卸表'!$H$5:$H$504,$L87))*N(INDEX('棚卸表'!$G$5:$G$504,$L87)))</f>
        <v/>
      </c>
      <c r="K87" s="61" t="n"/>
      <c r="L87" s="78">
        <f>IFERROR(MATCH(SMALL('棚卸表'!$W$5:$W$504,83),'棚卸表'!$W$5:$W$504,0),"")</f>
        <v/>
      </c>
    </row>
    <row r="88" ht="18" customHeight="1">
      <c r="A88" s="52">
        <f>IF($L88="","",84)</f>
        <v/>
      </c>
      <c r="B88" s="57">
        <f>IF($L88="","",INDEX('棚卸表'!$R$5:$R$504,$L88))</f>
        <v/>
      </c>
      <c r="C88" s="52">
        <f>IF($L88="","",INDEX('棚卸表'!$S$5:$S$504,$L88)&amp;"")</f>
        <v/>
      </c>
      <c r="D88" s="52">
        <f>IF($L88="","",INDEX('棚卸表'!$T$5:$T$504,$L88)&amp;"")</f>
        <v/>
      </c>
      <c r="E88" s="52">
        <f>IF($L88="","",INDEX('棚卸表'!$E$5:$E$504,$L88)&amp;"")</f>
        <v/>
      </c>
      <c r="F88" s="52">
        <f>IF($L88="","",INDEX('棚卸表'!$B$5:$B$504,$L88)&amp;"")</f>
        <v/>
      </c>
      <c r="G88" s="53">
        <f>IF($L88="","",INDEX('棚卸表'!$C$5:$C$504,$L88)&amp;"")</f>
        <v/>
      </c>
      <c r="H88" s="58">
        <f>IF($L88="","",IF(ISNUMBER(INDEX('棚卸表'!$I$5:$I$504,$L88)),INDEX('棚卸表'!$I$5:$I$504,$L88),INDEX('棚卸表'!$H$5:$H$504,$L88)))</f>
        <v/>
      </c>
      <c r="I88" s="52">
        <f>IF($L88="","",INDEX('棚卸表'!$F$5:$F$504,$L88)&amp;"")</f>
        <v/>
      </c>
      <c r="J88" s="80">
        <f>IF($L88="","",IF(ISNUMBER(INDEX('棚卸表'!$I$5:$I$504,$L88)),INDEX('棚卸表'!$I$5:$I$504,$L88),INDEX('棚卸表'!$H$5:$H$504,$L88))*N(INDEX('棚卸表'!$G$5:$G$504,$L88)))</f>
        <v/>
      </c>
      <c r="K88" s="61" t="n"/>
      <c r="L88" s="78">
        <f>IFERROR(MATCH(SMALL('棚卸表'!$W$5:$W$504,84),'棚卸表'!$W$5:$W$504,0),"")</f>
        <v/>
      </c>
    </row>
    <row r="89" ht="18" customHeight="1">
      <c r="A89" s="52">
        <f>IF($L89="","",85)</f>
        <v/>
      </c>
      <c r="B89" s="57">
        <f>IF($L89="","",INDEX('棚卸表'!$R$5:$R$504,$L89))</f>
        <v/>
      </c>
      <c r="C89" s="52">
        <f>IF($L89="","",INDEX('棚卸表'!$S$5:$S$504,$L89)&amp;"")</f>
        <v/>
      </c>
      <c r="D89" s="52">
        <f>IF($L89="","",INDEX('棚卸表'!$T$5:$T$504,$L89)&amp;"")</f>
        <v/>
      </c>
      <c r="E89" s="52">
        <f>IF($L89="","",INDEX('棚卸表'!$E$5:$E$504,$L89)&amp;"")</f>
        <v/>
      </c>
      <c r="F89" s="52">
        <f>IF($L89="","",INDEX('棚卸表'!$B$5:$B$504,$L89)&amp;"")</f>
        <v/>
      </c>
      <c r="G89" s="53">
        <f>IF($L89="","",INDEX('棚卸表'!$C$5:$C$504,$L89)&amp;"")</f>
        <v/>
      </c>
      <c r="H89" s="58">
        <f>IF($L89="","",IF(ISNUMBER(INDEX('棚卸表'!$I$5:$I$504,$L89)),INDEX('棚卸表'!$I$5:$I$504,$L89),INDEX('棚卸表'!$H$5:$H$504,$L89)))</f>
        <v/>
      </c>
      <c r="I89" s="52">
        <f>IF($L89="","",INDEX('棚卸表'!$F$5:$F$504,$L89)&amp;"")</f>
        <v/>
      </c>
      <c r="J89" s="80">
        <f>IF($L89="","",IF(ISNUMBER(INDEX('棚卸表'!$I$5:$I$504,$L89)),INDEX('棚卸表'!$I$5:$I$504,$L89),INDEX('棚卸表'!$H$5:$H$504,$L89))*N(INDEX('棚卸表'!$G$5:$G$504,$L89)))</f>
        <v/>
      </c>
      <c r="K89" s="61" t="n"/>
      <c r="L89" s="78">
        <f>IFERROR(MATCH(SMALL('棚卸表'!$W$5:$W$504,85),'棚卸表'!$W$5:$W$504,0),"")</f>
        <v/>
      </c>
    </row>
    <row r="90" ht="18" customHeight="1">
      <c r="A90" s="52">
        <f>IF($L90="","",86)</f>
        <v/>
      </c>
      <c r="B90" s="57">
        <f>IF($L90="","",INDEX('棚卸表'!$R$5:$R$504,$L90))</f>
        <v/>
      </c>
      <c r="C90" s="52">
        <f>IF($L90="","",INDEX('棚卸表'!$S$5:$S$504,$L90)&amp;"")</f>
        <v/>
      </c>
      <c r="D90" s="52">
        <f>IF($L90="","",INDEX('棚卸表'!$T$5:$T$504,$L90)&amp;"")</f>
        <v/>
      </c>
      <c r="E90" s="52">
        <f>IF($L90="","",INDEX('棚卸表'!$E$5:$E$504,$L90)&amp;"")</f>
        <v/>
      </c>
      <c r="F90" s="52">
        <f>IF($L90="","",INDEX('棚卸表'!$B$5:$B$504,$L90)&amp;"")</f>
        <v/>
      </c>
      <c r="G90" s="53">
        <f>IF($L90="","",INDEX('棚卸表'!$C$5:$C$504,$L90)&amp;"")</f>
        <v/>
      </c>
      <c r="H90" s="58">
        <f>IF($L90="","",IF(ISNUMBER(INDEX('棚卸表'!$I$5:$I$504,$L90)),INDEX('棚卸表'!$I$5:$I$504,$L90),INDEX('棚卸表'!$H$5:$H$504,$L90)))</f>
        <v/>
      </c>
      <c r="I90" s="52">
        <f>IF($L90="","",INDEX('棚卸表'!$F$5:$F$504,$L90)&amp;"")</f>
        <v/>
      </c>
      <c r="J90" s="80">
        <f>IF($L90="","",IF(ISNUMBER(INDEX('棚卸表'!$I$5:$I$504,$L90)),INDEX('棚卸表'!$I$5:$I$504,$L90),INDEX('棚卸表'!$H$5:$H$504,$L90))*N(INDEX('棚卸表'!$G$5:$G$504,$L90)))</f>
        <v/>
      </c>
      <c r="K90" s="61" t="n"/>
      <c r="L90" s="78">
        <f>IFERROR(MATCH(SMALL('棚卸表'!$W$5:$W$504,86),'棚卸表'!$W$5:$W$504,0),"")</f>
        <v/>
      </c>
    </row>
    <row r="91" ht="18" customHeight="1">
      <c r="A91" s="52">
        <f>IF($L91="","",87)</f>
        <v/>
      </c>
      <c r="B91" s="57">
        <f>IF($L91="","",INDEX('棚卸表'!$R$5:$R$504,$L91))</f>
        <v/>
      </c>
      <c r="C91" s="52">
        <f>IF($L91="","",INDEX('棚卸表'!$S$5:$S$504,$L91)&amp;"")</f>
        <v/>
      </c>
      <c r="D91" s="52">
        <f>IF($L91="","",INDEX('棚卸表'!$T$5:$T$504,$L91)&amp;"")</f>
        <v/>
      </c>
      <c r="E91" s="52">
        <f>IF($L91="","",INDEX('棚卸表'!$E$5:$E$504,$L91)&amp;"")</f>
        <v/>
      </c>
      <c r="F91" s="52">
        <f>IF($L91="","",INDEX('棚卸表'!$B$5:$B$504,$L91)&amp;"")</f>
        <v/>
      </c>
      <c r="G91" s="53">
        <f>IF($L91="","",INDEX('棚卸表'!$C$5:$C$504,$L91)&amp;"")</f>
        <v/>
      </c>
      <c r="H91" s="58">
        <f>IF($L91="","",IF(ISNUMBER(INDEX('棚卸表'!$I$5:$I$504,$L91)),INDEX('棚卸表'!$I$5:$I$504,$L91),INDEX('棚卸表'!$H$5:$H$504,$L91)))</f>
        <v/>
      </c>
      <c r="I91" s="52">
        <f>IF($L91="","",INDEX('棚卸表'!$F$5:$F$504,$L91)&amp;"")</f>
        <v/>
      </c>
      <c r="J91" s="80">
        <f>IF($L91="","",IF(ISNUMBER(INDEX('棚卸表'!$I$5:$I$504,$L91)),INDEX('棚卸表'!$I$5:$I$504,$L91),INDEX('棚卸表'!$H$5:$H$504,$L91))*N(INDEX('棚卸表'!$G$5:$G$504,$L91)))</f>
        <v/>
      </c>
      <c r="K91" s="61" t="n"/>
      <c r="L91" s="78">
        <f>IFERROR(MATCH(SMALL('棚卸表'!$W$5:$W$504,87),'棚卸表'!$W$5:$W$504,0),"")</f>
        <v/>
      </c>
    </row>
    <row r="92" ht="18" customHeight="1">
      <c r="A92" s="52">
        <f>IF($L92="","",88)</f>
        <v/>
      </c>
      <c r="B92" s="57">
        <f>IF($L92="","",INDEX('棚卸表'!$R$5:$R$504,$L92))</f>
        <v/>
      </c>
      <c r="C92" s="52">
        <f>IF($L92="","",INDEX('棚卸表'!$S$5:$S$504,$L92)&amp;"")</f>
        <v/>
      </c>
      <c r="D92" s="52">
        <f>IF($L92="","",INDEX('棚卸表'!$T$5:$T$504,$L92)&amp;"")</f>
        <v/>
      </c>
      <c r="E92" s="52">
        <f>IF($L92="","",INDEX('棚卸表'!$E$5:$E$504,$L92)&amp;"")</f>
        <v/>
      </c>
      <c r="F92" s="52">
        <f>IF($L92="","",INDEX('棚卸表'!$B$5:$B$504,$L92)&amp;"")</f>
        <v/>
      </c>
      <c r="G92" s="53">
        <f>IF($L92="","",INDEX('棚卸表'!$C$5:$C$504,$L92)&amp;"")</f>
        <v/>
      </c>
      <c r="H92" s="58">
        <f>IF($L92="","",IF(ISNUMBER(INDEX('棚卸表'!$I$5:$I$504,$L92)),INDEX('棚卸表'!$I$5:$I$504,$L92),INDEX('棚卸表'!$H$5:$H$504,$L92)))</f>
        <v/>
      </c>
      <c r="I92" s="52">
        <f>IF($L92="","",INDEX('棚卸表'!$F$5:$F$504,$L92)&amp;"")</f>
        <v/>
      </c>
      <c r="J92" s="80">
        <f>IF($L92="","",IF(ISNUMBER(INDEX('棚卸表'!$I$5:$I$504,$L92)),INDEX('棚卸表'!$I$5:$I$504,$L92),INDEX('棚卸表'!$H$5:$H$504,$L92))*N(INDEX('棚卸表'!$G$5:$G$504,$L92)))</f>
        <v/>
      </c>
      <c r="K92" s="61" t="n"/>
      <c r="L92" s="78">
        <f>IFERROR(MATCH(SMALL('棚卸表'!$W$5:$W$504,88),'棚卸表'!$W$5:$W$504,0),"")</f>
        <v/>
      </c>
    </row>
    <row r="93" ht="18" customHeight="1">
      <c r="A93" s="52">
        <f>IF($L93="","",89)</f>
        <v/>
      </c>
      <c r="B93" s="57">
        <f>IF($L93="","",INDEX('棚卸表'!$R$5:$R$504,$L93))</f>
        <v/>
      </c>
      <c r="C93" s="52">
        <f>IF($L93="","",INDEX('棚卸表'!$S$5:$S$504,$L93)&amp;"")</f>
        <v/>
      </c>
      <c r="D93" s="52">
        <f>IF($L93="","",INDEX('棚卸表'!$T$5:$T$504,$L93)&amp;"")</f>
        <v/>
      </c>
      <c r="E93" s="52">
        <f>IF($L93="","",INDEX('棚卸表'!$E$5:$E$504,$L93)&amp;"")</f>
        <v/>
      </c>
      <c r="F93" s="52">
        <f>IF($L93="","",INDEX('棚卸表'!$B$5:$B$504,$L93)&amp;"")</f>
        <v/>
      </c>
      <c r="G93" s="53">
        <f>IF($L93="","",INDEX('棚卸表'!$C$5:$C$504,$L93)&amp;"")</f>
        <v/>
      </c>
      <c r="H93" s="58">
        <f>IF($L93="","",IF(ISNUMBER(INDEX('棚卸表'!$I$5:$I$504,$L93)),INDEX('棚卸表'!$I$5:$I$504,$L93),INDEX('棚卸表'!$H$5:$H$504,$L93)))</f>
        <v/>
      </c>
      <c r="I93" s="52">
        <f>IF($L93="","",INDEX('棚卸表'!$F$5:$F$504,$L93)&amp;"")</f>
        <v/>
      </c>
      <c r="J93" s="80">
        <f>IF($L93="","",IF(ISNUMBER(INDEX('棚卸表'!$I$5:$I$504,$L93)),INDEX('棚卸表'!$I$5:$I$504,$L93),INDEX('棚卸表'!$H$5:$H$504,$L93))*N(INDEX('棚卸表'!$G$5:$G$504,$L93)))</f>
        <v/>
      </c>
      <c r="K93" s="61" t="n"/>
      <c r="L93" s="78">
        <f>IFERROR(MATCH(SMALL('棚卸表'!$W$5:$W$504,89),'棚卸表'!$W$5:$W$504,0),"")</f>
        <v/>
      </c>
    </row>
    <row r="94" ht="18" customHeight="1">
      <c r="A94" s="52">
        <f>IF($L94="","",90)</f>
        <v/>
      </c>
      <c r="B94" s="57">
        <f>IF($L94="","",INDEX('棚卸表'!$R$5:$R$504,$L94))</f>
        <v/>
      </c>
      <c r="C94" s="52">
        <f>IF($L94="","",INDEX('棚卸表'!$S$5:$S$504,$L94)&amp;"")</f>
        <v/>
      </c>
      <c r="D94" s="52">
        <f>IF($L94="","",INDEX('棚卸表'!$T$5:$T$504,$L94)&amp;"")</f>
        <v/>
      </c>
      <c r="E94" s="52">
        <f>IF($L94="","",INDEX('棚卸表'!$E$5:$E$504,$L94)&amp;"")</f>
        <v/>
      </c>
      <c r="F94" s="52">
        <f>IF($L94="","",INDEX('棚卸表'!$B$5:$B$504,$L94)&amp;"")</f>
        <v/>
      </c>
      <c r="G94" s="53">
        <f>IF($L94="","",INDEX('棚卸表'!$C$5:$C$504,$L94)&amp;"")</f>
        <v/>
      </c>
      <c r="H94" s="58">
        <f>IF($L94="","",IF(ISNUMBER(INDEX('棚卸表'!$I$5:$I$504,$L94)),INDEX('棚卸表'!$I$5:$I$504,$L94),INDEX('棚卸表'!$H$5:$H$504,$L94)))</f>
        <v/>
      </c>
      <c r="I94" s="52">
        <f>IF($L94="","",INDEX('棚卸表'!$F$5:$F$504,$L94)&amp;"")</f>
        <v/>
      </c>
      <c r="J94" s="80">
        <f>IF($L94="","",IF(ISNUMBER(INDEX('棚卸表'!$I$5:$I$504,$L94)),INDEX('棚卸表'!$I$5:$I$504,$L94),INDEX('棚卸表'!$H$5:$H$504,$L94))*N(INDEX('棚卸表'!$G$5:$G$504,$L94)))</f>
        <v/>
      </c>
      <c r="K94" s="61" t="n"/>
      <c r="L94" s="78">
        <f>IFERROR(MATCH(SMALL('棚卸表'!$W$5:$W$504,90),'棚卸表'!$W$5:$W$504,0),"")</f>
        <v/>
      </c>
    </row>
    <row r="95" ht="18" customHeight="1">
      <c r="A95" s="52">
        <f>IF($L95="","",91)</f>
        <v/>
      </c>
      <c r="B95" s="57">
        <f>IF($L95="","",INDEX('棚卸表'!$R$5:$R$504,$L95))</f>
        <v/>
      </c>
      <c r="C95" s="52">
        <f>IF($L95="","",INDEX('棚卸表'!$S$5:$S$504,$L95)&amp;"")</f>
        <v/>
      </c>
      <c r="D95" s="52">
        <f>IF($L95="","",INDEX('棚卸表'!$T$5:$T$504,$L95)&amp;"")</f>
        <v/>
      </c>
      <c r="E95" s="52">
        <f>IF($L95="","",INDEX('棚卸表'!$E$5:$E$504,$L95)&amp;"")</f>
        <v/>
      </c>
      <c r="F95" s="52">
        <f>IF($L95="","",INDEX('棚卸表'!$B$5:$B$504,$L95)&amp;"")</f>
        <v/>
      </c>
      <c r="G95" s="53">
        <f>IF($L95="","",INDEX('棚卸表'!$C$5:$C$504,$L95)&amp;"")</f>
        <v/>
      </c>
      <c r="H95" s="58">
        <f>IF($L95="","",IF(ISNUMBER(INDEX('棚卸表'!$I$5:$I$504,$L95)),INDEX('棚卸表'!$I$5:$I$504,$L95),INDEX('棚卸表'!$H$5:$H$504,$L95)))</f>
        <v/>
      </c>
      <c r="I95" s="52">
        <f>IF($L95="","",INDEX('棚卸表'!$F$5:$F$504,$L95)&amp;"")</f>
        <v/>
      </c>
      <c r="J95" s="80">
        <f>IF($L95="","",IF(ISNUMBER(INDEX('棚卸表'!$I$5:$I$504,$L95)),INDEX('棚卸表'!$I$5:$I$504,$L95),INDEX('棚卸表'!$H$5:$H$504,$L95))*N(INDEX('棚卸表'!$G$5:$G$504,$L95)))</f>
        <v/>
      </c>
      <c r="K95" s="61" t="n"/>
      <c r="L95" s="78">
        <f>IFERROR(MATCH(SMALL('棚卸表'!$W$5:$W$504,91),'棚卸表'!$W$5:$W$504,0),"")</f>
        <v/>
      </c>
    </row>
    <row r="96" ht="18" customHeight="1">
      <c r="A96" s="52">
        <f>IF($L96="","",92)</f>
        <v/>
      </c>
      <c r="B96" s="57">
        <f>IF($L96="","",INDEX('棚卸表'!$R$5:$R$504,$L96))</f>
        <v/>
      </c>
      <c r="C96" s="52">
        <f>IF($L96="","",INDEX('棚卸表'!$S$5:$S$504,$L96)&amp;"")</f>
        <v/>
      </c>
      <c r="D96" s="52">
        <f>IF($L96="","",INDEX('棚卸表'!$T$5:$T$504,$L96)&amp;"")</f>
        <v/>
      </c>
      <c r="E96" s="52">
        <f>IF($L96="","",INDEX('棚卸表'!$E$5:$E$504,$L96)&amp;"")</f>
        <v/>
      </c>
      <c r="F96" s="52">
        <f>IF($L96="","",INDEX('棚卸表'!$B$5:$B$504,$L96)&amp;"")</f>
        <v/>
      </c>
      <c r="G96" s="53">
        <f>IF($L96="","",INDEX('棚卸表'!$C$5:$C$504,$L96)&amp;"")</f>
        <v/>
      </c>
      <c r="H96" s="58">
        <f>IF($L96="","",IF(ISNUMBER(INDEX('棚卸表'!$I$5:$I$504,$L96)),INDEX('棚卸表'!$I$5:$I$504,$L96),INDEX('棚卸表'!$H$5:$H$504,$L96)))</f>
        <v/>
      </c>
      <c r="I96" s="52">
        <f>IF($L96="","",INDEX('棚卸表'!$F$5:$F$504,$L96)&amp;"")</f>
        <v/>
      </c>
      <c r="J96" s="80">
        <f>IF($L96="","",IF(ISNUMBER(INDEX('棚卸表'!$I$5:$I$504,$L96)),INDEX('棚卸表'!$I$5:$I$504,$L96),INDEX('棚卸表'!$H$5:$H$504,$L96))*N(INDEX('棚卸表'!$G$5:$G$504,$L96)))</f>
        <v/>
      </c>
      <c r="K96" s="61" t="n"/>
      <c r="L96" s="78">
        <f>IFERROR(MATCH(SMALL('棚卸表'!$W$5:$W$504,92),'棚卸表'!$W$5:$W$504,0),"")</f>
        <v/>
      </c>
    </row>
    <row r="97" ht="18" customHeight="1">
      <c r="A97" s="52">
        <f>IF($L97="","",93)</f>
        <v/>
      </c>
      <c r="B97" s="57">
        <f>IF($L97="","",INDEX('棚卸表'!$R$5:$R$504,$L97))</f>
        <v/>
      </c>
      <c r="C97" s="52">
        <f>IF($L97="","",INDEX('棚卸表'!$S$5:$S$504,$L97)&amp;"")</f>
        <v/>
      </c>
      <c r="D97" s="52">
        <f>IF($L97="","",INDEX('棚卸表'!$T$5:$T$504,$L97)&amp;"")</f>
        <v/>
      </c>
      <c r="E97" s="52">
        <f>IF($L97="","",INDEX('棚卸表'!$E$5:$E$504,$L97)&amp;"")</f>
        <v/>
      </c>
      <c r="F97" s="52">
        <f>IF($L97="","",INDEX('棚卸表'!$B$5:$B$504,$L97)&amp;"")</f>
        <v/>
      </c>
      <c r="G97" s="53">
        <f>IF($L97="","",INDEX('棚卸表'!$C$5:$C$504,$L97)&amp;"")</f>
        <v/>
      </c>
      <c r="H97" s="58">
        <f>IF($L97="","",IF(ISNUMBER(INDEX('棚卸表'!$I$5:$I$504,$L97)),INDEX('棚卸表'!$I$5:$I$504,$L97),INDEX('棚卸表'!$H$5:$H$504,$L97)))</f>
        <v/>
      </c>
      <c r="I97" s="52">
        <f>IF($L97="","",INDEX('棚卸表'!$F$5:$F$504,$L97)&amp;"")</f>
        <v/>
      </c>
      <c r="J97" s="80">
        <f>IF($L97="","",IF(ISNUMBER(INDEX('棚卸表'!$I$5:$I$504,$L97)),INDEX('棚卸表'!$I$5:$I$504,$L97),INDEX('棚卸表'!$H$5:$H$504,$L97))*N(INDEX('棚卸表'!$G$5:$G$504,$L97)))</f>
        <v/>
      </c>
      <c r="K97" s="61" t="n"/>
      <c r="L97" s="78">
        <f>IFERROR(MATCH(SMALL('棚卸表'!$W$5:$W$504,93),'棚卸表'!$W$5:$W$504,0),"")</f>
        <v/>
      </c>
    </row>
    <row r="98" ht="18" customHeight="1">
      <c r="A98" s="52">
        <f>IF($L98="","",94)</f>
        <v/>
      </c>
      <c r="B98" s="57">
        <f>IF($L98="","",INDEX('棚卸表'!$R$5:$R$504,$L98))</f>
        <v/>
      </c>
      <c r="C98" s="52">
        <f>IF($L98="","",INDEX('棚卸表'!$S$5:$S$504,$L98)&amp;"")</f>
        <v/>
      </c>
      <c r="D98" s="52">
        <f>IF($L98="","",INDEX('棚卸表'!$T$5:$T$504,$L98)&amp;"")</f>
        <v/>
      </c>
      <c r="E98" s="52">
        <f>IF($L98="","",INDEX('棚卸表'!$E$5:$E$504,$L98)&amp;"")</f>
        <v/>
      </c>
      <c r="F98" s="52">
        <f>IF($L98="","",INDEX('棚卸表'!$B$5:$B$504,$L98)&amp;"")</f>
        <v/>
      </c>
      <c r="G98" s="53">
        <f>IF($L98="","",INDEX('棚卸表'!$C$5:$C$504,$L98)&amp;"")</f>
        <v/>
      </c>
      <c r="H98" s="58">
        <f>IF($L98="","",IF(ISNUMBER(INDEX('棚卸表'!$I$5:$I$504,$L98)),INDEX('棚卸表'!$I$5:$I$504,$L98),INDEX('棚卸表'!$H$5:$H$504,$L98)))</f>
        <v/>
      </c>
      <c r="I98" s="52">
        <f>IF($L98="","",INDEX('棚卸表'!$F$5:$F$504,$L98)&amp;"")</f>
        <v/>
      </c>
      <c r="J98" s="80">
        <f>IF($L98="","",IF(ISNUMBER(INDEX('棚卸表'!$I$5:$I$504,$L98)),INDEX('棚卸表'!$I$5:$I$504,$L98),INDEX('棚卸表'!$H$5:$H$504,$L98))*N(INDEX('棚卸表'!$G$5:$G$504,$L98)))</f>
        <v/>
      </c>
      <c r="K98" s="61" t="n"/>
      <c r="L98" s="78">
        <f>IFERROR(MATCH(SMALL('棚卸表'!$W$5:$W$504,94),'棚卸表'!$W$5:$W$504,0),"")</f>
        <v/>
      </c>
    </row>
    <row r="99" ht="18" customHeight="1">
      <c r="A99" s="52">
        <f>IF($L99="","",95)</f>
        <v/>
      </c>
      <c r="B99" s="57">
        <f>IF($L99="","",INDEX('棚卸表'!$R$5:$R$504,$L99))</f>
        <v/>
      </c>
      <c r="C99" s="52">
        <f>IF($L99="","",INDEX('棚卸表'!$S$5:$S$504,$L99)&amp;"")</f>
        <v/>
      </c>
      <c r="D99" s="52">
        <f>IF($L99="","",INDEX('棚卸表'!$T$5:$T$504,$L99)&amp;"")</f>
        <v/>
      </c>
      <c r="E99" s="52">
        <f>IF($L99="","",INDEX('棚卸表'!$E$5:$E$504,$L99)&amp;"")</f>
        <v/>
      </c>
      <c r="F99" s="52">
        <f>IF($L99="","",INDEX('棚卸表'!$B$5:$B$504,$L99)&amp;"")</f>
        <v/>
      </c>
      <c r="G99" s="53">
        <f>IF($L99="","",INDEX('棚卸表'!$C$5:$C$504,$L99)&amp;"")</f>
        <v/>
      </c>
      <c r="H99" s="58">
        <f>IF($L99="","",IF(ISNUMBER(INDEX('棚卸表'!$I$5:$I$504,$L99)),INDEX('棚卸表'!$I$5:$I$504,$L99),INDEX('棚卸表'!$H$5:$H$504,$L99)))</f>
        <v/>
      </c>
      <c r="I99" s="52">
        <f>IF($L99="","",INDEX('棚卸表'!$F$5:$F$504,$L99)&amp;"")</f>
        <v/>
      </c>
      <c r="J99" s="80">
        <f>IF($L99="","",IF(ISNUMBER(INDEX('棚卸表'!$I$5:$I$504,$L99)),INDEX('棚卸表'!$I$5:$I$504,$L99),INDEX('棚卸表'!$H$5:$H$504,$L99))*N(INDEX('棚卸表'!$G$5:$G$504,$L99)))</f>
        <v/>
      </c>
      <c r="K99" s="61" t="n"/>
      <c r="L99" s="78">
        <f>IFERROR(MATCH(SMALL('棚卸表'!$W$5:$W$504,95),'棚卸表'!$W$5:$W$504,0),"")</f>
        <v/>
      </c>
    </row>
    <row r="100" ht="18" customHeight="1">
      <c r="A100" s="52">
        <f>IF($L100="","",96)</f>
        <v/>
      </c>
      <c r="B100" s="57">
        <f>IF($L100="","",INDEX('棚卸表'!$R$5:$R$504,$L100))</f>
        <v/>
      </c>
      <c r="C100" s="52">
        <f>IF($L100="","",INDEX('棚卸表'!$S$5:$S$504,$L100)&amp;"")</f>
        <v/>
      </c>
      <c r="D100" s="52">
        <f>IF($L100="","",INDEX('棚卸表'!$T$5:$T$504,$L100)&amp;"")</f>
        <v/>
      </c>
      <c r="E100" s="52">
        <f>IF($L100="","",INDEX('棚卸表'!$E$5:$E$504,$L100)&amp;"")</f>
        <v/>
      </c>
      <c r="F100" s="52">
        <f>IF($L100="","",INDEX('棚卸表'!$B$5:$B$504,$L100)&amp;"")</f>
        <v/>
      </c>
      <c r="G100" s="53">
        <f>IF($L100="","",INDEX('棚卸表'!$C$5:$C$504,$L100)&amp;"")</f>
        <v/>
      </c>
      <c r="H100" s="58">
        <f>IF($L100="","",IF(ISNUMBER(INDEX('棚卸表'!$I$5:$I$504,$L100)),INDEX('棚卸表'!$I$5:$I$504,$L100),INDEX('棚卸表'!$H$5:$H$504,$L100)))</f>
        <v/>
      </c>
      <c r="I100" s="52">
        <f>IF($L100="","",INDEX('棚卸表'!$F$5:$F$504,$L100)&amp;"")</f>
        <v/>
      </c>
      <c r="J100" s="80">
        <f>IF($L100="","",IF(ISNUMBER(INDEX('棚卸表'!$I$5:$I$504,$L100)),INDEX('棚卸表'!$I$5:$I$504,$L100),INDEX('棚卸表'!$H$5:$H$504,$L100))*N(INDEX('棚卸表'!$G$5:$G$504,$L100)))</f>
        <v/>
      </c>
      <c r="K100" s="61" t="n"/>
      <c r="L100" s="78">
        <f>IFERROR(MATCH(SMALL('棚卸表'!$W$5:$W$504,96),'棚卸表'!$W$5:$W$504,0),"")</f>
        <v/>
      </c>
    </row>
    <row r="101" ht="18" customHeight="1">
      <c r="A101" s="52">
        <f>IF($L101="","",97)</f>
        <v/>
      </c>
      <c r="B101" s="57">
        <f>IF($L101="","",INDEX('棚卸表'!$R$5:$R$504,$L101))</f>
        <v/>
      </c>
      <c r="C101" s="52">
        <f>IF($L101="","",INDEX('棚卸表'!$S$5:$S$504,$L101)&amp;"")</f>
        <v/>
      </c>
      <c r="D101" s="52">
        <f>IF($L101="","",INDEX('棚卸表'!$T$5:$T$504,$L101)&amp;"")</f>
        <v/>
      </c>
      <c r="E101" s="52">
        <f>IF($L101="","",INDEX('棚卸表'!$E$5:$E$504,$L101)&amp;"")</f>
        <v/>
      </c>
      <c r="F101" s="52">
        <f>IF($L101="","",INDEX('棚卸表'!$B$5:$B$504,$L101)&amp;"")</f>
        <v/>
      </c>
      <c r="G101" s="53">
        <f>IF($L101="","",INDEX('棚卸表'!$C$5:$C$504,$L101)&amp;"")</f>
        <v/>
      </c>
      <c r="H101" s="58">
        <f>IF($L101="","",IF(ISNUMBER(INDEX('棚卸表'!$I$5:$I$504,$L101)),INDEX('棚卸表'!$I$5:$I$504,$L101),INDEX('棚卸表'!$H$5:$H$504,$L101)))</f>
        <v/>
      </c>
      <c r="I101" s="52">
        <f>IF($L101="","",INDEX('棚卸表'!$F$5:$F$504,$L101)&amp;"")</f>
        <v/>
      </c>
      <c r="J101" s="80">
        <f>IF($L101="","",IF(ISNUMBER(INDEX('棚卸表'!$I$5:$I$504,$L101)),INDEX('棚卸表'!$I$5:$I$504,$L101),INDEX('棚卸表'!$H$5:$H$504,$L101))*N(INDEX('棚卸表'!$G$5:$G$504,$L101)))</f>
        <v/>
      </c>
      <c r="K101" s="61" t="n"/>
      <c r="L101" s="78">
        <f>IFERROR(MATCH(SMALL('棚卸表'!$W$5:$W$504,97),'棚卸表'!$W$5:$W$504,0),"")</f>
        <v/>
      </c>
    </row>
    <row r="102" ht="18" customHeight="1">
      <c r="A102" s="52">
        <f>IF($L102="","",98)</f>
        <v/>
      </c>
      <c r="B102" s="57">
        <f>IF($L102="","",INDEX('棚卸表'!$R$5:$R$504,$L102))</f>
        <v/>
      </c>
      <c r="C102" s="52">
        <f>IF($L102="","",INDEX('棚卸表'!$S$5:$S$504,$L102)&amp;"")</f>
        <v/>
      </c>
      <c r="D102" s="52">
        <f>IF($L102="","",INDEX('棚卸表'!$T$5:$T$504,$L102)&amp;"")</f>
        <v/>
      </c>
      <c r="E102" s="52">
        <f>IF($L102="","",INDEX('棚卸表'!$E$5:$E$504,$L102)&amp;"")</f>
        <v/>
      </c>
      <c r="F102" s="52">
        <f>IF($L102="","",INDEX('棚卸表'!$B$5:$B$504,$L102)&amp;"")</f>
        <v/>
      </c>
      <c r="G102" s="53">
        <f>IF($L102="","",INDEX('棚卸表'!$C$5:$C$504,$L102)&amp;"")</f>
        <v/>
      </c>
      <c r="H102" s="58">
        <f>IF($L102="","",IF(ISNUMBER(INDEX('棚卸表'!$I$5:$I$504,$L102)),INDEX('棚卸表'!$I$5:$I$504,$L102),INDEX('棚卸表'!$H$5:$H$504,$L102)))</f>
        <v/>
      </c>
      <c r="I102" s="52">
        <f>IF($L102="","",INDEX('棚卸表'!$F$5:$F$504,$L102)&amp;"")</f>
        <v/>
      </c>
      <c r="J102" s="80">
        <f>IF($L102="","",IF(ISNUMBER(INDEX('棚卸表'!$I$5:$I$504,$L102)),INDEX('棚卸表'!$I$5:$I$504,$L102),INDEX('棚卸表'!$H$5:$H$504,$L102))*N(INDEX('棚卸表'!$G$5:$G$504,$L102)))</f>
        <v/>
      </c>
      <c r="K102" s="61" t="n"/>
      <c r="L102" s="78">
        <f>IFERROR(MATCH(SMALL('棚卸表'!$W$5:$W$504,98),'棚卸表'!$W$5:$W$504,0),"")</f>
        <v/>
      </c>
    </row>
    <row r="103" ht="18" customHeight="1">
      <c r="A103" s="52">
        <f>IF($L103="","",99)</f>
        <v/>
      </c>
      <c r="B103" s="57">
        <f>IF($L103="","",INDEX('棚卸表'!$R$5:$R$504,$L103))</f>
        <v/>
      </c>
      <c r="C103" s="52">
        <f>IF($L103="","",INDEX('棚卸表'!$S$5:$S$504,$L103)&amp;"")</f>
        <v/>
      </c>
      <c r="D103" s="52">
        <f>IF($L103="","",INDEX('棚卸表'!$T$5:$T$504,$L103)&amp;"")</f>
        <v/>
      </c>
      <c r="E103" s="52">
        <f>IF($L103="","",INDEX('棚卸表'!$E$5:$E$504,$L103)&amp;"")</f>
        <v/>
      </c>
      <c r="F103" s="52">
        <f>IF($L103="","",INDEX('棚卸表'!$B$5:$B$504,$L103)&amp;"")</f>
        <v/>
      </c>
      <c r="G103" s="53">
        <f>IF($L103="","",INDEX('棚卸表'!$C$5:$C$504,$L103)&amp;"")</f>
        <v/>
      </c>
      <c r="H103" s="58">
        <f>IF($L103="","",IF(ISNUMBER(INDEX('棚卸表'!$I$5:$I$504,$L103)),INDEX('棚卸表'!$I$5:$I$504,$L103),INDEX('棚卸表'!$H$5:$H$504,$L103)))</f>
        <v/>
      </c>
      <c r="I103" s="52">
        <f>IF($L103="","",INDEX('棚卸表'!$F$5:$F$504,$L103)&amp;"")</f>
        <v/>
      </c>
      <c r="J103" s="80">
        <f>IF($L103="","",IF(ISNUMBER(INDEX('棚卸表'!$I$5:$I$504,$L103)),INDEX('棚卸表'!$I$5:$I$504,$L103),INDEX('棚卸表'!$H$5:$H$504,$L103))*N(INDEX('棚卸表'!$G$5:$G$504,$L103)))</f>
        <v/>
      </c>
      <c r="K103" s="61" t="n"/>
      <c r="L103" s="78">
        <f>IFERROR(MATCH(SMALL('棚卸表'!$W$5:$W$504,99),'棚卸表'!$W$5:$W$504,0),"")</f>
        <v/>
      </c>
    </row>
    <row r="104" ht="18" customHeight="1">
      <c r="A104" s="52">
        <f>IF($L104="","",100)</f>
        <v/>
      </c>
      <c r="B104" s="57">
        <f>IF($L104="","",INDEX('棚卸表'!$R$5:$R$504,$L104))</f>
        <v/>
      </c>
      <c r="C104" s="52">
        <f>IF($L104="","",INDEX('棚卸表'!$S$5:$S$504,$L104)&amp;"")</f>
        <v/>
      </c>
      <c r="D104" s="52">
        <f>IF($L104="","",INDEX('棚卸表'!$T$5:$T$504,$L104)&amp;"")</f>
        <v/>
      </c>
      <c r="E104" s="52">
        <f>IF($L104="","",INDEX('棚卸表'!$E$5:$E$504,$L104)&amp;"")</f>
        <v/>
      </c>
      <c r="F104" s="52">
        <f>IF($L104="","",INDEX('棚卸表'!$B$5:$B$504,$L104)&amp;"")</f>
        <v/>
      </c>
      <c r="G104" s="53">
        <f>IF($L104="","",INDEX('棚卸表'!$C$5:$C$504,$L104)&amp;"")</f>
        <v/>
      </c>
      <c r="H104" s="58">
        <f>IF($L104="","",IF(ISNUMBER(INDEX('棚卸表'!$I$5:$I$504,$L104)),INDEX('棚卸表'!$I$5:$I$504,$L104),INDEX('棚卸表'!$H$5:$H$504,$L104)))</f>
        <v/>
      </c>
      <c r="I104" s="52">
        <f>IF($L104="","",INDEX('棚卸表'!$F$5:$F$504,$L104)&amp;"")</f>
        <v/>
      </c>
      <c r="J104" s="80">
        <f>IF($L104="","",IF(ISNUMBER(INDEX('棚卸表'!$I$5:$I$504,$L104)),INDEX('棚卸表'!$I$5:$I$504,$L104),INDEX('棚卸表'!$H$5:$H$504,$L104))*N(INDEX('棚卸表'!$G$5:$G$504,$L104)))</f>
        <v/>
      </c>
      <c r="K104" s="61" t="n"/>
      <c r="L104" s="78">
        <f>IFERROR(MATCH(SMALL('棚卸表'!$W$5:$W$504,100),'棚卸表'!$W$5:$W$504,0),"")</f>
        <v/>
      </c>
    </row>
  </sheetData>
  <mergeCells count="4">
    <mergeCell ref="A1:J1"/>
    <mergeCell ref="A2:B2"/>
    <mergeCell ref="A3:J3"/>
    <mergeCell ref="F2:J2"/>
  </mergeCells>
  <conditionalFormatting sqref="A5:J104">
    <cfRule type="expression" priority="1" dxfId="0">
      <formula>$D5="期限切れ"</formula>
    </cfRule>
    <cfRule type="expression" priority="2" dxfId="1">
      <formula>OR($D5="当日",LEFT($D5,2)="あと")</formula>
    </cfRule>
  </conditionalFormatting>
  <pageMargins left="0.4" right="0.4" top="0.45" bottom="0.45" header="0.2" footer="0.2"/>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2026-10-02T19:08:31Z</dcterms:created>
  <dcterms:modified xmlns:dcterms="http://purl.org/dc/terms/" xmlns:xsi="http://www.w3.org/2001/XMLSchema-instance" xsi:type="dcterms:W3CDTF">2026-10-02T19:08:34Z</dcterms:modified>
</cp:coreProperties>
</file>