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退職金の計算" sheetId="3" state="visible" r:id="rId3"/>
    <sheet xmlns:r="http://schemas.openxmlformats.org/officeDocument/2006/relationships" name="全員の見積り" sheetId="4" state="visible" r:id="rId4"/>
    <sheet xmlns:r="http://schemas.openxmlformats.org/officeDocument/2006/relationships" name="税額の表" sheetId="5" state="visible" r:id="rId5"/>
  </sheets>
  <definedNames>
    <definedName name="_xlnm.Print_Area" localSheetId="2">'退職金の計算'!$A$1:$C$42</definedName>
    <definedName name="_xlnm.Print_Titles" localSheetId="3">'全員の見積り'!$9:$9</definedName>
    <definedName name="_xlnm.Print_Area" localSheetId="3">'全員の見積り'!$A$1:$K$59</definedName>
  </definedNames>
  <calcPr calcId="124519" fullCalcOnLoad="1"/>
</workbook>
</file>

<file path=xl/styles.xml><?xml version="1.0" encoding="utf-8"?>
<styleSheet xmlns="http://schemas.openxmlformats.org/spreadsheetml/2006/main">
  <numFmts count="8">
    <numFmt numFmtId="164" formatCode="#,##0&quot;円&quot;"/>
    <numFmt numFmtId="165" formatCode="0&quot;か月&quot;"/>
    <numFmt numFmtId="166" formatCode="0.0#"/>
    <numFmt numFmtId="167" formatCode="0.0##"/>
    <numFmt numFmtId="168" formatCode="yyyy/m/d"/>
    <numFmt numFmtId="169" formatCode="0.0###"/>
    <numFmt numFmtId="170" formatCode="0&quot;％&quot;"/>
    <numFmt numFmtId="171" formatCode="0&quot;人&quot;"/>
  </numFmts>
  <fonts count="13">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color rgb="0066707A"/>
      <sz val="8"/>
    </font>
    <font>
      <name val="Yu Gothic"/>
      <b val="1"/>
      <color rgb="00FFFFFF"/>
      <sz val="11"/>
    </font>
    <font>
      <name val="Yu Gothic"/>
      <b val="1"/>
      <color rgb="00FFFFFF"/>
      <sz val="10"/>
    </font>
    <font>
      <name val="Yu Gothic"/>
      <b val="1"/>
      <color rgb="001B3A5C"/>
      <sz val="12"/>
    </font>
    <font>
      <name val="Yu Gothic"/>
      <b val="1"/>
      <color rgb="00B3261E"/>
      <sz val="9"/>
    </font>
    <font>
      <name val="Yu Gothic"/>
      <color theme="1"/>
      <sz val="11"/>
    </font>
    <font>
      <name val="Yu Gothic"/>
      <b val="1"/>
      <color rgb="FF1B3A5C"/>
      <sz val="10"/>
    </font>
    <font>
      <name val="Yu Gothic"/>
      <b val="1"/>
      <color rgb="FF1B3A5C"/>
      <sz val="12"/>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1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style="thin">
        <color rgb="00B9C4CF"/>
      </left>
      <right/>
      <top/>
      <bottom/>
      <diagonal/>
    </border>
    <border>
      <left/>
      <right style="thin">
        <color rgb="00B9C4CF"/>
      </right>
      <top/>
      <bottom/>
      <diagonal/>
    </border>
    <border>
      <left style="thin">
        <color rgb="00B9C4CF"/>
      </left>
      <right/>
      <top/>
      <bottom style="thin">
        <color rgb="00B9C4CF"/>
      </bottom>
      <diagonal/>
    </border>
    <border>
      <left/>
      <right/>
      <top/>
      <bottom style="thin">
        <color rgb="00B9C4CF"/>
      </bottom>
      <diagonal/>
    </border>
    <border>
      <left/>
      <right style="thin">
        <color rgb="00B9C4CF"/>
      </right>
      <top/>
      <bottom style="thin">
        <color rgb="00B9C4CF"/>
      </bottom>
      <diagonal/>
    </border>
    <border>
      <left/>
      <right/>
      <top style="thin">
        <color rgb="00B9C4CF"/>
      </top>
      <bottom style="thin">
        <color rgb="00B9C4CF"/>
      </bottom>
      <diagonal/>
    </border>
    <border>
      <left/>
      <right/>
      <top/>
      <bottom/>
    </border>
    <border>
      <left/>
      <right style="thin">
        <color rgb="00B9C4CF"/>
      </right>
      <top style="thin">
        <color rgb="00B9C4CF"/>
      </top>
      <bottom style="thin">
        <color rgb="00B9C4CF"/>
      </bottom>
    </border>
    <border>
      <left/>
      <right/>
      <top style="thin">
        <color rgb="00B9C4CF"/>
      </top>
      <bottom/>
    </border>
    <border>
      <left/>
      <right style="thin">
        <color rgb="00B9C4CF"/>
      </right>
      <top style="thin">
        <color rgb="00B9C4CF"/>
      </top>
      <bottom/>
    </border>
    <border>
      <left style="thin">
        <color rgb="00B9C4CF"/>
      </left>
      <right/>
      <top/>
      <bottom style="thin">
        <color rgb="00B9C4CF"/>
      </bottom>
    </border>
    <border>
      <left/>
      <right/>
      <top/>
      <bottom style="thin">
        <color rgb="00B9C4CF"/>
      </bottom>
    </border>
    <border>
      <left/>
      <right style="thin">
        <color rgb="00B9C4CF"/>
      </right>
      <top/>
      <bottom style="thin">
        <color rgb="00B9C4CF"/>
      </bottom>
    </border>
    <border>
      <left/>
      <right/>
      <top style="thin">
        <color rgb="00B9C4CF"/>
      </top>
      <bottom style="thin">
        <color rgb="00B9C4CF"/>
      </bottom>
    </border>
  </borders>
  <cellStyleXfs count="1">
    <xf numFmtId="0" fontId="0" fillId="0" borderId="0"/>
  </cellStyleXfs>
  <cellXfs count="66">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left" vertical="center" wrapText="1"/>
    </xf>
    <xf numFmtId="0" fontId="3" fillId="4" borderId="1" applyAlignment="1" pivotButton="0" quotePrefix="0" xfId="0">
      <alignment horizontal="left" vertical="center" wrapText="1"/>
    </xf>
    <xf numFmtId="0" fontId="0" fillId="4" borderId="1" pivotButton="0" quotePrefix="0" xfId="0"/>
    <xf numFmtId="0" fontId="5" fillId="0" borderId="1" applyAlignment="1" pivotButton="0" quotePrefix="0" xfId="0">
      <alignment horizontal="left" vertical="center" wrapText="1"/>
    </xf>
    <xf numFmtId="0" fontId="0" fillId="0" borderId="1" pivotButton="0" quotePrefix="0" xfId="0"/>
    <xf numFmtId="0" fontId="3" fillId="4" borderId="1" applyAlignment="1" pivotButton="0" quotePrefix="0" xfId="0">
      <alignment horizontal="center" vertical="center" wrapText="1"/>
    </xf>
    <xf numFmtId="164" fontId="3" fillId="4" borderId="1" applyAlignment="1" pivotButton="0" quotePrefix="0" xfId="0">
      <alignment horizontal="center" vertical="center" wrapText="1"/>
    </xf>
    <xf numFmtId="165" fontId="3" fillId="4" borderId="1" applyAlignment="1" pivotButton="0" quotePrefix="0" xfId="0">
      <alignment horizontal="center" vertical="center" wrapText="1"/>
    </xf>
    <xf numFmtId="166" fontId="3" fillId="4" borderId="1" applyAlignment="1" pivotButton="0" quotePrefix="0" xfId="0">
      <alignment horizontal="center" vertical="center" wrapText="1"/>
    </xf>
    <xf numFmtId="0" fontId="4" fillId="3" borderId="1" applyAlignment="1" pivotButton="0" quotePrefix="0" xfId="0">
      <alignment horizontal="center" vertical="center" wrapText="1"/>
    </xf>
    <xf numFmtId="0" fontId="0" fillId="3" borderId="1" pivotButton="0" quotePrefix="0" xfId="0"/>
    <xf numFmtId="0" fontId="6" fillId="5" borderId="0" applyAlignment="1" pivotButton="0" quotePrefix="0" xfId="0">
      <alignment horizontal="left" vertical="center" wrapText="1"/>
    </xf>
    <xf numFmtId="0" fontId="0" fillId="5" borderId="0" pivotButton="0" quotePrefix="0" xfId="0"/>
    <xf numFmtId="0" fontId="7" fillId="2" borderId="1" applyAlignment="1" pivotButton="0" quotePrefix="0" xfId="0">
      <alignment horizontal="center" vertical="center" wrapText="1"/>
    </xf>
    <xf numFmtId="0" fontId="2" fillId="3" borderId="1" applyAlignment="1" pivotButton="0" quotePrefix="0" xfId="0">
      <alignment horizontal="center" vertical="center" wrapText="1"/>
    </xf>
    <xf numFmtId="167" fontId="3" fillId="3" borderId="1" applyAlignment="1" pivotButton="0" quotePrefix="0" xfId="0">
      <alignment horizontal="center" vertical="center" wrapText="1"/>
    </xf>
    <xf numFmtId="0" fontId="3" fillId="0" borderId="1" applyAlignment="1" pivotButton="0" quotePrefix="0" xfId="0">
      <alignment horizontal="left" vertical="center" wrapText="1"/>
    </xf>
    <xf numFmtId="0" fontId="5" fillId="0" borderId="0" applyAlignment="1" pivotButton="0" quotePrefix="0" xfId="0">
      <alignment horizontal="left" vertical="center" wrapText="1"/>
    </xf>
    <xf numFmtId="0" fontId="7" fillId="5" borderId="1" applyAlignment="1" pivotButton="0" quotePrefix="0" xfId="0">
      <alignment horizontal="center" vertical="center" wrapText="1"/>
    </xf>
    <xf numFmtId="168" fontId="3" fillId="4" borderId="1" applyAlignment="1" pivotButton="0" quotePrefix="0" xfId="0">
      <alignment horizontal="center" vertical="center" wrapText="1"/>
    </xf>
    <xf numFmtId="0" fontId="5" fillId="3" borderId="1" applyAlignment="1" pivotButton="0" quotePrefix="0" xfId="0">
      <alignment horizontal="left" vertical="center" wrapText="1"/>
    </xf>
    <xf numFmtId="0" fontId="5" fillId="3" borderId="1" applyAlignment="1" pivotButton="0" quotePrefix="0" xfId="0">
      <alignment horizontal="right" vertical="center" wrapText="1"/>
    </xf>
    <xf numFmtId="0" fontId="3" fillId="3" borderId="1" applyAlignment="1" pivotButton="0" quotePrefix="0" xfId="0">
      <alignment horizontal="left" vertical="center" wrapText="1"/>
    </xf>
    <xf numFmtId="164" fontId="3" fillId="4" borderId="1" applyAlignment="1" pivotButton="0" quotePrefix="0" xfId="0">
      <alignment horizontal="right" vertical="center" wrapText="1"/>
    </xf>
    <xf numFmtId="165" fontId="3" fillId="4" borderId="1" applyAlignment="1" pivotButton="0" quotePrefix="0" xfId="0">
      <alignment horizontal="right" vertical="center" wrapText="1"/>
    </xf>
    <xf numFmtId="169" fontId="3" fillId="3" borderId="1" applyAlignment="1" pivotButton="0" quotePrefix="0" xfId="0">
      <alignment horizontal="right" vertical="center" wrapText="1"/>
    </xf>
    <xf numFmtId="166" fontId="3" fillId="3" borderId="1" applyAlignment="1" pivotButton="0" quotePrefix="0" xfId="0">
      <alignment horizontal="right" vertical="center" wrapText="1"/>
    </xf>
    <xf numFmtId="164" fontId="3" fillId="3" borderId="1" applyAlignment="1" pivotButton="0" quotePrefix="0" xfId="0">
      <alignment horizontal="right" vertical="center" wrapText="1"/>
    </xf>
    <xf numFmtId="170" fontId="3" fillId="4" borderId="1" applyAlignment="1" pivotButton="0" quotePrefix="0" xfId="0">
      <alignment horizontal="right" vertical="center" wrapText="1"/>
    </xf>
    <xf numFmtId="164" fontId="8" fillId="3" borderId="1" applyAlignment="1" pivotButton="0" quotePrefix="0" xfId="0">
      <alignment horizontal="right" vertical="center" wrapText="1"/>
    </xf>
    <xf numFmtId="168" fontId="3" fillId="3" borderId="1" applyAlignment="1" pivotButton="0" quotePrefix="0" xfId="0">
      <alignment horizontal="center" vertical="center" wrapText="1"/>
    </xf>
    <xf numFmtId="0" fontId="9" fillId="0" borderId="1" applyAlignment="1" pivotButton="0" quotePrefix="0" xfId="0">
      <alignment horizontal="left" vertical="top" wrapText="1"/>
    </xf>
    <xf numFmtId="171" fontId="3" fillId="3" borderId="1" applyAlignment="1" pivotButton="0" quotePrefix="0" xfId="0">
      <alignment horizontal="right" vertical="center" wrapText="1"/>
    </xf>
    <xf numFmtId="0" fontId="3" fillId="0" borderId="1" applyAlignment="1" pivotButton="0" quotePrefix="0" xfId="0">
      <alignment horizontal="center" vertical="center" wrapText="1"/>
    </xf>
    <xf numFmtId="0" fontId="3" fillId="3" borderId="1" applyAlignment="1" pivotButton="0" quotePrefix="0" xfId="0">
      <alignment horizontal="center" vertical="center" wrapText="1"/>
    </xf>
    <xf numFmtId="169" fontId="3" fillId="3" borderId="1" applyAlignment="1" pivotButton="0" quotePrefix="0" xfId="0">
      <alignment horizontal="center" vertical="center" wrapText="1"/>
    </xf>
    <xf numFmtId="166" fontId="3" fillId="3" borderId="1" applyAlignment="1" pivotButton="0" quotePrefix="0" xfId="0">
      <alignment horizontal="center" vertical="center" wrapText="1"/>
    </xf>
    <xf numFmtId="0" fontId="5" fillId="4" borderId="1" applyAlignment="1" pivotButton="0" quotePrefix="0" xfId="0">
      <alignment horizontal="left" vertical="center" wrapText="1"/>
    </xf>
    <xf numFmtId="0" fontId="5" fillId="3" borderId="1" applyAlignment="1" pivotButton="0" quotePrefix="0" xfId="0">
      <alignment horizontal="center" vertical="center" wrapText="1"/>
    </xf>
    <xf numFmtId="3" fontId="3" fillId="0" borderId="1" applyAlignment="1" pivotButton="0" quotePrefix="0" xfId="0">
      <alignment horizontal="right" vertical="center" wrapText="1"/>
    </xf>
    <xf numFmtId="1" fontId="3" fillId="0" borderId="1" applyAlignment="1" pivotButton="0" quotePrefix="0" xfId="0">
      <alignment horizontal="center" vertical="center" wrapText="1"/>
    </xf>
    <xf numFmtId="166" fontId="3" fillId="0" borderId="1" applyAlignment="1" pivotButton="0" quotePrefix="0" xfId="0">
      <alignment horizontal="right" vertical="center" wrapText="1"/>
    </xf>
    <xf numFmtId="0" fontId="1" fillId="2" borderId="11" applyAlignment="1" pivotButton="0" quotePrefix="0" xfId="0">
      <alignment horizontal="left" vertical="center" wrapText="1"/>
    </xf>
    <xf numFmtId="0" fontId="10" fillId="0" borderId="11" pivotButton="0" quotePrefix="0" xfId="0"/>
    <xf numFmtId="0" fontId="11" fillId="3" borderId="11" applyAlignment="1" pivotButton="0" quotePrefix="0" xfId="0">
      <alignment horizontal="left" vertical="center" wrapText="1"/>
    </xf>
    <xf numFmtId="0" fontId="3" fillId="0" borderId="11" applyAlignment="1" pivotButton="0" quotePrefix="0" xfId="0">
      <alignment horizontal="left" vertical="top" wrapText="1"/>
    </xf>
    <xf numFmtId="0" fontId="4" fillId="0" borderId="11" applyAlignment="1" pivotButton="0" quotePrefix="0" xfId="0">
      <alignment horizontal="left" vertical="center" wrapText="1"/>
    </xf>
    <xf numFmtId="0" fontId="11" fillId="3" borderId="1" applyAlignment="1" pivotButton="0" quotePrefix="0" xfId="0">
      <alignment horizontal="left" vertical="center" wrapText="1"/>
    </xf>
    <xf numFmtId="0" fontId="10" fillId="0" borderId="12" pivotButton="0" quotePrefix="0" xfId="0"/>
    <xf numFmtId="0" fontId="6" fillId="5" borderId="11" applyAlignment="1" pivotButton="0" quotePrefix="0" xfId="0">
      <alignment horizontal="left" vertical="center" wrapText="1"/>
    </xf>
    <xf numFmtId="0" fontId="11" fillId="3" borderId="1" applyAlignment="1" pivotButton="0" quotePrefix="0" xfId="0">
      <alignment horizontal="center" vertical="center" wrapText="1"/>
    </xf>
    <xf numFmtId="0" fontId="5" fillId="0" borderId="11" applyAlignment="1" pivotButton="0" quotePrefix="0" xfId="0">
      <alignment horizontal="left" vertical="center" wrapText="1"/>
    </xf>
    <xf numFmtId="164" fontId="12" fillId="3" borderId="1" applyAlignment="1" pivotButton="0" quotePrefix="0" xfId="0">
      <alignment horizontal="right" vertical="center" wrapText="1"/>
    </xf>
    <xf numFmtId="0" fontId="10" fillId="0" borderId="13" pivotButton="0" quotePrefix="0" xfId="0"/>
    <xf numFmtId="0" fontId="10" fillId="0" borderId="14" pivotButton="0" quotePrefix="0" xfId="0"/>
    <xf numFmtId="0" fontId="10" fillId="0" borderId="15" pivotButton="0" quotePrefix="0" xfId="0"/>
    <xf numFmtId="0" fontId="10" fillId="0" borderId="16" pivotButton="0" quotePrefix="0" xfId="0"/>
    <xf numFmtId="0" fontId="10" fillId="0" borderId="17" pivotButton="0" quotePrefix="0" xfId="0"/>
    <xf numFmtId="0" fontId="10" fillId="0" borderId="18" pivotButton="0" quotePrefix="0" xfId="0"/>
  </cellXfs>
  <cellStyles count="1">
    <cellStyle name="Normal" xfId="0" builtinId="0" hidden="0"/>
  </cellStyles>
  <dxfs count="1">
    <dxf>
      <font>
        <b val="1"/>
        <color rgb="00B3261E"/>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32"/>
  <sheetViews>
    <sheetView showGridLines="0" tabSelected="1" workbookViewId="0">
      <selection activeCell="A1" sqref="A1"/>
    </sheetView>
  </sheetViews>
  <sheetFormatPr baseColWidth="8" defaultRowHeight="15"/>
  <cols>
    <col width="24" customWidth="1" min="1" max="1"/>
    <col width="104" customWidth="1" min="2" max="2"/>
  </cols>
  <sheetData>
    <row r="1" ht="26" customHeight="1">
      <c r="A1" s="49" t="inlineStr">
        <is>
          <t>使い方（退職金の計算エクセル）</t>
        </is>
      </c>
      <c r="B1" s="50" t="n"/>
    </row>
    <row r="2" ht="20" customHeight="1">
      <c r="A2" s="51" t="inlineStr">
        <is>
          <t>このファイルでできること</t>
        </is>
      </c>
      <c r="B2" s="50" t="n"/>
    </row>
    <row r="3" ht="32" customHeight="1">
      <c r="A3" s="52" t="inlineStr">
        <is>
          <t>退職金規程の別表（支給率表）と同じ値を「設定」シートに入れると、退職する人の入社日・退職日・退職の事由・基本給から退職金の額が出ます。</t>
        </is>
      </c>
      <c r="B3" s="50" t="n"/>
    </row>
    <row r="4" ht="17.5" customHeight="1">
      <c r="A4" s="52" t="inlineStr">
        <is>
          <t>同じ計算で、会社が差し引いて納める所得税・復興特別所得税と住民税、本人に振り込む額も出ます。</t>
        </is>
      </c>
      <c r="B4" s="50" t="n"/>
    </row>
    <row r="5" ht="32" customHeight="1">
      <c r="A5" s="52" t="inlineStr">
        <is>
          <t>「全員の見積り」シートに在籍している人を入れると、基準日に全員が自己都合で辞めた場合・会社都合で辞めた場合の退職金の合計が出ます。</t>
        </is>
      </c>
      <c r="B5" s="50" t="n"/>
    </row>
    <row r="6">
      <c r="A6" s="50" t="n"/>
      <c r="B6" s="50" t="n"/>
    </row>
    <row r="7" ht="20" customHeight="1">
      <c r="A7" s="51" t="inlineStr">
        <is>
          <t>使う順番</t>
        </is>
      </c>
      <c r="B7" s="50" t="n"/>
    </row>
    <row r="8" ht="46.5" customHeight="1">
      <c r="A8" s="52" t="inlineStr">
        <is>
          <t>1. 「設定」シートで、勤続年数の端数の扱い・金額の端数・支払の時期・退職の事由ごとの係数と、支給率表（支給率・自己都合の係数）を入れます。空欄のファイルの支給率表には、厚生労働省のモデル就業規則（令和7年12月版）第55条の表の値が最初から入っています。自社の率に書き換えてください。</t>
        </is>
      </c>
      <c r="B8" s="50" t="n"/>
    </row>
    <row r="9" ht="17.5" customHeight="1">
      <c r="A9" s="52" t="inlineStr">
        <is>
          <t>2. 「全員の見積り」シートに在籍している人を入れ、合計の額を見て、払える率かを確かめます。</t>
        </is>
      </c>
      <c r="B9" s="50" t="n"/>
    </row>
    <row r="10" ht="17.5" customHeight="1">
      <c r="A10" s="52" t="inlineStr">
        <is>
          <t>3. 決めた率を、Word の退職金規程の別表に書き写します。</t>
        </is>
      </c>
      <c r="B10" s="50" t="n"/>
    </row>
    <row r="11" ht="17.5" customHeight="1">
      <c r="A11" s="52" t="inlineStr">
        <is>
          <t>4. 退職する人が出たら、「退職金の計算」シートに入力します。A4縦1枚で印刷できます。</t>
        </is>
      </c>
      <c r="B11" s="50" t="n"/>
    </row>
    <row r="12">
      <c r="A12" s="50" t="n"/>
      <c r="B12" s="50" t="n"/>
    </row>
    <row r="13" ht="20" customHeight="1">
      <c r="A13" s="51" t="inlineStr">
        <is>
          <t>色の意味</t>
        </is>
      </c>
      <c r="B13" s="50" t="n"/>
    </row>
    <row r="14" ht="17.5" customHeight="1">
      <c r="A14" s="52" t="inlineStr">
        <is>
          <t>黄色のセルに入力します。灰色のセルは自動で出ます（式を消さないでください）。</t>
        </is>
      </c>
      <c r="B14" s="50" t="n"/>
    </row>
    <row r="15" ht="17.5" customHeight="1">
      <c r="A15" s="52" t="inlineStr">
        <is>
          <t>「退職金の計算」シートのE列より右と、「全員の見積り」シートのM列より右は、計算のための作業列です。印刷はされません。</t>
        </is>
      </c>
      <c r="B15" s="50" t="n"/>
    </row>
    <row r="16">
      <c r="A16" s="50" t="n"/>
      <c r="B16" s="50" t="n"/>
    </row>
    <row r="17" ht="20" customHeight="1">
      <c r="A17" s="51" t="inlineStr">
        <is>
          <t>退職の事由の選び方</t>
        </is>
      </c>
      <c r="B17" s="50" t="n"/>
    </row>
    <row r="18" ht="32" customHeight="1">
      <c r="A18" s="52" t="inlineStr">
        <is>
          <t>規程の第5条と同じ4つから選びます。懲戒解雇のときは「自己都合退職・その他」を選び、減額の率（全部を支給しないなら100）を入れます。</t>
        </is>
      </c>
      <c r="B18" s="50" t="n"/>
    </row>
    <row r="19">
      <c r="A19" s="50" t="n"/>
      <c r="B19" s="50" t="n"/>
    </row>
    <row r="20" ht="20" customHeight="1">
      <c r="A20" s="51" t="inlineStr">
        <is>
          <t>勤続年数の数え方</t>
        </is>
      </c>
      <c r="B20" s="50" t="n"/>
    </row>
    <row r="21" ht="32" customHeight="1">
      <c r="A21" s="52" t="inlineStr">
        <is>
          <t>規程の勤続年数は、入社日から退職日までを月数で数え、「勤続年数から除く期間（月数）」を引いたものです。1か月未満の日数と1年未満の端数は、設定シートで決めた扱いにします。</t>
        </is>
      </c>
      <c r="B21" s="50" t="n"/>
    </row>
    <row r="22" ht="17.5" customHeight="1">
      <c r="A22" s="52" t="inlineStr">
        <is>
          <t>月割りのときの支給率＝その年数の支給率＋（次の年数の支給率－その年数の支給率）×端数の月数÷12。</t>
        </is>
      </c>
      <c r="B22" s="50" t="n"/>
    </row>
    <row r="23" ht="46.5" customHeight="1">
      <c r="A23" s="52" t="inlineStr">
        <is>
          <t>税金の勤続年数は別に数えます。入社日から退職日まで（休職の期間も含める）の年数で、1年未満の端数は1年に切り上げます（所得税法施行令69条・国税庁 No.2732）。日額表の丙欄が適用されていた期間・ほかの会社で働くために休職した期間など、国税庁 No.2732 が勤続期間から除くとしている期間がある人は、このシートの税額を使わないでください。</t>
        </is>
      </c>
      <c r="B23" s="50" t="n"/>
    </row>
    <row r="24">
      <c r="A24" s="50" t="n"/>
      <c r="B24" s="50" t="n"/>
    </row>
    <row r="25" ht="20" customHeight="1">
      <c r="A25" s="51" t="inlineStr">
        <is>
          <t>税金の計算で前提にしていること</t>
        </is>
      </c>
      <c r="B25" s="50" t="n"/>
    </row>
    <row r="26" ht="61" customHeight="1">
      <c r="A26" s="52" t="inlineStr">
        <is>
          <t>役員ではない従業員に、この会社だけが退職金を払う場合の計算です。次のときは計算しません（理由が赤字で出ます）: 死亡による退職（相続税の対象になるものは所得税の対象になりません）／ほかの退職金などがある（同じ年にほかから受け取った退職金、前年以前4年内に受け取った退職金、確定拠出年金の一時金など。国税庁 No.2732 の「重複期間」の計算が要るもの）／中退共などから本人に支払われる額がある。</t>
        </is>
      </c>
      <c r="B26" s="50" t="n"/>
    </row>
    <row r="27" ht="32" customHeight="1">
      <c r="A27" s="52" t="inlineStr">
        <is>
          <t>「退職所得の受給に関する申告書」を出していない人は、所得税・復興特別所得税を支払額の20.42％で計算します。住民税は出していなくても同じ式で計算します（地方税法328条の6第2項）。</t>
        </is>
      </c>
      <c r="B27" s="50" t="n"/>
    </row>
    <row r="28" ht="32" customHeight="1">
      <c r="A28" s="52" t="inlineStr">
        <is>
          <t>税額の表シートの値は、国税庁「No.2732 退職手当等に対する源泉徴収」と速算表（令和8年4月1日現在法令等）、地方税法の税率です。法令が変わったら、このシートの値を国税庁の最新のページと見比べてください。</t>
        </is>
      </c>
      <c r="B28" s="50" t="n"/>
    </row>
    <row r="29">
      <c r="A29" s="50" t="n"/>
      <c r="B29" s="50" t="n"/>
    </row>
    <row r="30" ht="20" customHeight="1">
      <c r="A30" s="51" t="inlineStr">
        <is>
          <t>Excel のバージョン</t>
        </is>
      </c>
      <c r="B30" s="50" t="n"/>
    </row>
    <row r="31" ht="32" customHeight="1">
      <c r="A31" s="52" t="inlineStr">
        <is>
          <t>使っている関数は IF・AND・OR・NOT・ISNUMBER・N・INDEX・MATCH・MIN・MAX・INT・MOD・ROUND・ROUNDUP・ROUNDDOWN・DATEDIF・EDATE・SUM・TODAY です。XLOOKUP・FILTER は使っていません。</t>
        </is>
      </c>
      <c r="B31" s="50" t="n"/>
    </row>
    <row r="32" ht="17.5" customHeight="1">
      <c r="A32" s="52" t="inlineStr">
        <is>
          <t>DATEDIF は「Y」と「M」だけを使っています（Microsoft のサポートページが勧めていない「MD」は使っていません）。</t>
        </is>
      </c>
      <c r="B32" s="50" t="n"/>
    </row>
  </sheetData>
  <mergeCells count="26">
    <mergeCell ref="A30:B30"/>
    <mergeCell ref="A15:B15"/>
    <mergeCell ref="A11:B11"/>
    <mergeCell ref="A1:B1"/>
    <mergeCell ref="A7:B7"/>
    <mergeCell ref="A25:B25"/>
    <mergeCell ref="A18:B18"/>
    <mergeCell ref="A27:B27"/>
    <mergeCell ref="A3:B3"/>
    <mergeCell ref="A26:B26"/>
    <mergeCell ref="A21:B21"/>
    <mergeCell ref="A2:B2"/>
    <mergeCell ref="A5:B5"/>
    <mergeCell ref="A32:B32"/>
    <mergeCell ref="A14:B14"/>
    <mergeCell ref="A23:B23"/>
    <mergeCell ref="A17:B17"/>
    <mergeCell ref="A8:B8"/>
    <mergeCell ref="A22:B22"/>
    <mergeCell ref="A4:B4"/>
    <mergeCell ref="A20:B20"/>
    <mergeCell ref="A10:B10"/>
    <mergeCell ref="A28:B28"/>
    <mergeCell ref="A13:B13"/>
    <mergeCell ref="A9:B9"/>
    <mergeCell ref="A31:B31"/>
  </mergeCells>
  <printOptions horizontalCentered="1"/>
  <pageMargins left="0.5" right="0.5" top="0.55" bottom="0.55" header="0.25" footer="0.25"/>
  <pageSetup orientation="landscape" paperSize="9" fitToHeight="0" fitToWidth="1"/>
</worksheet>
</file>

<file path=xl/worksheets/sheet2.xml><?xml version="1.0" encoding="utf-8"?>
<worksheet xmlns="http://schemas.openxmlformats.org/spreadsheetml/2006/main">
  <sheetPr>
    <tabColor rgb="004A5D73"/>
    <outlinePr summaryBelow="1" summaryRight="1"/>
    <pageSetUpPr fitToPage="1"/>
  </sheetPr>
  <dimension ref="A1:E63"/>
  <sheetViews>
    <sheetView showGridLines="0" tabSelected="0" workbookViewId="0">
      <selection activeCell="A1" sqref="A1"/>
    </sheetView>
  </sheetViews>
  <sheetFormatPr baseColWidth="8" defaultRowHeight="15"/>
  <cols>
    <col width="30" customWidth="1" min="1" max="1"/>
    <col width="14" customWidth="1" min="2" max="2"/>
    <col width="16" customWidth="1" min="3" max="3"/>
    <col width="18" customWidth="1" min="4" max="4"/>
    <col width="46" customWidth="1" min="5" max="5"/>
  </cols>
  <sheetData>
    <row r="1" ht="28" customHeight="1">
      <c r="A1" s="49" t="inlineStr">
        <is>
          <t>設定（退職金規程の別表・端数の扱い）</t>
        </is>
      </c>
      <c r="B1" s="50" t="n"/>
      <c r="C1" s="50" t="n"/>
      <c r="D1" s="50" t="n"/>
      <c r="E1" s="50" t="n"/>
    </row>
    <row r="2" ht="20" customHeight="1">
      <c r="A2" s="53" t="inlineStr">
        <is>
          <t>黄色に入力します。ここの値を「退職金の計算」と「全員の見積り」の両方が使います。Word の退職金規程に書いた値と同じにしてください。</t>
        </is>
      </c>
      <c r="B2" s="50" t="n"/>
      <c r="C2" s="50" t="n"/>
      <c r="D2" s="50" t="n"/>
      <c r="E2" s="50" t="n"/>
    </row>
    <row r="3" ht="30" customHeight="1">
      <c r="A3" s="54" t="inlineStr">
        <is>
          <t>会社名</t>
        </is>
      </c>
      <c r="B3" s="8" t="n"/>
      <c r="C3" s="55" t="n"/>
      <c r="D3" s="10" t="inlineStr">
        <is>
          <t>計算書の上に出ます。</t>
        </is>
      </c>
      <c r="E3" s="55" t="n"/>
    </row>
    <row r="4" ht="30" customHeight="1">
      <c r="A4" s="54" t="inlineStr">
        <is>
          <t>勤続年数: 1か月未満の日数</t>
        </is>
      </c>
      <c r="B4" s="12" t="inlineStr">
        <is>
          <t>切り捨てる</t>
        </is>
      </c>
      <c r="C4" s="55" t="n"/>
      <c r="D4" s="10" t="inlineStr">
        <is>
          <t>規程 第6条2項。「1か月に切り上げる」は、たとえば4月1日入社・10月15日退職を7か月と数えます。</t>
        </is>
      </c>
      <c r="E4" s="55" t="n"/>
    </row>
    <row r="5" ht="30" customHeight="1">
      <c r="A5" s="54" t="inlineStr">
        <is>
          <t>勤続年数: 1年未満の端数</t>
        </is>
      </c>
      <c r="B5" s="12" t="inlineStr">
        <is>
          <t>切り捨てる</t>
        </is>
      </c>
      <c r="C5" s="55" t="n"/>
      <c r="D5" s="10" t="inlineStr">
        <is>
          <t>規程 第6条3項。月割りは「その年数の率＋（次の年数の率－その年数の率）×月数÷12」。</t>
        </is>
      </c>
      <c r="E5" s="55" t="n"/>
    </row>
    <row r="6" ht="30" customHeight="1">
      <c r="A6" s="54" t="inlineStr">
        <is>
          <t>金額の端数: 単位（円）</t>
        </is>
      </c>
      <c r="B6" s="13" t="n">
        <v>1</v>
      </c>
      <c r="C6" s="55" t="n"/>
      <c r="D6" s="10" t="inlineStr">
        <is>
          <t>規程 第4条3項。1・10・100・1000 から選びます。</t>
        </is>
      </c>
      <c r="E6" s="55" t="n"/>
    </row>
    <row r="7" ht="30" customHeight="1">
      <c r="A7" s="54" t="inlineStr">
        <is>
          <t>金額の端数: 扱い</t>
        </is>
      </c>
      <c r="B7" s="12" t="inlineStr">
        <is>
          <t>切り上げる</t>
        </is>
      </c>
      <c r="C7" s="55" t="n"/>
      <c r="D7" s="10" t="inlineStr">
        <is>
          <t>規程 第4条3項。</t>
        </is>
      </c>
      <c r="E7" s="55" t="n"/>
    </row>
    <row r="8" ht="30" customHeight="1">
      <c r="A8" s="54" t="inlineStr">
        <is>
          <t>支払の時期: 退職日から何か月以内</t>
        </is>
      </c>
      <c r="B8" s="14" t="n"/>
      <c r="C8" s="55" t="n"/>
      <c r="D8" s="10" t="inlineStr">
        <is>
          <t>規程 第9条。退職金の計算シートの「支払の期限」になります。</t>
        </is>
      </c>
      <c r="E8" s="55" t="n"/>
    </row>
    <row r="9" ht="30" customHeight="1">
      <c r="A9" s="54" t="inlineStr">
        <is>
          <t>退職の事由の係数: 定年退職</t>
        </is>
      </c>
      <c r="B9" s="15" t="n">
        <v>1</v>
      </c>
      <c r="C9" s="55" t="n"/>
      <c r="D9" s="10" t="inlineStr">
        <is>
          <t>規程 第5条一号。支給率表の支給率に掛けます。</t>
        </is>
      </c>
      <c r="E9" s="55" t="n"/>
    </row>
    <row r="10" ht="30" customHeight="1">
      <c r="A10" s="54" t="inlineStr">
        <is>
          <t>退職の事由の係数: 会社都合退職</t>
        </is>
      </c>
      <c r="B10" s="15" t="n">
        <v>1</v>
      </c>
      <c r="C10" s="55" t="n"/>
      <c r="D10" s="10" t="inlineStr">
        <is>
          <t>規程 第5条二号。</t>
        </is>
      </c>
      <c r="E10" s="55" t="n"/>
    </row>
    <row r="11" ht="30" customHeight="1">
      <c r="A11" s="54" t="inlineStr">
        <is>
          <t>退職の事由の係数: 死亡による退職</t>
        </is>
      </c>
      <c r="B11" s="15" t="n">
        <v>1</v>
      </c>
      <c r="C11" s="55" t="n"/>
      <c r="D11" s="10" t="inlineStr">
        <is>
          <t>規程 第5条三号。</t>
        </is>
      </c>
      <c r="E11" s="55" t="n"/>
    </row>
    <row r="12" ht="30" customHeight="1">
      <c r="A12" s="54" t="inlineStr">
        <is>
          <t>退職の事由の係数: 自己都合退職・その他</t>
        </is>
      </c>
      <c r="B12" s="16" t="inlineStr">
        <is>
          <t>下の支給率表の「自己都合の係数」</t>
        </is>
      </c>
      <c r="C12" s="55" t="n"/>
      <c r="D12" s="10" t="inlineStr">
        <is>
          <t>規程 第5条四号。勤続年数ごとに変えられます。</t>
        </is>
      </c>
      <c r="E12" s="55" t="n"/>
    </row>
    <row r="13">
      <c r="A13" s="50" t="n"/>
      <c r="B13" s="50" t="n"/>
      <c r="C13" s="50" t="n"/>
      <c r="D13" s="50" t="n"/>
      <c r="E13" s="50" t="n"/>
    </row>
    <row r="14" ht="24" customHeight="1">
      <c r="A14" s="56" t="inlineStr">
        <is>
          <t>支給率表（規程の別表）</t>
        </is>
      </c>
      <c r="B14" s="50" t="n"/>
      <c r="C14" s="50" t="n"/>
      <c r="D14" s="50" t="n"/>
      <c r="E14" s="50" t="n"/>
    </row>
    <row r="15" ht="40.5" customHeight="1">
      <c r="A15" s="53" t="inlineStr">
        <is>
          <t>最初に入っている支給率は、厚生労働省「モデル就業規則」（令和7年12月版）第55条の表の値です（5年未満1.0／5年〜10年3.0／11年〜15年5.0／16年〜20年7.0／21年〜25年10.0／26年〜30年15.0／31年〜35年17.0／36年〜40年20.0／41年以上25.0）。自己都合の係数は1.0（減らさない）にしてあります。自社の率に書き換えてください。</t>
        </is>
      </c>
      <c r="B15" s="50" t="n"/>
      <c r="C15" s="50" t="n"/>
      <c r="D15" s="50" t="n"/>
      <c r="E15" s="50" t="n"/>
    </row>
    <row r="16" ht="30" customHeight="1">
      <c r="A16" s="20" t="inlineStr">
        <is>
          <t>勤続年数（満年数）</t>
        </is>
      </c>
      <c r="B16" s="20" t="inlineStr">
        <is>
          <t>支給率</t>
        </is>
      </c>
      <c r="C16" s="20" t="inlineStr">
        <is>
          <t>自己都合の係数</t>
        </is>
      </c>
      <c r="D16" s="20" t="inlineStr">
        <is>
          <t>自己都合の支給率（自動）</t>
        </is>
      </c>
      <c r="E16" s="20" t="inlineStr">
        <is>
          <t>メモ</t>
        </is>
      </c>
    </row>
    <row r="17" ht="16" customHeight="1">
      <c r="A17" s="57" t="inlineStr">
        <is>
          <t>1年未満</t>
        </is>
      </c>
      <c r="B17" s="15" t="n">
        <v>1</v>
      </c>
      <c r="C17" s="15" t="n">
        <v>1</v>
      </c>
      <c r="D17" s="22">
        <f>IF(AND(ISNUMBER(B17),ISNUMBER(C17)),B17*C17,"")</f>
        <v/>
      </c>
      <c r="E17" s="23" t="n"/>
    </row>
    <row r="18" ht="16" customHeight="1">
      <c r="A18" s="57" t="inlineStr">
        <is>
          <t>1年</t>
        </is>
      </c>
      <c r="B18" s="15" t="n">
        <v>1</v>
      </c>
      <c r="C18" s="15" t="n">
        <v>1</v>
      </c>
      <c r="D18" s="22">
        <f>IF(AND(ISNUMBER(B18),ISNUMBER(C18)),B18*C18,"")</f>
        <v/>
      </c>
      <c r="E18" s="23" t="n"/>
    </row>
    <row r="19" ht="16" customHeight="1">
      <c r="A19" s="57" t="inlineStr">
        <is>
          <t>2年</t>
        </is>
      </c>
      <c r="B19" s="15" t="n">
        <v>1</v>
      </c>
      <c r="C19" s="15" t="n">
        <v>1</v>
      </c>
      <c r="D19" s="22">
        <f>IF(AND(ISNUMBER(B19),ISNUMBER(C19)),B19*C19,"")</f>
        <v/>
      </c>
      <c r="E19" s="23" t="n"/>
    </row>
    <row r="20" ht="16" customHeight="1">
      <c r="A20" s="57" t="inlineStr">
        <is>
          <t>3年</t>
        </is>
      </c>
      <c r="B20" s="15" t="n">
        <v>1</v>
      </c>
      <c r="C20" s="15" t="n">
        <v>1</v>
      </c>
      <c r="D20" s="22">
        <f>IF(AND(ISNUMBER(B20),ISNUMBER(C20)),B20*C20,"")</f>
        <v/>
      </c>
      <c r="E20" s="23" t="n"/>
    </row>
    <row r="21" ht="16" customHeight="1">
      <c r="A21" s="57" t="inlineStr">
        <is>
          <t>4年</t>
        </is>
      </c>
      <c r="B21" s="15" t="n">
        <v>1</v>
      </c>
      <c r="C21" s="15" t="n">
        <v>1</v>
      </c>
      <c r="D21" s="22">
        <f>IF(AND(ISNUMBER(B21),ISNUMBER(C21)),B21*C21,"")</f>
        <v/>
      </c>
      <c r="E21" s="23" t="n"/>
    </row>
    <row r="22" ht="16" customHeight="1">
      <c r="A22" s="57" t="inlineStr">
        <is>
          <t>5年</t>
        </is>
      </c>
      <c r="B22" s="15" t="n">
        <v>3</v>
      </c>
      <c r="C22" s="15" t="n">
        <v>1</v>
      </c>
      <c r="D22" s="22">
        <f>IF(AND(ISNUMBER(B22),ISNUMBER(C22)),B22*C22,"")</f>
        <v/>
      </c>
      <c r="E22" s="23" t="n"/>
    </row>
    <row r="23" ht="16" customHeight="1">
      <c r="A23" s="57" t="inlineStr">
        <is>
          <t>6年</t>
        </is>
      </c>
      <c r="B23" s="15" t="n">
        <v>3</v>
      </c>
      <c r="C23" s="15" t="n">
        <v>1</v>
      </c>
      <c r="D23" s="22">
        <f>IF(AND(ISNUMBER(B23),ISNUMBER(C23)),B23*C23,"")</f>
        <v/>
      </c>
      <c r="E23" s="23" t="n"/>
    </row>
    <row r="24" ht="16" customHeight="1">
      <c r="A24" s="57" t="inlineStr">
        <is>
          <t>7年</t>
        </is>
      </c>
      <c r="B24" s="15" t="n">
        <v>3</v>
      </c>
      <c r="C24" s="15" t="n">
        <v>1</v>
      </c>
      <c r="D24" s="22">
        <f>IF(AND(ISNUMBER(B24),ISNUMBER(C24)),B24*C24,"")</f>
        <v/>
      </c>
      <c r="E24" s="23" t="n"/>
    </row>
    <row r="25" ht="16" customHeight="1">
      <c r="A25" s="57" t="inlineStr">
        <is>
          <t>8年</t>
        </is>
      </c>
      <c r="B25" s="15" t="n">
        <v>3</v>
      </c>
      <c r="C25" s="15" t="n">
        <v>1</v>
      </c>
      <c r="D25" s="22">
        <f>IF(AND(ISNUMBER(B25),ISNUMBER(C25)),B25*C25,"")</f>
        <v/>
      </c>
      <c r="E25" s="23" t="n"/>
    </row>
    <row r="26" ht="16" customHeight="1">
      <c r="A26" s="57" t="inlineStr">
        <is>
          <t>9年</t>
        </is>
      </c>
      <c r="B26" s="15" t="n">
        <v>3</v>
      </c>
      <c r="C26" s="15" t="n">
        <v>1</v>
      </c>
      <c r="D26" s="22">
        <f>IF(AND(ISNUMBER(B26),ISNUMBER(C26)),B26*C26,"")</f>
        <v/>
      </c>
      <c r="E26" s="23" t="n"/>
    </row>
    <row r="27" ht="16" customHeight="1">
      <c r="A27" s="57" t="inlineStr">
        <is>
          <t>10年</t>
        </is>
      </c>
      <c r="B27" s="15" t="n">
        <v>3</v>
      </c>
      <c r="C27" s="15" t="n">
        <v>1</v>
      </c>
      <c r="D27" s="22">
        <f>IF(AND(ISNUMBER(B27),ISNUMBER(C27)),B27*C27,"")</f>
        <v/>
      </c>
      <c r="E27" s="23" t="n"/>
    </row>
    <row r="28" ht="16" customHeight="1">
      <c r="A28" s="57" t="inlineStr">
        <is>
          <t>11年</t>
        </is>
      </c>
      <c r="B28" s="15" t="n">
        <v>5</v>
      </c>
      <c r="C28" s="15" t="n">
        <v>1</v>
      </c>
      <c r="D28" s="22">
        <f>IF(AND(ISNUMBER(B28),ISNUMBER(C28)),B28*C28,"")</f>
        <v/>
      </c>
      <c r="E28" s="23" t="n"/>
    </row>
    <row r="29" ht="16" customHeight="1">
      <c r="A29" s="57" t="inlineStr">
        <is>
          <t>12年</t>
        </is>
      </c>
      <c r="B29" s="15" t="n">
        <v>5</v>
      </c>
      <c r="C29" s="15" t="n">
        <v>1</v>
      </c>
      <c r="D29" s="22">
        <f>IF(AND(ISNUMBER(B29),ISNUMBER(C29)),B29*C29,"")</f>
        <v/>
      </c>
      <c r="E29" s="23" t="n"/>
    </row>
    <row r="30" ht="16" customHeight="1">
      <c r="A30" s="57" t="inlineStr">
        <is>
          <t>13年</t>
        </is>
      </c>
      <c r="B30" s="15" t="n">
        <v>5</v>
      </c>
      <c r="C30" s="15" t="n">
        <v>1</v>
      </c>
      <c r="D30" s="22">
        <f>IF(AND(ISNUMBER(B30),ISNUMBER(C30)),B30*C30,"")</f>
        <v/>
      </c>
      <c r="E30" s="23" t="n"/>
    </row>
    <row r="31" ht="16" customHeight="1">
      <c r="A31" s="57" t="inlineStr">
        <is>
          <t>14年</t>
        </is>
      </c>
      <c r="B31" s="15" t="n">
        <v>5</v>
      </c>
      <c r="C31" s="15" t="n">
        <v>1</v>
      </c>
      <c r="D31" s="22">
        <f>IF(AND(ISNUMBER(B31),ISNUMBER(C31)),B31*C31,"")</f>
        <v/>
      </c>
      <c r="E31" s="23" t="n"/>
    </row>
    <row r="32" ht="16" customHeight="1">
      <c r="A32" s="57" t="inlineStr">
        <is>
          <t>15年</t>
        </is>
      </c>
      <c r="B32" s="15" t="n">
        <v>5</v>
      </c>
      <c r="C32" s="15" t="n">
        <v>1</v>
      </c>
      <c r="D32" s="22">
        <f>IF(AND(ISNUMBER(B32),ISNUMBER(C32)),B32*C32,"")</f>
        <v/>
      </c>
      <c r="E32" s="23" t="n"/>
    </row>
    <row r="33" ht="16" customHeight="1">
      <c r="A33" s="57" t="inlineStr">
        <is>
          <t>16年</t>
        </is>
      </c>
      <c r="B33" s="15" t="n">
        <v>7</v>
      </c>
      <c r="C33" s="15" t="n">
        <v>1</v>
      </c>
      <c r="D33" s="22">
        <f>IF(AND(ISNUMBER(B33),ISNUMBER(C33)),B33*C33,"")</f>
        <v/>
      </c>
      <c r="E33" s="23" t="n"/>
    </row>
    <row r="34" ht="16" customHeight="1">
      <c r="A34" s="57" t="inlineStr">
        <is>
          <t>17年</t>
        </is>
      </c>
      <c r="B34" s="15" t="n">
        <v>7</v>
      </c>
      <c r="C34" s="15" t="n">
        <v>1</v>
      </c>
      <c r="D34" s="22">
        <f>IF(AND(ISNUMBER(B34),ISNUMBER(C34)),B34*C34,"")</f>
        <v/>
      </c>
      <c r="E34" s="23" t="n"/>
    </row>
    <row r="35" ht="16" customHeight="1">
      <c r="A35" s="57" t="inlineStr">
        <is>
          <t>18年</t>
        </is>
      </c>
      <c r="B35" s="15" t="n">
        <v>7</v>
      </c>
      <c r="C35" s="15" t="n">
        <v>1</v>
      </c>
      <c r="D35" s="22">
        <f>IF(AND(ISNUMBER(B35),ISNUMBER(C35)),B35*C35,"")</f>
        <v/>
      </c>
      <c r="E35" s="23" t="n"/>
    </row>
    <row r="36" ht="16" customHeight="1">
      <c r="A36" s="57" t="inlineStr">
        <is>
          <t>19年</t>
        </is>
      </c>
      <c r="B36" s="15" t="n">
        <v>7</v>
      </c>
      <c r="C36" s="15" t="n">
        <v>1</v>
      </c>
      <c r="D36" s="22">
        <f>IF(AND(ISNUMBER(B36),ISNUMBER(C36)),B36*C36,"")</f>
        <v/>
      </c>
      <c r="E36" s="23" t="n"/>
    </row>
    <row r="37" ht="16" customHeight="1">
      <c r="A37" s="57" t="inlineStr">
        <is>
          <t>20年</t>
        </is>
      </c>
      <c r="B37" s="15" t="n">
        <v>7</v>
      </c>
      <c r="C37" s="15" t="n">
        <v>1</v>
      </c>
      <c r="D37" s="22">
        <f>IF(AND(ISNUMBER(B37),ISNUMBER(C37)),B37*C37,"")</f>
        <v/>
      </c>
      <c r="E37" s="23" t="n"/>
    </row>
    <row r="38" ht="16" customHeight="1">
      <c r="A38" s="57" t="inlineStr">
        <is>
          <t>21年</t>
        </is>
      </c>
      <c r="B38" s="15" t="n">
        <v>10</v>
      </c>
      <c r="C38" s="15" t="n">
        <v>1</v>
      </c>
      <c r="D38" s="22">
        <f>IF(AND(ISNUMBER(B38),ISNUMBER(C38)),B38*C38,"")</f>
        <v/>
      </c>
      <c r="E38" s="23" t="n"/>
    </row>
    <row r="39" ht="16" customHeight="1">
      <c r="A39" s="57" t="inlineStr">
        <is>
          <t>22年</t>
        </is>
      </c>
      <c r="B39" s="15" t="n">
        <v>10</v>
      </c>
      <c r="C39" s="15" t="n">
        <v>1</v>
      </c>
      <c r="D39" s="22">
        <f>IF(AND(ISNUMBER(B39),ISNUMBER(C39)),B39*C39,"")</f>
        <v/>
      </c>
      <c r="E39" s="23" t="n"/>
    </row>
    <row r="40" ht="16" customHeight="1">
      <c r="A40" s="57" t="inlineStr">
        <is>
          <t>23年</t>
        </is>
      </c>
      <c r="B40" s="15" t="n">
        <v>10</v>
      </c>
      <c r="C40" s="15" t="n">
        <v>1</v>
      </c>
      <c r="D40" s="22">
        <f>IF(AND(ISNUMBER(B40),ISNUMBER(C40)),B40*C40,"")</f>
        <v/>
      </c>
      <c r="E40" s="23" t="n"/>
    </row>
    <row r="41" ht="16" customHeight="1">
      <c r="A41" s="57" t="inlineStr">
        <is>
          <t>24年</t>
        </is>
      </c>
      <c r="B41" s="15" t="n">
        <v>10</v>
      </c>
      <c r="C41" s="15" t="n">
        <v>1</v>
      </c>
      <c r="D41" s="22">
        <f>IF(AND(ISNUMBER(B41),ISNUMBER(C41)),B41*C41,"")</f>
        <v/>
      </c>
      <c r="E41" s="23" t="n"/>
    </row>
    <row r="42" ht="16" customHeight="1">
      <c r="A42" s="57" t="inlineStr">
        <is>
          <t>25年</t>
        </is>
      </c>
      <c r="B42" s="15" t="n">
        <v>10</v>
      </c>
      <c r="C42" s="15" t="n">
        <v>1</v>
      </c>
      <c r="D42" s="22">
        <f>IF(AND(ISNUMBER(B42),ISNUMBER(C42)),B42*C42,"")</f>
        <v/>
      </c>
      <c r="E42" s="23" t="n"/>
    </row>
    <row r="43" ht="16" customHeight="1">
      <c r="A43" s="57" t="inlineStr">
        <is>
          <t>26年</t>
        </is>
      </c>
      <c r="B43" s="15" t="n">
        <v>15</v>
      </c>
      <c r="C43" s="15" t="n">
        <v>1</v>
      </c>
      <c r="D43" s="22">
        <f>IF(AND(ISNUMBER(B43),ISNUMBER(C43)),B43*C43,"")</f>
        <v/>
      </c>
      <c r="E43" s="23" t="n"/>
    </row>
    <row r="44" ht="16" customHeight="1">
      <c r="A44" s="57" t="inlineStr">
        <is>
          <t>27年</t>
        </is>
      </c>
      <c r="B44" s="15" t="n">
        <v>15</v>
      </c>
      <c r="C44" s="15" t="n">
        <v>1</v>
      </c>
      <c r="D44" s="22">
        <f>IF(AND(ISNUMBER(B44),ISNUMBER(C44)),B44*C44,"")</f>
        <v/>
      </c>
      <c r="E44" s="23" t="n"/>
    </row>
    <row r="45" ht="16" customHeight="1">
      <c r="A45" s="57" t="inlineStr">
        <is>
          <t>28年</t>
        </is>
      </c>
      <c r="B45" s="15" t="n">
        <v>15</v>
      </c>
      <c r="C45" s="15" t="n">
        <v>1</v>
      </c>
      <c r="D45" s="22">
        <f>IF(AND(ISNUMBER(B45),ISNUMBER(C45)),B45*C45,"")</f>
        <v/>
      </c>
      <c r="E45" s="23" t="n"/>
    </row>
    <row r="46" ht="16" customHeight="1">
      <c r="A46" s="57" t="inlineStr">
        <is>
          <t>29年</t>
        </is>
      </c>
      <c r="B46" s="15" t="n">
        <v>15</v>
      </c>
      <c r="C46" s="15" t="n">
        <v>1</v>
      </c>
      <c r="D46" s="22">
        <f>IF(AND(ISNUMBER(B46),ISNUMBER(C46)),B46*C46,"")</f>
        <v/>
      </c>
      <c r="E46" s="23" t="n"/>
    </row>
    <row r="47" ht="16" customHeight="1">
      <c r="A47" s="57" t="inlineStr">
        <is>
          <t>30年</t>
        </is>
      </c>
      <c r="B47" s="15" t="n">
        <v>15</v>
      </c>
      <c r="C47" s="15" t="n">
        <v>1</v>
      </c>
      <c r="D47" s="22">
        <f>IF(AND(ISNUMBER(B47),ISNUMBER(C47)),B47*C47,"")</f>
        <v/>
      </c>
      <c r="E47" s="23" t="n"/>
    </row>
    <row r="48" ht="16" customHeight="1">
      <c r="A48" s="57" t="inlineStr">
        <is>
          <t>31年</t>
        </is>
      </c>
      <c r="B48" s="15" t="n">
        <v>17</v>
      </c>
      <c r="C48" s="15" t="n">
        <v>1</v>
      </c>
      <c r="D48" s="22">
        <f>IF(AND(ISNUMBER(B48),ISNUMBER(C48)),B48*C48,"")</f>
        <v/>
      </c>
      <c r="E48" s="23" t="n"/>
    </row>
    <row r="49" ht="16" customHeight="1">
      <c r="A49" s="57" t="inlineStr">
        <is>
          <t>32年</t>
        </is>
      </c>
      <c r="B49" s="15" t="n">
        <v>17</v>
      </c>
      <c r="C49" s="15" t="n">
        <v>1</v>
      </c>
      <c r="D49" s="22">
        <f>IF(AND(ISNUMBER(B49),ISNUMBER(C49)),B49*C49,"")</f>
        <v/>
      </c>
      <c r="E49" s="23" t="n"/>
    </row>
    <row r="50" ht="16" customHeight="1">
      <c r="A50" s="57" t="inlineStr">
        <is>
          <t>33年</t>
        </is>
      </c>
      <c r="B50" s="15" t="n">
        <v>17</v>
      </c>
      <c r="C50" s="15" t="n">
        <v>1</v>
      </c>
      <c r="D50" s="22">
        <f>IF(AND(ISNUMBER(B50),ISNUMBER(C50)),B50*C50,"")</f>
        <v/>
      </c>
      <c r="E50" s="23" t="n"/>
    </row>
    <row r="51" ht="16" customHeight="1">
      <c r="A51" s="57" t="inlineStr">
        <is>
          <t>34年</t>
        </is>
      </c>
      <c r="B51" s="15" t="n">
        <v>17</v>
      </c>
      <c r="C51" s="15" t="n">
        <v>1</v>
      </c>
      <c r="D51" s="22">
        <f>IF(AND(ISNUMBER(B51),ISNUMBER(C51)),B51*C51,"")</f>
        <v/>
      </c>
      <c r="E51" s="23" t="n"/>
    </row>
    <row r="52" ht="16" customHeight="1">
      <c r="A52" s="57" t="inlineStr">
        <is>
          <t>35年</t>
        </is>
      </c>
      <c r="B52" s="15" t="n">
        <v>17</v>
      </c>
      <c r="C52" s="15" t="n">
        <v>1</v>
      </c>
      <c r="D52" s="22">
        <f>IF(AND(ISNUMBER(B52),ISNUMBER(C52)),B52*C52,"")</f>
        <v/>
      </c>
      <c r="E52" s="23" t="n"/>
    </row>
    <row r="53" ht="16" customHeight="1">
      <c r="A53" s="57" t="inlineStr">
        <is>
          <t>36年</t>
        </is>
      </c>
      <c r="B53" s="15" t="n">
        <v>20</v>
      </c>
      <c r="C53" s="15" t="n">
        <v>1</v>
      </c>
      <c r="D53" s="22">
        <f>IF(AND(ISNUMBER(B53),ISNUMBER(C53)),B53*C53,"")</f>
        <v/>
      </c>
      <c r="E53" s="23" t="n"/>
    </row>
    <row r="54" ht="16" customHeight="1">
      <c r="A54" s="57" t="inlineStr">
        <is>
          <t>37年</t>
        </is>
      </c>
      <c r="B54" s="15" t="n">
        <v>20</v>
      </c>
      <c r="C54" s="15" t="n">
        <v>1</v>
      </c>
      <c r="D54" s="22">
        <f>IF(AND(ISNUMBER(B54),ISNUMBER(C54)),B54*C54,"")</f>
        <v/>
      </c>
      <c r="E54" s="23" t="n"/>
    </row>
    <row r="55" ht="16" customHeight="1">
      <c r="A55" s="57" t="inlineStr">
        <is>
          <t>38年</t>
        </is>
      </c>
      <c r="B55" s="15" t="n">
        <v>20</v>
      </c>
      <c r="C55" s="15" t="n">
        <v>1</v>
      </c>
      <c r="D55" s="22">
        <f>IF(AND(ISNUMBER(B55),ISNUMBER(C55)),B55*C55,"")</f>
        <v/>
      </c>
      <c r="E55" s="23" t="n"/>
    </row>
    <row r="56" ht="16" customHeight="1">
      <c r="A56" s="57" t="inlineStr">
        <is>
          <t>39年</t>
        </is>
      </c>
      <c r="B56" s="15" t="n">
        <v>20</v>
      </c>
      <c r="C56" s="15" t="n">
        <v>1</v>
      </c>
      <c r="D56" s="22">
        <f>IF(AND(ISNUMBER(B56),ISNUMBER(C56)),B56*C56,"")</f>
        <v/>
      </c>
      <c r="E56" s="23" t="n"/>
    </row>
    <row r="57" ht="16" customHeight="1">
      <c r="A57" s="57" t="inlineStr">
        <is>
          <t>40年</t>
        </is>
      </c>
      <c r="B57" s="15" t="n">
        <v>20</v>
      </c>
      <c r="C57" s="15" t="n">
        <v>1</v>
      </c>
      <c r="D57" s="22">
        <f>IF(AND(ISNUMBER(B57),ISNUMBER(C57)),B57*C57,"")</f>
        <v/>
      </c>
      <c r="E57" s="23" t="n"/>
    </row>
    <row r="58" ht="16" customHeight="1">
      <c r="A58" s="57" t="inlineStr">
        <is>
          <t>41年</t>
        </is>
      </c>
      <c r="B58" s="15" t="n">
        <v>25</v>
      </c>
      <c r="C58" s="15" t="n">
        <v>1</v>
      </c>
      <c r="D58" s="22">
        <f>IF(AND(ISNUMBER(B58),ISNUMBER(C58)),B58*C58,"")</f>
        <v/>
      </c>
      <c r="E58" s="23" t="n"/>
    </row>
    <row r="59" ht="16" customHeight="1">
      <c r="A59" s="57" t="inlineStr">
        <is>
          <t>42年</t>
        </is>
      </c>
      <c r="B59" s="15" t="n">
        <v>25</v>
      </c>
      <c r="C59" s="15" t="n">
        <v>1</v>
      </c>
      <c r="D59" s="22">
        <f>IF(AND(ISNUMBER(B59),ISNUMBER(C59)),B59*C59,"")</f>
        <v/>
      </c>
      <c r="E59" s="23" t="n"/>
    </row>
    <row r="60" ht="16" customHeight="1">
      <c r="A60" s="57" t="inlineStr">
        <is>
          <t>43年</t>
        </is>
      </c>
      <c r="B60" s="15" t="n">
        <v>25</v>
      </c>
      <c r="C60" s="15" t="n">
        <v>1</v>
      </c>
      <c r="D60" s="22">
        <f>IF(AND(ISNUMBER(B60),ISNUMBER(C60)),B60*C60,"")</f>
        <v/>
      </c>
      <c r="E60" s="23" t="n"/>
    </row>
    <row r="61" ht="16" customHeight="1">
      <c r="A61" s="57" t="inlineStr">
        <is>
          <t>44年</t>
        </is>
      </c>
      <c r="B61" s="15" t="n">
        <v>25</v>
      </c>
      <c r="C61" s="15" t="n">
        <v>1</v>
      </c>
      <c r="D61" s="22">
        <f>IF(AND(ISNUMBER(B61),ISNUMBER(C61)),B61*C61,"")</f>
        <v/>
      </c>
      <c r="E61" s="23" t="n"/>
    </row>
    <row r="62" ht="16" customHeight="1">
      <c r="A62" s="57" t="inlineStr">
        <is>
          <t>45年以上</t>
        </is>
      </c>
      <c r="B62" s="15" t="n">
        <v>25</v>
      </c>
      <c r="C62" s="15" t="n">
        <v>1</v>
      </c>
      <c r="D62" s="22">
        <f>IF(AND(ISNUMBER(B62),ISNUMBER(C62)),B62*C62,"")</f>
        <v/>
      </c>
      <c r="E62" s="23" t="n"/>
    </row>
    <row r="63" ht="28" customHeight="1">
      <c r="A63" s="58" t="inlineStr">
        <is>
          <t>「1年未満」は勤続1年未満、「45年以上」は勤続45年以上の行です。勤続年数は「退職金の計算」シートの数え方（規程 第6条）で数えた年数です。</t>
        </is>
      </c>
      <c r="B63" s="50" t="n"/>
      <c r="C63" s="50" t="n"/>
      <c r="D63" s="50" t="n"/>
      <c r="E63" s="50" t="n"/>
    </row>
  </sheetData>
  <mergeCells count="25">
    <mergeCell ref="D10:E10"/>
    <mergeCell ref="B7:C7"/>
    <mergeCell ref="B3:C3"/>
    <mergeCell ref="A15:E15"/>
    <mergeCell ref="A1:E1"/>
    <mergeCell ref="B12:C12"/>
    <mergeCell ref="D6:E6"/>
    <mergeCell ref="B11:C11"/>
    <mergeCell ref="D11:E11"/>
    <mergeCell ref="B8:C8"/>
    <mergeCell ref="D7:E7"/>
    <mergeCell ref="A2:E2"/>
    <mergeCell ref="B10:C10"/>
    <mergeCell ref="D4:E4"/>
    <mergeCell ref="A14:E14"/>
    <mergeCell ref="B9:C9"/>
    <mergeCell ref="D3:E3"/>
    <mergeCell ref="D9:E9"/>
    <mergeCell ref="D12:E12"/>
    <mergeCell ref="D8:E8"/>
    <mergeCell ref="B6:C6"/>
    <mergeCell ref="B5:C5"/>
    <mergeCell ref="D5:E5"/>
    <mergeCell ref="A63:E63"/>
    <mergeCell ref="B4:C4"/>
  </mergeCells>
  <dataValidations count="9">
    <dataValidation sqref="B4" showDropDown="0" showInputMessage="0" showErrorMessage="1" allowBlank="1" errorTitle="一覧から選んでください" error="プルダウンの一覧から選んでください。" type="list">
      <formula1>"切り捨てる,1か月に切り上げる"</formula1>
    </dataValidation>
    <dataValidation sqref="B5" showDropDown="0" showInputMessage="0" showErrorMessage="1" allowBlank="1" errorTitle="一覧から選んでください" error="プルダウンの一覧から選んでください。" type="list">
      <formula1>"切り捨てる,月割りで計算する,6か月以上は1年に切り上げる"</formula1>
    </dataValidation>
    <dataValidation sqref="B6" showDropDown="0" showInputMessage="0" showErrorMessage="1" allowBlank="1" errorTitle="一覧から選んでください" error="プルダウンの一覧から選んでください。" type="list">
      <formula1>"1,10,100,1000"</formula1>
    </dataValidation>
    <dataValidation sqref="B7" showDropDown="0" showInputMessage="0" showErrorMessage="1" allowBlank="1" errorTitle="一覧から選んでください" error="プルダウンの一覧から選んでください。" type="list">
      <formula1>"切り上げる,切り捨てる"</formula1>
    </dataValidation>
    <dataValidation sqref="B8" showDropDown="0" showInputMessage="0" showErrorMessage="1" allowBlank="1" errorTitle="数字で入力してください" error="0〜24 の月数を入れてください。" type="whole" operator="between">
      <formula1>0</formula1>
      <formula2>24</formula2>
    </dataValidation>
    <dataValidation sqref="B9" showDropDown="0" showInputMessage="0" showErrorMessage="1" allowBlank="1" errorTitle="数字で入力してください" error="0〜10 の数を入れてください（1.0 で支給率どおり）。" type="decimal" operator="between">
      <formula1>0</formula1>
      <formula2>10</formula2>
    </dataValidation>
    <dataValidation sqref="B10" showDropDown="0" showInputMessage="0" showErrorMessage="1" allowBlank="1" errorTitle="数字で入力してください" error="0〜10 の数を入れてください（1.0 で支給率どおり）。" type="decimal" operator="between">
      <formula1>0</formula1>
      <formula2>10</formula2>
    </dataValidation>
    <dataValidation sqref="B11" showDropDown="0" showInputMessage="0" showErrorMessage="1" allowBlank="1" errorTitle="数字で入力してください" error="0〜10 の数を入れてください（1.0 で支給率どおり）。" type="decimal" operator="between">
      <formula1>0</formula1>
      <formula2>10</formula2>
    </dataValidation>
    <dataValidation sqref="B17:C62" showDropDown="0" showInputMessage="0" showErrorMessage="1" allowBlank="1" errorTitle="数字で入力してください" error="0〜100 の数を入れてください。" type="decimal" operator="between">
      <formula1>0</formula1>
      <formula2>100</formula2>
    </dataValidation>
  </dataValidations>
  <printOptions horizontalCentered="1"/>
  <pageMargins left="0.5" right="0.5" top="0.55" bottom="0.55" header="0.25" footer="0.25"/>
  <pageSetup orientation="portrait" paperSize="9" fitToHeight="1" fitToWidth="1"/>
</worksheet>
</file>

<file path=xl/worksheets/sheet3.xml><?xml version="1.0" encoding="utf-8"?>
<worksheet xmlns="http://schemas.openxmlformats.org/spreadsheetml/2006/main">
  <sheetPr>
    <tabColor rgb="001B3A5C"/>
    <outlinePr summaryBelow="1" summaryRight="1"/>
    <pageSetUpPr fitToPage="1"/>
  </sheetPr>
  <dimension ref="A1:F42"/>
  <sheetViews>
    <sheetView showGridLines="0" tabSelected="0" workbookViewId="0">
      <selection activeCell="A1" sqref="A1"/>
    </sheetView>
  </sheetViews>
  <sheetFormatPr baseColWidth="8" defaultRowHeight="15"/>
  <cols>
    <col width="30" customWidth="1" min="1" max="1"/>
    <col width="30" customWidth="1" min="2" max="2"/>
    <col width="50" customWidth="1" min="3" max="3"/>
    <col width="3" customWidth="1" min="4" max="4"/>
    <col width="30" customWidth="1" min="5" max="5"/>
    <col width="16" customWidth="1" min="6" max="6"/>
  </cols>
  <sheetData>
    <row r="1" ht="28" customHeight="1">
      <c r="A1" s="49" t="inlineStr">
        <is>
          <t>退職金の計算書</t>
        </is>
      </c>
      <c r="B1" s="50" t="n"/>
      <c r="C1" s="50" t="n"/>
      <c r="D1" s="50" t="n"/>
      <c r="E1" s="50" t="n"/>
      <c r="F1" s="50" t="n"/>
    </row>
    <row r="2" ht="18" customHeight="1">
      <c r="A2" s="53" t="inlineStr">
        <is>
          <t>黄色に入力し、灰色は自動で出ます。率と端数の扱いは「設定」シートの値を使います。</t>
        </is>
      </c>
      <c r="B2" s="50" t="n"/>
      <c r="C2" s="50" t="n"/>
      <c r="D2" s="50" t="n"/>
      <c r="E2" s="50" t="n"/>
      <c r="F2" s="50" t="n"/>
    </row>
    <row r="3" ht="22" customHeight="1">
      <c r="A3" s="56" t="inlineStr">
        <is>
          <t>1　退職する人</t>
        </is>
      </c>
      <c r="B3" s="50" t="n"/>
      <c r="C3" s="50" t="n"/>
      <c r="D3" s="50" t="n"/>
      <c r="E3" s="25" t="inlineStr">
        <is>
          <t>計算用（消さないでください）</t>
        </is>
      </c>
      <c r="F3" s="25" t="inlineStr">
        <is>
          <t>値</t>
        </is>
      </c>
    </row>
    <row r="4" ht="22" customHeight="1">
      <c r="A4" s="54" t="inlineStr">
        <is>
          <t>作成日</t>
        </is>
      </c>
      <c r="B4" s="26" t="n"/>
      <c r="C4" s="10" t="n"/>
      <c r="D4" s="50" t="n"/>
      <c r="E4" s="27" t="inlineStr">
        <is>
          <t>日付が正しいか</t>
        </is>
      </c>
      <c r="F4" s="28">
        <f>AND(ISNUMBER($B$8),ISNUMBER($B$9),$B$9&gt;=$B$8)</f>
        <v/>
      </c>
    </row>
    <row r="5" ht="22" customHeight="1">
      <c r="A5" s="54" t="inlineStr">
        <is>
          <t>会社名</t>
        </is>
      </c>
      <c r="B5" s="29">
        <f>IF('設定'!$B$3="","",'設定'!$B$3)</f>
        <v/>
      </c>
      <c r="C5" s="10" t="inlineStr">
        <is>
          <t>設定シートから出ます。</t>
        </is>
      </c>
      <c r="D5" s="50" t="n"/>
      <c r="E5" s="27" t="inlineStr">
        <is>
          <t>入社日から退職日までの満月数</t>
        </is>
      </c>
      <c r="F5" s="28">
        <f>IF($F$4,DATEDIF($B$8,$B$9+1,"m"),0)</f>
        <v/>
      </c>
    </row>
    <row r="6" ht="22" customHeight="1">
      <c r="A6" s="54" t="inlineStr">
        <is>
          <t>氏名</t>
        </is>
      </c>
      <c r="B6" s="8" t="n"/>
      <c r="C6" s="10" t="n"/>
      <c r="D6" s="50" t="n"/>
      <c r="E6" s="27" t="inlineStr">
        <is>
          <t>1か月未満の日数があるか</t>
        </is>
      </c>
      <c r="F6" s="28">
        <f>IF($F$4,DATEDIF($B$8,$B$9,"m")=$F$5,FALSE)</f>
        <v/>
      </c>
    </row>
    <row r="7" ht="22" customHeight="1">
      <c r="A7" s="54" t="inlineStr">
        <is>
          <t>所属</t>
        </is>
      </c>
      <c r="B7" s="8" t="n"/>
      <c r="C7" s="10" t="n"/>
      <c r="D7" s="50" t="n"/>
      <c r="E7" s="27" t="inlineStr">
        <is>
          <t>規程の勤続月数</t>
        </is>
      </c>
      <c r="F7" s="28">
        <f>IF($F$4,MAX(0,$F$5+IF(AND($F$6,'設定'!$B$4="1か月に切り上げる"),1,0)-N($B$12)),0)</f>
        <v/>
      </c>
    </row>
    <row r="8" ht="22" customHeight="1">
      <c r="A8" s="54" t="inlineStr">
        <is>
          <t>入社日</t>
        </is>
      </c>
      <c r="B8" s="26" t="n"/>
      <c r="C8" s="10" t="inlineStr">
        <is>
          <t>試用期間を含めた最初の日（規程 第6条1項）。</t>
        </is>
      </c>
      <c r="D8" s="50" t="n"/>
      <c r="E8" s="27" t="inlineStr">
        <is>
          <t>規程の勤続年数（年）</t>
        </is>
      </c>
      <c r="F8" s="28">
        <f>INT($F$7/12)</f>
        <v/>
      </c>
    </row>
    <row r="9" ht="22" customHeight="1">
      <c r="A9" s="54" t="inlineStr">
        <is>
          <t>退職日</t>
        </is>
      </c>
      <c r="B9" s="26" t="n"/>
      <c r="C9" s="10" t="n"/>
      <c r="D9" s="50" t="n"/>
      <c r="E9" s="27" t="inlineStr">
        <is>
          <t>規程の勤続年数（月）</t>
        </is>
      </c>
      <c r="F9" s="28">
        <f>MOD($F$7,12)</f>
        <v/>
      </c>
    </row>
    <row r="10" ht="26" customHeight="1">
      <c r="A10" s="54" t="inlineStr">
        <is>
          <t>退職の事由</t>
        </is>
      </c>
      <c r="B10" s="8" t="n"/>
      <c r="C10" s="10" t="inlineStr">
        <is>
          <t>規程 第5条の一〜四。懲戒解雇のときは「自己都合退職・その他」を選び、減額の率を入れます。</t>
        </is>
      </c>
      <c r="D10" s="50" t="n"/>
      <c r="E10" s="27" t="inlineStr">
        <is>
          <t>支給率表で使う年数</t>
        </is>
      </c>
      <c r="F10" s="28">
        <f>MIN(45,$F$8+IF(AND('設定'!$B$5="6か月以上は1年に切り上げる",$F$9&gt;=6),1,0))</f>
        <v/>
      </c>
    </row>
    <row r="11" ht="22" customHeight="1">
      <c r="A11" s="54" t="inlineStr">
        <is>
          <t>退職日の基本給（月額）</t>
        </is>
      </c>
      <c r="B11" s="30" t="n"/>
      <c r="C11" s="10" t="inlineStr">
        <is>
          <t>諸手当を含めません（規程 第4条2項）。</t>
        </is>
      </c>
      <c r="D11" s="50" t="n"/>
      <c r="E11" s="27" t="inlineStr">
        <is>
          <t>支給率</t>
        </is>
      </c>
      <c r="F11" s="28">
        <f>IF('設定'!$B$5="月割りで計算する",IF($F$8&gt;=45,INDEX('設定'!$B$17:$B$62,46),INDEX('設定'!$B$17:$B$62,$F$8+1)+(INDEX('設定'!$B$17:$B$62,$F$8+2)-INDEX('設定'!$B$17:$B$62,$F$8+1))*$F$9/12),INDEX('設定'!$B$17:$B$62,$F$10+1))</f>
        <v/>
      </c>
    </row>
    <row r="12" ht="26" customHeight="1">
      <c r="A12" s="54" t="inlineStr">
        <is>
          <t>勤続年数から除く期間（月数）</t>
        </is>
      </c>
      <c r="B12" s="31" t="n"/>
      <c r="C12" s="10" t="inlineStr">
        <is>
          <t>会社都合以外の休職の月数（規程 第6条4項）。税金の勤続年数からは除きません。</t>
        </is>
      </c>
      <c r="D12" s="50" t="n"/>
      <c r="E12" s="27" t="inlineStr">
        <is>
          <t>係数</t>
        </is>
      </c>
      <c r="F12" s="28">
        <f>IF($B$10="定年退職",N('設定'!$B$9),IF($B$10="会社都合退職",N('設定'!$B$10),IF($B$10="死亡による退職",N('設定'!$B$11),INDEX('設定'!$C$17:$C$62,$F$10+1))))</f>
        <v/>
      </c>
    </row>
    <row r="13" ht="30" customHeight="1">
      <c r="A13" s="54" t="inlineStr">
        <is>
          <t>除く期間の内容</t>
        </is>
      </c>
      <c r="B13" s="8" t="n"/>
      <c r="C13" s="10" t="n"/>
      <c r="D13" s="50" t="n"/>
      <c r="E13" s="27" t="inlineStr">
        <is>
          <t>計算できるか</t>
        </is>
      </c>
      <c r="F13" s="28">
        <f>AND($F$4,ISNUMBER($B$11),OR($B$10="自己都合退職・その他",$B$10="会社都合退職",$B$10="定年退職",$B$10="死亡による退職"))</f>
        <v/>
      </c>
    </row>
    <row r="14" ht="22" customHeight="1">
      <c r="A14" s="56" t="inlineStr">
        <is>
          <t>2　勤続年数と支給率</t>
        </is>
      </c>
      <c r="B14" s="50" t="n"/>
      <c r="C14" s="50" t="n"/>
      <c r="D14" s="50" t="n"/>
      <c r="E14" s="27" t="inlineStr">
        <is>
          <t>基本給×支給率×係数（端数処理前）</t>
        </is>
      </c>
      <c r="F14" s="28">
        <f>IF($F$13,$B$11*$F$11*$F$12,0)</f>
        <v/>
      </c>
    </row>
    <row r="15" ht="22" customHeight="1">
      <c r="A15" s="54" t="inlineStr">
        <is>
          <t>入社日から退職日まで</t>
        </is>
      </c>
      <c r="B15" s="29">
        <f>IF($F$4,INT($F$5/12)&amp;"年"&amp;MOD($F$5,12)&amp;"か月"&amp;IF($F$6,"と1か月未満の日数",""),IF(AND(ISNUMBER($B$8),ISNUMBER($B$9)),"退職日が入社日より前です",""))</f>
        <v/>
      </c>
      <c r="C15" s="10" t="inlineStr">
        <is>
          <t>1か月未満の日数が残るときは「と1か月未満の日数」と出ます。</t>
        </is>
      </c>
      <c r="D15" s="50" t="n"/>
      <c r="E15" s="27" t="inlineStr">
        <is>
          <t>規程による額</t>
        </is>
      </c>
      <c r="F15" s="28">
        <f>IF($F$13,IF('設定'!$B$7="切り捨てる",ROUNDDOWN(ROUND(($F$14)/IF(ISNUMBER('設定'!$B$6),MAX(1,'設定'!$B$6),1),6),0),ROUNDUP(ROUND(($F$14)/IF(ISNUMBER('設定'!$B$6),MAX(1,'設定'!$B$6),1),6),0))*IF(ISNUMBER('設定'!$B$6),MAX(1,'設定'!$B$6),1),0)</f>
        <v/>
      </c>
    </row>
    <row r="16" ht="22" customHeight="1">
      <c r="A16" s="54" t="inlineStr">
        <is>
          <t>規程の勤続年数</t>
        </is>
      </c>
      <c r="B16" s="29">
        <f>IF($F$4,$F$8&amp;"年"&amp;$F$9&amp;"か月","")</f>
        <v/>
      </c>
      <c r="C16" s="10" t="inlineStr">
        <is>
          <t>除く期間を引き、設定シートの端数の扱いをした年数です。</t>
        </is>
      </c>
      <c r="D16" s="50" t="n"/>
      <c r="E16" s="27" t="inlineStr">
        <is>
          <t>功労加算金</t>
        </is>
      </c>
      <c r="F16" s="28">
        <f>MAX(0,N($B$21))</f>
        <v/>
      </c>
    </row>
    <row r="17" ht="26" customHeight="1">
      <c r="A17" s="54" t="inlineStr">
        <is>
          <t>支給率</t>
        </is>
      </c>
      <c r="B17" s="32">
        <f>IF($F$13,$F$11,"")</f>
        <v/>
      </c>
      <c r="C17" s="10" t="inlineStr">
        <is>
          <t>設定シートの支給率表から。月割りのときは小数第4位まで表示します（計算は丸めません）。</t>
        </is>
      </c>
      <c r="D17" s="50" t="n"/>
      <c r="E17" s="27" t="inlineStr">
        <is>
          <t>減額前の額</t>
        </is>
      </c>
      <c r="F17" s="28">
        <f>$F$15+$F$16</f>
        <v/>
      </c>
    </row>
    <row r="18" ht="26" customHeight="1">
      <c r="A18" s="54" t="inlineStr">
        <is>
          <t>退職の事由による係数</t>
        </is>
      </c>
      <c r="B18" s="33">
        <f>IF($F$13,$F$12,"")</f>
        <v/>
      </c>
      <c r="C18" s="10" t="inlineStr">
        <is>
          <t>定年・会社都合・死亡は設定シートの値、自己都合・その他は支給率表の係数です。</t>
        </is>
      </c>
      <c r="D18" s="50" t="n"/>
      <c r="E18" s="27" t="inlineStr">
        <is>
          <t>減額の率</t>
        </is>
      </c>
      <c r="F18" s="28">
        <f>MIN(100,MAX(0,N($B$22)))</f>
        <v/>
      </c>
    </row>
    <row r="19" ht="22" customHeight="1">
      <c r="A19" s="56" t="inlineStr">
        <is>
          <t>3　退職金の額</t>
        </is>
      </c>
      <c r="B19" s="50" t="n"/>
      <c r="C19" s="50" t="n"/>
      <c r="D19" s="50" t="n"/>
      <c r="E19" s="27" t="inlineStr">
        <is>
          <t>減額する額</t>
        </is>
      </c>
      <c r="F19" s="28">
        <f>ROUNDDOWN($F$17*$F$18/100,0)</f>
        <v/>
      </c>
    </row>
    <row r="20" ht="26" customHeight="1">
      <c r="A20" s="54" t="inlineStr">
        <is>
          <t>規程による額</t>
        </is>
      </c>
      <c r="B20" s="34">
        <f>IF($F$13,$F$15,"")</f>
        <v/>
      </c>
      <c r="C20" s="10" t="inlineStr">
        <is>
          <t>基本給×支給率×係数。端数は設定シートの扱いにします（規程 第4条3項）。</t>
        </is>
      </c>
      <c r="D20" s="50" t="n"/>
      <c r="E20" s="27" t="inlineStr">
        <is>
          <t>退職金の額</t>
        </is>
      </c>
      <c r="F20" s="28">
        <f>$F$17-$F$19</f>
        <v/>
      </c>
    </row>
    <row r="21" ht="22" customHeight="1">
      <c r="A21" s="54" t="inlineStr">
        <is>
          <t>功労加算金</t>
        </is>
      </c>
      <c r="B21" s="30" t="n"/>
      <c r="C21" s="10" t="inlineStr">
        <is>
          <t>規程 第7条。無ければ 0。</t>
        </is>
      </c>
      <c r="D21" s="50" t="n"/>
      <c r="E21" s="27" t="inlineStr">
        <is>
          <t>中退共などの額</t>
        </is>
      </c>
      <c r="F21" s="28">
        <f>MAX(0,N($B$26))</f>
        <v/>
      </c>
    </row>
    <row r="22" ht="26" customHeight="1">
      <c r="A22" s="54" t="inlineStr">
        <is>
          <t>減額・不支給の率（％）</t>
        </is>
      </c>
      <c r="B22" s="35" t="n"/>
      <c r="C22" s="10" t="inlineStr">
        <is>
          <t>規程 第8条。減らさないときは 0、全部を支給しないときは 100。</t>
        </is>
      </c>
      <c r="D22" s="50" t="n"/>
      <c r="E22" s="27" t="inlineStr">
        <is>
          <t>会社が支払う額</t>
        </is>
      </c>
      <c r="F22" s="28">
        <f>MAX(0,$F$20-$F$21)</f>
        <v/>
      </c>
    </row>
    <row r="23" ht="30" customHeight="1">
      <c r="A23" s="54" t="inlineStr">
        <is>
          <t>減額・不支給の理由</t>
        </is>
      </c>
      <c r="B23" s="8" t="n"/>
      <c r="C23" s="10" t="n"/>
      <c r="D23" s="50" t="n"/>
      <c r="E23" s="50" t="n"/>
      <c r="F23" s="50" t="n"/>
    </row>
    <row r="24" ht="22" customHeight="1">
      <c r="A24" s="54" t="inlineStr">
        <is>
          <t>減額する額</t>
        </is>
      </c>
      <c r="B24" s="34">
        <f>IF($F$13,$F$19,"")</f>
        <v/>
      </c>
      <c r="C24" s="10" t="inlineStr">
        <is>
          <t>（規程による額＋功労加算金）×率。1円未満は切り捨てます。</t>
        </is>
      </c>
      <c r="D24" s="50" t="n"/>
      <c r="E24" s="27" t="inlineStr">
        <is>
          <t>税額を計算しない理由</t>
        </is>
      </c>
      <c r="F24" s="28">
        <f>IF(NOT($F$13),"入社日・退職日・退職の事由・基本給を入れると計算します。",IF($B$10="死亡による退職","死亡による退職の退職金で相続税の対象になるものは、所得税の対象になりません（源泉徴収は要りません。国税庁 No.2732）。このシートでは税額を計算しません。",IF($F$21&gt;0,"中退共などからも本人に退職金が支払われるので、このシートでは税額を計算しません。中退共などから支払われる分の扱いは、中退共などの案内と国税庁 No.2732 で確かめてください。",IF($B$32="ある","ほかの退職金などがあるときは、国税庁 No.2732 の「重複期間」などの計算が要るので、このシートでは税額を計算しません。",""))))</f>
        <v/>
      </c>
    </row>
    <row r="25" ht="22" customHeight="1">
      <c r="A25" s="54" t="inlineStr">
        <is>
          <t>退職金の額</t>
        </is>
      </c>
      <c r="B25" s="59">
        <f>IF($F$13,$F$20,"")</f>
        <v/>
      </c>
      <c r="C25" s="10" t="inlineStr">
        <is>
          <t>規程による額＋功労加算金－減額する額。</t>
        </is>
      </c>
      <c r="D25" s="50" t="n"/>
      <c r="E25" s="27" t="inlineStr">
        <is>
          <t>税額を計算するか</t>
        </is>
      </c>
      <c r="F25" s="28">
        <f>AND($F$13,$F$24="")</f>
        <v/>
      </c>
    </row>
    <row r="26" ht="22" customHeight="1">
      <c r="A26" s="54" t="inlineStr">
        <is>
          <t>中退共などから本人に支払われる額</t>
        </is>
      </c>
      <c r="B26" s="30" t="n"/>
      <c r="C26" s="10" t="inlineStr">
        <is>
          <t>規程 第13条。加入していなければ 0。</t>
        </is>
      </c>
      <c r="D26" s="50" t="n"/>
      <c r="E26" s="27" t="inlineStr">
        <is>
          <t>退職手当等の収入金額</t>
        </is>
      </c>
      <c r="F26" s="28">
        <f>$F$20</f>
        <v/>
      </c>
    </row>
    <row r="27" ht="22" customHeight="1">
      <c r="A27" s="54" t="inlineStr">
        <is>
          <t>会社が支払う退職金</t>
        </is>
      </c>
      <c r="B27" s="59">
        <f>IF($F$13,$F$22,"")</f>
        <v/>
      </c>
      <c r="C27" s="10" t="inlineStr">
        <is>
          <t>退職金の額－中退共などの額（マイナスなら 0）。</t>
        </is>
      </c>
      <c r="D27" s="50" t="n"/>
      <c r="E27" s="27" t="inlineStr">
        <is>
          <t>税金の勤続年数（満年数）</t>
        </is>
      </c>
      <c r="F27" s="28">
        <f>IF($F$4,DATEDIF($B$8,$B$9+1,"y"),0)</f>
        <v/>
      </c>
    </row>
    <row r="28" ht="22" customHeight="1">
      <c r="A28" s="54" t="inlineStr">
        <is>
          <t>支払の期限</t>
        </is>
      </c>
      <c r="B28" s="37">
        <f>IF(AND($F$4,ISNUMBER('設定'!$B$8)),EDATE($B$9,'設定'!$B$8),"")</f>
        <v/>
      </c>
      <c r="C28" s="10" t="inlineStr">
        <is>
          <t>退職日から設定シートの月数（規程 第9条）。</t>
        </is>
      </c>
      <c r="D28" s="50" t="n"/>
      <c r="E28" s="27" t="inlineStr">
        <is>
          <t>税金の勤続年数</t>
        </is>
      </c>
      <c r="F28" s="28">
        <f>IF($F$4,MAX(1,$F$27+IF(DATEDIF($B$8,$B$9,"y")=$F$27,1,0)),0)</f>
        <v/>
      </c>
    </row>
    <row r="29" ht="22" customHeight="1">
      <c r="A29" s="56" t="inlineStr">
        <is>
          <t>4　差し引く税金と振り込む額</t>
        </is>
      </c>
      <c r="B29" s="50" t="n"/>
      <c r="C29" s="50" t="n"/>
      <c r="D29" s="50" t="n"/>
      <c r="E29" s="27" t="inlineStr">
        <is>
          <t>退職所得控除額</t>
        </is>
      </c>
      <c r="F29" s="28">
        <f>MAX(IF($F$28&lt;=20,'税額の表'!$B$14*$F$28,'税額の表'!$B$15+'税額の表'!$B$16*($F$28-20)),'税額の表'!$B$17)+IF($B$31="はい",'税額の表'!$B$18,0)</f>
        <v/>
      </c>
    </row>
    <row r="30" ht="26" customHeight="1">
      <c r="A30" s="54" t="inlineStr">
        <is>
          <t>退職所得の受給に関する申告書</t>
        </is>
      </c>
      <c r="B30" s="8" t="inlineStr">
        <is>
          <t>出している</t>
        </is>
      </c>
      <c r="C30" s="10" t="inlineStr">
        <is>
          <t>出していない人は、所得税・復興特別所得税が退職金の額の20.42％になります（国税庁 No.2732）。</t>
        </is>
      </c>
      <c r="D30" s="50" t="n"/>
      <c r="E30" s="27" t="inlineStr">
        <is>
          <t>収入金額－控除額</t>
        </is>
      </c>
      <c r="F30" s="28">
        <f>MAX(0,$F$26-$F$29)</f>
        <v/>
      </c>
    </row>
    <row r="31" ht="26" customHeight="1">
      <c r="A31" s="54" t="inlineStr">
        <is>
          <t>障害者になったことが直接の原因の退職</t>
        </is>
      </c>
      <c r="B31" s="8" t="inlineStr">
        <is>
          <t>いいえ</t>
        </is>
      </c>
      <c r="C31" s="10" t="inlineStr">
        <is>
          <t>「はい」なら退職所得控除額に100万円を加えます（所得税法30条6項）。</t>
        </is>
      </c>
      <c r="D31" s="50" t="n"/>
      <c r="E31" s="27" t="inlineStr">
        <is>
          <t>退職所得金額</t>
        </is>
      </c>
      <c r="F31" s="28">
        <f>IF($F$28&lt;='税額の表'!$B$19,IF($F$30&lt;='税額の表'!$B$20,$F$30/2,'税額の表'!$B$20/2+($F$30-'税額の表'!$B$20)),$F$30/2)</f>
        <v/>
      </c>
    </row>
    <row r="32" ht="26" customHeight="1">
      <c r="A32" s="54" t="inlineStr">
        <is>
          <t>ほかの退職金など</t>
        </is>
      </c>
      <c r="B32" s="8" t="inlineStr">
        <is>
          <t>ない</t>
        </is>
      </c>
      <c r="C32" s="10" t="inlineStr">
        <is>
          <t>同じ年にほかから受け取った退職金、前年以前4年内の退職金、確定拠出年金の一時金など。</t>
        </is>
      </c>
      <c r="D32" s="50" t="n"/>
      <c r="E32" s="27" t="inlineStr">
        <is>
          <t>課税退職所得金額</t>
        </is>
      </c>
      <c r="F32" s="28">
        <f>ROUNDDOWN($F$31,-3)</f>
        <v/>
      </c>
    </row>
    <row r="33" ht="26" customHeight="1">
      <c r="A33" s="54" t="inlineStr">
        <is>
          <t>税金の勤続年数</t>
        </is>
      </c>
      <c r="B33" s="29">
        <f>IF($F$25,$F$28&amp;"年","")</f>
        <v/>
      </c>
      <c r="C33" s="10" t="inlineStr">
        <is>
          <t>入社日から退職日まで（休職の期間も含めます）。1年未満の端数は1年に切り上げます。</t>
        </is>
      </c>
      <c r="D33" s="50" t="n"/>
      <c r="E33" s="27" t="inlineStr">
        <is>
          <t>速算表の段</t>
        </is>
      </c>
      <c r="F33" s="28">
        <f>MATCH($F$32,'税額の表'!$B$4:$B$10,1)</f>
        <v/>
      </c>
    </row>
    <row r="34" ht="26" customHeight="1">
      <c r="A34" s="54" t="inlineStr">
        <is>
          <t>退職所得控除額</t>
        </is>
      </c>
      <c r="B34" s="34">
        <f>IF($F$25,$F$29,"")</f>
        <v/>
      </c>
      <c r="C34" s="10" t="inlineStr">
        <is>
          <t>20年以下は40万円×年数、20年超は800万円＋70万円×（年数－20）。最低80万円。</t>
        </is>
      </c>
      <c r="D34" s="50" t="n"/>
      <c r="E34" s="27" t="inlineStr">
        <is>
          <t>税率（％）</t>
        </is>
      </c>
      <c r="F34" s="28">
        <f>INDEX('税額の表'!$C$4:$C$10,$F$33)</f>
        <v/>
      </c>
    </row>
    <row r="35" ht="26" customHeight="1">
      <c r="A35" s="54" t="inlineStr">
        <is>
          <t>課税退職所得金額</t>
        </is>
      </c>
      <c r="B35" s="34">
        <f>IF($F$25,$F$32,"")</f>
        <v/>
      </c>
      <c r="C35" s="10" t="inlineStr">
        <is>
          <t>（退職金の額－控除額）×1/2。勤続5年以下は300万円を超える部分を1/2にしません。1,000円未満は切り捨てます。</t>
        </is>
      </c>
      <c r="D35" s="50" t="n"/>
      <c r="E35" s="27" t="inlineStr">
        <is>
          <t>控除額</t>
        </is>
      </c>
      <c r="F35" s="28">
        <f>INDEX('税額の表'!$D$4:$D$10,$F$33)</f>
        <v/>
      </c>
    </row>
    <row r="36" ht="37.5" customHeight="1">
      <c r="A36" s="54" t="inlineStr">
        <is>
          <t>所得税・復興特別所得税</t>
        </is>
      </c>
      <c r="B36" s="34">
        <f>IF($F$25,$F$36,"")</f>
        <v/>
      </c>
      <c r="C36" s="10" t="inlineStr">
        <is>
          <t>速算表の税率と控除額で出した額×102.1％。1円未満は切り捨てます。令和9年分以後は防衛特別所得税を含めた額です（国税庁の速算表）。</t>
        </is>
      </c>
      <c r="D36" s="50" t="n"/>
      <c r="E36" s="27" t="inlineStr">
        <is>
          <t>所得税・復興特別所得税</t>
        </is>
      </c>
      <c r="F36" s="28">
        <f>IF($B$30="出していない",INT($F$26*ROUND('税額の表'!$B$22*100,0)/10000),INT(($F$32*$F$34-$F$35*100)*ROUND('税額の表'!$B$21*10,0)/100000))</f>
        <v/>
      </c>
    </row>
    <row r="37" ht="22" customHeight="1">
      <c r="A37" s="54" t="inlineStr">
        <is>
          <t>住民税（市町村民税 6％）</t>
        </is>
      </c>
      <c r="B37" s="34">
        <f>IF($F$25,$F$37,"")</f>
        <v/>
      </c>
      <c r="C37" s="10" t="inlineStr">
        <is>
          <t>課税退職所得金額×6％。100円未満は切り捨てます。</t>
        </is>
      </c>
      <c r="D37" s="50" t="n"/>
      <c r="E37" s="27" t="inlineStr">
        <is>
          <t>市町村民税</t>
        </is>
      </c>
      <c r="F37" s="28">
        <f>ROUNDDOWN($F$32*'税額の表'!$B$23/100,-2)</f>
        <v/>
      </c>
    </row>
    <row r="38" ht="22" customHeight="1">
      <c r="A38" s="54" t="inlineStr">
        <is>
          <t>住民税（道府県民税 4％）</t>
        </is>
      </c>
      <c r="B38" s="34">
        <f>IF($F$25,$F$38,"")</f>
        <v/>
      </c>
      <c r="C38" s="10" t="inlineStr">
        <is>
          <t>課税退職所得金額×4％。100円未満は切り捨てます。</t>
        </is>
      </c>
      <c r="D38" s="50" t="n"/>
      <c r="E38" s="27" t="inlineStr">
        <is>
          <t>道府県民税</t>
        </is>
      </c>
      <c r="F38" s="28">
        <f>ROUNDDOWN($F$32*'税額の表'!$B$24/100,-2)</f>
        <v/>
      </c>
    </row>
    <row r="39" ht="22" customHeight="1">
      <c r="A39" s="54" t="inlineStr">
        <is>
          <t>本人に振り込む額</t>
        </is>
      </c>
      <c r="B39" s="59">
        <f>IF($F$25,$F$39,"")</f>
        <v/>
      </c>
      <c r="C39" s="10" t="inlineStr">
        <is>
          <t>会社が支払う退職金－所得税・復興特別所得税－住民税。</t>
        </is>
      </c>
      <c r="D39" s="50" t="n"/>
      <c r="E39" s="27" t="inlineStr">
        <is>
          <t>振り込む額</t>
        </is>
      </c>
      <c r="F39" s="28">
        <f>$F$22-$F$36-$F$37-$F$38</f>
        <v/>
      </c>
    </row>
    <row r="40" ht="18" customHeight="1">
      <c r="A40" s="38">
        <f>IF($F$24&lt;&gt;"",$F$24,IF($B$30="出していない","申告書を出していないので、所得税・復興特別所得税は退職金の額の20.42％です（本人が確定申告で精算します）。住民税は申告書の有無にかかわらず同じ式です。",IF($F$32=0,"退職金の額が退職所得控除額以下なので、課税退職所得金額は0円です。所得税・住民税は差し引きません。",IF($F$28&lt;='税額の表'!$B$19,"税金の勤続年数が5年以下なので、退職所得控除額を引いた額のうち300万円を超える部分は2分の1にしません（短期退職手当等・所得税法30条2項）。",""))))</f>
        <v/>
      </c>
      <c r="B40" s="60" t="n"/>
      <c r="C40" s="61" t="n"/>
      <c r="D40" s="50" t="n"/>
      <c r="E40" s="50" t="n"/>
      <c r="F40" s="50" t="n"/>
    </row>
    <row r="41" ht="18" customHeight="1">
      <c r="A41" s="62" t="n"/>
      <c r="B41" s="63" t="n"/>
      <c r="C41" s="64" t="n"/>
      <c r="D41" s="50" t="n"/>
      <c r="E41" s="50" t="n"/>
      <c r="F41" s="50" t="n"/>
    </row>
    <row r="42" ht="36" customHeight="1">
      <c r="A42" s="58" t="inlineStr">
        <is>
          <t>出典: 所得税法30条・所得税法施行令69条、国税庁「No.2732 退職手当等に対する源泉徴収」・速算表（令和8年4月1日現在法令等）、地方税法50条の4・328条の3・328条の6。役員ではない従業員に、この会社だけが退職金を払う場合の計算です（確認日 2026-10-03）。</t>
        </is>
      </c>
      <c r="B42" s="50" t="n"/>
      <c r="C42" s="50" t="n"/>
      <c r="D42" s="50" t="n"/>
      <c r="E42" s="50" t="n"/>
      <c r="F42" s="50" t="n"/>
    </row>
  </sheetData>
  <mergeCells count="8">
    <mergeCell ref="A42:C42"/>
    <mergeCell ref="A19:C19"/>
    <mergeCell ref="A40:C41"/>
    <mergeCell ref="A1:C1"/>
    <mergeCell ref="A14:C14"/>
    <mergeCell ref="A3:C3"/>
    <mergeCell ref="A29:C29"/>
    <mergeCell ref="A2:C2"/>
  </mergeCells>
  <conditionalFormatting sqref="B8:B9">
    <cfRule type="expression" priority="1" dxfId="0">
      <formula>AND(ISNUMBER($B$8),ISNUMBER($B$9),$B$9&lt;$B$8)</formula>
    </cfRule>
  </conditionalFormatting>
  <dataValidations count="12">
    <dataValidation sqref="B10" showDropDown="0" showInputMessage="0" showErrorMessage="1" allowBlank="1" errorTitle="一覧から選んでください" error="プルダウンの一覧から選んでください。" type="list">
      <formula1>"自己都合退職・その他,会社都合退職,定年退職,死亡による退職"</formula1>
    </dataValidation>
    <dataValidation sqref="B30" showDropDown="0" showInputMessage="0" showErrorMessage="1" allowBlank="1" errorTitle="一覧から選んでください" error="プルダウンの一覧から選んでください。" type="list">
      <formula1>"出している,出していない"</formula1>
    </dataValidation>
    <dataValidation sqref="B31" showDropDown="0" showInputMessage="0" showErrorMessage="1" allowBlank="1" errorTitle="一覧から選んでください" error="プルダウンの一覧から選んでください。" type="list">
      <formula1>"いいえ,はい"</formula1>
    </dataValidation>
    <dataValidation sqref="B32" showDropDown="0" showInputMessage="0" showErrorMessage="1" allowBlank="1" errorTitle="一覧から選んでください" error="プルダウンの一覧から選んでください。" type="list">
      <formula1>"ない,ある"</formula1>
    </dataValidation>
    <dataValidation sqref="B4" showDropDown="0" showInputMessage="0" showErrorMessage="1" allowBlank="1" errorTitle="日付で入力してください" error="2026/10/31 のように、日付として入力してください。" type="date" operator="greaterThanOrEqual">
      <formula1>18264</formula1>
    </dataValidation>
    <dataValidation sqref="B8" showDropDown="0" showInputMessage="0" showErrorMessage="1" allowBlank="1" errorTitle="日付で入力してください" error="2026/10/31 のように、日付として入力してください。" type="date" operator="greaterThanOrEqual">
      <formula1>18264</formula1>
    </dataValidation>
    <dataValidation sqref="B9" showDropDown="0" showInputMessage="0" showErrorMessage="1" allowBlank="1" errorTitle="日付で入力してください" error="2026/10/31 のように、日付として入力してください。" type="date" operator="greaterThanOrEqual">
      <formula1>18264</formula1>
    </dataValidation>
    <dataValidation sqref="B11" showDropDown="0" showInputMessage="0" showErrorMessage="1" allowBlank="1" errorTitle="数字で入力してください" error="0以上の金額（円）を数字で入れてください。" type="whole" operator="between">
      <formula1>0</formula1>
      <formula2>100000000</formula2>
    </dataValidation>
    <dataValidation sqref="B12" showDropDown="0" showInputMessage="0" showErrorMessage="1" allowBlank="1" errorTitle="数字で入力してください" error="0以上の月数を数字で入れてください。" type="whole" operator="between">
      <formula1>0</formula1>
      <formula2>600</formula2>
    </dataValidation>
    <dataValidation sqref="B21" showDropDown="0" showInputMessage="0" showErrorMessage="1" allowBlank="1" errorTitle="数字で入力してください" error="0以上の金額（円）を数字で入れてください。" type="whole" operator="between">
      <formula1>0</formula1>
      <formula2>1000000000</formula2>
    </dataValidation>
    <dataValidation sqref="B22" showDropDown="0" showInputMessage="0" showErrorMessage="1" allowBlank="1" errorTitle="数字で入力してください" error="0〜100 の数を入れてください。" type="whole" operator="between">
      <formula1>0</formula1>
      <formula2>100</formula2>
    </dataValidation>
    <dataValidation sqref="B26" showDropDown="0" showInputMessage="0" showErrorMessage="1" allowBlank="1" errorTitle="数字で入力してください" error="0以上の金額（円）を数字で入れてください。" type="whole" operator="between">
      <formula1>0</formula1>
      <formula2>1000000000</formula2>
    </dataValidation>
  </dataValidations>
  <printOptions horizontalCentered="1"/>
  <pageMargins left="0.5" right="0.5" top="0.5" bottom="0.5" header="0.25" footer="0.25"/>
  <pageSetup orientation="portrait" paperSize="9" fitToHeight="1" fitToWidth="1"/>
</worksheet>
</file>

<file path=xl/worksheets/sheet4.xml><?xml version="1.0" encoding="utf-8"?>
<worksheet xmlns="http://schemas.openxmlformats.org/spreadsheetml/2006/main">
  <sheetPr>
    <tabColor rgb="001B3A5C"/>
    <outlinePr summaryBelow="1" summaryRight="1"/>
    <pageSetUpPr fitToPage="1"/>
  </sheetPr>
  <dimension ref="A1:T59"/>
  <sheetViews>
    <sheetView showGridLines="0" tabSelected="0" workbookViewId="0">
      <pane ySplit="9" topLeftCell="A10" activePane="bottomLeft" state="frozen"/>
      <selection pane="bottomLeft" activeCell="A1" sqref="A1"/>
    </sheetView>
  </sheetViews>
  <sheetFormatPr baseColWidth="8" defaultRowHeight="15"/>
  <cols>
    <col width="5" customWidth="1" min="1" max="1"/>
    <col width="20" customWidth="1" min="2" max="2"/>
    <col width="12" customWidth="1" min="3" max="3"/>
    <col width="14" customWidth="1" min="4" max="4"/>
    <col width="11" customWidth="1" min="5" max="5"/>
    <col width="12" customWidth="1" min="6" max="6"/>
    <col width="9" customWidth="1" min="7" max="7"/>
    <col width="9" customWidth="1" min="8" max="8"/>
    <col width="16" customWidth="1" min="9" max="9"/>
    <col width="16" customWidth="1" min="10" max="10"/>
    <col width="22" customWidth="1" min="11" max="11"/>
    <col width="2" customWidth="1" min="12" max="12"/>
    <col width="6" customWidth="1" min="13" max="13"/>
    <col width="7" customWidth="1" min="14" max="14"/>
    <col width="7" customWidth="1" min="15" max="15"/>
    <col width="7" customWidth="1" min="16" max="16"/>
    <col width="6" customWidth="1" min="17" max="17"/>
    <col width="6" customWidth="1" min="18" max="18"/>
    <col width="6" customWidth="1" min="19" max="19"/>
    <col width="9" customWidth="1" min="20" max="20"/>
  </cols>
  <sheetData>
    <row r="1" ht="28" customHeight="1">
      <c r="A1" s="49" t="inlineStr">
        <is>
          <t>全員の見積り（基準日に全員が退職したとしたら）</t>
        </is>
      </c>
      <c r="B1" s="50" t="n"/>
      <c r="C1" s="50" t="n"/>
      <c r="D1" s="50" t="n"/>
      <c r="E1" s="50" t="n"/>
      <c r="F1" s="50" t="n"/>
      <c r="G1" s="50" t="n"/>
      <c r="H1" s="50" t="n"/>
      <c r="I1" s="50" t="n"/>
      <c r="J1" s="50" t="n"/>
      <c r="K1" s="50" t="n"/>
      <c r="L1" s="50" t="n"/>
      <c r="M1" s="50" t="n"/>
      <c r="N1" s="50" t="n"/>
      <c r="O1" s="50" t="n"/>
      <c r="P1" s="50" t="n"/>
      <c r="Q1" s="50" t="n"/>
      <c r="R1" s="50" t="n"/>
      <c r="S1" s="50" t="n"/>
      <c r="T1" s="50" t="n"/>
    </row>
    <row r="2" ht="30" customHeight="1">
      <c r="A2" s="53" t="inlineStr">
        <is>
          <t>在籍している人を入れると、基準日に全員が自己都合で退職した場合と、会社都合で退職した場合の退職金の額が出ます。率と端数の扱いは「設定」シートの値です。功労加算金・減額は入れていません。</t>
        </is>
      </c>
      <c r="B2" s="50" t="n"/>
      <c r="C2" s="50" t="n"/>
      <c r="D2" s="50" t="n"/>
      <c r="E2" s="50" t="n"/>
      <c r="F2" s="50" t="n"/>
      <c r="G2" s="50" t="n"/>
      <c r="H2" s="50" t="n"/>
      <c r="I2" s="50" t="n"/>
      <c r="J2" s="50" t="n"/>
      <c r="K2" s="50" t="n"/>
      <c r="L2" s="50" t="n"/>
      <c r="M2" s="50" t="n"/>
      <c r="N2" s="50" t="n"/>
      <c r="O2" s="50" t="n"/>
      <c r="P2" s="50" t="n"/>
      <c r="Q2" s="50" t="n"/>
      <c r="R2" s="50" t="n"/>
      <c r="S2" s="50" t="n"/>
      <c r="T2" s="50" t="n"/>
    </row>
    <row r="3" ht="24" customHeight="1">
      <c r="A3" s="54" t="inlineStr">
        <is>
          <t>基準日（空欄なら今日）</t>
        </is>
      </c>
      <c r="B3" s="55" t="n"/>
      <c r="C3" s="26" t="n"/>
      <c r="D3" s="55" t="n"/>
      <c r="E3" s="54" t="inlineStr">
        <is>
          <t>計算に使った日</t>
        </is>
      </c>
      <c r="F3" s="55" t="n"/>
      <c r="G3" s="37">
        <f>IF(ISNUMBER($C$3),$C$3,TODAY())</f>
        <v/>
      </c>
      <c r="H3" s="55" t="n"/>
      <c r="I3" s="50" t="n"/>
      <c r="J3" s="50" t="n"/>
      <c r="K3" s="50" t="n"/>
      <c r="L3" s="50" t="n"/>
      <c r="M3" s="50" t="n"/>
      <c r="N3" s="50" t="n"/>
      <c r="O3" s="50" t="n"/>
      <c r="P3" s="50" t="n"/>
      <c r="Q3" s="50" t="n"/>
      <c r="R3" s="50" t="n"/>
      <c r="S3" s="50" t="n"/>
      <c r="T3" s="50" t="n"/>
    </row>
    <row r="4" ht="24" customHeight="1">
      <c r="A4" s="54" t="inlineStr">
        <is>
          <t>人数</t>
        </is>
      </c>
      <c r="B4" s="55" t="n"/>
      <c r="C4" s="39">
        <f>SUM($M$10:$M$59)</f>
        <v/>
      </c>
      <c r="D4" s="55" t="n"/>
      <c r="E4" s="54" t="inlineStr">
        <is>
          <t>自己都合の合計の4分の1</t>
        </is>
      </c>
      <c r="F4" s="55" t="n"/>
      <c r="G4" s="34">
        <f>C5/4</f>
        <v/>
      </c>
      <c r="H4" s="55" t="n"/>
      <c r="I4" s="50" t="n"/>
      <c r="J4" s="50" t="n"/>
      <c r="K4" s="50" t="n"/>
      <c r="L4" s="50" t="n"/>
      <c r="M4" s="50" t="n"/>
      <c r="N4" s="50" t="n"/>
      <c r="O4" s="50" t="n"/>
      <c r="P4" s="50" t="n"/>
      <c r="Q4" s="50" t="n"/>
      <c r="R4" s="50" t="n"/>
      <c r="S4" s="50" t="n"/>
      <c r="T4" s="50" t="n"/>
    </row>
    <row r="5" ht="24" customHeight="1">
      <c r="A5" s="54" t="inlineStr">
        <is>
          <t>自己都合の場合の合計</t>
        </is>
      </c>
      <c r="B5" s="55" t="n"/>
      <c r="C5" s="59">
        <f>SUM($I$10:$I$59)</f>
        <v/>
      </c>
      <c r="D5" s="55" t="n"/>
      <c r="E5" s="54" t="inlineStr">
        <is>
          <t>会社都合の場合の合計</t>
        </is>
      </c>
      <c r="F5" s="55" t="n"/>
      <c r="G5" s="59">
        <f>SUM($J$10:$J$59)</f>
        <v/>
      </c>
      <c r="H5" s="55" t="n"/>
      <c r="I5" s="50" t="n"/>
      <c r="J5" s="50" t="n"/>
      <c r="K5" s="50" t="n"/>
      <c r="L5" s="50" t="n"/>
      <c r="M5" s="50" t="n"/>
      <c r="N5" s="50" t="n"/>
      <c r="O5" s="50" t="n"/>
      <c r="P5" s="50" t="n"/>
      <c r="Q5" s="50" t="n"/>
      <c r="R5" s="50" t="n"/>
      <c r="S5" s="50" t="n"/>
      <c r="T5" s="50" t="n"/>
    </row>
    <row r="6" ht="29" customHeight="1">
      <c r="A6" s="58" t="inlineStr">
        <is>
          <t>「自己都合の合計の4分の1」は、退職金の保全措置で保全する額の決め方の1つです（賃金の支払の確保等に関する法律施行規則5条1号: 労働者の全員が自己の都合により退職するものと仮定して計算した見積り額の4分の1）。保全措置は努力義務で（同法5条）、中退共などと契約している事業主は対象外です（同規則4条）。</t>
        </is>
      </c>
      <c r="B6" s="50" t="n"/>
      <c r="C6" s="50" t="n"/>
      <c r="D6" s="50" t="n"/>
      <c r="E6" s="50" t="n"/>
      <c r="F6" s="50" t="n"/>
      <c r="G6" s="50" t="n"/>
      <c r="H6" s="50" t="n"/>
      <c r="I6" s="50" t="n"/>
      <c r="J6" s="50" t="n"/>
      <c r="K6" s="50" t="n"/>
      <c r="L6" s="50" t="n"/>
      <c r="M6" s="50" t="n"/>
      <c r="N6" s="50" t="n"/>
      <c r="O6" s="50" t="n"/>
      <c r="P6" s="50" t="n"/>
      <c r="Q6" s="50" t="n"/>
      <c r="R6" s="50" t="n"/>
      <c r="S6" s="50" t="n"/>
      <c r="T6" s="50" t="n"/>
    </row>
    <row r="7" ht="18" customHeight="1">
      <c r="A7" s="58" t="inlineStr">
        <is>
          <t>規程の勤続年数は基準日までで数えます。1か月未満の日数・1年未満の端数の扱いは設定シートのとおりです。</t>
        </is>
      </c>
      <c r="B7" s="50" t="n"/>
      <c r="C7" s="50" t="n"/>
      <c r="D7" s="50" t="n"/>
      <c r="E7" s="50" t="n"/>
      <c r="F7" s="50" t="n"/>
      <c r="G7" s="50" t="n"/>
      <c r="H7" s="50" t="n"/>
      <c r="I7" s="50" t="n"/>
      <c r="J7" s="50" t="n"/>
      <c r="K7" s="50" t="n"/>
      <c r="L7" s="50" t="n"/>
      <c r="M7" s="50" t="n"/>
      <c r="N7" s="50" t="n"/>
      <c r="O7" s="50" t="n"/>
      <c r="P7" s="50" t="n"/>
      <c r="Q7" s="50" t="n"/>
      <c r="R7" s="50" t="n"/>
      <c r="S7" s="50" t="n"/>
      <c r="T7" s="50" t="n"/>
    </row>
    <row r="8">
      <c r="A8" s="50" t="n"/>
      <c r="B8" s="50" t="n"/>
      <c r="C8" s="50" t="n"/>
      <c r="D8" s="50" t="n"/>
      <c r="E8" s="50" t="n"/>
      <c r="F8" s="50" t="n"/>
      <c r="G8" s="50" t="n"/>
      <c r="H8" s="50" t="n"/>
      <c r="I8" s="50" t="n"/>
      <c r="J8" s="50" t="n"/>
      <c r="K8" s="50" t="n"/>
      <c r="L8" s="50" t="n"/>
      <c r="M8" s="50" t="n"/>
      <c r="N8" s="50" t="n"/>
      <c r="O8" s="50" t="n"/>
      <c r="P8" s="50" t="n"/>
      <c r="Q8" s="50" t="n"/>
      <c r="R8" s="50" t="n"/>
      <c r="S8" s="50" t="n"/>
      <c r="T8" s="50" t="n"/>
    </row>
    <row r="9" ht="32" customHeight="1">
      <c r="A9" s="20" t="inlineStr">
        <is>
          <t>No</t>
        </is>
      </c>
      <c r="B9" s="20" t="inlineStr">
        <is>
          <t>氏名</t>
        </is>
      </c>
      <c r="C9" s="20" t="inlineStr">
        <is>
          <t>入社日</t>
        </is>
      </c>
      <c r="D9" s="20" t="inlineStr">
        <is>
          <t>基本給（月額）</t>
        </is>
      </c>
      <c r="E9" s="20" t="inlineStr">
        <is>
          <t>勤続年数から除く月数</t>
        </is>
      </c>
      <c r="F9" s="20" t="inlineStr">
        <is>
          <t>規程の勤続年数</t>
        </is>
      </c>
      <c r="G9" s="20" t="inlineStr">
        <is>
          <t>支給率</t>
        </is>
      </c>
      <c r="H9" s="20" t="inlineStr">
        <is>
          <t>自己都合の係数</t>
        </is>
      </c>
      <c r="I9" s="20" t="inlineStr">
        <is>
          <t>自己都合で退職した場合</t>
        </is>
      </c>
      <c r="J9" s="20" t="inlineStr">
        <is>
          <t>会社都合で退職した場合</t>
        </is>
      </c>
      <c r="K9" s="20" t="inlineStr">
        <is>
          <t>メモ</t>
        </is>
      </c>
      <c r="L9" s="50" t="n"/>
      <c r="M9" s="25" t="inlineStr">
        <is>
          <t>対象</t>
        </is>
      </c>
      <c r="N9" s="25" t="inlineStr">
        <is>
          <t>満月数</t>
        </is>
      </c>
      <c r="O9" s="25" t="inlineStr">
        <is>
          <t>端数日</t>
        </is>
      </c>
      <c r="P9" s="25" t="inlineStr">
        <is>
          <t>規程月数</t>
        </is>
      </c>
      <c r="Q9" s="25" t="inlineStr">
        <is>
          <t>年</t>
        </is>
      </c>
      <c r="R9" s="25" t="inlineStr">
        <is>
          <t>月</t>
        </is>
      </c>
      <c r="S9" s="25" t="inlineStr">
        <is>
          <t>表の年</t>
        </is>
      </c>
      <c r="T9" s="25" t="inlineStr">
        <is>
          <t>率</t>
        </is>
      </c>
    </row>
    <row r="10" ht="18" customHeight="1">
      <c r="A10" s="40" t="n">
        <v>1</v>
      </c>
      <c r="B10" s="8" t="n"/>
      <c r="C10" s="26" t="n"/>
      <c r="D10" s="30" t="n"/>
      <c r="E10" s="31" t="n"/>
      <c r="F10" s="41">
        <f>IF(M10=1,Q10&amp;"年"&amp;R10&amp;"か月","")</f>
        <v/>
      </c>
      <c r="G10" s="42">
        <f>IF(M10=1,T10,"")</f>
        <v/>
      </c>
      <c r="H10" s="43">
        <f>IF(M10=1,INDEX('設定'!$C$17:$C$62,S10+1),"")</f>
        <v/>
      </c>
      <c r="I10" s="34">
        <f>IF(M10=1,IF('設定'!$B$7="切り捨てる",ROUNDDOWN(ROUND(($D10*T10*INDEX('設定'!$C$17:$C$62,S10+1))/IF(ISNUMBER('設定'!$B$6),MAX(1,'設定'!$B$6),1),6),0),ROUNDUP(ROUND(($D10*T10*INDEX('設定'!$C$17:$C$62,S10+1))/IF(ISNUMBER('設定'!$B$6),MAX(1,'設定'!$B$6),1),6),0))*IF(ISNUMBER('設定'!$B$6),MAX(1,'設定'!$B$6),1),"")</f>
        <v/>
      </c>
      <c r="J10" s="34">
        <f>IF(M10=1,IF('設定'!$B$7="切り捨てる",ROUNDDOWN(ROUND(($D10*T10*N('設定'!$B$10))/IF(ISNUMBER('設定'!$B$6),MAX(1,'設定'!$B$6),1),6),0),ROUNDUP(ROUND(($D10*T10*N('設定'!$B$10))/IF(ISNUMBER('設定'!$B$6),MAX(1,'設定'!$B$6),1),6),0))*IF(ISNUMBER('設定'!$B$6),MAX(1,'設定'!$B$6),1),"")</f>
        <v/>
      </c>
      <c r="K10" s="44" t="n"/>
      <c r="L10" s="50" t="n"/>
      <c r="M10" s="45">
        <f>IF(AND(ISNUMBER($C10),ISNUMBER($D10),$C10&lt;=$G$3),1,0)</f>
        <v/>
      </c>
      <c r="N10" s="45">
        <f>IF(M10=1,DATEDIF($C10,$G$3+1,"m"),0)</f>
        <v/>
      </c>
      <c r="O10" s="45">
        <f>IF(M10=1,DATEDIF($C10,$G$3,"m")=N10,FALSE)</f>
        <v/>
      </c>
      <c r="P10" s="45">
        <f>IF(M10=1,MAX(0,N10+IF(AND(O10,'設定'!$B$4="1か月に切り上げる"),1,0)-N($E10)),0)</f>
        <v/>
      </c>
      <c r="Q10" s="45">
        <f>INT(P10/12)</f>
        <v/>
      </c>
      <c r="R10" s="45">
        <f>MOD(P10,12)</f>
        <v/>
      </c>
      <c r="S10" s="45">
        <f>MIN(45,Q10+IF(AND('設定'!$B$5="6か月以上は1年に切り上げる",R10&gt;=6),1,0))</f>
        <v/>
      </c>
      <c r="T10" s="45">
        <f>IF('設定'!$B$5="月割りで計算する",IF(Q10&gt;=45,INDEX('設定'!$B$17:$B$62,46),INDEX('設定'!$B$17:$B$62,Q10+1)+(INDEX('設定'!$B$17:$B$62,Q10+2)-INDEX('設定'!$B$17:$B$62,Q10+1))*R10/12),INDEX('設定'!$B$17:$B$62,S10+1))</f>
        <v/>
      </c>
    </row>
    <row r="11" ht="18" customHeight="1">
      <c r="A11" s="40" t="n">
        <v>2</v>
      </c>
      <c r="B11" s="8" t="n"/>
      <c r="C11" s="26" t="n"/>
      <c r="D11" s="30" t="n"/>
      <c r="E11" s="31" t="n"/>
      <c r="F11" s="41">
        <f>IF(M11=1,Q11&amp;"年"&amp;R11&amp;"か月","")</f>
        <v/>
      </c>
      <c r="G11" s="42">
        <f>IF(M11=1,T11,"")</f>
        <v/>
      </c>
      <c r="H11" s="43">
        <f>IF(M11=1,INDEX('設定'!$C$17:$C$62,S11+1),"")</f>
        <v/>
      </c>
      <c r="I11" s="34">
        <f>IF(M11=1,IF('設定'!$B$7="切り捨てる",ROUNDDOWN(ROUND(($D11*T11*INDEX('設定'!$C$17:$C$62,S11+1))/IF(ISNUMBER('設定'!$B$6),MAX(1,'設定'!$B$6),1),6),0),ROUNDUP(ROUND(($D11*T11*INDEX('設定'!$C$17:$C$62,S11+1))/IF(ISNUMBER('設定'!$B$6),MAX(1,'設定'!$B$6),1),6),0))*IF(ISNUMBER('設定'!$B$6),MAX(1,'設定'!$B$6),1),"")</f>
        <v/>
      </c>
      <c r="J11" s="34">
        <f>IF(M11=1,IF('設定'!$B$7="切り捨てる",ROUNDDOWN(ROUND(($D11*T11*N('設定'!$B$10))/IF(ISNUMBER('設定'!$B$6),MAX(1,'設定'!$B$6),1),6),0),ROUNDUP(ROUND(($D11*T11*N('設定'!$B$10))/IF(ISNUMBER('設定'!$B$6),MAX(1,'設定'!$B$6),1),6),0))*IF(ISNUMBER('設定'!$B$6),MAX(1,'設定'!$B$6),1),"")</f>
        <v/>
      </c>
      <c r="K11" s="44" t="n"/>
      <c r="L11" s="50" t="n"/>
      <c r="M11" s="45">
        <f>IF(AND(ISNUMBER($C11),ISNUMBER($D11),$C11&lt;=$G$3),1,0)</f>
        <v/>
      </c>
      <c r="N11" s="45">
        <f>IF(M11=1,DATEDIF($C11,$G$3+1,"m"),0)</f>
        <v/>
      </c>
      <c r="O11" s="45">
        <f>IF(M11=1,DATEDIF($C11,$G$3,"m")=N11,FALSE)</f>
        <v/>
      </c>
      <c r="P11" s="45">
        <f>IF(M11=1,MAX(0,N11+IF(AND(O11,'設定'!$B$4="1か月に切り上げる"),1,0)-N($E11)),0)</f>
        <v/>
      </c>
      <c r="Q11" s="45">
        <f>INT(P11/12)</f>
        <v/>
      </c>
      <c r="R11" s="45">
        <f>MOD(P11,12)</f>
        <v/>
      </c>
      <c r="S11" s="45">
        <f>MIN(45,Q11+IF(AND('設定'!$B$5="6か月以上は1年に切り上げる",R11&gt;=6),1,0))</f>
        <v/>
      </c>
      <c r="T11" s="45">
        <f>IF('設定'!$B$5="月割りで計算する",IF(Q11&gt;=45,INDEX('設定'!$B$17:$B$62,46),INDEX('設定'!$B$17:$B$62,Q11+1)+(INDEX('設定'!$B$17:$B$62,Q11+2)-INDEX('設定'!$B$17:$B$62,Q11+1))*R11/12),INDEX('設定'!$B$17:$B$62,S11+1))</f>
        <v/>
      </c>
    </row>
    <row r="12" ht="18" customHeight="1">
      <c r="A12" s="40" t="n">
        <v>3</v>
      </c>
      <c r="B12" s="8" t="n"/>
      <c r="C12" s="26" t="n"/>
      <c r="D12" s="30" t="n"/>
      <c r="E12" s="31" t="n"/>
      <c r="F12" s="41">
        <f>IF(M12=1,Q12&amp;"年"&amp;R12&amp;"か月","")</f>
        <v/>
      </c>
      <c r="G12" s="42">
        <f>IF(M12=1,T12,"")</f>
        <v/>
      </c>
      <c r="H12" s="43">
        <f>IF(M12=1,INDEX('設定'!$C$17:$C$62,S12+1),"")</f>
        <v/>
      </c>
      <c r="I12" s="34">
        <f>IF(M12=1,IF('設定'!$B$7="切り捨てる",ROUNDDOWN(ROUND(($D12*T12*INDEX('設定'!$C$17:$C$62,S12+1))/IF(ISNUMBER('設定'!$B$6),MAX(1,'設定'!$B$6),1),6),0),ROUNDUP(ROUND(($D12*T12*INDEX('設定'!$C$17:$C$62,S12+1))/IF(ISNUMBER('設定'!$B$6),MAX(1,'設定'!$B$6),1),6),0))*IF(ISNUMBER('設定'!$B$6),MAX(1,'設定'!$B$6),1),"")</f>
        <v/>
      </c>
      <c r="J12" s="34">
        <f>IF(M12=1,IF('設定'!$B$7="切り捨てる",ROUNDDOWN(ROUND(($D12*T12*N('設定'!$B$10))/IF(ISNUMBER('設定'!$B$6),MAX(1,'設定'!$B$6),1),6),0),ROUNDUP(ROUND(($D12*T12*N('設定'!$B$10))/IF(ISNUMBER('設定'!$B$6),MAX(1,'設定'!$B$6),1),6),0))*IF(ISNUMBER('設定'!$B$6),MAX(1,'設定'!$B$6),1),"")</f>
        <v/>
      </c>
      <c r="K12" s="44" t="n"/>
      <c r="L12" s="50" t="n"/>
      <c r="M12" s="45">
        <f>IF(AND(ISNUMBER($C12),ISNUMBER($D12),$C12&lt;=$G$3),1,0)</f>
        <v/>
      </c>
      <c r="N12" s="45">
        <f>IF(M12=1,DATEDIF($C12,$G$3+1,"m"),0)</f>
        <v/>
      </c>
      <c r="O12" s="45">
        <f>IF(M12=1,DATEDIF($C12,$G$3,"m")=N12,FALSE)</f>
        <v/>
      </c>
      <c r="P12" s="45">
        <f>IF(M12=1,MAX(0,N12+IF(AND(O12,'設定'!$B$4="1か月に切り上げる"),1,0)-N($E12)),0)</f>
        <v/>
      </c>
      <c r="Q12" s="45">
        <f>INT(P12/12)</f>
        <v/>
      </c>
      <c r="R12" s="45">
        <f>MOD(P12,12)</f>
        <v/>
      </c>
      <c r="S12" s="45">
        <f>MIN(45,Q12+IF(AND('設定'!$B$5="6か月以上は1年に切り上げる",R12&gt;=6),1,0))</f>
        <v/>
      </c>
      <c r="T12" s="45">
        <f>IF('設定'!$B$5="月割りで計算する",IF(Q12&gt;=45,INDEX('設定'!$B$17:$B$62,46),INDEX('設定'!$B$17:$B$62,Q12+1)+(INDEX('設定'!$B$17:$B$62,Q12+2)-INDEX('設定'!$B$17:$B$62,Q12+1))*R12/12),INDEX('設定'!$B$17:$B$62,S12+1))</f>
        <v/>
      </c>
    </row>
    <row r="13" ht="18" customHeight="1">
      <c r="A13" s="40" t="n">
        <v>4</v>
      </c>
      <c r="B13" s="8" t="n"/>
      <c r="C13" s="26" t="n"/>
      <c r="D13" s="30" t="n"/>
      <c r="E13" s="31" t="n"/>
      <c r="F13" s="41">
        <f>IF(M13=1,Q13&amp;"年"&amp;R13&amp;"か月","")</f>
        <v/>
      </c>
      <c r="G13" s="42">
        <f>IF(M13=1,T13,"")</f>
        <v/>
      </c>
      <c r="H13" s="43">
        <f>IF(M13=1,INDEX('設定'!$C$17:$C$62,S13+1),"")</f>
        <v/>
      </c>
      <c r="I13" s="34">
        <f>IF(M13=1,IF('設定'!$B$7="切り捨てる",ROUNDDOWN(ROUND(($D13*T13*INDEX('設定'!$C$17:$C$62,S13+1))/IF(ISNUMBER('設定'!$B$6),MAX(1,'設定'!$B$6),1),6),0),ROUNDUP(ROUND(($D13*T13*INDEX('設定'!$C$17:$C$62,S13+1))/IF(ISNUMBER('設定'!$B$6),MAX(1,'設定'!$B$6),1),6),0))*IF(ISNUMBER('設定'!$B$6),MAX(1,'設定'!$B$6),1),"")</f>
        <v/>
      </c>
      <c r="J13" s="34">
        <f>IF(M13=1,IF('設定'!$B$7="切り捨てる",ROUNDDOWN(ROUND(($D13*T13*N('設定'!$B$10))/IF(ISNUMBER('設定'!$B$6),MAX(1,'設定'!$B$6),1),6),0),ROUNDUP(ROUND(($D13*T13*N('設定'!$B$10))/IF(ISNUMBER('設定'!$B$6),MAX(1,'設定'!$B$6),1),6),0))*IF(ISNUMBER('設定'!$B$6),MAX(1,'設定'!$B$6),1),"")</f>
        <v/>
      </c>
      <c r="K13" s="44" t="n"/>
      <c r="L13" s="50" t="n"/>
      <c r="M13" s="45">
        <f>IF(AND(ISNUMBER($C13),ISNUMBER($D13),$C13&lt;=$G$3),1,0)</f>
        <v/>
      </c>
      <c r="N13" s="45">
        <f>IF(M13=1,DATEDIF($C13,$G$3+1,"m"),0)</f>
        <v/>
      </c>
      <c r="O13" s="45">
        <f>IF(M13=1,DATEDIF($C13,$G$3,"m")=N13,FALSE)</f>
        <v/>
      </c>
      <c r="P13" s="45">
        <f>IF(M13=1,MAX(0,N13+IF(AND(O13,'設定'!$B$4="1か月に切り上げる"),1,0)-N($E13)),0)</f>
        <v/>
      </c>
      <c r="Q13" s="45">
        <f>INT(P13/12)</f>
        <v/>
      </c>
      <c r="R13" s="45">
        <f>MOD(P13,12)</f>
        <v/>
      </c>
      <c r="S13" s="45">
        <f>MIN(45,Q13+IF(AND('設定'!$B$5="6か月以上は1年に切り上げる",R13&gt;=6),1,0))</f>
        <v/>
      </c>
      <c r="T13" s="45">
        <f>IF('設定'!$B$5="月割りで計算する",IF(Q13&gt;=45,INDEX('設定'!$B$17:$B$62,46),INDEX('設定'!$B$17:$B$62,Q13+1)+(INDEX('設定'!$B$17:$B$62,Q13+2)-INDEX('設定'!$B$17:$B$62,Q13+1))*R13/12),INDEX('設定'!$B$17:$B$62,S13+1))</f>
        <v/>
      </c>
    </row>
    <row r="14" ht="18" customHeight="1">
      <c r="A14" s="40" t="n">
        <v>5</v>
      </c>
      <c r="B14" s="8" t="n"/>
      <c r="C14" s="26" t="n"/>
      <c r="D14" s="30" t="n"/>
      <c r="E14" s="31" t="n"/>
      <c r="F14" s="41">
        <f>IF(M14=1,Q14&amp;"年"&amp;R14&amp;"か月","")</f>
        <v/>
      </c>
      <c r="G14" s="42">
        <f>IF(M14=1,T14,"")</f>
        <v/>
      </c>
      <c r="H14" s="43">
        <f>IF(M14=1,INDEX('設定'!$C$17:$C$62,S14+1),"")</f>
        <v/>
      </c>
      <c r="I14" s="34">
        <f>IF(M14=1,IF('設定'!$B$7="切り捨てる",ROUNDDOWN(ROUND(($D14*T14*INDEX('設定'!$C$17:$C$62,S14+1))/IF(ISNUMBER('設定'!$B$6),MAX(1,'設定'!$B$6),1),6),0),ROUNDUP(ROUND(($D14*T14*INDEX('設定'!$C$17:$C$62,S14+1))/IF(ISNUMBER('設定'!$B$6),MAX(1,'設定'!$B$6),1),6),0))*IF(ISNUMBER('設定'!$B$6),MAX(1,'設定'!$B$6),1),"")</f>
        <v/>
      </c>
      <c r="J14" s="34">
        <f>IF(M14=1,IF('設定'!$B$7="切り捨てる",ROUNDDOWN(ROUND(($D14*T14*N('設定'!$B$10))/IF(ISNUMBER('設定'!$B$6),MAX(1,'設定'!$B$6),1),6),0),ROUNDUP(ROUND(($D14*T14*N('設定'!$B$10))/IF(ISNUMBER('設定'!$B$6),MAX(1,'設定'!$B$6),1),6),0))*IF(ISNUMBER('設定'!$B$6),MAX(1,'設定'!$B$6),1),"")</f>
        <v/>
      </c>
      <c r="K14" s="44" t="n"/>
      <c r="L14" s="50" t="n"/>
      <c r="M14" s="45">
        <f>IF(AND(ISNUMBER($C14),ISNUMBER($D14),$C14&lt;=$G$3),1,0)</f>
        <v/>
      </c>
      <c r="N14" s="45">
        <f>IF(M14=1,DATEDIF($C14,$G$3+1,"m"),0)</f>
        <v/>
      </c>
      <c r="O14" s="45">
        <f>IF(M14=1,DATEDIF($C14,$G$3,"m")=N14,FALSE)</f>
        <v/>
      </c>
      <c r="P14" s="45">
        <f>IF(M14=1,MAX(0,N14+IF(AND(O14,'設定'!$B$4="1か月に切り上げる"),1,0)-N($E14)),0)</f>
        <v/>
      </c>
      <c r="Q14" s="45">
        <f>INT(P14/12)</f>
        <v/>
      </c>
      <c r="R14" s="45">
        <f>MOD(P14,12)</f>
        <v/>
      </c>
      <c r="S14" s="45">
        <f>MIN(45,Q14+IF(AND('設定'!$B$5="6か月以上は1年に切り上げる",R14&gt;=6),1,0))</f>
        <v/>
      </c>
      <c r="T14" s="45">
        <f>IF('設定'!$B$5="月割りで計算する",IF(Q14&gt;=45,INDEX('設定'!$B$17:$B$62,46),INDEX('設定'!$B$17:$B$62,Q14+1)+(INDEX('設定'!$B$17:$B$62,Q14+2)-INDEX('設定'!$B$17:$B$62,Q14+1))*R14/12),INDEX('設定'!$B$17:$B$62,S14+1))</f>
        <v/>
      </c>
    </row>
    <row r="15" ht="18" customHeight="1">
      <c r="A15" s="40" t="n">
        <v>6</v>
      </c>
      <c r="B15" s="8" t="n"/>
      <c r="C15" s="26" t="n"/>
      <c r="D15" s="30" t="n"/>
      <c r="E15" s="31" t="n"/>
      <c r="F15" s="41">
        <f>IF(M15=1,Q15&amp;"年"&amp;R15&amp;"か月","")</f>
        <v/>
      </c>
      <c r="G15" s="42">
        <f>IF(M15=1,T15,"")</f>
        <v/>
      </c>
      <c r="H15" s="43">
        <f>IF(M15=1,INDEX('設定'!$C$17:$C$62,S15+1),"")</f>
        <v/>
      </c>
      <c r="I15" s="34">
        <f>IF(M15=1,IF('設定'!$B$7="切り捨てる",ROUNDDOWN(ROUND(($D15*T15*INDEX('設定'!$C$17:$C$62,S15+1))/IF(ISNUMBER('設定'!$B$6),MAX(1,'設定'!$B$6),1),6),0),ROUNDUP(ROUND(($D15*T15*INDEX('設定'!$C$17:$C$62,S15+1))/IF(ISNUMBER('設定'!$B$6),MAX(1,'設定'!$B$6),1),6),0))*IF(ISNUMBER('設定'!$B$6),MAX(1,'設定'!$B$6),1),"")</f>
        <v/>
      </c>
      <c r="J15" s="34">
        <f>IF(M15=1,IF('設定'!$B$7="切り捨てる",ROUNDDOWN(ROUND(($D15*T15*N('設定'!$B$10))/IF(ISNUMBER('設定'!$B$6),MAX(1,'設定'!$B$6),1),6),0),ROUNDUP(ROUND(($D15*T15*N('設定'!$B$10))/IF(ISNUMBER('設定'!$B$6),MAX(1,'設定'!$B$6),1),6),0))*IF(ISNUMBER('設定'!$B$6),MAX(1,'設定'!$B$6),1),"")</f>
        <v/>
      </c>
      <c r="K15" s="44" t="n"/>
      <c r="L15" s="50" t="n"/>
      <c r="M15" s="45">
        <f>IF(AND(ISNUMBER($C15),ISNUMBER($D15),$C15&lt;=$G$3),1,0)</f>
        <v/>
      </c>
      <c r="N15" s="45">
        <f>IF(M15=1,DATEDIF($C15,$G$3+1,"m"),0)</f>
        <v/>
      </c>
      <c r="O15" s="45">
        <f>IF(M15=1,DATEDIF($C15,$G$3,"m")=N15,FALSE)</f>
        <v/>
      </c>
      <c r="P15" s="45">
        <f>IF(M15=1,MAX(0,N15+IF(AND(O15,'設定'!$B$4="1か月に切り上げる"),1,0)-N($E15)),0)</f>
        <v/>
      </c>
      <c r="Q15" s="45">
        <f>INT(P15/12)</f>
        <v/>
      </c>
      <c r="R15" s="45">
        <f>MOD(P15,12)</f>
        <v/>
      </c>
      <c r="S15" s="45">
        <f>MIN(45,Q15+IF(AND('設定'!$B$5="6か月以上は1年に切り上げる",R15&gt;=6),1,0))</f>
        <v/>
      </c>
      <c r="T15" s="45">
        <f>IF('設定'!$B$5="月割りで計算する",IF(Q15&gt;=45,INDEX('設定'!$B$17:$B$62,46),INDEX('設定'!$B$17:$B$62,Q15+1)+(INDEX('設定'!$B$17:$B$62,Q15+2)-INDEX('設定'!$B$17:$B$62,Q15+1))*R15/12),INDEX('設定'!$B$17:$B$62,S15+1))</f>
        <v/>
      </c>
    </row>
    <row r="16" ht="18" customHeight="1">
      <c r="A16" s="40" t="n">
        <v>7</v>
      </c>
      <c r="B16" s="8" t="n"/>
      <c r="C16" s="26" t="n"/>
      <c r="D16" s="30" t="n"/>
      <c r="E16" s="31" t="n"/>
      <c r="F16" s="41">
        <f>IF(M16=1,Q16&amp;"年"&amp;R16&amp;"か月","")</f>
        <v/>
      </c>
      <c r="G16" s="42">
        <f>IF(M16=1,T16,"")</f>
        <v/>
      </c>
      <c r="H16" s="43">
        <f>IF(M16=1,INDEX('設定'!$C$17:$C$62,S16+1),"")</f>
        <v/>
      </c>
      <c r="I16" s="34">
        <f>IF(M16=1,IF('設定'!$B$7="切り捨てる",ROUNDDOWN(ROUND(($D16*T16*INDEX('設定'!$C$17:$C$62,S16+1))/IF(ISNUMBER('設定'!$B$6),MAX(1,'設定'!$B$6),1),6),0),ROUNDUP(ROUND(($D16*T16*INDEX('設定'!$C$17:$C$62,S16+1))/IF(ISNUMBER('設定'!$B$6),MAX(1,'設定'!$B$6),1),6),0))*IF(ISNUMBER('設定'!$B$6),MAX(1,'設定'!$B$6),1),"")</f>
        <v/>
      </c>
      <c r="J16" s="34">
        <f>IF(M16=1,IF('設定'!$B$7="切り捨てる",ROUNDDOWN(ROUND(($D16*T16*N('設定'!$B$10))/IF(ISNUMBER('設定'!$B$6),MAX(1,'設定'!$B$6),1),6),0),ROUNDUP(ROUND(($D16*T16*N('設定'!$B$10))/IF(ISNUMBER('設定'!$B$6),MAX(1,'設定'!$B$6),1),6),0))*IF(ISNUMBER('設定'!$B$6),MAX(1,'設定'!$B$6),1),"")</f>
        <v/>
      </c>
      <c r="K16" s="44" t="n"/>
      <c r="L16" s="50" t="n"/>
      <c r="M16" s="45">
        <f>IF(AND(ISNUMBER($C16),ISNUMBER($D16),$C16&lt;=$G$3),1,0)</f>
        <v/>
      </c>
      <c r="N16" s="45">
        <f>IF(M16=1,DATEDIF($C16,$G$3+1,"m"),0)</f>
        <v/>
      </c>
      <c r="O16" s="45">
        <f>IF(M16=1,DATEDIF($C16,$G$3,"m")=N16,FALSE)</f>
        <v/>
      </c>
      <c r="P16" s="45">
        <f>IF(M16=1,MAX(0,N16+IF(AND(O16,'設定'!$B$4="1か月に切り上げる"),1,0)-N($E16)),0)</f>
        <v/>
      </c>
      <c r="Q16" s="45">
        <f>INT(P16/12)</f>
        <v/>
      </c>
      <c r="R16" s="45">
        <f>MOD(P16,12)</f>
        <v/>
      </c>
      <c r="S16" s="45">
        <f>MIN(45,Q16+IF(AND('設定'!$B$5="6か月以上は1年に切り上げる",R16&gt;=6),1,0))</f>
        <v/>
      </c>
      <c r="T16" s="45">
        <f>IF('設定'!$B$5="月割りで計算する",IF(Q16&gt;=45,INDEX('設定'!$B$17:$B$62,46),INDEX('設定'!$B$17:$B$62,Q16+1)+(INDEX('設定'!$B$17:$B$62,Q16+2)-INDEX('設定'!$B$17:$B$62,Q16+1))*R16/12),INDEX('設定'!$B$17:$B$62,S16+1))</f>
        <v/>
      </c>
    </row>
    <row r="17" ht="18" customHeight="1">
      <c r="A17" s="40" t="n">
        <v>8</v>
      </c>
      <c r="B17" s="8" t="n"/>
      <c r="C17" s="26" t="n"/>
      <c r="D17" s="30" t="n"/>
      <c r="E17" s="31" t="n"/>
      <c r="F17" s="41">
        <f>IF(M17=1,Q17&amp;"年"&amp;R17&amp;"か月","")</f>
        <v/>
      </c>
      <c r="G17" s="42">
        <f>IF(M17=1,T17,"")</f>
        <v/>
      </c>
      <c r="H17" s="43">
        <f>IF(M17=1,INDEX('設定'!$C$17:$C$62,S17+1),"")</f>
        <v/>
      </c>
      <c r="I17" s="34">
        <f>IF(M17=1,IF('設定'!$B$7="切り捨てる",ROUNDDOWN(ROUND(($D17*T17*INDEX('設定'!$C$17:$C$62,S17+1))/IF(ISNUMBER('設定'!$B$6),MAX(1,'設定'!$B$6),1),6),0),ROUNDUP(ROUND(($D17*T17*INDEX('設定'!$C$17:$C$62,S17+1))/IF(ISNUMBER('設定'!$B$6),MAX(1,'設定'!$B$6),1),6),0))*IF(ISNUMBER('設定'!$B$6),MAX(1,'設定'!$B$6),1),"")</f>
        <v/>
      </c>
      <c r="J17" s="34">
        <f>IF(M17=1,IF('設定'!$B$7="切り捨てる",ROUNDDOWN(ROUND(($D17*T17*N('設定'!$B$10))/IF(ISNUMBER('設定'!$B$6),MAX(1,'設定'!$B$6),1),6),0),ROUNDUP(ROUND(($D17*T17*N('設定'!$B$10))/IF(ISNUMBER('設定'!$B$6),MAX(1,'設定'!$B$6),1),6),0))*IF(ISNUMBER('設定'!$B$6),MAX(1,'設定'!$B$6),1),"")</f>
        <v/>
      </c>
      <c r="K17" s="44" t="n"/>
      <c r="L17" s="50" t="n"/>
      <c r="M17" s="45">
        <f>IF(AND(ISNUMBER($C17),ISNUMBER($D17),$C17&lt;=$G$3),1,0)</f>
        <v/>
      </c>
      <c r="N17" s="45">
        <f>IF(M17=1,DATEDIF($C17,$G$3+1,"m"),0)</f>
        <v/>
      </c>
      <c r="O17" s="45">
        <f>IF(M17=1,DATEDIF($C17,$G$3,"m")=N17,FALSE)</f>
        <v/>
      </c>
      <c r="P17" s="45">
        <f>IF(M17=1,MAX(0,N17+IF(AND(O17,'設定'!$B$4="1か月に切り上げる"),1,0)-N($E17)),0)</f>
        <v/>
      </c>
      <c r="Q17" s="45">
        <f>INT(P17/12)</f>
        <v/>
      </c>
      <c r="R17" s="45">
        <f>MOD(P17,12)</f>
        <v/>
      </c>
      <c r="S17" s="45">
        <f>MIN(45,Q17+IF(AND('設定'!$B$5="6か月以上は1年に切り上げる",R17&gt;=6),1,0))</f>
        <v/>
      </c>
      <c r="T17" s="45">
        <f>IF('設定'!$B$5="月割りで計算する",IF(Q17&gt;=45,INDEX('設定'!$B$17:$B$62,46),INDEX('設定'!$B$17:$B$62,Q17+1)+(INDEX('設定'!$B$17:$B$62,Q17+2)-INDEX('設定'!$B$17:$B$62,Q17+1))*R17/12),INDEX('設定'!$B$17:$B$62,S17+1))</f>
        <v/>
      </c>
    </row>
    <row r="18" ht="18" customHeight="1">
      <c r="A18" s="40" t="n">
        <v>9</v>
      </c>
      <c r="B18" s="8" t="n"/>
      <c r="C18" s="26" t="n"/>
      <c r="D18" s="30" t="n"/>
      <c r="E18" s="31" t="n"/>
      <c r="F18" s="41">
        <f>IF(M18=1,Q18&amp;"年"&amp;R18&amp;"か月","")</f>
        <v/>
      </c>
      <c r="G18" s="42">
        <f>IF(M18=1,T18,"")</f>
        <v/>
      </c>
      <c r="H18" s="43">
        <f>IF(M18=1,INDEX('設定'!$C$17:$C$62,S18+1),"")</f>
        <v/>
      </c>
      <c r="I18" s="34">
        <f>IF(M18=1,IF('設定'!$B$7="切り捨てる",ROUNDDOWN(ROUND(($D18*T18*INDEX('設定'!$C$17:$C$62,S18+1))/IF(ISNUMBER('設定'!$B$6),MAX(1,'設定'!$B$6),1),6),0),ROUNDUP(ROUND(($D18*T18*INDEX('設定'!$C$17:$C$62,S18+1))/IF(ISNUMBER('設定'!$B$6),MAX(1,'設定'!$B$6),1),6),0))*IF(ISNUMBER('設定'!$B$6),MAX(1,'設定'!$B$6),1),"")</f>
        <v/>
      </c>
      <c r="J18" s="34">
        <f>IF(M18=1,IF('設定'!$B$7="切り捨てる",ROUNDDOWN(ROUND(($D18*T18*N('設定'!$B$10))/IF(ISNUMBER('設定'!$B$6),MAX(1,'設定'!$B$6),1),6),0),ROUNDUP(ROUND(($D18*T18*N('設定'!$B$10))/IF(ISNUMBER('設定'!$B$6),MAX(1,'設定'!$B$6),1),6),0))*IF(ISNUMBER('設定'!$B$6),MAX(1,'設定'!$B$6),1),"")</f>
        <v/>
      </c>
      <c r="K18" s="44" t="n"/>
      <c r="L18" s="50" t="n"/>
      <c r="M18" s="45">
        <f>IF(AND(ISNUMBER($C18),ISNUMBER($D18),$C18&lt;=$G$3),1,0)</f>
        <v/>
      </c>
      <c r="N18" s="45">
        <f>IF(M18=1,DATEDIF($C18,$G$3+1,"m"),0)</f>
        <v/>
      </c>
      <c r="O18" s="45">
        <f>IF(M18=1,DATEDIF($C18,$G$3,"m")=N18,FALSE)</f>
        <v/>
      </c>
      <c r="P18" s="45">
        <f>IF(M18=1,MAX(0,N18+IF(AND(O18,'設定'!$B$4="1か月に切り上げる"),1,0)-N($E18)),0)</f>
        <v/>
      </c>
      <c r="Q18" s="45">
        <f>INT(P18/12)</f>
        <v/>
      </c>
      <c r="R18" s="45">
        <f>MOD(P18,12)</f>
        <v/>
      </c>
      <c r="S18" s="45">
        <f>MIN(45,Q18+IF(AND('設定'!$B$5="6か月以上は1年に切り上げる",R18&gt;=6),1,0))</f>
        <v/>
      </c>
      <c r="T18" s="45">
        <f>IF('設定'!$B$5="月割りで計算する",IF(Q18&gt;=45,INDEX('設定'!$B$17:$B$62,46),INDEX('設定'!$B$17:$B$62,Q18+1)+(INDEX('設定'!$B$17:$B$62,Q18+2)-INDEX('設定'!$B$17:$B$62,Q18+1))*R18/12),INDEX('設定'!$B$17:$B$62,S18+1))</f>
        <v/>
      </c>
    </row>
    <row r="19" ht="18" customHeight="1">
      <c r="A19" s="40" t="n">
        <v>10</v>
      </c>
      <c r="B19" s="8" t="n"/>
      <c r="C19" s="26" t="n"/>
      <c r="D19" s="30" t="n"/>
      <c r="E19" s="31" t="n"/>
      <c r="F19" s="41">
        <f>IF(M19=1,Q19&amp;"年"&amp;R19&amp;"か月","")</f>
        <v/>
      </c>
      <c r="G19" s="42">
        <f>IF(M19=1,T19,"")</f>
        <v/>
      </c>
      <c r="H19" s="43">
        <f>IF(M19=1,INDEX('設定'!$C$17:$C$62,S19+1),"")</f>
        <v/>
      </c>
      <c r="I19" s="34">
        <f>IF(M19=1,IF('設定'!$B$7="切り捨てる",ROUNDDOWN(ROUND(($D19*T19*INDEX('設定'!$C$17:$C$62,S19+1))/IF(ISNUMBER('設定'!$B$6),MAX(1,'設定'!$B$6),1),6),0),ROUNDUP(ROUND(($D19*T19*INDEX('設定'!$C$17:$C$62,S19+1))/IF(ISNUMBER('設定'!$B$6),MAX(1,'設定'!$B$6),1),6),0))*IF(ISNUMBER('設定'!$B$6),MAX(1,'設定'!$B$6),1),"")</f>
        <v/>
      </c>
      <c r="J19" s="34">
        <f>IF(M19=1,IF('設定'!$B$7="切り捨てる",ROUNDDOWN(ROUND(($D19*T19*N('設定'!$B$10))/IF(ISNUMBER('設定'!$B$6),MAX(1,'設定'!$B$6),1),6),0),ROUNDUP(ROUND(($D19*T19*N('設定'!$B$10))/IF(ISNUMBER('設定'!$B$6),MAX(1,'設定'!$B$6),1),6),0))*IF(ISNUMBER('設定'!$B$6),MAX(1,'設定'!$B$6),1),"")</f>
        <v/>
      </c>
      <c r="K19" s="44" t="n"/>
      <c r="L19" s="50" t="n"/>
      <c r="M19" s="45">
        <f>IF(AND(ISNUMBER($C19),ISNUMBER($D19),$C19&lt;=$G$3),1,0)</f>
        <v/>
      </c>
      <c r="N19" s="45">
        <f>IF(M19=1,DATEDIF($C19,$G$3+1,"m"),0)</f>
        <v/>
      </c>
      <c r="O19" s="45">
        <f>IF(M19=1,DATEDIF($C19,$G$3,"m")=N19,FALSE)</f>
        <v/>
      </c>
      <c r="P19" s="45">
        <f>IF(M19=1,MAX(0,N19+IF(AND(O19,'設定'!$B$4="1か月に切り上げる"),1,0)-N($E19)),0)</f>
        <v/>
      </c>
      <c r="Q19" s="45">
        <f>INT(P19/12)</f>
        <v/>
      </c>
      <c r="R19" s="45">
        <f>MOD(P19,12)</f>
        <v/>
      </c>
      <c r="S19" s="45">
        <f>MIN(45,Q19+IF(AND('設定'!$B$5="6か月以上は1年に切り上げる",R19&gt;=6),1,0))</f>
        <v/>
      </c>
      <c r="T19" s="45">
        <f>IF('設定'!$B$5="月割りで計算する",IF(Q19&gt;=45,INDEX('設定'!$B$17:$B$62,46),INDEX('設定'!$B$17:$B$62,Q19+1)+(INDEX('設定'!$B$17:$B$62,Q19+2)-INDEX('設定'!$B$17:$B$62,Q19+1))*R19/12),INDEX('設定'!$B$17:$B$62,S19+1))</f>
        <v/>
      </c>
    </row>
    <row r="20" ht="18" customHeight="1">
      <c r="A20" s="40" t="n">
        <v>11</v>
      </c>
      <c r="B20" s="8" t="n"/>
      <c r="C20" s="26" t="n"/>
      <c r="D20" s="30" t="n"/>
      <c r="E20" s="31" t="n"/>
      <c r="F20" s="41">
        <f>IF(M20=1,Q20&amp;"年"&amp;R20&amp;"か月","")</f>
        <v/>
      </c>
      <c r="G20" s="42">
        <f>IF(M20=1,T20,"")</f>
        <v/>
      </c>
      <c r="H20" s="43">
        <f>IF(M20=1,INDEX('設定'!$C$17:$C$62,S20+1),"")</f>
        <v/>
      </c>
      <c r="I20" s="34">
        <f>IF(M20=1,IF('設定'!$B$7="切り捨てる",ROUNDDOWN(ROUND(($D20*T20*INDEX('設定'!$C$17:$C$62,S20+1))/IF(ISNUMBER('設定'!$B$6),MAX(1,'設定'!$B$6),1),6),0),ROUNDUP(ROUND(($D20*T20*INDEX('設定'!$C$17:$C$62,S20+1))/IF(ISNUMBER('設定'!$B$6),MAX(1,'設定'!$B$6),1),6),0))*IF(ISNUMBER('設定'!$B$6),MAX(1,'設定'!$B$6),1),"")</f>
        <v/>
      </c>
      <c r="J20" s="34">
        <f>IF(M20=1,IF('設定'!$B$7="切り捨てる",ROUNDDOWN(ROUND(($D20*T20*N('設定'!$B$10))/IF(ISNUMBER('設定'!$B$6),MAX(1,'設定'!$B$6),1),6),0),ROUNDUP(ROUND(($D20*T20*N('設定'!$B$10))/IF(ISNUMBER('設定'!$B$6),MAX(1,'設定'!$B$6),1),6),0))*IF(ISNUMBER('設定'!$B$6),MAX(1,'設定'!$B$6),1),"")</f>
        <v/>
      </c>
      <c r="K20" s="44" t="n"/>
      <c r="L20" s="50" t="n"/>
      <c r="M20" s="45">
        <f>IF(AND(ISNUMBER($C20),ISNUMBER($D20),$C20&lt;=$G$3),1,0)</f>
        <v/>
      </c>
      <c r="N20" s="45">
        <f>IF(M20=1,DATEDIF($C20,$G$3+1,"m"),0)</f>
        <v/>
      </c>
      <c r="O20" s="45">
        <f>IF(M20=1,DATEDIF($C20,$G$3,"m")=N20,FALSE)</f>
        <v/>
      </c>
      <c r="P20" s="45">
        <f>IF(M20=1,MAX(0,N20+IF(AND(O20,'設定'!$B$4="1か月に切り上げる"),1,0)-N($E20)),0)</f>
        <v/>
      </c>
      <c r="Q20" s="45">
        <f>INT(P20/12)</f>
        <v/>
      </c>
      <c r="R20" s="45">
        <f>MOD(P20,12)</f>
        <v/>
      </c>
      <c r="S20" s="45">
        <f>MIN(45,Q20+IF(AND('設定'!$B$5="6か月以上は1年に切り上げる",R20&gt;=6),1,0))</f>
        <v/>
      </c>
      <c r="T20" s="45">
        <f>IF('設定'!$B$5="月割りで計算する",IF(Q20&gt;=45,INDEX('設定'!$B$17:$B$62,46),INDEX('設定'!$B$17:$B$62,Q20+1)+(INDEX('設定'!$B$17:$B$62,Q20+2)-INDEX('設定'!$B$17:$B$62,Q20+1))*R20/12),INDEX('設定'!$B$17:$B$62,S20+1))</f>
        <v/>
      </c>
    </row>
    <row r="21" ht="18" customHeight="1">
      <c r="A21" s="40" t="n">
        <v>12</v>
      </c>
      <c r="B21" s="8" t="n"/>
      <c r="C21" s="26" t="n"/>
      <c r="D21" s="30" t="n"/>
      <c r="E21" s="31" t="n"/>
      <c r="F21" s="41">
        <f>IF(M21=1,Q21&amp;"年"&amp;R21&amp;"か月","")</f>
        <v/>
      </c>
      <c r="G21" s="42">
        <f>IF(M21=1,T21,"")</f>
        <v/>
      </c>
      <c r="H21" s="43">
        <f>IF(M21=1,INDEX('設定'!$C$17:$C$62,S21+1),"")</f>
        <v/>
      </c>
      <c r="I21" s="34">
        <f>IF(M21=1,IF('設定'!$B$7="切り捨てる",ROUNDDOWN(ROUND(($D21*T21*INDEX('設定'!$C$17:$C$62,S21+1))/IF(ISNUMBER('設定'!$B$6),MAX(1,'設定'!$B$6),1),6),0),ROUNDUP(ROUND(($D21*T21*INDEX('設定'!$C$17:$C$62,S21+1))/IF(ISNUMBER('設定'!$B$6),MAX(1,'設定'!$B$6),1),6),0))*IF(ISNUMBER('設定'!$B$6),MAX(1,'設定'!$B$6),1),"")</f>
        <v/>
      </c>
      <c r="J21" s="34">
        <f>IF(M21=1,IF('設定'!$B$7="切り捨てる",ROUNDDOWN(ROUND(($D21*T21*N('設定'!$B$10))/IF(ISNUMBER('設定'!$B$6),MAX(1,'設定'!$B$6),1),6),0),ROUNDUP(ROUND(($D21*T21*N('設定'!$B$10))/IF(ISNUMBER('設定'!$B$6),MAX(1,'設定'!$B$6),1),6),0))*IF(ISNUMBER('設定'!$B$6),MAX(1,'設定'!$B$6),1),"")</f>
        <v/>
      </c>
      <c r="K21" s="44" t="n"/>
      <c r="L21" s="50" t="n"/>
      <c r="M21" s="45">
        <f>IF(AND(ISNUMBER($C21),ISNUMBER($D21),$C21&lt;=$G$3),1,0)</f>
        <v/>
      </c>
      <c r="N21" s="45">
        <f>IF(M21=1,DATEDIF($C21,$G$3+1,"m"),0)</f>
        <v/>
      </c>
      <c r="O21" s="45">
        <f>IF(M21=1,DATEDIF($C21,$G$3,"m")=N21,FALSE)</f>
        <v/>
      </c>
      <c r="P21" s="45">
        <f>IF(M21=1,MAX(0,N21+IF(AND(O21,'設定'!$B$4="1か月に切り上げる"),1,0)-N($E21)),0)</f>
        <v/>
      </c>
      <c r="Q21" s="45">
        <f>INT(P21/12)</f>
        <v/>
      </c>
      <c r="R21" s="45">
        <f>MOD(P21,12)</f>
        <v/>
      </c>
      <c r="S21" s="45">
        <f>MIN(45,Q21+IF(AND('設定'!$B$5="6か月以上は1年に切り上げる",R21&gt;=6),1,0))</f>
        <v/>
      </c>
      <c r="T21" s="45">
        <f>IF('設定'!$B$5="月割りで計算する",IF(Q21&gt;=45,INDEX('設定'!$B$17:$B$62,46),INDEX('設定'!$B$17:$B$62,Q21+1)+(INDEX('設定'!$B$17:$B$62,Q21+2)-INDEX('設定'!$B$17:$B$62,Q21+1))*R21/12),INDEX('設定'!$B$17:$B$62,S21+1))</f>
        <v/>
      </c>
    </row>
    <row r="22" ht="18" customHeight="1">
      <c r="A22" s="40" t="n">
        <v>13</v>
      </c>
      <c r="B22" s="8" t="n"/>
      <c r="C22" s="26" t="n"/>
      <c r="D22" s="30" t="n"/>
      <c r="E22" s="31" t="n"/>
      <c r="F22" s="41">
        <f>IF(M22=1,Q22&amp;"年"&amp;R22&amp;"か月","")</f>
        <v/>
      </c>
      <c r="G22" s="42">
        <f>IF(M22=1,T22,"")</f>
        <v/>
      </c>
      <c r="H22" s="43">
        <f>IF(M22=1,INDEX('設定'!$C$17:$C$62,S22+1),"")</f>
        <v/>
      </c>
      <c r="I22" s="34">
        <f>IF(M22=1,IF('設定'!$B$7="切り捨てる",ROUNDDOWN(ROUND(($D22*T22*INDEX('設定'!$C$17:$C$62,S22+1))/IF(ISNUMBER('設定'!$B$6),MAX(1,'設定'!$B$6),1),6),0),ROUNDUP(ROUND(($D22*T22*INDEX('設定'!$C$17:$C$62,S22+1))/IF(ISNUMBER('設定'!$B$6),MAX(1,'設定'!$B$6),1),6),0))*IF(ISNUMBER('設定'!$B$6),MAX(1,'設定'!$B$6),1),"")</f>
        <v/>
      </c>
      <c r="J22" s="34">
        <f>IF(M22=1,IF('設定'!$B$7="切り捨てる",ROUNDDOWN(ROUND(($D22*T22*N('設定'!$B$10))/IF(ISNUMBER('設定'!$B$6),MAX(1,'設定'!$B$6),1),6),0),ROUNDUP(ROUND(($D22*T22*N('設定'!$B$10))/IF(ISNUMBER('設定'!$B$6),MAX(1,'設定'!$B$6),1),6),0))*IF(ISNUMBER('設定'!$B$6),MAX(1,'設定'!$B$6),1),"")</f>
        <v/>
      </c>
      <c r="K22" s="44" t="n"/>
      <c r="L22" s="50" t="n"/>
      <c r="M22" s="45">
        <f>IF(AND(ISNUMBER($C22),ISNUMBER($D22),$C22&lt;=$G$3),1,0)</f>
        <v/>
      </c>
      <c r="N22" s="45">
        <f>IF(M22=1,DATEDIF($C22,$G$3+1,"m"),0)</f>
        <v/>
      </c>
      <c r="O22" s="45">
        <f>IF(M22=1,DATEDIF($C22,$G$3,"m")=N22,FALSE)</f>
        <v/>
      </c>
      <c r="P22" s="45">
        <f>IF(M22=1,MAX(0,N22+IF(AND(O22,'設定'!$B$4="1か月に切り上げる"),1,0)-N($E22)),0)</f>
        <v/>
      </c>
      <c r="Q22" s="45">
        <f>INT(P22/12)</f>
        <v/>
      </c>
      <c r="R22" s="45">
        <f>MOD(P22,12)</f>
        <v/>
      </c>
      <c r="S22" s="45">
        <f>MIN(45,Q22+IF(AND('設定'!$B$5="6か月以上は1年に切り上げる",R22&gt;=6),1,0))</f>
        <v/>
      </c>
      <c r="T22" s="45">
        <f>IF('設定'!$B$5="月割りで計算する",IF(Q22&gt;=45,INDEX('設定'!$B$17:$B$62,46),INDEX('設定'!$B$17:$B$62,Q22+1)+(INDEX('設定'!$B$17:$B$62,Q22+2)-INDEX('設定'!$B$17:$B$62,Q22+1))*R22/12),INDEX('設定'!$B$17:$B$62,S22+1))</f>
        <v/>
      </c>
    </row>
    <row r="23" ht="18" customHeight="1">
      <c r="A23" s="40" t="n">
        <v>14</v>
      </c>
      <c r="B23" s="8" t="n"/>
      <c r="C23" s="26" t="n"/>
      <c r="D23" s="30" t="n"/>
      <c r="E23" s="31" t="n"/>
      <c r="F23" s="41">
        <f>IF(M23=1,Q23&amp;"年"&amp;R23&amp;"か月","")</f>
        <v/>
      </c>
      <c r="G23" s="42">
        <f>IF(M23=1,T23,"")</f>
        <v/>
      </c>
      <c r="H23" s="43">
        <f>IF(M23=1,INDEX('設定'!$C$17:$C$62,S23+1),"")</f>
        <v/>
      </c>
      <c r="I23" s="34">
        <f>IF(M23=1,IF('設定'!$B$7="切り捨てる",ROUNDDOWN(ROUND(($D23*T23*INDEX('設定'!$C$17:$C$62,S23+1))/IF(ISNUMBER('設定'!$B$6),MAX(1,'設定'!$B$6),1),6),0),ROUNDUP(ROUND(($D23*T23*INDEX('設定'!$C$17:$C$62,S23+1))/IF(ISNUMBER('設定'!$B$6),MAX(1,'設定'!$B$6),1),6),0))*IF(ISNUMBER('設定'!$B$6),MAX(1,'設定'!$B$6),1),"")</f>
        <v/>
      </c>
      <c r="J23" s="34">
        <f>IF(M23=1,IF('設定'!$B$7="切り捨てる",ROUNDDOWN(ROUND(($D23*T23*N('設定'!$B$10))/IF(ISNUMBER('設定'!$B$6),MAX(1,'設定'!$B$6),1),6),0),ROUNDUP(ROUND(($D23*T23*N('設定'!$B$10))/IF(ISNUMBER('設定'!$B$6),MAX(1,'設定'!$B$6),1),6),0))*IF(ISNUMBER('設定'!$B$6),MAX(1,'設定'!$B$6),1),"")</f>
        <v/>
      </c>
      <c r="K23" s="44" t="n"/>
      <c r="L23" s="50" t="n"/>
      <c r="M23" s="45">
        <f>IF(AND(ISNUMBER($C23),ISNUMBER($D23),$C23&lt;=$G$3),1,0)</f>
        <v/>
      </c>
      <c r="N23" s="45">
        <f>IF(M23=1,DATEDIF($C23,$G$3+1,"m"),0)</f>
        <v/>
      </c>
      <c r="O23" s="45">
        <f>IF(M23=1,DATEDIF($C23,$G$3,"m")=N23,FALSE)</f>
        <v/>
      </c>
      <c r="P23" s="45">
        <f>IF(M23=1,MAX(0,N23+IF(AND(O23,'設定'!$B$4="1か月に切り上げる"),1,0)-N($E23)),0)</f>
        <v/>
      </c>
      <c r="Q23" s="45">
        <f>INT(P23/12)</f>
        <v/>
      </c>
      <c r="R23" s="45">
        <f>MOD(P23,12)</f>
        <v/>
      </c>
      <c r="S23" s="45">
        <f>MIN(45,Q23+IF(AND('設定'!$B$5="6か月以上は1年に切り上げる",R23&gt;=6),1,0))</f>
        <v/>
      </c>
      <c r="T23" s="45">
        <f>IF('設定'!$B$5="月割りで計算する",IF(Q23&gt;=45,INDEX('設定'!$B$17:$B$62,46),INDEX('設定'!$B$17:$B$62,Q23+1)+(INDEX('設定'!$B$17:$B$62,Q23+2)-INDEX('設定'!$B$17:$B$62,Q23+1))*R23/12),INDEX('設定'!$B$17:$B$62,S23+1))</f>
        <v/>
      </c>
    </row>
    <row r="24" ht="18" customHeight="1">
      <c r="A24" s="40" t="n">
        <v>15</v>
      </c>
      <c r="B24" s="8" t="n"/>
      <c r="C24" s="26" t="n"/>
      <c r="D24" s="30" t="n"/>
      <c r="E24" s="31" t="n"/>
      <c r="F24" s="41">
        <f>IF(M24=1,Q24&amp;"年"&amp;R24&amp;"か月","")</f>
        <v/>
      </c>
      <c r="G24" s="42">
        <f>IF(M24=1,T24,"")</f>
        <v/>
      </c>
      <c r="H24" s="43">
        <f>IF(M24=1,INDEX('設定'!$C$17:$C$62,S24+1),"")</f>
        <v/>
      </c>
      <c r="I24" s="34">
        <f>IF(M24=1,IF('設定'!$B$7="切り捨てる",ROUNDDOWN(ROUND(($D24*T24*INDEX('設定'!$C$17:$C$62,S24+1))/IF(ISNUMBER('設定'!$B$6),MAX(1,'設定'!$B$6),1),6),0),ROUNDUP(ROUND(($D24*T24*INDEX('設定'!$C$17:$C$62,S24+1))/IF(ISNUMBER('設定'!$B$6),MAX(1,'設定'!$B$6),1),6),0))*IF(ISNUMBER('設定'!$B$6),MAX(1,'設定'!$B$6),1),"")</f>
        <v/>
      </c>
      <c r="J24" s="34">
        <f>IF(M24=1,IF('設定'!$B$7="切り捨てる",ROUNDDOWN(ROUND(($D24*T24*N('設定'!$B$10))/IF(ISNUMBER('設定'!$B$6),MAX(1,'設定'!$B$6),1),6),0),ROUNDUP(ROUND(($D24*T24*N('設定'!$B$10))/IF(ISNUMBER('設定'!$B$6),MAX(1,'設定'!$B$6),1),6),0))*IF(ISNUMBER('設定'!$B$6),MAX(1,'設定'!$B$6),1),"")</f>
        <v/>
      </c>
      <c r="K24" s="44" t="n"/>
      <c r="L24" s="50" t="n"/>
      <c r="M24" s="45">
        <f>IF(AND(ISNUMBER($C24),ISNUMBER($D24),$C24&lt;=$G$3),1,0)</f>
        <v/>
      </c>
      <c r="N24" s="45">
        <f>IF(M24=1,DATEDIF($C24,$G$3+1,"m"),0)</f>
        <v/>
      </c>
      <c r="O24" s="45">
        <f>IF(M24=1,DATEDIF($C24,$G$3,"m")=N24,FALSE)</f>
        <v/>
      </c>
      <c r="P24" s="45">
        <f>IF(M24=1,MAX(0,N24+IF(AND(O24,'設定'!$B$4="1か月に切り上げる"),1,0)-N($E24)),0)</f>
        <v/>
      </c>
      <c r="Q24" s="45">
        <f>INT(P24/12)</f>
        <v/>
      </c>
      <c r="R24" s="45">
        <f>MOD(P24,12)</f>
        <v/>
      </c>
      <c r="S24" s="45">
        <f>MIN(45,Q24+IF(AND('設定'!$B$5="6か月以上は1年に切り上げる",R24&gt;=6),1,0))</f>
        <v/>
      </c>
      <c r="T24" s="45">
        <f>IF('設定'!$B$5="月割りで計算する",IF(Q24&gt;=45,INDEX('設定'!$B$17:$B$62,46),INDEX('設定'!$B$17:$B$62,Q24+1)+(INDEX('設定'!$B$17:$B$62,Q24+2)-INDEX('設定'!$B$17:$B$62,Q24+1))*R24/12),INDEX('設定'!$B$17:$B$62,S24+1))</f>
        <v/>
      </c>
    </row>
    <row r="25" ht="18" customHeight="1">
      <c r="A25" s="40" t="n">
        <v>16</v>
      </c>
      <c r="B25" s="8" t="n"/>
      <c r="C25" s="26" t="n"/>
      <c r="D25" s="30" t="n"/>
      <c r="E25" s="31" t="n"/>
      <c r="F25" s="41">
        <f>IF(M25=1,Q25&amp;"年"&amp;R25&amp;"か月","")</f>
        <v/>
      </c>
      <c r="G25" s="42">
        <f>IF(M25=1,T25,"")</f>
        <v/>
      </c>
      <c r="H25" s="43">
        <f>IF(M25=1,INDEX('設定'!$C$17:$C$62,S25+1),"")</f>
        <v/>
      </c>
      <c r="I25" s="34">
        <f>IF(M25=1,IF('設定'!$B$7="切り捨てる",ROUNDDOWN(ROUND(($D25*T25*INDEX('設定'!$C$17:$C$62,S25+1))/IF(ISNUMBER('設定'!$B$6),MAX(1,'設定'!$B$6),1),6),0),ROUNDUP(ROUND(($D25*T25*INDEX('設定'!$C$17:$C$62,S25+1))/IF(ISNUMBER('設定'!$B$6),MAX(1,'設定'!$B$6),1),6),0))*IF(ISNUMBER('設定'!$B$6),MAX(1,'設定'!$B$6),1),"")</f>
        <v/>
      </c>
      <c r="J25" s="34">
        <f>IF(M25=1,IF('設定'!$B$7="切り捨てる",ROUNDDOWN(ROUND(($D25*T25*N('設定'!$B$10))/IF(ISNUMBER('設定'!$B$6),MAX(1,'設定'!$B$6),1),6),0),ROUNDUP(ROUND(($D25*T25*N('設定'!$B$10))/IF(ISNUMBER('設定'!$B$6),MAX(1,'設定'!$B$6),1),6),0))*IF(ISNUMBER('設定'!$B$6),MAX(1,'設定'!$B$6),1),"")</f>
        <v/>
      </c>
      <c r="K25" s="44" t="n"/>
      <c r="L25" s="50" t="n"/>
      <c r="M25" s="45">
        <f>IF(AND(ISNUMBER($C25),ISNUMBER($D25),$C25&lt;=$G$3),1,0)</f>
        <v/>
      </c>
      <c r="N25" s="45">
        <f>IF(M25=1,DATEDIF($C25,$G$3+1,"m"),0)</f>
        <v/>
      </c>
      <c r="O25" s="45">
        <f>IF(M25=1,DATEDIF($C25,$G$3,"m")=N25,FALSE)</f>
        <v/>
      </c>
      <c r="P25" s="45">
        <f>IF(M25=1,MAX(0,N25+IF(AND(O25,'設定'!$B$4="1か月に切り上げる"),1,0)-N($E25)),0)</f>
        <v/>
      </c>
      <c r="Q25" s="45">
        <f>INT(P25/12)</f>
        <v/>
      </c>
      <c r="R25" s="45">
        <f>MOD(P25,12)</f>
        <v/>
      </c>
      <c r="S25" s="45">
        <f>MIN(45,Q25+IF(AND('設定'!$B$5="6か月以上は1年に切り上げる",R25&gt;=6),1,0))</f>
        <v/>
      </c>
      <c r="T25" s="45">
        <f>IF('設定'!$B$5="月割りで計算する",IF(Q25&gt;=45,INDEX('設定'!$B$17:$B$62,46),INDEX('設定'!$B$17:$B$62,Q25+1)+(INDEX('設定'!$B$17:$B$62,Q25+2)-INDEX('設定'!$B$17:$B$62,Q25+1))*R25/12),INDEX('設定'!$B$17:$B$62,S25+1))</f>
        <v/>
      </c>
    </row>
    <row r="26" ht="18" customHeight="1">
      <c r="A26" s="40" t="n">
        <v>17</v>
      </c>
      <c r="B26" s="8" t="n"/>
      <c r="C26" s="26" t="n"/>
      <c r="D26" s="30" t="n"/>
      <c r="E26" s="31" t="n"/>
      <c r="F26" s="41">
        <f>IF(M26=1,Q26&amp;"年"&amp;R26&amp;"か月","")</f>
        <v/>
      </c>
      <c r="G26" s="42">
        <f>IF(M26=1,T26,"")</f>
        <v/>
      </c>
      <c r="H26" s="43">
        <f>IF(M26=1,INDEX('設定'!$C$17:$C$62,S26+1),"")</f>
        <v/>
      </c>
      <c r="I26" s="34">
        <f>IF(M26=1,IF('設定'!$B$7="切り捨てる",ROUNDDOWN(ROUND(($D26*T26*INDEX('設定'!$C$17:$C$62,S26+1))/IF(ISNUMBER('設定'!$B$6),MAX(1,'設定'!$B$6),1),6),0),ROUNDUP(ROUND(($D26*T26*INDEX('設定'!$C$17:$C$62,S26+1))/IF(ISNUMBER('設定'!$B$6),MAX(1,'設定'!$B$6),1),6),0))*IF(ISNUMBER('設定'!$B$6),MAX(1,'設定'!$B$6),1),"")</f>
        <v/>
      </c>
      <c r="J26" s="34">
        <f>IF(M26=1,IF('設定'!$B$7="切り捨てる",ROUNDDOWN(ROUND(($D26*T26*N('設定'!$B$10))/IF(ISNUMBER('設定'!$B$6),MAX(1,'設定'!$B$6),1),6),0),ROUNDUP(ROUND(($D26*T26*N('設定'!$B$10))/IF(ISNUMBER('設定'!$B$6),MAX(1,'設定'!$B$6),1),6),0))*IF(ISNUMBER('設定'!$B$6),MAX(1,'設定'!$B$6),1),"")</f>
        <v/>
      </c>
      <c r="K26" s="44" t="n"/>
      <c r="L26" s="50" t="n"/>
      <c r="M26" s="45">
        <f>IF(AND(ISNUMBER($C26),ISNUMBER($D26),$C26&lt;=$G$3),1,0)</f>
        <v/>
      </c>
      <c r="N26" s="45">
        <f>IF(M26=1,DATEDIF($C26,$G$3+1,"m"),0)</f>
        <v/>
      </c>
      <c r="O26" s="45">
        <f>IF(M26=1,DATEDIF($C26,$G$3,"m")=N26,FALSE)</f>
        <v/>
      </c>
      <c r="P26" s="45">
        <f>IF(M26=1,MAX(0,N26+IF(AND(O26,'設定'!$B$4="1か月に切り上げる"),1,0)-N($E26)),0)</f>
        <v/>
      </c>
      <c r="Q26" s="45">
        <f>INT(P26/12)</f>
        <v/>
      </c>
      <c r="R26" s="45">
        <f>MOD(P26,12)</f>
        <v/>
      </c>
      <c r="S26" s="45">
        <f>MIN(45,Q26+IF(AND('設定'!$B$5="6か月以上は1年に切り上げる",R26&gt;=6),1,0))</f>
        <v/>
      </c>
      <c r="T26" s="45">
        <f>IF('設定'!$B$5="月割りで計算する",IF(Q26&gt;=45,INDEX('設定'!$B$17:$B$62,46),INDEX('設定'!$B$17:$B$62,Q26+1)+(INDEX('設定'!$B$17:$B$62,Q26+2)-INDEX('設定'!$B$17:$B$62,Q26+1))*R26/12),INDEX('設定'!$B$17:$B$62,S26+1))</f>
        <v/>
      </c>
    </row>
    <row r="27" ht="18" customHeight="1">
      <c r="A27" s="40" t="n">
        <v>18</v>
      </c>
      <c r="B27" s="8" t="n"/>
      <c r="C27" s="26" t="n"/>
      <c r="D27" s="30" t="n"/>
      <c r="E27" s="31" t="n"/>
      <c r="F27" s="41">
        <f>IF(M27=1,Q27&amp;"年"&amp;R27&amp;"か月","")</f>
        <v/>
      </c>
      <c r="G27" s="42">
        <f>IF(M27=1,T27,"")</f>
        <v/>
      </c>
      <c r="H27" s="43">
        <f>IF(M27=1,INDEX('設定'!$C$17:$C$62,S27+1),"")</f>
        <v/>
      </c>
      <c r="I27" s="34">
        <f>IF(M27=1,IF('設定'!$B$7="切り捨てる",ROUNDDOWN(ROUND(($D27*T27*INDEX('設定'!$C$17:$C$62,S27+1))/IF(ISNUMBER('設定'!$B$6),MAX(1,'設定'!$B$6),1),6),0),ROUNDUP(ROUND(($D27*T27*INDEX('設定'!$C$17:$C$62,S27+1))/IF(ISNUMBER('設定'!$B$6),MAX(1,'設定'!$B$6),1),6),0))*IF(ISNUMBER('設定'!$B$6),MAX(1,'設定'!$B$6),1),"")</f>
        <v/>
      </c>
      <c r="J27" s="34">
        <f>IF(M27=1,IF('設定'!$B$7="切り捨てる",ROUNDDOWN(ROUND(($D27*T27*N('設定'!$B$10))/IF(ISNUMBER('設定'!$B$6),MAX(1,'設定'!$B$6),1),6),0),ROUNDUP(ROUND(($D27*T27*N('設定'!$B$10))/IF(ISNUMBER('設定'!$B$6),MAX(1,'設定'!$B$6),1),6),0))*IF(ISNUMBER('設定'!$B$6),MAX(1,'設定'!$B$6),1),"")</f>
        <v/>
      </c>
      <c r="K27" s="44" t="n"/>
      <c r="L27" s="50" t="n"/>
      <c r="M27" s="45">
        <f>IF(AND(ISNUMBER($C27),ISNUMBER($D27),$C27&lt;=$G$3),1,0)</f>
        <v/>
      </c>
      <c r="N27" s="45">
        <f>IF(M27=1,DATEDIF($C27,$G$3+1,"m"),0)</f>
        <v/>
      </c>
      <c r="O27" s="45">
        <f>IF(M27=1,DATEDIF($C27,$G$3,"m")=N27,FALSE)</f>
        <v/>
      </c>
      <c r="P27" s="45">
        <f>IF(M27=1,MAX(0,N27+IF(AND(O27,'設定'!$B$4="1か月に切り上げる"),1,0)-N($E27)),0)</f>
        <v/>
      </c>
      <c r="Q27" s="45">
        <f>INT(P27/12)</f>
        <v/>
      </c>
      <c r="R27" s="45">
        <f>MOD(P27,12)</f>
        <v/>
      </c>
      <c r="S27" s="45">
        <f>MIN(45,Q27+IF(AND('設定'!$B$5="6か月以上は1年に切り上げる",R27&gt;=6),1,0))</f>
        <v/>
      </c>
      <c r="T27" s="45">
        <f>IF('設定'!$B$5="月割りで計算する",IF(Q27&gt;=45,INDEX('設定'!$B$17:$B$62,46),INDEX('設定'!$B$17:$B$62,Q27+1)+(INDEX('設定'!$B$17:$B$62,Q27+2)-INDEX('設定'!$B$17:$B$62,Q27+1))*R27/12),INDEX('設定'!$B$17:$B$62,S27+1))</f>
        <v/>
      </c>
    </row>
    <row r="28" ht="18" customHeight="1">
      <c r="A28" s="40" t="n">
        <v>19</v>
      </c>
      <c r="B28" s="8" t="n"/>
      <c r="C28" s="26" t="n"/>
      <c r="D28" s="30" t="n"/>
      <c r="E28" s="31" t="n"/>
      <c r="F28" s="41">
        <f>IF(M28=1,Q28&amp;"年"&amp;R28&amp;"か月","")</f>
        <v/>
      </c>
      <c r="G28" s="42">
        <f>IF(M28=1,T28,"")</f>
        <v/>
      </c>
      <c r="H28" s="43">
        <f>IF(M28=1,INDEX('設定'!$C$17:$C$62,S28+1),"")</f>
        <v/>
      </c>
      <c r="I28" s="34">
        <f>IF(M28=1,IF('設定'!$B$7="切り捨てる",ROUNDDOWN(ROUND(($D28*T28*INDEX('設定'!$C$17:$C$62,S28+1))/IF(ISNUMBER('設定'!$B$6),MAX(1,'設定'!$B$6),1),6),0),ROUNDUP(ROUND(($D28*T28*INDEX('設定'!$C$17:$C$62,S28+1))/IF(ISNUMBER('設定'!$B$6),MAX(1,'設定'!$B$6),1),6),0))*IF(ISNUMBER('設定'!$B$6),MAX(1,'設定'!$B$6),1),"")</f>
        <v/>
      </c>
      <c r="J28" s="34">
        <f>IF(M28=1,IF('設定'!$B$7="切り捨てる",ROUNDDOWN(ROUND(($D28*T28*N('設定'!$B$10))/IF(ISNUMBER('設定'!$B$6),MAX(1,'設定'!$B$6),1),6),0),ROUNDUP(ROUND(($D28*T28*N('設定'!$B$10))/IF(ISNUMBER('設定'!$B$6),MAX(1,'設定'!$B$6),1),6),0))*IF(ISNUMBER('設定'!$B$6),MAX(1,'設定'!$B$6),1),"")</f>
        <v/>
      </c>
      <c r="K28" s="44" t="n"/>
      <c r="L28" s="50" t="n"/>
      <c r="M28" s="45">
        <f>IF(AND(ISNUMBER($C28),ISNUMBER($D28),$C28&lt;=$G$3),1,0)</f>
        <v/>
      </c>
      <c r="N28" s="45">
        <f>IF(M28=1,DATEDIF($C28,$G$3+1,"m"),0)</f>
        <v/>
      </c>
      <c r="O28" s="45">
        <f>IF(M28=1,DATEDIF($C28,$G$3,"m")=N28,FALSE)</f>
        <v/>
      </c>
      <c r="P28" s="45">
        <f>IF(M28=1,MAX(0,N28+IF(AND(O28,'設定'!$B$4="1か月に切り上げる"),1,0)-N($E28)),0)</f>
        <v/>
      </c>
      <c r="Q28" s="45">
        <f>INT(P28/12)</f>
        <v/>
      </c>
      <c r="R28" s="45">
        <f>MOD(P28,12)</f>
        <v/>
      </c>
      <c r="S28" s="45">
        <f>MIN(45,Q28+IF(AND('設定'!$B$5="6か月以上は1年に切り上げる",R28&gt;=6),1,0))</f>
        <v/>
      </c>
      <c r="T28" s="45">
        <f>IF('設定'!$B$5="月割りで計算する",IF(Q28&gt;=45,INDEX('設定'!$B$17:$B$62,46),INDEX('設定'!$B$17:$B$62,Q28+1)+(INDEX('設定'!$B$17:$B$62,Q28+2)-INDEX('設定'!$B$17:$B$62,Q28+1))*R28/12),INDEX('設定'!$B$17:$B$62,S28+1))</f>
        <v/>
      </c>
    </row>
    <row r="29" ht="18" customHeight="1">
      <c r="A29" s="40" t="n">
        <v>20</v>
      </c>
      <c r="B29" s="8" t="n"/>
      <c r="C29" s="26" t="n"/>
      <c r="D29" s="30" t="n"/>
      <c r="E29" s="31" t="n"/>
      <c r="F29" s="41">
        <f>IF(M29=1,Q29&amp;"年"&amp;R29&amp;"か月","")</f>
        <v/>
      </c>
      <c r="G29" s="42">
        <f>IF(M29=1,T29,"")</f>
        <v/>
      </c>
      <c r="H29" s="43">
        <f>IF(M29=1,INDEX('設定'!$C$17:$C$62,S29+1),"")</f>
        <v/>
      </c>
      <c r="I29" s="34">
        <f>IF(M29=1,IF('設定'!$B$7="切り捨てる",ROUNDDOWN(ROUND(($D29*T29*INDEX('設定'!$C$17:$C$62,S29+1))/IF(ISNUMBER('設定'!$B$6),MAX(1,'設定'!$B$6),1),6),0),ROUNDUP(ROUND(($D29*T29*INDEX('設定'!$C$17:$C$62,S29+1))/IF(ISNUMBER('設定'!$B$6),MAX(1,'設定'!$B$6),1),6),0))*IF(ISNUMBER('設定'!$B$6),MAX(1,'設定'!$B$6),1),"")</f>
        <v/>
      </c>
      <c r="J29" s="34">
        <f>IF(M29=1,IF('設定'!$B$7="切り捨てる",ROUNDDOWN(ROUND(($D29*T29*N('設定'!$B$10))/IF(ISNUMBER('設定'!$B$6),MAX(1,'設定'!$B$6),1),6),0),ROUNDUP(ROUND(($D29*T29*N('設定'!$B$10))/IF(ISNUMBER('設定'!$B$6),MAX(1,'設定'!$B$6),1),6),0))*IF(ISNUMBER('設定'!$B$6),MAX(1,'設定'!$B$6),1),"")</f>
        <v/>
      </c>
      <c r="K29" s="44" t="n"/>
      <c r="L29" s="50" t="n"/>
      <c r="M29" s="45">
        <f>IF(AND(ISNUMBER($C29),ISNUMBER($D29),$C29&lt;=$G$3),1,0)</f>
        <v/>
      </c>
      <c r="N29" s="45">
        <f>IF(M29=1,DATEDIF($C29,$G$3+1,"m"),0)</f>
        <v/>
      </c>
      <c r="O29" s="45">
        <f>IF(M29=1,DATEDIF($C29,$G$3,"m")=N29,FALSE)</f>
        <v/>
      </c>
      <c r="P29" s="45">
        <f>IF(M29=1,MAX(0,N29+IF(AND(O29,'設定'!$B$4="1か月に切り上げる"),1,0)-N($E29)),0)</f>
        <v/>
      </c>
      <c r="Q29" s="45">
        <f>INT(P29/12)</f>
        <v/>
      </c>
      <c r="R29" s="45">
        <f>MOD(P29,12)</f>
        <v/>
      </c>
      <c r="S29" s="45">
        <f>MIN(45,Q29+IF(AND('設定'!$B$5="6か月以上は1年に切り上げる",R29&gt;=6),1,0))</f>
        <v/>
      </c>
      <c r="T29" s="45">
        <f>IF('設定'!$B$5="月割りで計算する",IF(Q29&gt;=45,INDEX('設定'!$B$17:$B$62,46),INDEX('設定'!$B$17:$B$62,Q29+1)+(INDEX('設定'!$B$17:$B$62,Q29+2)-INDEX('設定'!$B$17:$B$62,Q29+1))*R29/12),INDEX('設定'!$B$17:$B$62,S29+1))</f>
        <v/>
      </c>
    </row>
    <row r="30" ht="18" customHeight="1">
      <c r="A30" s="40" t="n">
        <v>21</v>
      </c>
      <c r="B30" s="8" t="n"/>
      <c r="C30" s="26" t="n"/>
      <c r="D30" s="30" t="n"/>
      <c r="E30" s="31" t="n"/>
      <c r="F30" s="41">
        <f>IF(M30=1,Q30&amp;"年"&amp;R30&amp;"か月","")</f>
        <v/>
      </c>
      <c r="G30" s="42">
        <f>IF(M30=1,T30,"")</f>
        <v/>
      </c>
      <c r="H30" s="43">
        <f>IF(M30=1,INDEX('設定'!$C$17:$C$62,S30+1),"")</f>
        <v/>
      </c>
      <c r="I30" s="34">
        <f>IF(M30=1,IF('設定'!$B$7="切り捨てる",ROUNDDOWN(ROUND(($D30*T30*INDEX('設定'!$C$17:$C$62,S30+1))/IF(ISNUMBER('設定'!$B$6),MAX(1,'設定'!$B$6),1),6),0),ROUNDUP(ROUND(($D30*T30*INDEX('設定'!$C$17:$C$62,S30+1))/IF(ISNUMBER('設定'!$B$6),MAX(1,'設定'!$B$6),1),6),0))*IF(ISNUMBER('設定'!$B$6),MAX(1,'設定'!$B$6),1),"")</f>
        <v/>
      </c>
      <c r="J30" s="34">
        <f>IF(M30=1,IF('設定'!$B$7="切り捨てる",ROUNDDOWN(ROUND(($D30*T30*N('設定'!$B$10))/IF(ISNUMBER('設定'!$B$6),MAX(1,'設定'!$B$6),1),6),0),ROUNDUP(ROUND(($D30*T30*N('設定'!$B$10))/IF(ISNUMBER('設定'!$B$6),MAX(1,'設定'!$B$6),1),6),0))*IF(ISNUMBER('設定'!$B$6),MAX(1,'設定'!$B$6),1),"")</f>
        <v/>
      </c>
      <c r="K30" s="44" t="n"/>
      <c r="L30" s="50" t="n"/>
      <c r="M30" s="45">
        <f>IF(AND(ISNUMBER($C30),ISNUMBER($D30),$C30&lt;=$G$3),1,0)</f>
        <v/>
      </c>
      <c r="N30" s="45">
        <f>IF(M30=1,DATEDIF($C30,$G$3+1,"m"),0)</f>
        <v/>
      </c>
      <c r="O30" s="45">
        <f>IF(M30=1,DATEDIF($C30,$G$3,"m")=N30,FALSE)</f>
        <v/>
      </c>
      <c r="P30" s="45">
        <f>IF(M30=1,MAX(0,N30+IF(AND(O30,'設定'!$B$4="1か月に切り上げる"),1,0)-N($E30)),0)</f>
        <v/>
      </c>
      <c r="Q30" s="45">
        <f>INT(P30/12)</f>
        <v/>
      </c>
      <c r="R30" s="45">
        <f>MOD(P30,12)</f>
        <v/>
      </c>
      <c r="S30" s="45">
        <f>MIN(45,Q30+IF(AND('設定'!$B$5="6か月以上は1年に切り上げる",R30&gt;=6),1,0))</f>
        <v/>
      </c>
      <c r="T30" s="45">
        <f>IF('設定'!$B$5="月割りで計算する",IF(Q30&gt;=45,INDEX('設定'!$B$17:$B$62,46),INDEX('設定'!$B$17:$B$62,Q30+1)+(INDEX('設定'!$B$17:$B$62,Q30+2)-INDEX('設定'!$B$17:$B$62,Q30+1))*R30/12),INDEX('設定'!$B$17:$B$62,S30+1))</f>
        <v/>
      </c>
    </row>
    <row r="31" ht="18" customHeight="1">
      <c r="A31" s="40" t="n">
        <v>22</v>
      </c>
      <c r="B31" s="8" t="n"/>
      <c r="C31" s="26" t="n"/>
      <c r="D31" s="30" t="n"/>
      <c r="E31" s="31" t="n"/>
      <c r="F31" s="41">
        <f>IF(M31=1,Q31&amp;"年"&amp;R31&amp;"か月","")</f>
        <v/>
      </c>
      <c r="G31" s="42">
        <f>IF(M31=1,T31,"")</f>
        <v/>
      </c>
      <c r="H31" s="43">
        <f>IF(M31=1,INDEX('設定'!$C$17:$C$62,S31+1),"")</f>
        <v/>
      </c>
      <c r="I31" s="34">
        <f>IF(M31=1,IF('設定'!$B$7="切り捨てる",ROUNDDOWN(ROUND(($D31*T31*INDEX('設定'!$C$17:$C$62,S31+1))/IF(ISNUMBER('設定'!$B$6),MAX(1,'設定'!$B$6),1),6),0),ROUNDUP(ROUND(($D31*T31*INDEX('設定'!$C$17:$C$62,S31+1))/IF(ISNUMBER('設定'!$B$6),MAX(1,'設定'!$B$6),1),6),0))*IF(ISNUMBER('設定'!$B$6),MAX(1,'設定'!$B$6),1),"")</f>
        <v/>
      </c>
      <c r="J31" s="34">
        <f>IF(M31=1,IF('設定'!$B$7="切り捨てる",ROUNDDOWN(ROUND(($D31*T31*N('設定'!$B$10))/IF(ISNUMBER('設定'!$B$6),MAX(1,'設定'!$B$6),1),6),0),ROUNDUP(ROUND(($D31*T31*N('設定'!$B$10))/IF(ISNUMBER('設定'!$B$6),MAX(1,'設定'!$B$6),1),6),0))*IF(ISNUMBER('設定'!$B$6),MAX(1,'設定'!$B$6),1),"")</f>
        <v/>
      </c>
      <c r="K31" s="44" t="n"/>
      <c r="L31" s="50" t="n"/>
      <c r="M31" s="45">
        <f>IF(AND(ISNUMBER($C31),ISNUMBER($D31),$C31&lt;=$G$3),1,0)</f>
        <v/>
      </c>
      <c r="N31" s="45">
        <f>IF(M31=1,DATEDIF($C31,$G$3+1,"m"),0)</f>
        <v/>
      </c>
      <c r="O31" s="45">
        <f>IF(M31=1,DATEDIF($C31,$G$3,"m")=N31,FALSE)</f>
        <v/>
      </c>
      <c r="P31" s="45">
        <f>IF(M31=1,MAX(0,N31+IF(AND(O31,'設定'!$B$4="1か月に切り上げる"),1,0)-N($E31)),0)</f>
        <v/>
      </c>
      <c r="Q31" s="45">
        <f>INT(P31/12)</f>
        <v/>
      </c>
      <c r="R31" s="45">
        <f>MOD(P31,12)</f>
        <v/>
      </c>
      <c r="S31" s="45">
        <f>MIN(45,Q31+IF(AND('設定'!$B$5="6か月以上は1年に切り上げる",R31&gt;=6),1,0))</f>
        <v/>
      </c>
      <c r="T31" s="45">
        <f>IF('設定'!$B$5="月割りで計算する",IF(Q31&gt;=45,INDEX('設定'!$B$17:$B$62,46),INDEX('設定'!$B$17:$B$62,Q31+1)+(INDEX('設定'!$B$17:$B$62,Q31+2)-INDEX('設定'!$B$17:$B$62,Q31+1))*R31/12),INDEX('設定'!$B$17:$B$62,S31+1))</f>
        <v/>
      </c>
    </row>
    <row r="32" ht="18" customHeight="1">
      <c r="A32" s="40" t="n">
        <v>23</v>
      </c>
      <c r="B32" s="8" t="n"/>
      <c r="C32" s="26" t="n"/>
      <c r="D32" s="30" t="n"/>
      <c r="E32" s="31" t="n"/>
      <c r="F32" s="41">
        <f>IF(M32=1,Q32&amp;"年"&amp;R32&amp;"か月","")</f>
        <v/>
      </c>
      <c r="G32" s="42">
        <f>IF(M32=1,T32,"")</f>
        <v/>
      </c>
      <c r="H32" s="43">
        <f>IF(M32=1,INDEX('設定'!$C$17:$C$62,S32+1),"")</f>
        <v/>
      </c>
      <c r="I32" s="34">
        <f>IF(M32=1,IF('設定'!$B$7="切り捨てる",ROUNDDOWN(ROUND(($D32*T32*INDEX('設定'!$C$17:$C$62,S32+1))/IF(ISNUMBER('設定'!$B$6),MAX(1,'設定'!$B$6),1),6),0),ROUNDUP(ROUND(($D32*T32*INDEX('設定'!$C$17:$C$62,S32+1))/IF(ISNUMBER('設定'!$B$6),MAX(1,'設定'!$B$6),1),6),0))*IF(ISNUMBER('設定'!$B$6),MAX(1,'設定'!$B$6),1),"")</f>
        <v/>
      </c>
      <c r="J32" s="34">
        <f>IF(M32=1,IF('設定'!$B$7="切り捨てる",ROUNDDOWN(ROUND(($D32*T32*N('設定'!$B$10))/IF(ISNUMBER('設定'!$B$6),MAX(1,'設定'!$B$6),1),6),0),ROUNDUP(ROUND(($D32*T32*N('設定'!$B$10))/IF(ISNUMBER('設定'!$B$6),MAX(1,'設定'!$B$6),1),6),0))*IF(ISNUMBER('設定'!$B$6),MAX(1,'設定'!$B$6),1),"")</f>
        <v/>
      </c>
      <c r="K32" s="44" t="n"/>
      <c r="L32" s="50" t="n"/>
      <c r="M32" s="45">
        <f>IF(AND(ISNUMBER($C32),ISNUMBER($D32),$C32&lt;=$G$3),1,0)</f>
        <v/>
      </c>
      <c r="N32" s="45">
        <f>IF(M32=1,DATEDIF($C32,$G$3+1,"m"),0)</f>
        <v/>
      </c>
      <c r="O32" s="45">
        <f>IF(M32=1,DATEDIF($C32,$G$3,"m")=N32,FALSE)</f>
        <v/>
      </c>
      <c r="P32" s="45">
        <f>IF(M32=1,MAX(0,N32+IF(AND(O32,'設定'!$B$4="1か月に切り上げる"),1,0)-N($E32)),0)</f>
        <v/>
      </c>
      <c r="Q32" s="45">
        <f>INT(P32/12)</f>
        <v/>
      </c>
      <c r="R32" s="45">
        <f>MOD(P32,12)</f>
        <v/>
      </c>
      <c r="S32" s="45">
        <f>MIN(45,Q32+IF(AND('設定'!$B$5="6か月以上は1年に切り上げる",R32&gt;=6),1,0))</f>
        <v/>
      </c>
      <c r="T32" s="45">
        <f>IF('設定'!$B$5="月割りで計算する",IF(Q32&gt;=45,INDEX('設定'!$B$17:$B$62,46),INDEX('設定'!$B$17:$B$62,Q32+1)+(INDEX('設定'!$B$17:$B$62,Q32+2)-INDEX('設定'!$B$17:$B$62,Q32+1))*R32/12),INDEX('設定'!$B$17:$B$62,S32+1))</f>
        <v/>
      </c>
    </row>
    <row r="33" ht="18" customHeight="1">
      <c r="A33" s="40" t="n">
        <v>24</v>
      </c>
      <c r="B33" s="8" t="n"/>
      <c r="C33" s="26" t="n"/>
      <c r="D33" s="30" t="n"/>
      <c r="E33" s="31" t="n"/>
      <c r="F33" s="41">
        <f>IF(M33=1,Q33&amp;"年"&amp;R33&amp;"か月","")</f>
        <v/>
      </c>
      <c r="G33" s="42">
        <f>IF(M33=1,T33,"")</f>
        <v/>
      </c>
      <c r="H33" s="43">
        <f>IF(M33=1,INDEX('設定'!$C$17:$C$62,S33+1),"")</f>
        <v/>
      </c>
      <c r="I33" s="34">
        <f>IF(M33=1,IF('設定'!$B$7="切り捨てる",ROUNDDOWN(ROUND(($D33*T33*INDEX('設定'!$C$17:$C$62,S33+1))/IF(ISNUMBER('設定'!$B$6),MAX(1,'設定'!$B$6),1),6),0),ROUNDUP(ROUND(($D33*T33*INDEX('設定'!$C$17:$C$62,S33+1))/IF(ISNUMBER('設定'!$B$6),MAX(1,'設定'!$B$6),1),6),0))*IF(ISNUMBER('設定'!$B$6),MAX(1,'設定'!$B$6),1),"")</f>
        <v/>
      </c>
      <c r="J33" s="34">
        <f>IF(M33=1,IF('設定'!$B$7="切り捨てる",ROUNDDOWN(ROUND(($D33*T33*N('設定'!$B$10))/IF(ISNUMBER('設定'!$B$6),MAX(1,'設定'!$B$6),1),6),0),ROUNDUP(ROUND(($D33*T33*N('設定'!$B$10))/IF(ISNUMBER('設定'!$B$6),MAX(1,'設定'!$B$6),1),6),0))*IF(ISNUMBER('設定'!$B$6),MAX(1,'設定'!$B$6),1),"")</f>
        <v/>
      </c>
      <c r="K33" s="44" t="n"/>
      <c r="L33" s="50" t="n"/>
      <c r="M33" s="45">
        <f>IF(AND(ISNUMBER($C33),ISNUMBER($D33),$C33&lt;=$G$3),1,0)</f>
        <v/>
      </c>
      <c r="N33" s="45">
        <f>IF(M33=1,DATEDIF($C33,$G$3+1,"m"),0)</f>
        <v/>
      </c>
      <c r="O33" s="45">
        <f>IF(M33=1,DATEDIF($C33,$G$3,"m")=N33,FALSE)</f>
        <v/>
      </c>
      <c r="P33" s="45">
        <f>IF(M33=1,MAX(0,N33+IF(AND(O33,'設定'!$B$4="1か月に切り上げる"),1,0)-N($E33)),0)</f>
        <v/>
      </c>
      <c r="Q33" s="45">
        <f>INT(P33/12)</f>
        <v/>
      </c>
      <c r="R33" s="45">
        <f>MOD(P33,12)</f>
        <v/>
      </c>
      <c r="S33" s="45">
        <f>MIN(45,Q33+IF(AND('設定'!$B$5="6か月以上は1年に切り上げる",R33&gt;=6),1,0))</f>
        <v/>
      </c>
      <c r="T33" s="45">
        <f>IF('設定'!$B$5="月割りで計算する",IF(Q33&gt;=45,INDEX('設定'!$B$17:$B$62,46),INDEX('設定'!$B$17:$B$62,Q33+1)+(INDEX('設定'!$B$17:$B$62,Q33+2)-INDEX('設定'!$B$17:$B$62,Q33+1))*R33/12),INDEX('設定'!$B$17:$B$62,S33+1))</f>
        <v/>
      </c>
    </row>
    <row r="34" ht="18" customHeight="1">
      <c r="A34" s="40" t="n">
        <v>25</v>
      </c>
      <c r="B34" s="8" t="n"/>
      <c r="C34" s="26" t="n"/>
      <c r="D34" s="30" t="n"/>
      <c r="E34" s="31" t="n"/>
      <c r="F34" s="41">
        <f>IF(M34=1,Q34&amp;"年"&amp;R34&amp;"か月","")</f>
        <v/>
      </c>
      <c r="G34" s="42">
        <f>IF(M34=1,T34,"")</f>
        <v/>
      </c>
      <c r="H34" s="43">
        <f>IF(M34=1,INDEX('設定'!$C$17:$C$62,S34+1),"")</f>
        <v/>
      </c>
      <c r="I34" s="34">
        <f>IF(M34=1,IF('設定'!$B$7="切り捨てる",ROUNDDOWN(ROUND(($D34*T34*INDEX('設定'!$C$17:$C$62,S34+1))/IF(ISNUMBER('設定'!$B$6),MAX(1,'設定'!$B$6),1),6),0),ROUNDUP(ROUND(($D34*T34*INDEX('設定'!$C$17:$C$62,S34+1))/IF(ISNUMBER('設定'!$B$6),MAX(1,'設定'!$B$6),1),6),0))*IF(ISNUMBER('設定'!$B$6),MAX(1,'設定'!$B$6),1),"")</f>
        <v/>
      </c>
      <c r="J34" s="34">
        <f>IF(M34=1,IF('設定'!$B$7="切り捨てる",ROUNDDOWN(ROUND(($D34*T34*N('設定'!$B$10))/IF(ISNUMBER('設定'!$B$6),MAX(1,'設定'!$B$6),1),6),0),ROUNDUP(ROUND(($D34*T34*N('設定'!$B$10))/IF(ISNUMBER('設定'!$B$6),MAX(1,'設定'!$B$6),1),6),0))*IF(ISNUMBER('設定'!$B$6),MAX(1,'設定'!$B$6),1),"")</f>
        <v/>
      </c>
      <c r="K34" s="44" t="n"/>
      <c r="L34" s="50" t="n"/>
      <c r="M34" s="45">
        <f>IF(AND(ISNUMBER($C34),ISNUMBER($D34),$C34&lt;=$G$3),1,0)</f>
        <v/>
      </c>
      <c r="N34" s="45">
        <f>IF(M34=1,DATEDIF($C34,$G$3+1,"m"),0)</f>
        <v/>
      </c>
      <c r="O34" s="45">
        <f>IF(M34=1,DATEDIF($C34,$G$3,"m")=N34,FALSE)</f>
        <v/>
      </c>
      <c r="P34" s="45">
        <f>IF(M34=1,MAX(0,N34+IF(AND(O34,'設定'!$B$4="1か月に切り上げる"),1,0)-N($E34)),0)</f>
        <v/>
      </c>
      <c r="Q34" s="45">
        <f>INT(P34/12)</f>
        <v/>
      </c>
      <c r="R34" s="45">
        <f>MOD(P34,12)</f>
        <v/>
      </c>
      <c r="S34" s="45">
        <f>MIN(45,Q34+IF(AND('設定'!$B$5="6か月以上は1年に切り上げる",R34&gt;=6),1,0))</f>
        <v/>
      </c>
      <c r="T34" s="45">
        <f>IF('設定'!$B$5="月割りで計算する",IF(Q34&gt;=45,INDEX('設定'!$B$17:$B$62,46),INDEX('設定'!$B$17:$B$62,Q34+1)+(INDEX('設定'!$B$17:$B$62,Q34+2)-INDEX('設定'!$B$17:$B$62,Q34+1))*R34/12),INDEX('設定'!$B$17:$B$62,S34+1))</f>
        <v/>
      </c>
    </row>
    <row r="35" ht="18" customHeight="1">
      <c r="A35" s="40" t="n">
        <v>26</v>
      </c>
      <c r="B35" s="8" t="n"/>
      <c r="C35" s="26" t="n"/>
      <c r="D35" s="30" t="n"/>
      <c r="E35" s="31" t="n"/>
      <c r="F35" s="41">
        <f>IF(M35=1,Q35&amp;"年"&amp;R35&amp;"か月","")</f>
        <v/>
      </c>
      <c r="G35" s="42">
        <f>IF(M35=1,T35,"")</f>
        <v/>
      </c>
      <c r="H35" s="43">
        <f>IF(M35=1,INDEX('設定'!$C$17:$C$62,S35+1),"")</f>
        <v/>
      </c>
      <c r="I35" s="34">
        <f>IF(M35=1,IF('設定'!$B$7="切り捨てる",ROUNDDOWN(ROUND(($D35*T35*INDEX('設定'!$C$17:$C$62,S35+1))/IF(ISNUMBER('設定'!$B$6),MAX(1,'設定'!$B$6),1),6),0),ROUNDUP(ROUND(($D35*T35*INDEX('設定'!$C$17:$C$62,S35+1))/IF(ISNUMBER('設定'!$B$6),MAX(1,'設定'!$B$6),1),6),0))*IF(ISNUMBER('設定'!$B$6),MAX(1,'設定'!$B$6),1),"")</f>
        <v/>
      </c>
      <c r="J35" s="34">
        <f>IF(M35=1,IF('設定'!$B$7="切り捨てる",ROUNDDOWN(ROUND(($D35*T35*N('設定'!$B$10))/IF(ISNUMBER('設定'!$B$6),MAX(1,'設定'!$B$6),1),6),0),ROUNDUP(ROUND(($D35*T35*N('設定'!$B$10))/IF(ISNUMBER('設定'!$B$6),MAX(1,'設定'!$B$6),1),6),0))*IF(ISNUMBER('設定'!$B$6),MAX(1,'設定'!$B$6),1),"")</f>
        <v/>
      </c>
      <c r="K35" s="44" t="n"/>
      <c r="L35" s="50" t="n"/>
      <c r="M35" s="45">
        <f>IF(AND(ISNUMBER($C35),ISNUMBER($D35),$C35&lt;=$G$3),1,0)</f>
        <v/>
      </c>
      <c r="N35" s="45">
        <f>IF(M35=1,DATEDIF($C35,$G$3+1,"m"),0)</f>
        <v/>
      </c>
      <c r="O35" s="45">
        <f>IF(M35=1,DATEDIF($C35,$G$3,"m")=N35,FALSE)</f>
        <v/>
      </c>
      <c r="P35" s="45">
        <f>IF(M35=1,MAX(0,N35+IF(AND(O35,'設定'!$B$4="1か月に切り上げる"),1,0)-N($E35)),0)</f>
        <v/>
      </c>
      <c r="Q35" s="45">
        <f>INT(P35/12)</f>
        <v/>
      </c>
      <c r="R35" s="45">
        <f>MOD(P35,12)</f>
        <v/>
      </c>
      <c r="S35" s="45">
        <f>MIN(45,Q35+IF(AND('設定'!$B$5="6か月以上は1年に切り上げる",R35&gt;=6),1,0))</f>
        <v/>
      </c>
      <c r="T35" s="45">
        <f>IF('設定'!$B$5="月割りで計算する",IF(Q35&gt;=45,INDEX('設定'!$B$17:$B$62,46),INDEX('設定'!$B$17:$B$62,Q35+1)+(INDEX('設定'!$B$17:$B$62,Q35+2)-INDEX('設定'!$B$17:$B$62,Q35+1))*R35/12),INDEX('設定'!$B$17:$B$62,S35+1))</f>
        <v/>
      </c>
    </row>
    <row r="36" ht="18" customHeight="1">
      <c r="A36" s="40" t="n">
        <v>27</v>
      </c>
      <c r="B36" s="8" t="n"/>
      <c r="C36" s="26" t="n"/>
      <c r="D36" s="30" t="n"/>
      <c r="E36" s="31" t="n"/>
      <c r="F36" s="41">
        <f>IF(M36=1,Q36&amp;"年"&amp;R36&amp;"か月","")</f>
        <v/>
      </c>
      <c r="G36" s="42">
        <f>IF(M36=1,T36,"")</f>
        <v/>
      </c>
      <c r="H36" s="43">
        <f>IF(M36=1,INDEX('設定'!$C$17:$C$62,S36+1),"")</f>
        <v/>
      </c>
      <c r="I36" s="34">
        <f>IF(M36=1,IF('設定'!$B$7="切り捨てる",ROUNDDOWN(ROUND(($D36*T36*INDEX('設定'!$C$17:$C$62,S36+1))/IF(ISNUMBER('設定'!$B$6),MAX(1,'設定'!$B$6),1),6),0),ROUNDUP(ROUND(($D36*T36*INDEX('設定'!$C$17:$C$62,S36+1))/IF(ISNUMBER('設定'!$B$6),MAX(1,'設定'!$B$6),1),6),0))*IF(ISNUMBER('設定'!$B$6),MAX(1,'設定'!$B$6),1),"")</f>
        <v/>
      </c>
      <c r="J36" s="34">
        <f>IF(M36=1,IF('設定'!$B$7="切り捨てる",ROUNDDOWN(ROUND(($D36*T36*N('設定'!$B$10))/IF(ISNUMBER('設定'!$B$6),MAX(1,'設定'!$B$6),1),6),0),ROUNDUP(ROUND(($D36*T36*N('設定'!$B$10))/IF(ISNUMBER('設定'!$B$6),MAX(1,'設定'!$B$6),1),6),0))*IF(ISNUMBER('設定'!$B$6),MAX(1,'設定'!$B$6),1),"")</f>
        <v/>
      </c>
      <c r="K36" s="44" t="n"/>
      <c r="L36" s="50" t="n"/>
      <c r="M36" s="45">
        <f>IF(AND(ISNUMBER($C36),ISNUMBER($D36),$C36&lt;=$G$3),1,0)</f>
        <v/>
      </c>
      <c r="N36" s="45">
        <f>IF(M36=1,DATEDIF($C36,$G$3+1,"m"),0)</f>
        <v/>
      </c>
      <c r="O36" s="45">
        <f>IF(M36=1,DATEDIF($C36,$G$3,"m")=N36,FALSE)</f>
        <v/>
      </c>
      <c r="P36" s="45">
        <f>IF(M36=1,MAX(0,N36+IF(AND(O36,'設定'!$B$4="1か月に切り上げる"),1,0)-N($E36)),0)</f>
        <v/>
      </c>
      <c r="Q36" s="45">
        <f>INT(P36/12)</f>
        <v/>
      </c>
      <c r="R36" s="45">
        <f>MOD(P36,12)</f>
        <v/>
      </c>
      <c r="S36" s="45">
        <f>MIN(45,Q36+IF(AND('設定'!$B$5="6か月以上は1年に切り上げる",R36&gt;=6),1,0))</f>
        <v/>
      </c>
      <c r="T36" s="45">
        <f>IF('設定'!$B$5="月割りで計算する",IF(Q36&gt;=45,INDEX('設定'!$B$17:$B$62,46),INDEX('設定'!$B$17:$B$62,Q36+1)+(INDEX('設定'!$B$17:$B$62,Q36+2)-INDEX('設定'!$B$17:$B$62,Q36+1))*R36/12),INDEX('設定'!$B$17:$B$62,S36+1))</f>
        <v/>
      </c>
    </row>
    <row r="37" ht="18" customHeight="1">
      <c r="A37" s="40" t="n">
        <v>28</v>
      </c>
      <c r="B37" s="8" t="n"/>
      <c r="C37" s="26" t="n"/>
      <c r="D37" s="30" t="n"/>
      <c r="E37" s="31" t="n"/>
      <c r="F37" s="41">
        <f>IF(M37=1,Q37&amp;"年"&amp;R37&amp;"か月","")</f>
        <v/>
      </c>
      <c r="G37" s="42">
        <f>IF(M37=1,T37,"")</f>
        <v/>
      </c>
      <c r="H37" s="43">
        <f>IF(M37=1,INDEX('設定'!$C$17:$C$62,S37+1),"")</f>
        <v/>
      </c>
      <c r="I37" s="34">
        <f>IF(M37=1,IF('設定'!$B$7="切り捨てる",ROUNDDOWN(ROUND(($D37*T37*INDEX('設定'!$C$17:$C$62,S37+1))/IF(ISNUMBER('設定'!$B$6),MAX(1,'設定'!$B$6),1),6),0),ROUNDUP(ROUND(($D37*T37*INDEX('設定'!$C$17:$C$62,S37+1))/IF(ISNUMBER('設定'!$B$6),MAX(1,'設定'!$B$6),1),6),0))*IF(ISNUMBER('設定'!$B$6),MAX(1,'設定'!$B$6),1),"")</f>
        <v/>
      </c>
      <c r="J37" s="34">
        <f>IF(M37=1,IF('設定'!$B$7="切り捨てる",ROUNDDOWN(ROUND(($D37*T37*N('設定'!$B$10))/IF(ISNUMBER('設定'!$B$6),MAX(1,'設定'!$B$6),1),6),0),ROUNDUP(ROUND(($D37*T37*N('設定'!$B$10))/IF(ISNUMBER('設定'!$B$6),MAX(1,'設定'!$B$6),1),6),0))*IF(ISNUMBER('設定'!$B$6),MAX(1,'設定'!$B$6),1),"")</f>
        <v/>
      </c>
      <c r="K37" s="44" t="n"/>
      <c r="L37" s="50" t="n"/>
      <c r="M37" s="45">
        <f>IF(AND(ISNUMBER($C37),ISNUMBER($D37),$C37&lt;=$G$3),1,0)</f>
        <v/>
      </c>
      <c r="N37" s="45">
        <f>IF(M37=1,DATEDIF($C37,$G$3+1,"m"),0)</f>
        <v/>
      </c>
      <c r="O37" s="45">
        <f>IF(M37=1,DATEDIF($C37,$G$3,"m")=N37,FALSE)</f>
        <v/>
      </c>
      <c r="P37" s="45">
        <f>IF(M37=1,MAX(0,N37+IF(AND(O37,'設定'!$B$4="1か月に切り上げる"),1,0)-N($E37)),0)</f>
        <v/>
      </c>
      <c r="Q37" s="45">
        <f>INT(P37/12)</f>
        <v/>
      </c>
      <c r="R37" s="45">
        <f>MOD(P37,12)</f>
        <v/>
      </c>
      <c r="S37" s="45">
        <f>MIN(45,Q37+IF(AND('設定'!$B$5="6か月以上は1年に切り上げる",R37&gt;=6),1,0))</f>
        <v/>
      </c>
      <c r="T37" s="45">
        <f>IF('設定'!$B$5="月割りで計算する",IF(Q37&gt;=45,INDEX('設定'!$B$17:$B$62,46),INDEX('設定'!$B$17:$B$62,Q37+1)+(INDEX('設定'!$B$17:$B$62,Q37+2)-INDEX('設定'!$B$17:$B$62,Q37+1))*R37/12),INDEX('設定'!$B$17:$B$62,S37+1))</f>
        <v/>
      </c>
    </row>
    <row r="38" ht="18" customHeight="1">
      <c r="A38" s="40" t="n">
        <v>29</v>
      </c>
      <c r="B38" s="8" t="n"/>
      <c r="C38" s="26" t="n"/>
      <c r="D38" s="30" t="n"/>
      <c r="E38" s="31" t="n"/>
      <c r="F38" s="41">
        <f>IF(M38=1,Q38&amp;"年"&amp;R38&amp;"か月","")</f>
        <v/>
      </c>
      <c r="G38" s="42">
        <f>IF(M38=1,T38,"")</f>
        <v/>
      </c>
      <c r="H38" s="43">
        <f>IF(M38=1,INDEX('設定'!$C$17:$C$62,S38+1),"")</f>
        <v/>
      </c>
      <c r="I38" s="34">
        <f>IF(M38=1,IF('設定'!$B$7="切り捨てる",ROUNDDOWN(ROUND(($D38*T38*INDEX('設定'!$C$17:$C$62,S38+1))/IF(ISNUMBER('設定'!$B$6),MAX(1,'設定'!$B$6),1),6),0),ROUNDUP(ROUND(($D38*T38*INDEX('設定'!$C$17:$C$62,S38+1))/IF(ISNUMBER('設定'!$B$6),MAX(1,'設定'!$B$6),1),6),0))*IF(ISNUMBER('設定'!$B$6),MAX(1,'設定'!$B$6),1),"")</f>
        <v/>
      </c>
      <c r="J38" s="34">
        <f>IF(M38=1,IF('設定'!$B$7="切り捨てる",ROUNDDOWN(ROUND(($D38*T38*N('設定'!$B$10))/IF(ISNUMBER('設定'!$B$6),MAX(1,'設定'!$B$6),1),6),0),ROUNDUP(ROUND(($D38*T38*N('設定'!$B$10))/IF(ISNUMBER('設定'!$B$6),MAX(1,'設定'!$B$6),1),6),0))*IF(ISNUMBER('設定'!$B$6),MAX(1,'設定'!$B$6),1),"")</f>
        <v/>
      </c>
      <c r="K38" s="44" t="n"/>
      <c r="L38" s="50" t="n"/>
      <c r="M38" s="45">
        <f>IF(AND(ISNUMBER($C38),ISNUMBER($D38),$C38&lt;=$G$3),1,0)</f>
        <v/>
      </c>
      <c r="N38" s="45">
        <f>IF(M38=1,DATEDIF($C38,$G$3+1,"m"),0)</f>
        <v/>
      </c>
      <c r="O38" s="45">
        <f>IF(M38=1,DATEDIF($C38,$G$3,"m")=N38,FALSE)</f>
        <v/>
      </c>
      <c r="P38" s="45">
        <f>IF(M38=1,MAX(0,N38+IF(AND(O38,'設定'!$B$4="1か月に切り上げる"),1,0)-N($E38)),0)</f>
        <v/>
      </c>
      <c r="Q38" s="45">
        <f>INT(P38/12)</f>
        <v/>
      </c>
      <c r="R38" s="45">
        <f>MOD(P38,12)</f>
        <v/>
      </c>
      <c r="S38" s="45">
        <f>MIN(45,Q38+IF(AND('設定'!$B$5="6か月以上は1年に切り上げる",R38&gt;=6),1,0))</f>
        <v/>
      </c>
      <c r="T38" s="45">
        <f>IF('設定'!$B$5="月割りで計算する",IF(Q38&gt;=45,INDEX('設定'!$B$17:$B$62,46),INDEX('設定'!$B$17:$B$62,Q38+1)+(INDEX('設定'!$B$17:$B$62,Q38+2)-INDEX('設定'!$B$17:$B$62,Q38+1))*R38/12),INDEX('設定'!$B$17:$B$62,S38+1))</f>
        <v/>
      </c>
    </row>
    <row r="39" ht="18" customHeight="1">
      <c r="A39" s="40" t="n">
        <v>30</v>
      </c>
      <c r="B39" s="8" t="n"/>
      <c r="C39" s="26" t="n"/>
      <c r="D39" s="30" t="n"/>
      <c r="E39" s="31" t="n"/>
      <c r="F39" s="41">
        <f>IF(M39=1,Q39&amp;"年"&amp;R39&amp;"か月","")</f>
        <v/>
      </c>
      <c r="G39" s="42">
        <f>IF(M39=1,T39,"")</f>
        <v/>
      </c>
      <c r="H39" s="43">
        <f>IF(M39=1,INDEX('設定'!$C$17:$C$62,S39+1),"")</f>
        <v/>
      </c>
      <c r="I39" s="34">
        <f>IF(M39=1,IF('設定'!$B$7="切り捨てる",ROUNDDOWN(ROUND(($D39*T39*INDEX('設定'!$C$17:$C$62,S39+1))/IF(ISNUMBER('設定'!$B$6),MAX(1,'設定'!$B$6),1),6),0),ROUNDUP(ROUND(($D39*T39*INDEX('設定'!$C$17:$C$62,S39+1))/IF(ISNUMBER('設定'!$B$6),MAX(1,'設定'!$B$6),1),6),0))*IF(ISNUMBER('設定'!$B$6),MAX(1,'設定'!$B$6),1),"")</f>
        <v/>
      </c>
      <c r="J39" s="34">
        <f>IF(M39=1,IF('設定'!$B$7="切り捨てる",ROUNDDOWN(ROUND(($D39*T39*N('設定'!$B$10))/IF(ISNUMBER('設定'!$B$6),MAX(1,'設定'!$B$6),1),6),0),ROUNDUP(ROUND(($D39*T39*N('設定'!$B$10))/IF(ISNUMBER('設定'!$B$6),MAX(1,'設定'!$B$6),1),6),0))*IF(ISNUMBER('設定'!$B$6),MAX(1,'設定'!$B$6),1),"")</f>
        <v/>
      </c>
      <c r="K39" s="44" t="n"/>
      <c r="L39" s="50" t="n"/>
      <c r="M39" s="45">
        <f>IF(AND(ISNUMBER($C39),ISNUMBER($D39),$C39&lt;=$G$3),1,0)</f>
        <v/>
      </c>
      <c r="N39" s="45">
        <f>IF(M39=1,DATEDIF($C39,$G$3+1,"m"),0)</f>
        <v/>
      </c>
      <c r="O39" s="45">
        <f>IF(M39=1,DATEDIF($C39,$G$3,"m")=N39,FALSE)</f>
        <v/>
      </c>
      <c r="P39" s="45">
        <f>IF(M39=1,MAX(0,N39+IF(AND(O39,'設定'!$B$4="1か月に切り上げる"),1,0)-N($E39)),0)</f>
        <v/>
      </c>
      <c r="Q39" s="45">
        <f>INT(P39/12)</f>
        <v/>
      </c>
      <c r="R39" s="45">
        <f>MOD(P39,12)</f>
        <v/>
      </c>
      <c r="S39" s="45">
        <f>MIN(45,Q39+IF(AND('設定'!$B$5="6か月以上は1年に切り上げる",R39&gt;=6),1,0))</f>
        <v/>
      </c>
      <c r="T39" s="45">
        <f>IF('設定'!$B$5="月割りで計算する",IF(Q39&gt;=45,INDEX('設定'!$B$17:$B$62,46),INDEX('設定'!$B$17:$B$62,Q39+1)+(INDEX('設定'!$B$17:$B$62,Q39+2)-INDEX('設定'!$B$17:$B$62,Q39+1))*R39/12),INDEX('設定'!$B$17:$B$62,S39+1))</f>
        <v/>
      </c>
    </row>
    <row r="40" ht="18" customHeight="1">
      <c r="A40" s="40" t="n">
        <v>31</v>
      </c>
      <c r="B40" s="8" t="n"/>
      <c r="C40" s="26" t="n"/>
      <c r="D40" s="30" t="n"/>
      <c r="E40" s="31" t="n"/>
      <c r="F40" s="41">
        <f>IF(M40=1,Q40&amp;"年"&amp;R40&amp;"か月","")</f>
        <v/>
      </c>
      <c r="G40" s="42">
        <f>IF(M40=1,T40,"")</f>
        <v/>
      </c>
      <c r="H40" s="43">
        <f>IF(M40=1,INDEX('設定'!$C$17:$C$62,S40+1),"")</f>
        <v/>
      </c>
      <c r="I40" s="34">
        <f>IF(M40=1,IF('設定'!$B$7="切り捨てる",ROUNDDOWN(ROUND(($D40*T40*INDEX('設定'!$C$17:$C$62,S40+1))/IF(ISNUMBER('設定'!$B$6),MAX(1,'設定'!$B$6),1),6),0),ROUNDUP(ROUND(($D40*T40*INDEX('設定'!$C$17:$C$62,S40+1))/IF(ISNUMBER('設定'!$B$6),MAX(1,'設定'!$B$6),1),6),0))*IF(ISNUMBER('設定'!$B$6),MAX(1,'設定'!$B$6),1),"")</f>
        <v/>
      </c>
      <c r="J40" s="34">
        <f>IF(M40=1,IF('設定'!$B$7="切り捨てる",ROUNDDOWN(ROUND(($D40*T40*N('設定'!$B$10))/IF(ISNUMBER('設定'!$B$6),MAX(1,'設定'!$B$6),1),6),0),ROUNDUP(ROUND(($D40*T40*N('設定'!$B$10))/IF(ISNUMBER('設定'!$B$6),MAX(1,'設定'!$B$6),1),6),0))*IF(ISNUMBER('設定'!$B$6),MAX(1,'設定'!$B$6),1),"")</f>
        <v/>
      </c>
      <c r="K40" s="44" t="n"/>
      <c r="L40" s="50" t="n"/>
      <c r="M40" s="45">
        <f>IF(AND(ISNUMBER($C40),ISNUMBER($D40),$C40&lt;=$G$3),1,0)</f>
        <v/>
      </c>
      <c r="N40" s="45">
        <f>IF(M40=1,DATEDIF($C40,$G$3+1,"m"),0)</f>
        <v/>
      </c>
      <c r="O40" s="45">
        <f>IF(M40=1,DATEDIF($C40,$G$3,"m")=N40,FALSE)</f>
        <v/>
      </c>
      <c r="P40" s="45">
        <f>IF(M40=1,MAX(0,N40+IF(AND(O40,'設定'!$B$4="1か月に切り上げる"),1,0)-N($E40)),0)</f>
        <v/>
      </c>
      <c r="Q40" s="45">
        <f>INT(P40/12)</f>
        <v/>
      </c>
      <c r="R40" s="45">
        <f>MOD(P40,12)</f>
        <v/>
      </c>
      <c r="S40" s="45">
        <f>MIN(45,Q40+IF(AND('設定'!$B$5="6か月以上は1年に切り上げる",R40&gt;=6),1,0))</f>
        <v/>
      </c>
      <c r="T40" s="45">
        <f>IF('設定'!$B$5="月割りで計算する",IF(Q40&gt;=45,INDEX('設定'!$B$17:$B$62,46),INDEX('設定'!$B$17:$B$62,Q40+1)+(INDEX('設定'!$B$17:$B$62,Q40+2)-INDEX('設定'!$B$17:$B$62,Q40+1))*R40/12),INDEX('設定'!$B$17:$B$62,S40+1))</f>
        <v/>
      </c>
    </row>
    <row r="41" ht="18" customHeight="1">
      <c r="A41" s="40" t="n">
        <v>32</v>
      </c>
      <c r="B41" s="8" t="n"/>
      <c r="C41" s="26" t="n"/>
      <c r="D41" s="30" t="n"/>
      <c r="E41" s="31" t="n"/>
      <c r="F41" s="41">
        <f>IF(M41=1,Q41&amp;"年"&amp;R41&amp;"か月","")</f>
        <v/>
      </c>
      <c r="G41" s="42">
        <f>IF(M41=1,T41,"")</f>
        <v/>
      </c>
      <c r="H41" s="43">
        <f>IF(M41=1,INDEX('設定'!$C$17:$C$62,S41+1),"")</f>
        <v/>
      </c>
      <c r="I41" s="34">
        <f>IF(M41=1,IF('設定'!$B$7="切り捨てる",ROUNDDOWN(ROUND(($D41*T41*INDEX('設定'!$C$17:$C$62,S41+1))/IF(ISNUMBER('設定'!$B$6),MAX(1,'設定'!$B$6),1),6),0),ROUNDUP(ROUND(($D41*T41*INDEX('設定'!$C$17:$C$62,S41+1))/IF(ISNUMBER('設定'!$B$6),MAX(1,'設定'!$B$6),1),6),0))*IF(ISNUMBER('設定'!$B$6),MAX(1,'設定'!$B$6),1),"")</f>
        <v/>
      </c>
      <c r="J41" s="34">
        <f>IF(M41=1,IF('設定'!$B$7="切り捨てる",ROUNDDOWN(ROUND(($D41*T41*N('設定'!$B$10))/IF(ISNUMBER('設定'!$B$6),MAX(1,'設定'!$B$6),1),6),0),ROUNDUP(ROUND(($D41*T41*N('設定'!$B$10))/IF(ISNUMBER('設定'!$B$6),MAX(1,'設定'!$B$6),1),6),0))*IF(ISNUMBER('設定'!$B$6),MAX(1,'設定'!$B$6),1),"")</f>
        <v/>
      </c>
      <c r="K41" s="44" t="n"/>
      <c r="L41" s="50" t="n"/>
      <c r="M41" s="45">
        <f>IF(AND(ISNUMBER($C41),ISNUMBER($D41),$C41&lt;=$G$3),1,0)</f>
        <v/>
      </c>
      <c r="N41" s="45">
        <f>IF(M41=1,DATEDIF($C41,$G$3+1,"m"),0)</f>
        <v/>
      </c>
      <c r="O41" s="45">
        <f>IF(M41=1,DATEDIF($C41,$G$3,"m")=N41,FALSE)</f>
        <v/>
      </c>
      <c r="P41" s="45">
        <f>IF(M41=1,MAX(0,N41+IF(AND(O41,'設定'!$B$4="1か月に切り上げる"),1,0)-N($E41)),0)</f>
        <v/>
      </c>
      <c r="Q41" s="45">
        <f>INT(P41/12)</f>
        <v/>
      </c>
      <c r="R41" s="45">
        <f>MOD(P41,12)</f>
        <v/>
      </c>
      <c r="S41" s="45">
        <f>MIN(45,Q41+IF(AND('設定'!$B$5="6か月以上は1年に切り上げる",R41&gt;=6),1,0))</f>
        <v/>
      </c>
      <c r="T41" s="45">
        <f>IF('設定'!$B$5="月割りで計算する",IF(Q41&gt;=45,INDEX('設定'!$B$17:$B$62,46),INDEX('設定'!$B$17:$B$62,Q41+1)+(INDEX('設定'!$B$17:$B$62,Q41+2)-INDEX('設定'!$B$17:$B$62,Q41+1))*R41/12),INDEX('設定'!$B$17:$B$62,S41+1))</f>
        <v/>
      </c>
    </row>
    <row r="42" ht="18" customHeight="1">
      <c r="A42" s="40" t="n">
        <v>33</v>
      </c>
      <c r="B42" s="8" t="n"/>
      <c r="C42" s="26" t="n"/>
      <c r="D42" s="30" t="n"/>
      <c r="E42" s="31" t="n"/>
      <c r="F42" s="41">
        <f>IF(M42=1,Q42&amp;"年"&amp;R42&amp;"か月","")</f>
        <v/>
      </c>
      <c r="G42" s="42">
        <f>IF(M42=1,T42,"")</f>
        <v/>
      </c>
      <c r="H42" s="43">
        <f>IF(M42=1,INDEX('設定'!$C$17:$C$62,S42+1),"")</f>
        <v/>
      </c>
      <c r="I42" s="34">
        <f>IF(M42=1,IF('設定'!$B$7="切り捨てる",ROUNDDOWN(ROUND(($D42*T42*INDEX('設定'!$C$17:$C$62,S42+1))/IF(ISNUMBER('設定'!$B$6),MAX(1,'設定'!$B$6),1),6),0),ROUNDUP(ROUND(($D42*T42*INDEX('設定'!$C$17:$C$62,S42+1))/IF(ISNUMBER('設定'!$B$6),MAX(1,'設定'!$B$6),1),6),0))*IF(ISNUMBER('設定'!$B$6),MAX(1,'設定'!$B$6),1),"")</f>
        <v/>
      </c>
      <c r="J42" s="34">
        <f>IF(M42=1,IF('設定'!$B$7="切り捨てる",ROUNDDOWN(ROUND(($D42*T42*N('設定'!$B$10))/IF(ISNUMBER('設定'!$B$6),MAX(1,'設定'!$B$6),1),6),0),ROUNDUP(ROUND(($D42*T42*N('設定'!$B$10))/IF(ISNUMBER('設定'!$B$6),MAX(1,'設定'!$B$6),1),6),0))*IF(ISNUMBER('設定'!$B$6),MAX(1,'設定'!$B$6),1),"")</f>
        <v/>
      </c>
      <c r="K42" s="44" t="n"/>
      <c r="L42" s="50" t="n"/>
      <c r="M42" s="45">
        <f>IF(AND(ISNUMBER($C42),ISNUMBER($D42),$C42&lt;=$G$3),1,0)</f>
        <v/>
      </c>
      <c r="N42" s="45">
        <f>IF(M42=1,DATEDIF($C42,$G$3+1,"m"),0)</f>
        <v/>
      </c>
      <c r="O42" s="45">
        <f>IF(M42=1,DATEDIF($C42,$G$3,"m")=N42,FALSE)</f>
        <v/>
      </c>
      <c r="P42" s="45">
        <f>IF(M42=1,MAX(0,N42+IF(AND(O42,'設定'!$B$4="1か月に切り上げる"),1,0)-N($E42)),0)</f>
        <v/>
      </c>
      <c r="Q42" s="45">
        <f>INT(P42/12)</f>
        <v/>
      </c>
      <c r="R42" s="45">
        <f>MOD(P42,12)</f>
        <v/>
      </c>
      <c r="S42" s="45">
        <f>MIN(45,Q42+IF(AND('設定'!$B$5="6か月以上は1年に切り上げる",R42&gt;=6),1,0))</f>
        <v/>
      </c>
      <c r="T42" s="45">
        <f>IF('設定'!$B$5="月割りで計算する",IF(Q42&gt;=45,INDEX('設定'!$B$17:$B$62,46),INDEX('設定'!$B$17:$B$62,Q42+1)+(INDEX('設定'!$B$17:$B$62,Q42+2)-INDEX('設定'!$B$17:$B$62,Q42+1))*R42/12),INDEX('設定'!$B$17:$B$62,S42+1))</f>
        <v/>
      </c>
    </row>
    <row r="43" ht="18" customHeight="1">
      <c r="A43" s="40" t="n">
        <v>34</v>
      </c>
      <c r="B43" s="8" t="n"/>
      <c r="C43" s="26" t="n"/>
      <c r="D43" s="30" t="n"/>
      <c r="E43" s="31" t="n"/>
      <c r="F43" s="41">
        <f>IF(M43=1,Q43&amp;"年"&amp;R43&amp;"か月","")</f>
        <v/>
      </c>
      <c r="G43" s="42">
        <f>IF(M43=1,T43,"")</f>
        <v/>
      </c>
      <c r="H43" s="43">
        <f>IF(M43=1,INDEX('設定'!$C$17:$C$62,S43+1),"")</f>
        <v/>
      </c>
      <c r="I43" s="34">
        <f>IF(M43=1,IF('設定'!$B$7="切り捨てる",ROUNDDOWN(ROUND(($D43*T43*INDEX('設定'!$C$17:$C$62,S43+1))/IF(ISNUMBER('設定'!$B$6),MAX(1,'設定'!$B$6),1),6),0),ROUNDUP(ROUND(($D43*T43*INDEX('設定'!$C$17:$C$62,S43+1))/IF(ISNUMBER('設定'!$B$6),MAX(1,'設定'!$B$6),1),6),0))*IF(ISNUMBER('設定'!$B$6),MAX(1,'設定'!$B$6),1),"")</f>
        <v/>
      </c>
      <c r="J43" s="34">
        <f>IF(M43=1,IF('設定'!$B$7="切り捨てる",ROUNDDOWN(ROUND(($D43*T43*N('設定'!$B$10))/IF(ISNUMBER('設定'!$B$6),MAX(1,'設定'!$B$6),1),6),0),ROUNDUP(ROUND(($D43*T43*N('設定'!$B$10))/IF(ISNUMBER('設定'!$B$6),MAX(1,'設定'!$B$6),1),6),0))*IF(ISNUMBER('設定'!$B$6),MAX(1,'設定'!$B$6),1),"")</f>
        <v/>
      </c>
      <c r="K43" s="44" t="n"/>
      <c r="L43" s="50" t="n"/>
      <c r="M43" s="45">
        <f>IF(AND(ISNUMBER($C43),ISNUMBER($D43),$C43&lt;=$G$3),1,0)</f>
        <v/>
      </c>
      <c r="N43" s="45">
        <f>IF(M43=1,DATEDIF($C43,$G$3+1,"m"),0)</f>
        <v/>
      </c>
      <c r="O43" s="45">
        <f>IF(M43=1,DATEDIF($C43,$G$3,"m")=N43,FALSE)</f>
        <v/>
      </c>
      <c r="P43" s="45">
        <f>IF(M43=1,MAX(0,N43+IF(AND(O43,'設定'!$B$4="1か月に切り上げる"),1,0)-N($E43)),0)</f>
        <v/>
      </c>
      <c r="Q43" s="45">
        <f>INT(P43/12)</f>
        <v/>
      </c>
      <c r="R43" s="45">
        <f>MOD(P43,12)</f>
        <v/>
      </c>
      <c r="S43" s="45">
        <f>MIN(45,Q43+IF(AND('設定'!$B$5="6か月以上は1年に切り上げる",R43&gt;=6),1,0))</f>
        <v/>
      </c>
      <c r="T43" s="45">
        <f>IF('設定'!$B$5="月割りで計算する",IF(Q43&gt;=45,INDEX('設定'!$B$17:$B$62,46),INDEX('設定'!$B$17:$B$62,Q43+1)+(INDEX('設定'!$B$17:$B$62,Q43+2)-INDEX('設定'!$B$17:$B$62,Q43+1))*R43/12),INDEX('設定'!$B$17:$B$62,S43+1))</f>
        <v/>
      </c>
    </row>
    <row r="44" ht="18" customHeight="1">
      <c r="A44" s="40" t="n">
        <v>35</v>
      </c>
      <c r="B44" s="8" t="n"/>
      <c r="C44" s="26" t="n"/>
      <c r="D44" s="30" t="n"/>
      <c r="E44" s="31" t="n"/>
      <c r="F44" s="41">
        <f>IF(M44=1,Q44&amp;"年"&amp;R44&amp;"か月","")</f>
        <v/>
      </c>
      <c r="G44" s="42">
        <f>IF(M44=1,T44,"")</f>
        <v/>
      </c>
      <c r="H44" s="43">
        <f>IF(M44=1,INDEX('設定'!$C$17:$C$62,S44+1),"")</f>
        <v/>
      </c>
      <c r="I44" s="34">
        <f>IF(M44=1,IF('設定'!$B$7="切り捨てる",ROUNDDOWN(ROUND(($D44*T44*INDEX('設定'!$C$17:$C$62,S44+1))/IF(ISNUMBER('設定'!$B$6),MAX(1,'設定'!$B$6),1),6),0),ROUNDUP(ROUND(($D44*T44*INDEX('設定'!$C$17:$C$62,S44+1))/IF(ISNUMBER('設定'!$B$6),MAX(1,'設定'!$B$6),1),6),0))*IF(ISNUMBER('設定'!$B$6),MAX(1,'設定'!$B$6),1),"")</f>
        <v/>
      </c>
      <c r="J44" s="34">
        <f>IF(M44=1,IF('設定'!$B$7="切り捨てる",ROUNDDOWN(ROUND(($D44*T44*N('設定'!$B$10))/IF(ISNUMBER('設定'!$B$6),MAX(1,'設定'!$B$6),1),6),0),ROUNDUP(ROUND(($D44*T44*N('設定'!$B$10))/IF(ISNUMBER('設定'!$B$6),MAX(1,'設定'!$B$6),1),6),0))*IF(ISNUMBER('設定'!$B$6),MAX(1,'設定'!$B$6),1),"")</f>
        <v/>
      </c>
      <c r="K44" s="44" t="n"/>
      <c r="L44" s="50" t="n"/>
      <c r="M44" s="45">
        <f>IF(AND(ISNUMBER($C44),ISNUMBER($D44),$C44&lt;=$G$3),1,0)</f>
        <v/>
      </c>
      <c r="N44" s="45">
        <f>IF(M44=1,DATEDIF($C44,$G$3+1,"m"),0)</f>
        <v/>
      </c>
      <c r="O44" s="45">
        <f>IF(M44=1,DATEDIF($C44,$G$3,"m")=N44,FALSE)</f>
        <v/>
      </c>
      <c r="P44" s="45">
        <f>IF(M44=1,MAX(0,N44+IF(AND(O44,'設定'!$B$4="1か月に切り上げる"),1,0)-N($E44)),0)</f>
        <v/>
      </c>
      <c r="Q44" s="45">
        <f>INT(P44/12)</f>
        <v/>
      </c>
      <c r="R44" s="45">
        <f>MOD(P44,12)</f>
        <v/>
      </c>
      <c r="S44" s="45">
        <f>MIN(45,Q44+IF(AND('設定'!$B$5="6か月以上は1年に切り上げる",R44&gt;=6),1,0))</f>
        <v/>
      </c>
      <c r="T44" s="45">
        <f>IF('設定'!$B$5="月割りで計算する",IF(Q44&gt;=45,INDEX('設定'!$B$17:$B$62,46),INDEX('設定'!$B$17:$B$62,Q44+1)+(INDEX('設定'!$B$17:$B$62,Q44+2)-INDEX('設定'!$B$17:$B$62,Q44+1))*R44/12),INDEX('設定'!$B$17:$B$62,S44+1))</f>
        <v/>
      </c>
    </row>
    <row r="45" ht="18" customHeight="1">
      <c r="A45" s="40" t="n">
        <v>36</v>
      </c>
      <c r="B45" s="8" t="n"/>
      <c r="C45" s="26" t="n"/>
      <c r="D45" s="30" t="n"/>
      <c r="E45" s="31" t="n"/>
      <c r="F45" s="41">
        <f>IF(M45=1,Q45&amp;"年"&amp;R45&amp;"か月","")</f>
        <v/>
      </c>
      <c r="G45" s="42">
        <f>IF(M45=1,T45,"")</f>
        <v/>
      </c>
      <c r="H45" s="43">
        <f>IF(M45=1,INDEX('設定'!$C$17:$C$62,S45+1),"")</f>
        <v/>
      </c>
      <c r="I45" s="34">
        <f>IF(M45=1,IF('設定'!$B$7="切り捨てる",ROUNDDOWN(ROUND(($D45*T45*INDEX('設定'!$C$17:$C$62,S45+1))/IF(ISNUMBER('設定'!$B$6),MAX(1,'設定'!$B$6),1),6),0),ROUNDUP(ROUND(($D45*T45*INDEX('設定'!$C$17:$C$62,S45+1))/IF(ISNUMBER('設定'!$B$6),MAX(1,'設定'!$B$6),1),6),0))*IF(ISNUMBER('設定'!$B$6),MAX(1,'設定'!$B$6),1),"")</f>
        <v/>
      </c>
      <c r="J45" s="34">
        <f>IF(M45=1,IF('設定'!$B$7="切り捨てる",ROUNDDOWN(ROUND(($D45*T45*N('設定'!$B$10))/IF(ISNUMBER('設定'!$B$6),MAX(1,'設定'!$B$6),1),6),0),ROUNDUP(ROUND(($D45*T45*N('設定'!$B$10))/IF(ISNUMBER('設定'!$B$6),MAX(1,'設定'!$B$6),1),6),0))*IF(ISNUMBER('設定'!$B$6),MAX(1,'設定'!$B$6),1),"")</f>
        <v/>
      </c>
      <c r="K45" s="44" t="n"/>
      <c r="L45" s="50" t="n"/>
      <c r="M45" s="45">
        <f>IF(AND(ISNUMBER($C45),ISNUMBER($D45),$C45&lt;=$G$3),1,0)</f>
        <v/>
      </c>
      <c r="N45" s="45">
        <f>IF(M45=1,DATEDIF($C45,$G$3+1,"m"),0)</f>
        <v/>
      </c>
      <c r="O45" s="45">
        <f>IF(M45=1,DATEDIF($C45,$G$3,"m")=N45,FALSE)</f>
        <v/>
      </c>
      <c r="P45" s="45">
        <f>IF(M45=1,MAX(0,N45+IF(AND(O45,'設定'!$B$4="1か月に切り上げる"),1,0)-N($E45)),0)</f>
        <v/>
      </c>
      <c r="Q45" s="45">
        <f>INT(P45/12)</f>
        <v/>
      </c>
      <c r="R45" s="45">
        <f>MOD(P45,12)</f>
        <v/>
      </c>
      <c r="S45" s="45">
        <f>MIN(45,Q45+IF(AND('設定'!$B$5="6か月以上は1年に切り上げる",R45&gt;=6),1,0))</f>
        <v/>
      </c>
      <c r="T45" s="45">
        <f>IF('設定'!$B$5="月割りで計算する",IF(Q45&gt;=45,INDEX('設定'!$B$17:$B$62,46),INDEX('設定'!$B$17:$B$62,Q45+1)+(INDEX('設定'!$B$17:$B$62,Q45+2)-INDEX('設定'!$B$17:$B$62,Q45+1))*R45/12),INDEX('設定'!$B$17:$B$62,S45+1))</f>
        <v/>
      </c>
    </row>
    <row r="46" ht="18" customHeight="1">
      <c r="A46" s="40" t="n">
        <v>37</v>
      </c>
      <c r="B46" s="8" t="n"/>
      <c r="C46" s="26" t="n"/>
      <c r="D46" s="30" t="n"/>
      <c r="E46" s="31" t="n"/>
      <c r="F46" s="41">
        <f>IF(M46=1,Q46&amp;"年"&amp;R46&amp;"か月","")</f>
        <v/>
      </c>
      <c r="G46" s="42">
        <f>IF(M46=1,T46,"")</f>
        <v/>
      </c>
      <c r="H46" s="43">
        <f>IF(M46=1,INDEX('設定'!$C$17:$C$62,S46+1),"")</f>
        <v/>
      </c>
      <c r="I46" s="34">
        <f>IF(M46=1,IF('設定'!$B$7="切り捨てる",ROUNDDOWN(ROUND(($D46*T46*INDEX('設定'!$C$17:$C$62,S46+1))/IF(ISNUMBER('設定'!$B$6),MAX(1,'設定'!$B$6),1),6),0),ROUNDUP(ROUND(($D46*T46*INDEX('設定'!$C$17:$C$62,S46+1))/IF(ISNUMBER('設定'!$B$6),MAX(1,'設定'!$B$6),1),6),0))*IF(ISNUMBER('設定'!$B$6),MAX(1,'設定'!$B$6),1),"")</f>
        <v/>
      </c>
      <c r="J46" s="34">
        <f>IF(M46=1,IF('設定'!$B$7="切り捨てる",ROUNDDOWN(ROUND(($D46*T46*N('設定'!$B$10))/IF(ISNUMBER('設定'!$B$6),MAX(1,'設定'!$B$6),1),6),0),ROUNDUP(ROUND(($D46*T46*N('設定'!$B$10))/IF(ISNUMBER('設定'!$B$6),MAX(1,'設定'!$B$6),1),6),0))*IF(ISNUMBER('設定'!$B$6),MAX(1,'設定'!$B$6),1),"")</f>
        <v/>
      </c>
      <c r="K46" s="44" t="n"/>
      <c r="L46" s="50" t="n"/>
      <c r="M46" s="45">
        <f>IF(AND(ISNUMBER($C46),ISNUMBER($D46),$C46&lt;=$G$3),1,0)</f>
        <v/>
      </c>
      <c r="N46" s="45">
        <f>IF(M46=1,DATEDIF($C46,$G$3+1,"m"),0)</f>
        <v/>
      </c>
      <c r="O46" s="45">
        <f>IF(M46=1,DATEDIF($C46,$G$3,"m")=N46,FALSE)</f>
        <v/>
      </c>
      <c r="P46" s="45">
        <f>IF(M46=1,MAX(0,N46+IF(AND(O46,'設定'!$B$4="1か月に切り上げる"),1,0)-N($E46)),0)</f>
        <v/>
      </c>
      <c r="Q46" s="45">
        <f>INT(P46/12)</f>
        <v/>
      </c>
      <c r="R46" s="45">
        <f>MOD(P46,12)</f>
        <v/>
      </c>
      <c r="S46" s="45">
        <f>MIN(45,Q46+IF(AND('設定'!$B$5="6か月以上は1年に切り上げる",R46&gt;=6),1,0))</f>
        <v/>
      </c>
      <c r="T46" s="45">
        <f>IF('設定'!$B$5="月割りで計算する",IF(Q46&gt;=45,INDEX('設定'!$B$17:$B$62,46),INDEX('設定'!$B$17:$B$62,Q46+1)+(INDEX('設定'!$B$17:$B$62,Q46+2)-INDEX('設定'!$B$17:$B$62,Q46+1))*R46/12),INDEX('設定'!$B$17:$B$62,S46+1))</f>
        <v/>
      </c>
    </row>
    <row r="47" ht="18" customHeight="1">
      <c r="A47" s="40" t="n">
        <v>38</v>
      </c>
      <c r="B47" s="8" t="n"/>
      <c r="C47" s="26" t="n"/>
      <c r="D47" s="30" t="n"/>
      <c r="E47" s="31" t="n"/>
      <c r="F47" s="41">
        <f>IF(M47=1,Q47&amp;"年"&amp;R47&amp;"か月","")</f>
        <v/>
      </c>
      <c r="G47" s="42">
        <f>IF(M47=1,T47,"")</f>
        <v/>
      </c>
      <c r="H47" s="43">
        <f>IF(M47=1,INDEX('設定'!$C$17:$C$62,S47+1),"")</f>
        <v/>
      </c>
      <c r="I47" s="34">
        <f>IF(M47=1,IF('設定'!$B$7="切り捨てる",ROUNDDOWN(ROUND(($D47*T47*INDEX('設定'!$C$17:$C$62,S47+1))/IF(ISNUMBER('設定'!$B$6),MAX(1,'設定'!$B$6),1),6),0),ROUNDUP(ROUND(($D47*T47*INDEX('設定'!$C$17:$C$62,S47+1))/IF(ISNUMBER('設定'!$B$6),MAX(1,'設定'!$B$6),1),6),0))*IF(ISNUMBER('設定'!$B$6),MAX(1,'設定'!$B$6),1),"")</f>
        <v/>
      </c>
      <c r="J47" s="34">
        <f>IF(M47=1,IF('設定'!$B$7="切り捨てる",ROUNDDOWN(ROUND(($D47*T47*N('設定'!$B$10))/IF(ISNUMBER('設定'!$B$6),MAX(1,'設定'!$B$6),1),6),0),ROUNDUP(ROUND(($D47*T47*N('設定'!$B$10))/IF(ISNUMBER('設定'!$B$6),MAX(1,'設定'!$B$6),1),6),0))*IF(ISNUMBER('設定'!$B$6),MAX(1,'設定'!$B$6),1),"")</f>
        <v/>
      </c>
      <c r="K47" s="44" t="n"/>
      <c r="L47" s="50" t="n"/>
      <c r="M47" s="45">
        <f>IF(AND(ISNUMBER($C47),ISNUMBER($D47),$C47&lt;=$G$3),1,0)</f>
        <v/>
      </c>
      <c r="N47" s="45">
        <f>IF(M47=1,DATEDIF($C47,$G$3+1,"m"),0)</f>
        <v/>
      </c>
      <c r="O47" s="45">
        <f>IF(M47=1,DATEDIF($C47,$G$3,"m")=N47,FALSE)</f>
        <v/>
      </c>
      <c r="P47" s="45">
        <f>IF(M47=1,MAX(0,N47+IF(AND(O47,'設定'!$B$4="1か月に切り上げる"),1,0)-N($E47)),0)</f>
        <v/>
      </c>
      <c r="Q47" s="45">
        <f>INT(P47/12)</f>
        <v/>
      </c>
      <c r="R47" s="45">
        <f>MOD(P47,12)</f>
        <v/>
      </c>
      <c r="S47" s="45">
        <f>MIN(45,Q47+IF(AND('設定'!$B$5="6か月以上は1年に切り上げる",R47&gt;=6),1,0))</f>
        <v/>
      </c>
      <c r="T47" s="45">
        <f>IF('設定'!$B$5="月割りで計算する",IF(Q47&gt;=45,INDEX('設定'!$B$17:$B$62,46),INDEX('設定'!$B$17:$B$62,Q47+1)+(INDEX('設定'!$B$17:$B$62,Q47+2)-INDEX('設定'!$B$17:$B$62,Q47+1))*R47/12),INDEX('設定'!$B$17:$B$62,S47+1))</f>
        <v/>
      </c>
    </row>
    <row r="48" ht="18" customHeight="1">
      <c r="A48" s="40" t="n">
        <v>39</v>
      </c>
      <c r="B48" s="8" t="n"/>
      <c r="C48" s="26" t="n"/>
      <c r="D48" s="30" t="n"/>
      <c r="E48" s="31" t="n"/>
      <c r="F48" s="41">
        <f>IF(M48=1,Q48&amp;"年"&amp;R48&amp;"か月","")</f>
        <v/>
      </c>
      <c r="G48" s="42">
        <f>IF(M48=1,T48,"")</f>
        <v/>
      </c>
      <c r="H48" s="43">
        <f>IF(M48=1,INDEX('設定'!$C$17:$C$62,S48+1),"")</f>
        <v/>
      </c>
      <c r="I48" s="34">
        <f>IF(M48=1,IF('設定'!$B$7="切り捨てる",ROUNDDOWN(ROUND(($D48*T48*INDEX('設定'!$C$17:$C$62,S48+1))/IF(ISNUMBER('設定'!$B$6),MAX(1,'設定'!$B$6),1),6),0),ROUNDUP(ROUND(($D48*T48*INDEX('設定'!$C$17:$C$62,S48+1))/IF(ISNUMBER('設定'!$B$6),MAX(1,'設定'!$B$6),1),6),0))*IF(ISNUMBER('設定'!$B$6),MAX(1,'設定'!$B$6),1),"")</f>
        <v/>
      </c>
      <c r="J48" s="34">
        <f>IF(M48=1,IF('設定'!$B$7="切り捨てる",ROUNDDOWN(ROUND(($D48*T48*N('設定'!$B$10))/IF(ISNUMBER('設定'!$B$6),MAX(1,'設定'!$B$6),1),6),0),ROUNDUP(ROUND(($D48*T48*N('設定'!$B$10))/IF(ISNUMBER('設定'!$B$6),MAX(1,'設定'!$B$6),1),6),0))*IF(ISNUMBER('設定'!$B$6),MAX(1,'設定'!$B$6),1),"")</f>
        <v/>
      </c>
      <c r="K48" s="44" t="n"/>
      <c r="L48" s="50" t="n"/>
      <c r="M48" s="45">
        <f>IF(AND(ISNUMBER($C48),ISNUMBER($D48),$C48&lt;=$G$3),1,0)</f>
        <v/>
      </c>
      <c r="N48" s="45">
        <f>IF(M48=1,DATEDIF($C48,$G$3+1,"m"),0)</f>
        <v/>
      </c>
      <c r="O48" s="45">
        <f>IF(M48=1,DATEDIF($C48,$G$3,"m")=N48,FALSE)</f>
        <v/>
      </c>
      <c r="P48" s="45">
        <f>IF(M48=1,MAX(0,N48+IF(AND(O48,'設定'!$B$4="1か月に切り上げる"),1,0)-N($E48)),0)</f>
        <v/>
      </c>
      <c r="Q48" s="45">
        <f>INT(P48/12)</f>
        <v/>
      </c>
      <c r="R48" s="45">
        <f>MOD(P48,12)</f>
        <v/>
      </c>
      <c r="S48" s="45">
        <f>MIN(45,Q48+IF(AND('設定'!$B$5="6か月以上は1年に切り上げる",R48&gt;=6),1,0))</f>
        <v/>
      </c>
      <c r="T48" s="45">
        <f>IF('設定'!$B$5="月割りで計算する",IF(Q48&gt;=45,INDEX('設定'!$B$17:$B$62,46),INDEX('設定'!$B$17:$B$62,Q48+1)+(INDEX('設定'!$B$17:$B$62,Q48+2)-INDEX('設定'!$B$17:$B$62,Q48+1))*R48/12),INDEX('設定'!$B$17:$B$62,S48+1))</f>
        <v/>
      </c>
    </row>
    <row r="49" ht="18" customHeight="1">
      <c r="A49" s="40" t="n">
        <v>40</v>
      </c>
      <c r="B49" s="8" t="n"/>
      <c r="C49" s="26" t="n"/>
      <c r="D49" s="30" t="n"/>
      <c r="E49" s="31" t="n"/>
      <c r="F49" s="41">
        <f>IF(M49=1,Q49&amp;"年"&amp;R49&amp;"か月","")</f>
        <v/>
      </c>
      <c r="G49" s="42">
        <f>IF(M49=1,T49,"")</f>
        <v/>
      </c>
      <c r="H49" s="43">
        <f>IF(M49=1,INDEX('設定'!$C$17:$C$62,S49+1),"")</f>
        <v/>
      </c>
      <c r="I49" s="34">
        <f>IF(M49=1,IF('設定'!$B$7="切り捨てる",ROUNDDOWN(ROUND(($D49*T49*INDEX('設定'!$C$17:$C$62,S49+1))/IF(ISNUMBER('設定'!$B$6),MAX(1,'設定'!$B$6),1),6),0),ROUNDUP(ROUND(($D49*T49*INDEX('設定'!$C$17:$C$62,S49+1))/IF(ISNUMBER('設定'!$B$6),MAX(1,'設定'!$B$6),1),6),0))*IF(ISNUMBER('設定'!$B$6),MAX(1,'設定'!$B$6),1),"")</f>
        <v/>
      </c>
      <c r="J49" s="34">
        <f>IF(M49=1,IF('設定'!$B$7="切り捨てる",ROUNDDOWN(ROUND(($D49*T49*N('設定'!$B$10))/IF(ISNUMBER('設定'!$B$6),MAX(1,'設定'!$B$6),1),6),0),ROUNDUP(ROUND(($D49*T49*N('設定'!$B$10))/IF(ISNUMBER('設定'!$B$6),MAX(1,'設定'!$B$6),1),6),0))*IF(ISNUMBER('設定'!$B$6),MAX(1,'設定'!$B$6),1),"")</f>
        <v/>
      </c>
      <c r="K49" s="44" t="n"/>
      <c r="L49" s="50" t="n"/>
      <c r="M49" s="45">
        <f>IF(AND(ISNUMBER($C49),ISNUMBER($D49),$C49&lt;=$G$3),1,0)</f>
        <v/>
      </c>
      <c r="N49" s="45">
        <f>IF(M49=1,DATEDIF($C49,$G$3+1,"m"),0)</f>
        <v/>
      </c>
      <c r="O49" s="45">
        <f>IF(M49=1,DATEDIF($C49,$G$3,"m")=N49,FALSE)</f>
        <v/>
      </c>
      <c r="P49" s="45">
        <f>IF(M49=1,MAX(0,N49+IF(AND(O49,'設定'!$B$4="1か月に切り上げる"),1,0)-N($E49)),0)</f>
        <v/>
      </c>
      <c r="Q49" s="45">
        <f>INT(P49/12)</f>
        <v/>
      </c>
      <c r="R49" s="45">
        <f>MOD(P49,12)</f>
        <v/>
      </c>
      <c r="S49" s="45">
        <f>MIN(45,Q49+IF(AND('設定'!$B$5="6か月以上は1年に切り上げる",R49&gt;=6),1,0))</f>
        <v/>
      </c>
      <c r="T49" s="45">
        <f>IF('設定'!$B$5="月割りで計算する",IF(Q49&gt;=45,INDEX('設定'!$B$17:$B$62,46),INDEX('設定'!$B$17:$B$62,Q49+1)+(INDEX('設定'!$B$17:$B$62,Q49+2)-INDEX('設定'!$B$17:$B$62,Q49+1))*R49/12),INDEX('設定'!$B$17:$B$62,S49+1))</f>
        <v/>
      </c>
    </row>
    <row r="50" ht="18" customHeight="1">
      <c r="A50" s="40" t="n">
        <v>41</v>
      </c>
      <c r="B50" s="8" t="n"/>
      <c r="C50" s="26" t="n"/>
      <c r="D50" s="30" t="n"/>
      <c r="E50" s="31" t="n"/>
      <c r="F50" s="41">
        <f>IF(M50=1,Q50&amp;"年"&amp;R50&amp;"か月","")</f>
        <v/>
      </c>
      <c r="G50" s="42">
        <f>IF(M50=1,T50,"")</f>
        <v/>
      </c>
      <c r="H50" s="43">
        <f>IF(M50=1,INDEX('設定'!$C$17:$C$62,S50+1),"")</f>
        <v/>
      </c>
      <c r="I50" s="34">
        <f>IF(M50=1,IF('設定'!$B$7="切り捨てる",ROUNDDOWN(ROUND(($D50*T50*INDEX('設定'!$C$17:$C$62,S50+1))/IF(ISNUMBER('設定'!$B$6),MAX(1,'設定'!$B$6),1),6),0),ROUNDUP(ROUND(($D50*T50*INDEX('設定'!$C$17:$C$62,S50+1))/IF(ISNUMBER('設定'!$B$6),MAX(1,'設定'!$B$6),1),6),0))*IF(ISNUMBER('設定'!$B$6),MAX(1,'設定'!$B$6),1),"")</f>
        <v/>
      </c>
      <c r="J50" s="34">
        <f>IF(M50=1,IF('設定'!$B$7="切り捨てる",ROUNDDOWN(ROUND(($D50*T50*N('設定'!$B$10))/IF(ISNUMBER('設定'!$B$6),MAX(1,'設定'!$B$6),1),6),0),ROUNDUP(ROUND(($D50*T50*N('設定'!$B$10))/IF(ISNUMBER('設定'!$B$6),MAX(1,'設定'!$B$6),1),6),0))*IF(ISNUMBER('設定'!$B$6),MAX(1,'設定'!$B$6),1),"")</f>
        <v/>
      </c>
      <c r="K50" s="44" t="n"/>
      <c r="L50" s="50" t="n"/>
      <c r="M50" s="45">
        <f>IF(AND(ISNUMBER($C50),ISNUMBER($D50),$C50&lt;=$G$3),1,0)</f>
        <v/>
      </c>
      <c r="N50" s="45">
        <f>IF(M50=1,DATEDIF($C50,$G$3+1,"m"),0)</f>
        <v/>
      </c>
      <c r="O50" s="45">
        <f>IF(M50=1,DATEDIF($C50,$G$3,"m")=N50,FALSE)</f>
        <v/>
      </c>
      <c r="P50" s="45">
        <f>IF(M50=1,MAX(0,N50+IF(AND(O50,'設定'!$B$4="1か月に切り上げる"),1,0)-N($E50)),0)</f>
        <v/>
      </c>
      <c r="Q50" s="45">
        <f>INT(P50/12)</f>
        <v/>
      </c>
      <c r="R50" s="45">
        <f>MOD(P50,12)</f>
        <v/>
      </c>
      <c r="S50" s="45">
        <f>MIN(45,Q50+IF(AND('設定'!$B$5="6か月以上は1年に切り上げる",R50&gt;=6),1,0))</f>
        <v/>
      </c>
      <c r="T50" s="45">
        <f>IF('設定'!$B$5="月割りで計算する",IF(Q50&gt;=45,INDEX('設定'!$B$17:$B$62,46),INDEX('設定'!$B$17:$B$62,Q50+1)+(INDEX('設定'!$B$17:$B$62,Q50+2)-INDEX('設定'!$B$17:$B$62,Q50+1))*R50/12),INDEX('設定'!$B$17:$B$62,S50+1))</f>
        <v/>
      </c>
    </row>
    <row r="51" ht="18" customHeight="1">
      <c r="A51" s="40" t="n">
        <v>42</v>
      </c>
      <c r="B51" s="8" t="n"/>
      <c r="C51" s="26" t="n"/>
      <c r="D51" s="30" t="n"/>
      <c r="E51" s="31" t="n"/>
      <c r="F51" s="41">
        <f>IF(M51=1,Q51&amp;"年"&amp;R51&amp;"か月","")</f>
        <v/>
      </c>
      <c r="G51" s="42">
        <f>IF(M51=1,T51,"")</f>
        <v/>
      </c>
      <c r="H51" s="43">
        <f>IF(M51=1,INDEX('設定'!$C$17:$C$62,S51+1),"")</f>
        <v/>
      </c>
      <c r="I51" s="34">
        <f>IF(M51=1,IF('設定'!$B$7="切り捨てる",ROUNDDOWN(ROUND(($D51*T51*INDEX('設定'!$C$17:$C$62,S51+1))/IF(ISNUMBER('設定'!$B$6),MAX(1,'設定'!$B$6),1),6),0),ROUNDUP(ROUND(($D51*T51*INDEX('設定'!$C$17:$C$62,S51+1))/IF(ISNUMBER('設定'!$B$6),MAX(1,'設定'!$B$6),1),6),0))*IF(ISNUMBER('設定'!$B$6),MAX(1,'設定'!$B$6),1),"")</f>
        <v/>
      </c>
      <c r="J51" s="34">
        <f>IF(M51=1,IF('設定'!$B$7="切り捨てる",ROUNDDOWN(ROUND(($D51*T51*N('設定'!$B$10))/IF(ISNUMBER('設定'!$B$6),MAX(1,'設定'!$B$6),1),6),0),ROUNDUP(ROUND(($D51*T51*N('設定'!$B$10))/IF(ISNUMBER('設定'!$B$6),MAX(1,'設定'!$B$6),1),6),0))*IF(ISNUMBER('設定'!$B$6),MAX(1,'設定'!$B$6),1),"")</f>
        <v/>
      </c>
      <c r="K51" s="44" t="n"/>
      <c r="L51" s="50" t="n"/>
      <c r="M51" s="45">
        <f>IF(AND(ISNUMBER($C51),ISNUMBER($D51),$C51&lt;=$G$3),1,0)</f>
        <v/>
      </c>
      <c r="N51" s="45">
        <f>IF(M51=1,DATEDIF($C51,$G$3+1,"m"),0)</f>
        <v/>
      </c>
      <c r="O51" s="45">
        <f>IF(M51=1,DATEDIF($C51,$G$3,"m")=N51,FALSE)</f>
        <v/>
      </c>
      <c r="P51" s="45">
        <f>IF(M51=1,MAX(0,N51+IF(AND(O51,'設定'!$B$4="1か月に切り上げる"),1,0)-N($E51)),0)</f>
        <v/>
      </c>
      <c r="Q51" s="45">
        <f>INT(P51/12)</f>
        <v/>
      </c>
      <c r="R51" s="45">
        <f>MOD(P51,12)</f>
        <v/>
      </c>
      <c r="S51" s="45">
        <f>MIN(45,Q51+IF(AND('設定'!$B$5="6か月以上は1年に切り上げる",R51&gt;=6),1,0))</f>
        <v/>
      </c>
      <c r="T51" s="45">
        <f>IF('設定'!$B$5="月割りで計算する",IF(Q51&gt;=45,INDEX('設定'!$B$17:$B$62,46),INDEX('設定'!$B$17:$B$62,Q51+1)+(INDEX('設定'!$B$17:$B$62,Q51+2)-INDEX('設定'!$B$17:$B$62,Q51+1))*R51/12),INDEX('設定'!$B$17:$B$62,S51+1))</f>
        <v/>
      </c>
    </row>
    <row r="52" ht="18" customHeight="1">
      <c r="A52" s="40" t="n">
        <v>43</v>
      </c>
      <c r="B52" s="8" t="n"/>
      <c r="C52" s="26" t="n"/>
      <c r="D52" s="30" t="n"/>
      <c r="E52" s="31" t="n"/>
      <c r="F52" s="41">
        <f>IF(M52=1,Q52&amp;"年"&amp;R52&amp;"か月","")</f>
        <v/>
      </c>
      <c r="G52" s="42">
        <f>IF(M52=1,T52,"")</f>
        <v/>
      </c>
      <c r="H52" s="43">
        <f>IF(M52=1,INDEX('設定'!$C$17:$C$62,S52+1),"")</f>
        <v/>
      </c>
      <c r="I52" s="34">
        <f>IF(M52=1,IF('設定'!$B$7="切り捨てる",ROUNDDOWN(ROUND(($D52*T52*INDEX('設定'!$C$17:$C$62,S52+1))/IF(ISNUMBER('設定'!$B$6),MAX(1,'設定'!$B$6),1),6),0),ROUNDUP(ROUND(($D52*T52*INDEX('設定'!$C$17:$C$62,S52+1))/IF(ISNUMBER('設定'!$B$6),MAX(1,'設定'!$B$6),1),6),0))*IF(ISNUMBER('設定'!$B$6),MAX(1,'設定'!$B$6),1),"")</f>
        <v/>
      </c>
      <c r="J52" s="34">
        <f>IF(M52=1,IF('設定'!$B$7="切り捨てる",ROUNDDOWN(ROUND(($D52*T52*N('設定'!$B$10))/IF(ISNUMBER('設定'!$B$6),MAX(1,'設定'!$B$6),1),6),0),ROUNDUP(ROUND(($D52*T52*N('設定'!$B$10))/IF(ISNUMBER('設定'!$B$6),MAX(1,'設定'!$B$6),1),6),0))*IF(ISNUMBER('設定'!$B$6),MAX(1,'設定'!$B$6),1),"")</f>
        <v/>
      </c>
      <c r="K52" s="44" t="n"/>
      <c r="L52" s="50" t="n"/>
      <c r="M52" s="45">
        <f>IF(AND(ISNUMBER($C52),ISNUMBER($D52),$C52&lt;=$G$3),1,0)</f>
        <v/>
      </c>
      <c r="N52" s="45">
        <f>IF(M52=1,DATEDIF($C52,$G$3+1,"m"),0)</f>
        <v/>
      </c>
      <c r="O52" s="45">
        <f>IF(M52=1,DATEDIF($C52,$G$3,"m")=N52,FALSE)</f>
        <v/>
      </c>
      <c r="P52" s="45">
        <f>IF(M52=1,MAX(0,N52+IF(AND(O52,'設定'!$B$4="1か月に切り上げる"),1,0)-N($E52)),0)</f>
        <v/>
      </c>
      <c r="Q52" s="45">
        <f>INT(P52/12)</f>
        <v/>
      </c>
      <c r="R52" s="45">
        <f>MOD(P52,12)</f>
        <v/>
      </c>
      <c r="S52" s="45">
        <f>MIN(45,Q52+IF(AND('設定'!$B$5="6か月以上は1年に切り上げる",R52&gt;=6),1,0))</f>
        <v/>
      </c>
      <c r="T52" s="45">
        <f>IF('設定'!$B$5="月割りで計算する",IF(Q52&gt;=45,INDEX('設定'!$B$17:$B$62,46),INDEX('設定'!$B$17:$B$62,Q52+1)+(INDEX('設定'!$B$17:$B$62,Q52+2)-INDEX('設定'!$B$17:$B$62,Q52+1))*R52/12),INDEX('設定'!$B$17:$B$62,S52+1))</f>
        <v/>
      </c>
    </row>
    <row r="53" ht="18" customHeight="1">
      <c r="A53" s="40" t="n">
        <v>44</v>
      </c>
      <c r="B53" s="8" t="n"/>
      <c r="C53" s="26" t="n"/>
      <c r="D53" s="30" t="n"/>
      <c r="E53" s="31" t="n"/>
      <c r="F53" s="41">
        <f>IF(M53=1,Q53&amp;"年"&amp;R53&amp;"か月","")</f>
        <v/>
      </c>
      <c r="G53" s="42">
        <f>IF(M53=1,T53,"")</f>
        <v/>
      </c>
      <c r="H53" s="43">
        <f>IF(M53=1,INDEX('設定'!$C$17:$C$62,S53+1),"")</f>
        <v/>
      </c>
      <c r="I53" s="34">
        <f>IF(M53=1,IF('設定'!$B$7="切り捨てる",ROUNDDOWN(ROUND(($D53*T53*INDEX('設定'!$C$17:$C$62,S53+1))/IF(ISNUMBER('設定'!$B$6),MAX(1,'設定'!$B$6),1),6),0),ROUNDUP(ROUND(($D53*T53*INDEX('設定'!$C$17:$C$62,S53+1))/IF(ISNUMBER('設定'!$B$6),MAX(1,'設定'!$B$6),1),6),0))*IF(ISNUMBER('設定'!$B$6),MAX(1,'設定'!$B$6),1),"")</f>
        <v/>
      </c>
      <c r="J53" s="34">
        <f>IF(M53=1,IF('設定'!$B$7="切り捨てる",ROUNDDOWN(ROUND(($D53*T53*N('設定'!$B$10))/IF(ISNUMBER('設定'!$B$6),MAX(1,'設定'!$B$6),1),6),0),ROUNDUP(ROUND(($D53*T53*N('設定'!$B$10))/IF(ISNUMBER('設定'!$B$6),MAX(1,'設定'!$B$6),1),6),0))*IF(ISNUMBER('設定'!$B$6),MAX(1,'設定'!$B$6),1),"")</f>
        <v/>
      </c>
      <c r="K53" s="44" t="n"/>
      <c r="L53" s="50" t="n"/>
      <c r="M53" s="45">
        <f>IF(AND(ISNUMBER($C53),ISNUMBER($D53),$C53&lt;=$G$3),1,0)</f>
        <v/>
      </c>
      <c r="N53" s="45">
        <f>IF(M53=1,DATEDIF($C53,$G$3+1,"m"),0)</f>
        <v/>
      </c>
      <c r="O53" s="45">
        <f>IF(M53=1,DATEDIF($C53,$G$3,"m")=N53,FALSE)</f>
        <v/>
      </c>
      <c r="P53" s="45">
        <f>IF(M53=1,MAX(0,N53+IF(AND(O53,'設定'!$B$4="1か月に切り上げる"),1,0)-N($E53)),0)</f>
        <v/>
      </c>
      <c r="Q53" s="45">
        <f>INT(P53/12)</f>
        <v/>
      </c>
      <c r="R53" s="45">
        <f>MOD(P53,12)</f>
        <v/>
      </c>
      <c r="S53" s="45">
        <f>MIN(45,Q53+IF(AND('設定'!$B$5="6か月以上は1年に切り上げる",R53&gt;=6),1,0))</f>
        <v/>
      </c>
      <c r="T53" s="45">
        <f>IF('設定'!$B$5="月割りで計算する",IF(Q53&gt;=45,INDEX('設定'!$B$17:$B$62,46),INDEX('設定'!$B$17:$B$62,Q53+1)+(INDEX('設定'!$B$17:$B$62,Q53+2)-INDEX('設定'!$B$17:$B$62,Q53+1))*R53/12),INDEX('設定'!$B$17:$B$62,S53+1))</f>
        <v/>
      </c>
    </row>
    <row r="54" ht="18" customHeight="1">
      <c r="A54" s="40" t="n">
        <v>45</v>
      </c>
      <c r="B54" s="8" t="n"/>
      <c r="C54" s="26" t="n"/>
      <c r="D54" s="30" t="n"/>
      <c r="E54" s="31" t="n"/>
      <c r="F54" s="41">
        <f>IF(M54=1,Q54&amp;"年"&amp;R54&amp;"か月","")</f>
        <v/>
      </c>
      <c r="G54" s="42">
        <f>IF(M54=1,T54,"")</f>
        <v/>
      </c>
      <c r="H54" s="43">
        <f>IF(M54=1,INDEX('設定'!$C$17:$C$62,S54+1),"")</f>
        <v/>
      </c>
      <c r="I54" s="34">
        <f>IF(M54=1,IF('設定'!$B$7="切り捨てる",ROUNDDOWN(ROUND(($D54*T54*INDEX('設定'!$C$17:$C$62,S54+1))/IF(ISNUMBER('設定'!$B$6),MAX(1,'設定'!$B$6),1),6),0),ROUNDUP(ROUND(($D54*T54*INDEX('設定'!$C$17:$C$62,S54+1))/IF(ISNUMBER('設定'!$B$6),MAX(1,'設定'!$B$6),1),6),0))*IF(ISNUMBER('設定'!$B$6),MAX(1,'設定'!$B$6),1),"")</f>
        <v/>
      </c>
      <c r="J54" s="34">
        <f>IF(M54=1,IF('設定'!$B$7="切り捨てる",ROUNDDOWN(ROUND(($D54*T54*N('設定'!$B$10))/IF(ISNUMBER('設定'!$B$6),MAX(1,'設定'!$B$6),1),6),0),ROUNDUP(ROUND(($D54*T54*N('設定'!$B$10))/IF(ISNUMBER('設定'!$B$6),MAX(1,'設定'!$B$6),1),6),0))*IF(ISNUMBER('設定'!$B$6),MAX(1,'設定'!$B$6),1),"")</f>
        <v/>
      </c>
      <c r="K54" s="44" t="n"/>
      <c r="L54" s="50" t="n"/>
      <c r="M54" s="45">
        <f>IF(AND(ISNUMBER($C54),ISNUMBER($D54),$C54&lt;=$G$3),1,0)</f>
        <v/>
      </c>
      <c r="N54" s="45">
        <f>IF(M54=1,DATEDIF($C54,$G$3+1,"m"),0)</f>
        <v/>
      </c>
      <c r="O54" s="45">
        <f>IF(M54=1,DATEDIF($C54,$G$3,"m")=N54,FALSE)</f>
        <v/>
      </c>
      <c r="P54" s="45">
        <f>IF(M54=1,MAX(0,N54+IF(AND(O54,'設定'!$B$4="1か月に切り上げる"),1,0)-N($E54)),0)</f>
        <v/>
      </c>
      <c r="Q54" s="45">
        <f>INT(P54/12)</f>
        <v/>
      </c>
      <c r="R54" s="45">
        <f>MOD(P54,12)</f>
        <v/>
      </c>
      <c r="S54" s="45">
        <f>MIN(45,Q54+IF(AND('設定'!$B$5="6か月以上は1年に切り上げる",R54&gt;=6),1,0))</f>
        <v/>
      </c>
      <c r="T54" s="45">
        <f>IF('設定'!$B$5="月割りで計算する",IF(Q54&gt;=45,INDEX('設定'!$B$17:$B$62,46),INDEX('設定'!$B$17:$B$62,Q54+1)+(INDEX('設定'!$B$17:$B$62,Q54+2)-INDEX('設定'!$B$17:$B$62,Q54+1))*R54/12),INDEX('設定'!$B$17:$B$62,S54+1))</f>
        <v/>
      </c>
    </row>
    <row r="55" ht="18" customHeight="1">
      <c r="A55" s="40" t="n">
        <v>46</v>
      </c>
      <c r="B55" s="8" t="n"/>
      <c r="C55" s="26" t="n"/>
      <c r="D55" s="30" t="n"/>
      <c r="E55" s="31" t="n"/>
      <c r="F55" s="41">
        <f>IF(M55=1,Q55&amp;"年"&amp;R55&amp;"か月","")</f>
        <v/>
      </c>
      <c r="G55" s="42">
        <f>IF(M55=1,T55,"")</f>
        <v/>
      </c>
      <c r="H55" s="43">
        <f>IF(M55=1,INDEX('設定'!$C$17:$C$62,S55+1),"")</f>
        <v/>
      </c>
      <c r="I55" s="34">
        <f>IF(M55=1,IF('設定'!$B$7="切り捨てる",ROUNDDOWN(ROUND(($D55*T55*INDEX('設定'!$C$17:$C$62,S55+1))/IF(ISNUMBER('設定'!$B$6),MAX(1,'設定'!$B$6),1),6),0),ROUNDUP(ROUND(($D55*T55*INDEX('設定'!$C$17:$C$62,S55+1))/IF(ISNUMBER('設定'!$B$6),MAX(1,'設定'!$B$6),1),6),0))*IF(ISNUMBER('設定'!$B$6),MAX(1,'設定'!$B$6),1),"")</f>
        <v/>
      </c>
      <c r="J55" s="34">
        <f>IF(M55=1,IF('設定'!$B$7="切り捨てる",ROUNDDOWN(ROUND(($D55*T55*N('設定'!$B$10))/IF(ISNUMBER('設定'!$B$6),MAX(1,'設定'!$B$6),1),6),0),ROUNDUP(ROUND(($D55*T55*N('設定'!$B$10))/IF(ISNUMBER('設定'!$B$6),MAX(1,'設定'!$B$6),1),6),0))*IF(ISNUMBER('設定'!$B$6),MAX(1,'設定'!$B$6),1),"")</f>
        <v/>
      </c>
      <c r="K55" s="44" t="n"/>
      <c r="L55" s="50" t="n"/>
      <c r="M55" s="45">
        <f>IF(AND(ISNUMBER($C55),ISNUMBER($D55),$C55&lt;=$G$3),1,0)</f>
        <v/>
      </c>
      <c r="N55" s="45">
        <f>IF(M55=1,DATEDIF($C55,$G$3+1,"m"),0)</f>
        <v/>
      </c>
      <c r="O55" s="45">
        <f>IF(M55=1,DATEDIF($C55,$G$3,"m")=N55,FALSE)</f>
        <v/>
      </c>
      <c r="P55" s="45">
        <f>IF(M55=1,MAX(0,N55+IF(AND(O55,'設定'!$B$4="1か月に切り上げる"),1,0)-N($E55)),0)</f>
        <v/>
      </c>
      <c r="Q55" s="45">
        <f>INT(P55/12)</f>
        <v/>
      </c>
      <c r="R55" s="45">
        <f>MOD(P55,12)</f>
        <v/>
      </c>
      <c r="S55" s="45">
        <f>MIN(45,Q55+IF(AND('設定'!$B$5="6か月以上は1年に切り上げる",R55&gt;=6),1,0))</f>
        <v/>
      </c>
      <c r="T55" s="45">
        <f>IF('設定'!$B$5="月割りで計算する",IF(Q55&gt;=45,INDEX('設定'!$B$17:$B$62,46),INDEX('設定'!$B$17:$B$62,Q55+1)+(INDEX('設定'!$B$17:$B$62,Q55+2)-INDEX('設定'!$B$17:$B$62,Q55+1))*R55/12),INDEX('設定'!$B$17:$B$62,S55+1))</f>
        <v/>
      </c>
    </row>
    <row r="56" ht="18" customHeight="1">
      <c r="A56" s="40" t="n">
        <v>47</v>
      </c>
      <c r="B56" s="8" t="n"/>
      <c r="C56" s="26" t="n"/>
      <c r="D56" s="30" t="n"/>
      <c r="E56" s="31" t="n"/>
      <c r="F56" s="41">
        <f>IF(M56=1,Q56&amp;"年"&amp;R56&amp;"か月","")</f>
        <v/>
      </c>
      <c r="G56" s="42">
        <f>IF(M56=1,T56,"")</f>
        <v/>
      </c>
      <c r="H56" s="43">
        <f>IF(M56=1,INDEX('設定'!$C$17:$C$62,S56+1),"")</f>
        <v/>
      </c>
      <c r="I56" s="34">
        <f>IF(M56=1,IF('設定'!$B$7="切り捨てる",ROUNDDOWN(ROUND(($D56*T56*INDEX('設定'!$C$17:$C$62,S56+1))/IF(ISNUMBER('設定'!$B$6),MAX(1,'設定'!$B$6),1),6),0),ROUNDUP(ROUND(($D56*T56*INDEX('設定'!$C$17:$C$62,S56+1))/IF(ISNUMBER('設定'!$B$6),MAX(1,'設定'!$B$6),1),6),0))*IF(ISNUMBER('設定'!$B$6),MAX(1,'設定'!$B$6),1),"")</f>
        <v/>
      </c>
      <c r="J56" s="34">
        <f>IF(M56=1,IF('設定'!$B$7="切り捨てる",ROUNDDOWN(ROUND(($D56*T56*N('設定'!$B$10))/IF(ISNUMBER('設定'!$B$6),MAX(1,'設定'!$B$6),1),6),0),ROUNDUP(ROUND(($D56*T56*N('設定'!$B$10))/IF(ISNUMBER('設定'!$B$6),MAX(1,'設定'!$B$6),1),6),0))*IF(ISNUMBER('設定'!$B$6),MAX(1,'設定'!$B$6),1),"")</f>
        <v/>
      </c>
      <c r="K56" s="44" t="n"/>
      <c r="L56" s="50" t="n"/>
      <c r="M56" s="45">
        <f>IF(AND(ISNUMBER($C56),ISNUMBER($D56),$C56&lt;=$G$3),1,0)</f>
        <v/>
      </c>
      <c r="N56" s="45">
        <f>IF(M56=1,DATEDIF($C56,$G$3+1,"m"),0)</f>
        <v/>
      </c>
      <c r="O56" s="45">
        <f>IF(M56=1,DATEDIF($C56,$G$3,"m")=N56,FALSE)</f>
        <v/>
      </c>
      <c r="P56" s="45">
        <f>IF(M56=1,MAX(0,N56+IF(AND(O56,'設定'!$B$4="1か月に切り上げる"),1,0)-N($E56)),0)</f>
        <v/>
      </c>
      <c r="Q56" s="45">
        <f>INT(P56/12)</f>
        <v/>
      </c>
      <c r="R56" s="45">
        <f>MOD(P56,12)</f>
        <v/>
      </c>
      <c r="S56" s="45">
        <f>MIN(45,Q56+IF(AND('設定'!$B$5="6か月以上は1年に切り上げる",R56&gt;=6),1,0))</f>
        <v/>
      </c>
      <c r="T56" s="45">
        <f>IF('設定'!$B$5="月割りで計算する",IF(Q56&gt;=45,INDEX('設定'!$B$17:$B$62,46),INDEX('設定'!$B$17:$B$62,Q56+1)+(INDEX('設定'!$B$17:$B$62,Q56+2)-INDEX('設定'!$B$17:$B$62,Q56+1))*R56/12),INDEX('設定'!$B$17:$B$62,S56+1))</f>
        <v/>
      </c>
    </row>
    <row r="57" ht="18" customHeight="1">
      <c r="A57" s="40" t="n">
        <v>48</v>
      </c>
      <c r="B57" s="8" t="n"/>
      <c r="C57" s="26" t="n"/>
      <c r="D57" s="30" t="n"/>
      <c r="E57" s="31" t="n"/>
      <c r="F57" s="41">
        <f>IF(M57=1,Q57&amp;"年"&amp;R57&amp;"か月","")</f>
        <v/>
      </c>
      <c r="G57" s="42">
        <f>IF(M57=1,T57,"")</f>
        <v/>
      </c>
      <c r="H57" s="43">
        <f>IF(M57=1,INDEX('設定'!$C$17:$C$62,S57+1),"")</f>
        <v/>
      </c>
      <c r="I57" s="34">
        <f>IF(M57=1,IF('設定'!$B$7="切り捨てる",ROUNDDOWN(ROUND(($D57*T57*INDEX('設定'!$C$17:$C$62,S57+1))/IF(ISNUMBER('設定'!$B$6),MAX(1,'設定'!$B$6),1),6),0),ROUNDUP(ROUND(($D57*T57*INDEX('設定'!$C$17:$C$62,S57+1))/IF(ISNUMBER('設定'!$B$6),MAX(1,'設定'!$B$6),1),6),0))*IF(ISNUMBER('設定'!$B$6),MAX(1,'設定'!$B$6),1),"")</f>
        <v/>
      </c>
      <c r="J57" s="34">
        <f>IF(M57=1,IF('設定'!$B$7="切り捨てる",ROUNDDOWN(ROUND(($D57*T57*N('設定'!$B$10))/IF(ISNUMBER('設定'!$B$6),MAX(1,'設定'!$B$6),1),6),0),ROUNDUP(ROUND(($D57*T57*N('設定'!$B$10))/IF(ISNUMBER('設定'!$B$6),MAX(1,'設定'!$B$6),1),6),0))*IF(ISNUMBER('設定'!$B$6),MAX(1,'設定'!$B$6),1),"")</f>
        <v/>
      </c>
      <c r="K57" s="44" t="n"/>
      <c r="L57" s="50" t="n"/>
      <c r="M57" s="45">
        <f>IF(AND(ISNUMBER($C57),ISNUMBER($D57),$C57&lt;=$G$3),1,0)</f>
        <v/>
      </c>
      <c r="N57" s="45">
        <f>IF(M57=1,DATEDIF($C57,$G$3+1,"m"),0)</f>
        <v/>
      </c>
      <c r="O57" s="45">
        <f>IF(M57=1,DATEDIF($C57,$G$3,"m")=N57,FALSE)</f>
        <v/>
      </c>
      <c r="P57" s="45">
        <f>IF(M57=1,MAX(0,N57+IF(AND(O57,'設定'!$B$4="1か月に切り上げる"),1,0)-N($E57)),0)</f>
        <v/>
      </c>
      <c r="Q57" s="45">
        <f>INT(P57/12)</f>
        <v/>
      </c>
      <c r="R57" s="45">
        <f>MOD(P57,12)</f>
        <v/>
      </c>
      <c r="S57" s="45">
        <f>MIN(45,Q57+IF(AND('設定'!$B$5="6か月以上は1年に切り上げる",R57&gt;=6),1,0))</f>
        <v/>
      </c>
      <c r="T57" s="45">
        <f>IF('設定'!$B$5="月割りで計算する",IF(Q57&gt;=45,INDEX('設定'!$B$17:$B$62,46),INDEX('設定'!$B$17:$B$62,Q57+1)+(INDEX('設定'!$B$17:$B$62,Q57+2)-INDEX('設定'!$B$17:$B$62,Q57+1))*R57/12),INDEX('設定'!$B$17:$B$62,S57+1))</f>
        <v/>
      </c>
    </row>
    <row r="58" ht="18" customHeight="1">
      <c r="A58" s="40" t="n">
        <v>49</v>
      </c>
      <c r="B58" s="8" t="n"/>
      <c r="C58" s="26" t="n"/>
      <c r="D58" s="30" t="n"/>
      <c r="E58" s="31" t="n"/>
      <c r="F58" s="41">
        <f>IF(M58=1,Q58&amp;"年"&amp;R58&amp;"か月","")</f>
        <v/>
      </c>
      <c r="G58" s="42">
        <f>IF(M58=1,T58,"")</f>
        <v/>
      </c>
      <c r="H58" s="43">
        <f>IF(M58=1,INDEX('設定'!$C$17:$C$62,S58+1),"")</f>
        <v/>
      </c>
      <c r="I58" s="34">
        <f>IF(M58=1,IF('設定'!$B$7="切り捨てる",ROUNDDOWN(ROUND(($D58*T58*INDEX('設定'!$C$17:$C$62,S58+1))/IF(ISNUMBER('設定'!$B$6),MAX(1,'設定'!$B$6),1),6),0),ROUNDUP(ROUND(($D58*T58*INDEX('設定'!$C$17:$C$62,S58+1))/IF(ISNUMBER('設定'!$B$6),MAX(1,'設定'!$B$6),1),6),0))*IF(ISNUMBER('設定'!$B$6),MAX(1,'設定'!$B$6),1),"")</f>
        <v/>
      </c>
      <c r="J58" s="34">
        <f>IF(M58=1,IF('設定'!$B$7="切り捨てる",ROUNDDOWN(ROUND(($D58*T58*N('設定'!$B$10))/IF(ISNUMBER('設定'!$B$6),MAX(1,'設定'!$B$6),1),6),0),ROUNDUP(ROUND(($D58*T58*N('設定'!$B$10))/IF(ISNUMBER('設定'!$B$6),MAX(1,'設定'!$B$6),1),6),0))*IF(ISNUMBER('設定'!$B$6),MAX(1,'設定'!$B$6),1),"")</f>
        <v/>
      </c>
      <c r="K58" s="44" t="n"/>
      <c r="L58" s="50" t="n"/>
      <c r="M58" s="45">
        <f>IF(AND(ISNUMBER($C58),ISNUMBER($D58),$C58&lt;=$G$3),1,0)</f>
        <v/>
      </c>
      <c r="N58" s="45">
        <f>IF(M58=1,DATEDIF($C58,$G$3+1,"m"),0)</f>
        <v/>
      </c>
      <c r="O58" s="45">
        <f>IF(M58=1,DATEDIF($C58,$G$3,"m")=N58,FALSE)</f>
        <v/>
      </c>
      <c r="P58" s="45">
        <f>IF(M58=1,MAX(0,N58+IF(AND(O58,'設定'!$B$4="1か月に切り上げる"),1,0)-N($E58)),0)</f>
        <v/>
      </c>
      <c r="Q58" s="45">
        <f>INT(P58/12)</f>
        <v/>
      </c>
      <c r="R58" s="45">
        <f>MOD(P58,12)</f>
        <v/>
      </c>
      <c r="S58" s="45">
        <f>MIN(45,Q58+IF(AND('設定'!$B$5="6か月以上は1年に切り上げる",R58&gt;=6),1,0))</f>
        <v/>
      </c>
      <c r="T58" s="45">
        <f>IF('設定'!$B$5="月割りで計算する",IF(Q58&gt;=45,INDEX('設定'!$B$17:$B$62,46),INDEX('設定'!$B$17:$B$62,Q58+1)+(INDEX('設定'!$B$17:$B$62,Q58+2)-INDEX('設定'!$B$17:$B$62,Q58+1))*R58/12),INDEX('設定'!$B$17:$B$62,S58+1))</f>
        <v/>
      </c>
    </row>
    <row r="59" ht="18" customHeight="1">
      <c r="A59" s="40" t="n">
        <v>50</v>
      </c>
      <c r="B59" s="8" t="n"/>
      <c r="C59" s="26" t="n"/>
      <c r="D59" s="30" t="n"/>
      <c r="E59" s="31" t="n"/>
      <c r="F59" s="41">
        <f>IF(M59=1,Q59&amp;"年"&amp;R59&amp;"か月","")</f>
        <v/>
      </c>
      <c r="G59" s="42">
        <f>IF(M59=1,T59,"")</f>
        <v/>
      </c>
      <c r="H59" s="43">
        <f>IF(M59=1,INDEX('設定'!$C$17:$C$62,S59+1),"")</f>
        <v/>
      </c>
      <c r="I59" s="34">
        <f>IF(M59=1,IF('設定'!$B$7="切り捨てる",ROUNDDOWN(ROUND(($D59*T59*INDEX('設定'!$C$17:$C$62,S59+1))/IF(ISNUMBER('設定'!$B$6),MAX(1,'設定'!$B$6),1),6),0),ROUNDUP(ROUND(($D59*T59*INDEX('設定'!$C$17:$C$62,S59+1))/IF(ISNUMBER('設定'!$B$6),MAX(1,'設定'!$B$6),1),6),0))*IF(ISNUMBER('設定'!$B$6),MAX(1,'設定'!$B$6),1),"")</f>
        <v/>
      </c>
      <c r="J59" s="34">
        <f>IF(M59=1,IF('設定'!$B$7="切り捨てる",ROUNDDOWN(ROUND(($D59*T59*N('設定'!$B$10))/IF(ISNUMBER('設定'!$B$6),MAX(1,'設定'!$B$6),1),6),0),ROUNDUP(ROUND(($D59*T59*N('設定'!$B$10))/IF(ISNUMBER('設定'!$B$6),MAX(1,'設定'!$B$6),1),6),0))*IF(ISNUMBER('設定'!$B$6),MAX(1,'設定'!$B$6),1),"")</f>
        <v/>
      </c>
      <c r="K59" s="44" t="n"/>
      <c r="L59" s="50" t="n"/>
      <c r="M59" s="45">
        <f>IF(AND(ISNUMBER($C59),ISNUMBER($D59),$C59&lt;=$G$3),1,0)</f>
        <v/>
      </c>
      <c r="N59" s="45">
        <f>IF(M59=1,DATEDIF($C59,$G$3+1,"m"),0)</f>
        <v/>
      </c>
      <c r="O59" s="45">
        <f>IF(M59=1,DATEDIF($C59,$G$3,"m")=N59,FALSE)</f>
        <v/>
      </c>
      <c r="P59" s="45">
        <f>IF(M59=1,MAX(0,N59+IF(AND(O59,'設定'!$B$4="1か月に切り上げる"),1,0)-N($E59)),0)</f>
        <v/>
      </c>
      <c r="Q59" s="45">
        <f>INT(P59/12)</f>
        <v/>
      </c>
      <c r="R59" s="45">
        <f>MOD(P59,12)</f>
        <v/>
      </c>
      <c r="S59" s="45">
        <f>MIN(45,Q59+IF(AND('設定'!$B$5="6か月以上は1年に切り上げる",R59&gt;=6),1,0))</f>
        <v/>
      </c>
      <c r="T59" s="45">
        <f>IF('設定'!$B$5="月割りで計算する",IF(Q59&gt;=45,INDEX('設定'!$B$17:$B$62,46),INDEX('設定'!$B$17:$B$62,Q59+1)+(INDEX('設定'!$B$17:$B$62,Q59+2)-INDEX('設定'!$B$17:$B$62,Q59+1))*R59/12),INDEX('設定'!$B$17:$B$62,S59+1))</f>
        <v/>
      </c>
    </row>
  </sheetData>
  <mergeCells count="16">
    <mergeCell ref="A4:B4"/>
    <mergeCell ref="G4:H4"/>
    <mergeCell ref="E4:F4"/>
    <mergeCell ref="A6:K6"/>
    <mergeCell ref="A7:K7"/>
    <mergeCell ref="C5:D5"/>
    <mergeCell ref="A5:B5"/>
    <mergeCell ref="A2:K2"/>
    <mergeCell ref="E5:F5"/>
    <mergeCell ref="G5:H5"/>
    <mergeCell ref="A1:K1"/>
    <mergeCell ref="C3:D3"/>
    <mergeCell ref="A3:B3"/>
    <mergeCell ref="G3:H3"/>
    <mergeCell ref="E3:F3"/>
    <mergeCell ref="C4:D4"/>
  </mergeCells>
  <dataValidations count="4">
    <dataValidation sqref="C3" showDropDown="0" showInputMessage="0" showErrorMessage="1" allowBlank="1" errorTitle="日付で入力してください" error="2026/10/31 のように、日付として入力してください。" type="date" operator="greaterThanOrEqual">
      <formula1>18264</formula1>
    </dataValidation>
    <dataValidation sqref="C10:C59" showDropDown="0" showInputMessage="0" showErrorMessage="1" allowBlank="1" errorTitle="日付で入力してください" error="2026/10/31 のように、日付として入力してください。" type="date" operator="greaterThanOrEqual">
      <formula1>18264</formula1>
    </dataValidation>
    <dataValidation sqref="D10:D59" showDropDown="0" showInputMessage="0" showErrorMessage="1" allowBlank="1" errorTitle="数字で入力してください" error="0以上の金額（円）を数字で入れてください。" type="whole" operator="between">
      <formula1>0</formula1>
      <formula2>100000000</formula2>
    </dataValidation>
    <dataValidation sqref="E10:E59" showDropDown="0" showInputMessage="0" showErrorMessage="1" allowBlank="1" errorTitle="数字で入力してください" error="0以上の月数を数字で入れてください。" type="whole" operator="between">
      <formula1>0</formula1>
      <formula2>600</formula2>
    </dataValidation>
  </dataValidations>
  <printOptions horizontalCentered="1"/>
  <pageMargins left="0.5" right="0.5" top="0.55" bottom="0.55" header="0.25" footer="0.25"/>
  <pageSetup orientation="landscape" paperSize="9" fitToHeight="0" fitToWidth="1"/>
</worksheet>
</file>

<file path=xl/worksheets/sheet5.xml><?xml version="1.0" encoding="utf-8"?>
<worksheet xmlns="http://schemas.openxmlformats.org/spreadsheetml/2006/main">
  <sheetPr>
    <tabColor rgb="00B9C4CF"/>
    <outlinePr summaryBelow="1" summaryRight="1"/>
    <pageSetUpPr fitToPage="1"/>
  </sheetPr>
  <dimension ref="A1:E26"/>
  <sheetViews>
    <sheetView showGridLines="0" tabSelected="0" workbookViewId="0">
      <selection activeCell="A1" sqref="A1"/>
    </sheetView>
  </sheetViews>
  <sheetFormatPr baseColWidth="8" defaultRowHeight="15"/>
  <cols>
    <col width="44" customWidth="1" min="1" max="1"/>
    <col width="16" customWidth="1" min="2" max="2"/>
    <col width="12" customWidth="1" min="3" max="3"/>
    <col width="16" customWidth="1" min="4" max="4"/>
    <col width="40" customWidth="1" min="5" max="5"/>
  </cols>
  <sheetData>
    <row r="1" ht="28" customHeight="1">
      <c r="A1" s="49" t="inlineStr">
        <is>
          <t>税額の表（所得税・住民税の計算に使う値）</t>
        </is>
      </c>
      <c r="B1" s="50" t="n"/>
      <c r="C1" s="50" t="n"/>
      <c r="D1" s="50" t="n"/>
      <c r="E1" s="50" t="n"/>
    </row>
    <row r="2" ht="30" customHeight="1">
      <c r="A2" s="53" t="inlineStr">
        <is>
          <t>「退職金の計算」シートが使う値です。法令が変わったとき以外は変えません。速算表は国税庁「退職所得の源泉徴収税額の速算表」（令和8年4月1日現在法令等）。確認日 2026-10-03。</t>
        </is>
      </c>
      <c r="B2" s="50" t="n"/>
      <c r="C2" s="50" t="n"/>
      <c r="D2" s="50" t="n"/>
      <c r="E2" s="50" t="n"/>
    </row>
    <row r="3" ht="26" customHeight="1">
      <c r="A3" s="20" t="inlineStr">
        <is>
          <t>課税退職所得金額</t>
        </is>
      </c>
      <c r="B3" s="20" t="inlineStr">
        <is>
          <t>この額以上（計算用）</t>
        </is>
      </c>
      <c r="C3" s="20" t="inlineStr">
        <is>
          <t>税率（％）</t>
        </is>
      </c>
      <c r="D3" s="20" t="inlineStr">
        <is>
          <t>控除額</t>
        </is>
      </c>
      <c r="E3" s="20" t="inlineStr">
        <is>
          <t>税額の式</t>
        </is>
      </c>
    </row>
    <row r="4" ht="20" customHeight="1">
      <c r="A4" s="54" t="inlineStr">
        <is>
          <t>195万円以下</t>
        </is>
      </c>
      <c r="B4" s="46" t="n">
        <v>0</v>
      </c>
      <c r="C4" s="47" t="n">
        <v>5</v>
      </c>
      <c r="D4" s="46" t="n">
        <v>0</v>
      </c>
      <c r="E4" s="10" t="inlineStr">
        <is>
          <t>（課税退職所得金額×5％－0円）×102.1％</t>
        </is>
      </c>
    </row>
    <row r="5" ht="20" customHeight="1">
      <c r="A5" s="54" t="inlineStr">
        <is>
          <t>195万円を超え 330万円以下</t>
        </is>
      </c>
      <c r="B5" s="46" t="n">
        <v>1950001</v>
      </c>
      <c r="C5" s="47" t="n">
        <v>10</v>
      </c>
      <c r="D5" s="46" t="n">
        <v>97500</v>
      </c>
      <c r="E5" s="10" t="inlineStr">
        <is>
          <t>（課税退職所得金額×10％－97,500円）×102.1％</t>
        </is>
      </c>
    </row>
    <row r="6" ht="20" customHeight="1">
      <c r="A6" s="54" t="inlineStr">
        <is>
          <t>330万円を超え 695万円以下</t>
        </is>
      </c>
      <c r="B6" s="46" t="n">
        <v>3300001</v>
      </c>
      <c r="C6" s="47" t="n">
        <v>20</v>
      </c>
      <c r="D6" s="46" t="n">
        <v>427500</v>
      </c>
      <c r="E6" s="10" t="inlineStr">
        <is>
          <t>（課税退職所得金額×20％－427,500円）×102.1％</t>
        </is>
      </c>
    </row>
    <row r="7" ht="20" customHeight="1">
      <c r="A7" s="54" t="inlineStr">
        <is>
          <t>695万円を超え 900万円以下</t>
        </is>
      </c>
      <c r="B7" s="46" t="n">
        <v>6950001</v>
      </c>
      <c r="C7" s="47" t="n">
        <v>23</v>
      </c>
      <c r="D7" s="46" t="n">
        <v>636000</v>
      </c>
      <c r="E7" s="10" t="inlineStr">
        <is>
          <t>（課税退職所得金額×23％－636,000円）×102.1％</t>
        </is>
      </c>
    </row>
    <row r="8" ht="20" customHeight="1">
      <c r="A8" s="54" t="inlineStr">
        <is>
          <t>900万円を超え 1,800万円以下</t>
        </is>
      </c>
      <c r="B8" s="46" t="n">
        <v>9000001</v>
      </c>
      <c r="C8" s="47" t="n">
        <v>33</v>
      </c>
      <c r="D8" s="46" t="n">
        <v>1536000</v>
      </c>
      <c r="E8" s="10" t="inlineStr">
        <is>
          <t>（課税退職所得金額×33％－1,536,000円）×102.1％</t>
        </is>
      </c>
    </row>
    <row r="9" ht="20" customHeight="1">
      <c r="A9" s="54" t="inlineStr">
        <is>
          <t>1,800万円を超え 4,000万円以下</t>
        </is>
      </c>
      <c r="B9" s="46" t="n">
        <v>18000001</v>
      </c>
      <c r="C9" s="47" t="n">
        <v>40</v>
      </c>
      <c r="D9" s="46" t="n">
        <v>2796000</v>
      </c>
      <c r="E9" s="10" t="inlineStr">
        <is>
          <t>（課税退職所得金額×40％－2,796,000円）×102.1％</t>
        </is>
      </c>
    </row>
    <row r="10" ht="20" customHeight="1">
      <c r="A10" s="54" t="inlineStr">
        <is>
          <t>4,000万円超</t>
        </is>
      </c>
      <c r="B10" s="46" t="n">
        <v>40000001</v>
      </c>
      <c r="C10" s="47" t="n">
        <v>45</v>
      </c>
      <c r="D10" s="46" t="n">
        <v>4796000</v>
      </c>
      <c r="E10" s="10" t="inlineStr">
        <is>
          <t>（課税退職所得金額×45％－4,796,000円）×102.1％</t>
        </is>
      </c>
    </row>
    <row r="11">
      <c r="A11" s="50" t="n"/>
      <c r="B11" s="50" t="n"/>
      <c r="C11" s="50" t="n"/>
      <c r="D11" s="50" t="n"/>
      <c r="E11" s="50" t="n"/>
    </row>
    <row r="12">
      <c r="A12" s="50" t="n"/>
      <c r="B12" s="50" t="n"/>
      <c r="C12" s="50" t="n"/>
      <c r="D12" s="50" t="n"/>
      <c r="E12" s="50" t="n"/>
    </row>
    <row r="13" ht="22" customHeight="1">
      <c r="A13" s="56" t="inlineStr">
        <is>
          <t>退職所得控除額・税率</t>
        </is>
      </c>
      <c r="B13" s="50" t="n"/>
      <c r="C13" s="50" t="n"/>
      <c r="D13" s="50" t="n"/>
      <c r="E13" s="50" t="n"/>
    </row>
    <row r="14" ht="20" customHeight="1">
      <c r="A14" s="54" t="inlineStr">
        <is>
          <t>退職所得控除額: 勤続20年以下の1年あたり</t>
        </is>
      </c>
      <c r="B14" s="46" t="n">
        <v>400000</v>
      </c>
      <c r="C14" s="10" t="inlineStr">
        <is>
          <t>所得税法30条3項1号</t>
        </is>
      </c>
      <c r="D14" s="65" t="n"/>
      <c r="E14" s="55" t="n"/>
    </row>
    <row r="15" ht="20" customHeight="1">
      <c r="A15" s="54" t="inlineStr">
        <is>
          <t>退職所得控除額: 勤続20年を超えるときの20年分</t>
        </is>
      </c>
      <c r="B15" s="46" t="n">
        <v>8000000</v>
      </c>
      <c r="C15" s="10" t="inlineStr">
        <is>
          <t>所得税法30条3項2号</t>
        </is>
      </c>
      <c r="D15" s="65" t="n"/>
      <c r="E15" s="55" t="n"/>
    </row>
    <row r="16" ht="20" customHeight="1">
      <c r="A16" s="54" t="inlineStr">
        <is>
          <t>退職所得控除額: 20年を超える1年あたり</t>
        </is>
      </c>
      <c r="B16" s="46" t="n">
        <v>700000</v>
      </c>
      <c r="C16" s="10" t="inlineStr">
        <is>
          <t>所得税法30条3項2号</t>
        </is>
      </c>
      <c r="D16" s="65" t="n"/>
      <c r="E16" s="55" t="n"/>
    </row>
    <row r="17" ht="20" customHeight="1">
      <c r="A17" s="54" t="inlineStr">
        <is>
          <t>退職所得控除額の最低額</t>
        </is>
      </c>
      <c r="B17" s="46" t="n">
        <v>800000</v>
      </c>
      <c r="C17" s="10" t="inlineStr">
        <is>
          <t>所得税法30条6項</t>
        </is>
      </c>
      <c r="D17" s="65" t="n"/>
      <c r="E17" s="55" t="n"/>
    </row>
    <row r="18" ht="20" customHeight="1">
      <c r="A18" s="54" t="inlineStr">
        <is>
          <t>障害者になったことが直接の原因の退職で加える額</t>
        </is>
      </c>
      <c r="B18" s="46" t="n">
        <v>1000000</v>
      </c>
      <c r="C18" s="10" t="inlineStr">
        <is>
          <t>所得税法30条6項</t>
        </is>
      </c>
      <c r="D18" s="65" t="n"/>
      <c r="E18" s="55" t="n"/>
    </row>
    <row r="19" ht="20" customHeight="1">
      <c r="A19" s="54" t="inlineStr">
        <is>
          <t>短期退職手当等になる勤続年数（この年数以下）</t>
        </is>
      </c>
      <c r="B19" s="48" t="n">
        <v>5</v>
      </c>
      <c r="C19" s="10" t="inlineStr">
        <is>
          <t>所得税法30条4項（短期勤続年数）</t>
        </is>
      </c>
      <c r="D19" s="65" t="n"/>
      <c r="E19" s="55" t="n"/>
    </row>
    <row r="20" ht="20" customHeight="1">
      <c r="A20" s="54" t="inlineStr">
        <is>
          <t>短期退職手当等で2分の1にする上限</t>
        </is>
      </c>
      <c r="B20" s="46" t="n">
        <v>3000000</v>
      </c>
      <c r="C20" s="10" t="inlineStr">
        <is>
          <t>所得税法30条2項</t>
        </is>
      </c>
      <c r="D20" s="65" t="n"/>
      <c r="E20" s="55" t="n"/>
    </row>
    <row r="21" ht="20" customHeight="1">
      <c r="A21" s="54" t="inlineStr">
        <is>
          <t>復興特別所得税を含める倍率（％）</t>
        </is>
      </c>
      <c r="B21" s="48" t="n">
        <v>102.1</v>
      </c>
      <c r="C21" s="10" t="inlineStr">
        <is>
          <t>国税庁 No.2732・速算表</t>
        </is>
      </c>
      <c r="D21" s="65" t="n"/>
      <c r="E21" s="55" t="n"/>
    </row>
    <row r="22" ht="20" customHeight="1">
      <c r="A22" s="54" t="inlineStr">
        <is>
          <t>申告書を出していないときの税率（％）</t>
        </is>
      </c>
      <c r="B22" s="48" t="n">
        <v>20.42</v>
      </c>
      <c r="C22" s="10" t="inlineStr">
        <is>
          <t>国税庁 No.2732</t>
        </is>
      </c>
      <c r="D22" s="65" t="n"/>
      <c r="E22" s="55" t="n"/>
    </row>
    <row r="23" ht="20" customHeight="1">
      <c r="A23" s="54" t="inlineStr">
        <is>
          <t>住民税（市町村民税）の税率（％）</t>
        </is>
      </c>
      <c r="B23" s="48" t="n">
        <v>6</v>
      </c>
      <c r="C23" s="10" t="inlineStr">
        <is>
          <t>地方税法328条の3</t>
        </is>
      </c>
      <c r="D23" s="65" t="n"/>
      <c r="E23" s="55" t="n"/>
    </row>
    <row r="24" ht="20" customHeight="1">
      <c r="A24" s="54" t="inlineStr">
        <is>
          <t>住民税（道府県民税）の税率（％）</t>
        </is>
      </c>
      <c r="B24" s="48" t="n">
        <v>4</v>
      </c>
      <c r="C24" s="10" t="inlineStr">
        <is>
          <t>地方税法50条の4</t>
        </is>
      </c>
      <c r="D24" s="65" t="n"/>
      <c r="E24" s="55" t="n"/>
    </row>
    <row r="25">
      <c r="A25" s="50" t="n"/>
      <c r="B25" s="50" t="n"/>
      <c r="C25" s="50" t="n"/>
      <c r="D25" s="50" t="n"/>
      <c r="E25" s="50" t="n"/>
    </row>
    <row r="26" ht="27" customHeight="1">
      <c r="A26" s="58" t="inlineStr">
        <is>
          <t>令和9年分以後は、所得税・防衛特別所得税・復興特別所得税を源泉徴収します。国税庁の速算表（令和8年4月1日現在法令等）は、令和9年分以後の額も同じ「×102.1％」の式で示しています（国税庁 No.2732 別紙）。率を変える前に、国税庁の最新のページを確かめてください。</t>
        </is>
      </c>
      <c r="B26" s="50" t="n"/>
      <c r="C26" s="50" t="n"/>
      <c r="D26" s="50" t="n"/>
      <c r="E26" s="50" t="n"/>
    </row>
  </sheetData>
  <mergeCells count="15">
    <mergeCell ref="C16:E16"/>
    <mergeCell ref="C14:E14"/>
    <mergeCell ref="A26:E26"/>
    <mergeCell ref="C19:E19"/>
    <mergeCell ref="A2:E2"/>
    <mergeCell ref="C23:E23"/>
    <mergeCell ref="C22:E22"/>
    <mergeCell ref="C18:E18"/>
    <mergeCell ref="A1:E1"/>
    <mergeCell ref="C17:E17"/>
    <mergeCell ref="A13:E13"/>
    <mergeCell ref="C21:E21"/>
    <mergeCell ref="C20:E20"/>
    <mergeCell ref="C15:E15"/>
    <mergeCell ref="C24:E24"/>
  </mergeCells>
  <printOptions horizontalCentered="1"/>
  <pageMargins left="0.5" right="0.5" top="0.55" bottom="0.55" header="0.25" footer="0.2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2026-10-02T18:40:52Z</dcterms:created>
  <dcterms:modified xmlns:dcterms="http://purl.org/dc/terms/" xmlns:xsi="http://www.w3.org/2001/XMLSchema-instance" xsi:type="dcterms:W3CDTF">2026-10-02T18:40:53Z</dcterms:modified>
</cp:coreProperties>
</file>