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設定" sheetId="2" state="visible" r:id="rId2"/>
    <sheet xmlns:r="http://schemas.openxmlformats.org/officeDocument/2006/relationships" name="支払先" sheetId="3" state="visible" r:id="rId3"/>
    <sheet xmlns:r="http://schemas.openxmlformats.org/officeDocument/2006/relationships" name="支払明細" sheetId="4" state="visible" r:id="rId4"/>
    <sheet xmlns:r="http://schemas.openxmlformats.org/officeDocument/2006/relationships" name="通知一覧" sheetId="5" state="visible" r:id="rId5"/>
    <sheet xmlns:r="http://schemas.openxmlformats.org/officeDocument/2006/relationships" name="支払通知書" sheetId="6" state="visible" r:id="rId6"/>
    <sheet xmlns:r="http://schemas.openxmlformats.org/officeDocument/2006/relationships" name="月別集計" sheetId="7" state="visible" r:id="rId7"/>
  </sheets>
  <definedNames>
    <definedName name="_xlnm.Print_Area" localSheetId="1">'設定'!$A$1:$C$21</definedName>
    <definedName name="_xlnm._FilterDatabase" localSheetId="2" hidden="1">'支払先'!$A$4:$R$104</definedName>
    <definedName name="_xlnm.Print_Titles" localSheetId="2">'支払先'!$4:$4</definedName>
    <definedName name="_xlnm.Print_Area" localSheetId="2">'支払先'!$A$1:$R$104</definedName>
    <definedName name="_xlnm._FilterDatabase" localSheetId="3" hidden="1">'支払明細'!$A$4:$M$1004</definedName>
    <definedName name="_xlnm.Print_Titles" localSheetId="3">'支払明細'!$4:$4</definedName>
    <definedName name="_xlnm.Print_Area" localSheetId="3">'支払明細'!$A$1:$M$1004</definedName>
    <definedName name="_xlnm._FilterDatabase" localSheetId="4" hidden="1">'通知一覧'!$A$4:$V$204</definedName>
    <definedName name="_xlnm.Print_Titles" localSheetId="4">'通知一覧'!$4:$4</definedName>
    <definedName name="_xlnm.Print_Area" localSheetId="4">'通知一覧'!$A$1:$V$204</definedName>
    <definedName name="_xlnm.Print_Area" localSheetId="5">'支払通知書'!$A$1:$H$47</definedName>
    <definedName name="_xlnm.Print_Area" localSheetId="6">'月別集計'!$A$1:$H$123</definedName>
  </definedNames>
  <calcPr calcId="124519" fullCalcOnLoad="1"/>
</workbook>
</file>

<file path=xl/styles.xml><?xml version="1.0" encoding="utf-8"?>
<styleSheet xmlns="http://schemas.openxmlformats.org/spreadsheetml/2006/main">
  <numFmts count="6">
    <numFmt numFmtId="164" formatCode="yyyy/m/d"/>
    <numFmt numFmtId="165" formatCode="#,##0;-#,##0"/>
    <numFmt numFmtId="166" formatCode="yyyy&quot;年&quot;m&quot;月&quot;d&quot;日&quot;"/>
    <numFmt numFmtId="167" formatCode="#,##0&quot;円&quot;;-#,##0&quot;円&quot;"/>
    <numFmt numFmtId="168" formatCode="m/d"/>
    <numFmt numFmtId="169" formatCode="0&quot;件&quot;"/>
  </numFmts>
  <fonts count="19">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9"/>
    </font>
    <font>
      <name val="Yu Gothic"/>
      <b val="1"/>
      <color rgb="00FFFFFF"/>
      <sz val="10"/>
    </font>
    <font>
      <name val="Yu Gothic"/>
      <color rgb="0066707A"/>
      <sz val="8"/>
    </font>
    <font>
      <name val="Yu Gothic"/>
      <b val="1"/>
      <color rgb="00B3261E"/>
      <sz val="9"/>
    </font>
    <font>
      <name val="Yu Gothic"/>
      <b val="1"/>
      <color rgb="001B3A5C"/>
      <sz val="12"/>
    </font>
    <font>
      <name val="Yu Gothic"/>
      <b val="1"/>
      <color rgb="001B3A5C"/>
      <sz val="18"/>
    </font>
    <font>
      <name val="Yu Gothic"/>
      <b val="1"/>
      <color rgb="001A1A1A"/>
      <sz val="14"/>
    </font>
    <font>
      <name val="Yu Gothic"/>
      <color rgb="001A1A1A"/>
      <sz val="12"/>
    </font>
    <font>
      <name val="Yu Gothic"/>
      <b val="1"/>
      <color rgb="001B3A5C"/>
      <sz val="15"/>
    </font>
    <font>
      <name val="Yu Gothic"/>
      <b val="1"/>
      <color rgb="001A1A1A"/>
      <sz val="11"/>
    </font>
    <font>
      <name val="Yu Gothic"/>
      <color theme="1"/>
      <sz val="11"/>
    </font>
    <font>
      <name val="Yu Gothic"/>
      <b val="1"/>
      <color rgb="FF1B3A5C"/>
      <sz val="10"/>
    </font>
    <font>
      <name val="Yu Gothic"/>
      <b val="1"/>
      <color rgb="FF1B3A5C"/>
      <sz val="18"/>
    </font>
    <font>
      <name val="Yu Gothic"/>
      <b val="1"/>
      <color rgb="FF1B3A5C"/>
      <sz val="12"/>
    </font>
    <font>
      <name val="Yu Gothic"/>
      <b val="1"/>
      <color rgb="FF1B3A5C"/>
      <sz val="15"/>
    </font>
  </fonts>
  <fills count="7">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4A5D73"/>
      </patternFill>
    </fill>
    <fill>
      <patternFill patternType="solid">
        <fgColor rgb="0066707A"/>
      </patternFill>
    </fill>
  </fills>
  <borders count="26">
    <border>
      <left/>
      <right/>
      <top/>
      <bottom/>
      <diagonal/>
    </border>
    <border>
      <left style="thin">
        <color rgb="00B9C4CF"/>
      </left>
      <right style="thin">
        <color rgb="00B9C4CF"/>
      </right>
      <top style="thin">
        <color rgb="00B9C4CF"/>
      </top>
      <bottom style="thin">
        <color rgb="00B9C4CF"/>
      </bottom>
    </border>
    <border>
      <top style="medium">
        <color rgb="001B3A5C"/>
      </top>
    </border>
    <border>
      <bottom style="medium">
        <color rgb="001B3A5C"/>
      </bottom>
    </border>
    <border>
      <bottom style="thin">
        <color rgb="00B9C4CF"/>
      </bottom>
    </border>
    <border>
      <left/>
      <right/>
      <top style="medium">
        <color rgb="001B3A5C"/>
      </top>
      <bottom/>
      <diagonal/>
    </border>
    <border>
      <left/>
      <right/>
      <top style="thin">
        <color rgb="00B9C4CF"/>
      </top>
      <bottom/>
      <diagonal/>
    </border>
    <border>
      <left/>
      <right style="thin">
        <color rgb="00B9C4CF"/>
      </right>
      <top style="thin">
        <color rgb="00B9C4CF"/>
      </top>
      <bottom/>
      <diagonal/>
    </border>
    <border>
      <left/>
      <right style="thin">
        <color rgb="00B9C4CF"/>
      </right>
      <top style="thin">
        <color rgb="00B9C4CF"/>
      </top>
      <bottom style="thin">
        <color rgb="00B9C4CF"/>
      </bottom>
      <diagonal/>
    </border>
    <border>
      <left/>
      <right/>
      <top/>
      <bottom style="medium">
        <color rgb="001B3A5C"/>
      </bottom>
      <diagonal/>
    </border>
    <border>
      <left style="thin">
        <color rgb="00B9C4CF"/>
      </left>
      <right/>
      <top/>
      <bottom/>
      <diagonal/>
    </border>
    <border>
      <left/>
      <right style="thin">
        <color rgb="00B9C4CF"/>
      </right>
      <top/>
      <bottom/>
      <diagonal/>
    </border>
    <border>
      <left style="thin">
        <color rgb="00B9C4CF"/>
      </left>
      <right/>
      <top/>
      <bottom style="thin">
        <color rgb="00B9C4CF"/>
      </bottom>
      <diagonal/>
    </border>
    <border>
      <left/>
      <right/>
      <top/>
      <bottom style="thin">
        <color rgb="00B9C4CF"/>
      </bottom>
      <diagonal/>
    </border>
    <border>
      <left/>
      <right style="thin">
        <color rgb="00B9C4CF"/>
      </right>
      <top/>
      <bottom style="thin">
        <color rgb="00B9C4CF"/>
      </bottom>
      <diagonal/>
    </border>
    <border>
      <left/>
      <right/>
      <top/>
      <bottom/>
    </border>
    <border>
      <left/>
      <right/>
      <top style="medium">
        <color rgb="001B3A5C"/>
      </top>
      <bottom/>
    </border>
    <border>
      <left/>
      <right/>
      <top/>
      <bottom style="medium">
        <color rgb="001B3A5C"/>
      </bottom>
    </border>
    <border>
      <left/>
      <right style="thin">
        <color rgb="00B9C4CF"/>
      </right>
      <top style="thin">
        <color rgb="00B9C4CF"/>
      </top>
      <bottom style="thin">
        <color rgb="00B9C4CF"/>
      </bottom>
    </border>
    <border>
      <left/>
      <right/>
      <top/>
      <bottom style="thin">
        <color rgb="00B9C4CF"/>
      </bottom>
    </border>
    <border>
      <left/>
      <right/>
      <top style="thin">
        <color rgb="00B9C4CF"/>
      </top>
      <bottom/>
    </border>
    <border>
      <left/>
      <right style="thin">
        <color rgb="00B9C4CF"/>
      </right>
      <top style="thin">
        <color rgb="00B9C4CF"/>
      </top>
      <bottom/>
    </border>
    <border>
      <left style="thin">
        <color rgb="00B9C4CF"/>
      </left>
      <right/>
      <top/>
      <bottom/>
    </border>
    <border>
      <left/>
      <right style="thin">
        <color rgb="00B9C4CF"/>
      </right>
      <top/>
      <bottom/>
    </border>
    <border>
      <left style="thin">
        <color rgb="00B9C4CF"/>
      </left>
      <right/>
      <top/>
      <bottom style="thin">
        <color rgb="00B9C4CF"/>
      </bottom>
    </border>
    <border>
      <left/>
      <right style="thin">
        <color rgb="00B9C4CF"/>
      </right>
      <top/>
      <bottom style="thin">
        <color rgb="00B9C4CF"/>
      </bottom>
    </border>
  </borders>
  <cellStyleXfs count="1">
    <xf numFmtId="0" fontId="0" fillId="0" borderId="0"/>
  </cellStyleXfs>
  <cellXfs count="100">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4" fillId="0" borderId="0" applyAlignment="1" pivotButton="0" quotePrefix="0" xfId="0">
      <alignment horizontal="left" vertical="center" wrapText="1"/>
    </xf>
    <xf numFmtId="0" fontId="2" fillId="3" borderId="1" applyAlignment="1" pivotButton="0" quotePrefix="0" xfId="0">
      <alignment horizontal="center" vertical="center" wrapText="1"/>
    </xf>
    <xf numFmtId="0" fontId="3" fillId="4" borderId="1" applyAlignment="1" pivotButton="0" quotePrefix="0" xfId="0">
      <alignment horizontal="left" vertical="center" wrapText="1"/>
    </xf>
    <xf numFmtId="0" fontId="2" fillId="3" borderId="2" applyAlignment="1" pivotButton="0" quotePrefix="0" xfId="0">
      <alignment horizontal="left" vertical="center" wrapText="1"/>
    </xf>
    <xf numFmtId="0" fontId="0" fillId="3" borderId="2" pivotButton="0" quotePrefix="0" xfId="0"/>
    <xf numFmtId="1" fontId="3" fillId="4" borderId="1" applyAlignment="1" pivotButton="0" quotePrefix="0" xfId="0">
      <alignment horizontal="left" vertical="center" wrapText="1"/>
    </xf>
    <xf numFmtId="0" fontId="3" fillId="4" borderId="1" applyAlignment="1" pivotButton="0" quotePrefix="0" xfId="0">
      <alignment horizontal="left" vertical="top" wrapText="1"/>
    </xf>
    <xf numFmtId="10" fontId="3" fillId="4" borderId="1" applyAlignment="1" pivotButton="0" quotePrefix="0" xfId="0">
      <alignment horizontal="left" vertical="center" wrapText="1"/>
    </xf>
    <xf numFmtId="3" fontId="3" fillId="4" borderId="1" applyAlignment="1" pivotButton="0" quotePrefix="0" xfId="0">
      <alignment horizontal="left" vertical="center" wrapText="1"/>
    </xf>
    <xf numFmtId="0" fontId="5" fillId="2" borderId="1" applyAlignment="1" pivotButton="0" quotePrefix="0" xfId="0">
      <alignment horizontal="center" vertical="center" wrapText="1"/>
    </xf>
    <xf numFmtId="0" fontId="5" fillId="5" borderId="1" applyAlignment="1" pivotButton="0" quotePrefix="0" xfId="0">
      <alignment horizontal="center" vertical="center" wrapText="1"/>
    </xf>
    <xf numFmtId="0" fontId="6"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4" borderId="1" applyAlignment="1" pivotButton="0" quotePrefix="0" xfId="0">
      <alignment horizontal="left" vertical="center" shrinkToFit="1"/>
    </xf>
    <xf numFmtId="49" fontId="3" fillId="4" borderId="1" applyAlignment="1" pivotButton="0" quotePrefix="0" xfId="0">
      <alignment horizontal="left" vertical="center" shrinkToFit="1"/>
    </xf>
    <xf numFmtId="3" fontId="3" fillId="4" borderId="1" applyAlignment="1" pivotButton="0" quotePrefix="0" xfId="0">
      <alignment horizontal="right" vertical="center"/>
    </xf>
    <xf numFmtId="0" fontId="7" fillId="3" borderId="1" applyAlignment="1" pivotButton="0" quotePrefix="0" xfId="0">
      <alignment horizontal="left" vertical="center" shrinkToFit="1"/>
    </xf>
    <xf numFmtId="0" fontId="5" fillId="6" borderId="1" applyAlignment="1" pivotButton="0" quotePrefix="0" xfId="0">
      <alignment horizontal="center" vertical="center" wrapText="1"/>
    </xf>
    <xf numFmtId="164" fontId="3" fillId="4" borderId="1" applyAlignment="1" pivotButton="0" quotePrefix="0" xfId="0">
      <alignment horizontal="center" vertical="center" wrapText="1"/>
    </xf>
    <xf numFmtId="0" fontId="3" fillId="4" borderId="1" applyAlignment="1" pivotButton="0" quotePrefix="0" xfId="0">
      <alignment horizontal="right" vertical="center"/>
    </xf>
    <xf numFmtId="165" fontId="3" fillId="3" borderId="1" applyAlignment="1" pivotButton="0" quotePrefix="0" xfId="0">
      <alignment horizontal="right" vertical="center"/>
    </xf>
    <xf numFmtId="0" fontId="3" fillId="3" borderId="1" applyAlignment="1" pivotButton="0" quotePrefix="0" xfId="0">
      <alignment horizontal="left" vertical="center" shrinkToFit="1"/>
    </xf>
    <xf numFmtId="164" fontId="3" fillId="3" borderId="1" applyAlignment="1" pivotButton="0" quotePrefix="0" xfId="0">
      <alignment horizontal="center" vertical="center" wrapText="1"/>
    </xf>
    <xf numFmtId="1" fontId="3" fillId="3" borderId="1" applyAlignment="1" pivotButton="0" quotePrefix="0" xfId="0">
      <alignment horizontal="right" vertical="center"/>
    </xf>
    <xf numFmtId="0" fontId="3" fillId="3" borderId="1" applyAlignment="1" pivotButton="0" quotePrefix="0" xfId="0">
      <alignment horizontal="center" vertical="center" wrapText="1"/>
    </xf>
    <xf numFmtId="0" fontId="6" fillId="0" borderId="1" applyAlignment="1" pivotButton="0" quotePrefix="0" xfId="0">
      <alignment horizontal="left" vertical="center" wrapText="1"/>
    </xf>
    <xf numFmtId="0" fontId="2" fillId="0" borderId="0" applyAlignment="1" pivotButton="0" quotePrefix="0" xfId="0">
      <alignment horizontal="left" vertical="center" wrapText="1"/>
    </xf>
    <xf numFmtId="0" fontId="9" fillId="0" borderId="3" applyAlignment="1" pivotButton="0" quotePrefix="0" xfId="0">
      <alignment horizontal="center" vertical="center" wrapText="1"/>
    </xf>
    <xf numFmtId="0" fontId="0" fillId="0" borderId="3" pivotButton="0" quotePrefix="0" xfId="0"/>
    <xf numFmtId="0" fontId="3" fillId="0" borderId="1" applyAlignment="1" pivotButton="0" quotePrefix="0" xfId="0">
      <alignment horizontal="center" vertical="center" wrapText="1"/>
    </xf>
    <xf numFmtId="0" fontId="0" fillId="0" borderId="1" pivotButton="0" quotePrefix="0" xfId="0"/>
    <xf numFmtId="0" fontId="4" fillId="0" borderId="0" applyAlignment="1" pivotButton="0" quotePrefix="0" xfId="0">
      <alignment horizontal="right" vertical="center"/>
    </xf>
    <xf numFmtId="0" fontId="8" fillId="4" borderId="1" applyAlignment="1" pivotButton="0" quotePrefix="0" xfId="0">
      <alignment horizontal="center" vertical="center" wrapText="1"/>
    </xf>
    <xf numFmtId="166" fontId="3" fillId="0" borderId="1" applyAlignment="1" pivotButton="0" quotePrefix="0" xfId="0">
      <alignment horizontal="center" vertical="center" wrapText="1"/>
    </xf>
    <xf numFmtId="0" fontId="6" fillId="0" borderId="0" pivotButton="0" quotePrefix="0" xfId="0"/>
    <xf numFmtId="0" fontId="10" fillId="0" borderId="4" applyAlignment="1" pivotButton="0" quotePrefix="0" xfId="0">
      <alignment horizontal="left" vertical="center" shrinkToFit="1"/>
    </xf>
    <xf numFmtId="0" fontId="0" fillId="0" borderId="4" pivotButton="0" quotePrefix="0" xfId="0"/>
    <xf numFmtId="0" fontId="11" fillId="0" borderId="4" applyAlignment="1" pivotButton="0" quotePrefix="0" xfId="0">
      <alignment horizontal="center" vertical="center" shrinkToFit="1"/>
    </xf>
    <xf numFmtId="0" fontId="8" fillId="0" borderId="4" applyAlignment="1" pivotButton="0" quotePrefix="0" xfId="0">
      <alignment horizontal="left" vertical="center" shrinkToFit="1"/>
    </xf>
    <xf numFmtId="0" fontId="3" fillId="0" borderId="0" applyAlignment="1" pivotButton="0" quotePrefix="0" xfId="0">
      <alignment horizontal="left" vertical="center" shrinkToFit="1"/>
    </xf>
    <xf numFmtId="0" fontId="4" fillId="0" borderId="0" applyAlignment="1" pivotButton="0" quotePrefix="0" xfId="0">
      <alignment horizontal="left" vertical="center" shrinkToFit="1"/>
    </xf>
    <xf numFmtId="0" fontId="4" fillId="0" borderId="0" applyAlignment="1" pivotButton="0" quotePrefix="0" xfId="0">
      <alignment horizontal="left" vertical="top" wrapText="1"/>
    </xf>
    <xf numFmtId="0" fontId="3" fillId="0" borderId="0" applyAlignment="1" pivotButton="0" quotePrefix="0" xfId="0">
      <alignment horizontal="left" vertical="center" wrapText="1"/>
    </xf>
    <xf numFmtId="0" fontId="0" fillId="2" borderId="1" pivotButton="0" quotePrefix="0" xfId="0"/>
    <xf numFmtId="167" fontId="12" fillId="0" borderId="1" applyAlignment="1" pivotButton="0" quotePrefix="0" xfId="0">
      <alignment horizontal="right" vertical="center" shrinkToFit="1"/>
    </xf>
    <xf numFmtId="0" fontId="0" fillId="3" borderId="1" pivotButton="0" quotePrefix="0" xfId="0"/>
    <xf numFmtId="0" fontId="3" fillId="0" borderId="1" applyAlignment="1" pivotButton="0" quotePrefix="0" xfId="0">
      <alignment horizontal="left" vertical="center" shrinkToFit="1"/>
    </xf>
    <xf numFmtId="168" fontId="3" fillId="0" borderId="1" applyAlignment="1" pivotButton="0" quotePrefix="0" xfId="0">
      <alignment horizontal="center" vertical="center" wrapText="1"/>
    </xf>
    <xf numFmtId="0" fontId="3" fillId="0" borderId="1" applyAlignment="1" pivotButton="0" quotePrefix="0" xfId="0">
      <alignment horizontal="right" vertical="center" shrinkToFit="1"/>
    </xf>
    <xf numFmtId="165" fontId="3" fillId="0" borderId="1" applyAlignment="1" pivotButton="0" quotePrefix="0" xfId="0">
      <alignment horizontal="right" vertical="center" shrinkToFit="1"/>
    </xf>
    <xf numFmtId="0" fontId="7" fillId="0" borderId="0" applyAlignment="1" pivotButton="0" quotePrefix="0" xfId="0">
      <alignment horizontal="left" vertical="center" wrapText="1"/>
    </xf>
    <xf numFmtId="0" fontId="2" fillId="3" borderId="1" applyAlignment="1" pivotButton="0" quotePrefix="0" xfId="0">
      <alignment horizontal="left" vertical="center" wrapText="1"/>
    </xf>
    <xf numFmtId="165" fontId="13" fillId="0" borderId="1" applyAlignment="1" pivotButton="0" quotePrefix="0" xfId="0">
      <alignment horizontal="right" vertical="center" shrinkToFit="1"/>
    </xf>
    <xf numFmtId="0" fontId="5" fillId="2" borderId="1" applyAlignment="1" pivotButton="0" quotePrefix="0" xfId="0">
      <alignment horizontal="left" vertical="center" wrapText="1"/>
    </xf>
    <xf numFmtId="0" fontId="3" fillId="0" borderId="1" applyAlignment="1" pivotButton="0" quotePrefix="0" xfId="0">
      <alignment horizontal="left" vertical="top" wrapText="1"/>
    </xf>
    <xf numFmtId="1" fontId="8" fillId="4" borderId="1" applyAlignment="1" pivotButton="0" quotePrefix="0" xfId="0">
      <alignment horizontal="center" vertical="center" wrapText="1"/>
    </xf>
    <xf numFmtId="169" fontId="3" fillId="3" borderId="1" applyAlignment="1" pivotButton="0" quotePrefix="0" xfId="0">
      <alignment horizontal="right" vertical="center"/>
    </xf>
    <xf numFmtId="169" fontId="2" fillId="3" borderId="1" applyAlignment="1" pivotButton="0" quotePrefix="0" xfId="0">
      <alignment horizontal="right" vertical="center"/>
    </xf>
    <xf numFmtId="165" fontId="2" fillId="3" borderId="1" applyAlignment="1" pivotButton="0" quotePrefix="0" xfId="0">
      <alignment horizontal="right" vertical="center"/>
    </xf>
    <xf numFmtId="0" fontId="3" fillId="3" borderId="1" applyAlignment="1" pivotButton="0" quotePrefix="0" xfId="0">
      <alignment horizontal="left" vertical="center" wrapText="1"/>
    </xf>
    <xf numFmtId="0" fontId="1" fillId="2" borderId="15" applyAlignment="1" pivotButton="0" quotePrefix="0" xfId="0">
      <alignment horizontal="left" vertical="center" wrapText="1"/>
    </xf>
    <xf numFmtId="0" fontId="14" fillId="0" borderId="15" pivotButton="0" quotePrefix="0" xfId="0"/>
    <xf numFmtId="0" fontId="15" fillId="3" borderId="15" applyAlignment="1" pivotButton="0" quotePrefix="0" xfId="0">
      <alignment horizontal="left" vertical="center" wrapText="1"/>
    </xf>
    <xf numFmtId="0" fontId="3" fillId="0" borderId="15" applyAlignment="1" pivotButton="0" quotePrefix="0" xfId="0">
      <alignment horizontal="left" vertical="top" wrapText="1"/>
    </xf>
    <xf numFmtId="0" fontId="4" fillId="0" borderId="15" applyAlignment="1" pivotButton="0" quotePrefix="0" xfId="0">
      <alignment horizontal="left" vertical="center" wrapText="1"/>
    </xf>
    <xf numFmtId="0" fontId="15" fillId="3" borderId="1" applyAlignment="1" pivotButton="0" quotePrefix="0" xfId="0">
      <alignment horizontal="center" vertical="center" wrapText="1"/>
    </xf>
    <xf numFmtId="0" fontId="15" fillId="3" borderId="2" applyAlignment="1" pivotButton="0" quotePrefix="0" xfId="0">
      <alignment horizontal="left" vertical="center" wrapText="1"/>
    </xf>
    <xf numFmtId="0" fontId="14" fillId="0" borderId="16" pivotButton="0" quotePrefix="0" xfId="0"/>
    <xf numFmtId="0" fontId="15" fillId="0" borderId="15" applyAlignment="1" pivotButton="0" quotePrefix="0" xfId="0">
      <alignment horizontal="left" vertical="center" wrapText="1"/>
    </xf>
    <xf numFmtId="0" fontId="16" fillId="0" borderId="3" applyAlignment="1" pivotButton="0" quotePrefix="0" xfId="0">
      <alignment horizontal="center" vertical="center" wrapText="1"/>
    </xf>
    <xf numFmtId="0" fontId="14" fillId="0" borderId="17" pivotButton="0" quotePrefix="0" xfId="0"/>
    <xf numFmtId="0" fontId="14" fillId="3" borderId="15" pivotButton="0" quotePrefix="0" xfId="0"/>
    <xf numFmtId="0" fontId="14" fillId="0" borderId="18" pivotButton="0" quotePrefix="0" xfId="0"/>
    <xf numFmtId="0" fontId="4" fillId="0" borderId="15" applyAlignment="1" pivotButton="0" quotePrefix="0" xfId="0">
      <alignment horizontal="right" vertical="center"/>
    </xf>
    <xf numFmtId="0" fontId="17" fillId="4" borderId="1" applyAlignment="1" pivotButton="0" quotePrefix="0" xfId="0">
      <alignment horizontal="center" vertical="center" wrapText="1"/>
    </xf>
    <xf numFmtId="0" fontId="6" fillId="0" borderId="15" pivotButton="0" quotePrefix="0" xfId="0"/>
    <xf numFmtId="0" fontId="14" fillId="0" borderId="19" pivotButton="0" quotePrefix="0" xfId="0"/>
    <xf numFmtId="0" fontId="17" fillId="0" borderId="4" applyAlignment="1" pivotButton="0" quotePrefix="0" xfId="0">
      <alignment horizontal="left" vertical="center" shrinkToFit="1"/>
    </xf>
    <xf numFmtId="0" fontId="3" fillId="0" borderId="15" applyAlignment="1" pivotButton="0" quotePrefix="0" xfId="0">
      <alignment horizontal="left" vertical="center" shrinkToFit="1"/>
    </xf>
    <xf numFmtId="0" fontId="4" fillId="0" borderId="15" applyAlignment="1" pivotButton="0" quotePrefix="0" xfId="0">
      <alignment horizontal="left" vertical="center" shrinkToFit="1"/>
    </xf>
    <xf numFmtId="0" fontId="4" fillId="0" borderId="15" applyAlignment="1" pivotButton="0" quotePrefix="0" xfId="0">
      <alignment horizontal="left" vertical="top" wrapText="1"/>
    </xf>
    <xf numFmtId="0" fontId="3" fillId="0" borderId="15" applyAlignment="1" pivotButton="0" quotePrefix="0" xfId="0">
      <alignment horizontal="left" vertical="center" wrapText="1"/>
    </xf>
    <xf numFmtId="167" fontId="18" fillId="0" borderId="1" applyAlignment="1" pivotButton="0" quotePrefix="0" xfId="0">
      <alignment horizontal="right" vertical="center" shrinkToFit="1"/>
    </xf>
    <xf numFmtId="0" fontId="7" fillId="0" borderId="15" applyAlignment="1" pivotButton="0" quotePrefix="0" xfId="0">
      <alignment horizontal="left" vertical="center" wrapText="1"/>
    </xf>
    <xf numFmtId="0" fontId="15" fillId="3" borderId="1" applyAlignment="1" pivotButton="0" quotePrefix="0" xfId="0">
      <alignment horizontal="left" vertical="center" wrapText="1"/>
    </xf>
    <xf numFmtId="0" fontId="14" fillId="0" borderId="20" pivotButton="0" quotePrefix="0" xfId="0"/>
    <xf numFmtId="0" fontId="14" fillId="0" borderId="21" pivotButton="0" quotePrefix="0" xfId="0"/>
    <xf numFmtId="0" fontId="14" fillId="0" borderId="22" pivotButton="0" quotePrefix="0" xfId="0"/>
    <xf numFmtId="0" fontId="14" fillId="0" borderId="23" pivotButton="0" quotePrefix="0" xfId="0"/>
    <xf numFmtId="0" fontId="14" fillId="0" borderId="24" pivotButton="0" quotePrefix="0" xfId="0"/>
    <xf numFmtId="0" fontId="14" fillId="0" borderId="25" pivotButton="0" quotePrefix="0" xfId="0"/>
    <xf numFmtId="1" fontId="17" fillId="4" borderId="1" applyAlignment="1" pivotButton="0" quotePrefix="0" xfId="0">
      <alignment horizontal="center" vertical="center" wrapText="1"/>
    </xf>
    <xf numFmtId="169" fontId="15" fillId="3" borderId="1" applyAlignment="1" pivotButton="0" quotePrefix="0" xfId="0">
      <alignment horizontal="right" vertical="center"/>
    </xf>
    <xf numFmtId="165" fontId="15" fillId="3" borderId="1" applyAlignment="1" pivotButton="0" quotePrefix="0" xfId="0">
      <alignment horizontal="right" vertical="center"/>
    </xf>
  </cellXfs>
  <cellStyles count="1">
    <cellStyle name="Normal" xfId="0" builtinId="0" hidden="0"/>
  </cellStyles>
  <dxfs count="2">
    <dxf>
      <font>
        <b val="1"/>
        <color rgb="00B3261E"/>
      </font>
      <fill>
        <patternFill patternType="solid">
          <fgColor rgb="00FDECEA"/>
          <bgColor rgb="00FDECEA"/>
        </patternFill>
      </fill>
    </dxf>
    <dxf>
      <fill>
        <patternFill patternType="solid">
          <fgColor rgb="00FFF4CC"/>
          <bgColor rgb="00FFF4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48"/>
  <sheetViews>
    <sheetView showGridLines="0" tabSelected="1" workbookViewId="0">
      <selection activeCell="A1" sqref="A1"/>
    </sheetView>
  </sheetViews>
  <sheetFormatPr baseColWidth="8" defaultRowHeight="15"/>
  <cols>
    <col width="24" customWidth="1" min="1" max="1"/>
    <col width="104" customWidth="1" min="2" max="2"/>
  </cols>
  <sheetData>
    <row r="1" ht="26" customHeight="1">
      <c r="A1" s="66" t="inlineStr">
        <is>
          <t>使い方（支払通知書テンプレート）</t>
        </is>
      </c>
      <c r="B1" s="67" t="n"/>
    </row>
    <row r="2" ht="20" customHeight="1">
      <c r="A2" s="68" t="inlineStr">
        <is>
          <t>このファイルでできること</t>
        </is>
      </c>
      <c r="B2" s="67" t="n"/>
    </row>
    <row r="3" ht="17.5" customHeight="1">
      <c r="A3" s="69" t="inlineStr">
        <is>
          <t>外注先・仕入先に「いくら・いつ払うか」を知らせる支払通知書を、明細の入力から作ります。</t>
        </is>
      </c>
      <c r="B3" s="67" t="n"/>
    </row>
    <row r="4" ht="32" customHeight="1">
      <c r="A4" s="69" t="inlineStr">
        <is>
          <t>税率ごとの消費税（通知書1枚につき税率ごとに1回だけ端数を処理）、源泉徴収税額（1円未満切り捨て）、振込手数料、差引支払額が自動で出ます。</t>
        </is>
      </c>
      <c r="B4" s="67" t="n"/>
    </row>
    <row r="5" ht="17.5" customHeight="1">
      <c r="A5" s="69" t="inlineStr">
        <is>
          <t>月別集計シートには、月ごとの支払額と、源泉徴収税額の合計・納付期限（支払った月の翌月10日）が出ます。</t>
        </is>
      </c>
      <c r="B5" s="67" t="n"/>
    </row>
    <row r="6" ht="32" customHeight="1">
      <c r="A6" s="69" t="inlineStr">
        <is>
          <t>支払調書（税務署に出す法定調書）とは別の書類です。このファイルは支払調書を作りません。月別集計の支払先別の年間合計は、支払調書を作るときの下書きに使えます。</t>
        </is>
      </c>
      <c r="B6" s="67" t="n"/>
    </row>
    <row r="7">
      <c r="A7" s="67" t="n"/>
      <c r="B7" s="67" t="n"/>
    </row>
    <row r="8" ht="20" customHeight="1">
      <c r="A8" s="68" t="inlineStr">
        <is>
          <t>最初の1回</t>
        </is>
      </c>
      <c r="B8" s="67" t="n"/>
    </row>
    <row r="9" ht="32" customHeight="1">
      <c r="A9" s="69" t="inlineStr">
        <is>
          <t>1. 「設定」シートに自社の名前・住所・電話・担当者を入れます。書類の名前（支払通知書・支払明細書・仕入明細書など）も変えられます。</t>
        </is>
      </c>
      <c r="B9" s="67" t="n"/>
    </row>
    <row r="10" ht="17.5" customHeight="1">
      <c r="A10" s="69" t="inlineStr">
        <is>
          <t>2. 明細の金額を税抜で入れるか税込で入れるか、消費税の端数を切り捨て・四捨五入・切り上げのどれにするかを選びます。</t>
        </is>
      </c>
      <c r="B10" s="67" t="n"/>
    </row>
    <row r="11" ht="32" customHeight="1">
      <c r="A11" s="69" t="inlineStr">
        <is>
          <t>3. 確認の期限（発行日の何日後か）と、通知書の下に出す確認の文言を、取引先と決めた内容に合わせます。文言の【期限】の所に日付が入ります。</t>
        </is>
      </c>
      <c r="B11" s="67" t="n"/>
    </row>
    <row r="12" ht="32" customHeight="1">
      <c r="A12" s="69" t="inlineStr">
        <is>
          <t>4. 「支払先」シートに支払先を1行ずつ入れます。登録番号（T＋13桁）、源泉徴収をするか、源泉の対象額を税抜・税込のどちらにするか、振込手数料を差し引くか、振込先です。</t>
        </is>
      </c>
      <c r="B12" s="67" t="n"/>
    </row>
    <row r="13">
      <c r="A13" s="67" t="n"/>
      <c r="B13" s="67" t="n"/>
    </row>
    <row r="14" ht="20" customHeight="1">
      <c r="A14" s="68" t="inlineStr">
        <is>
          <t>毎月やること</t>
        </is>
      </c>
      <c r="B14" s="67" t="n"/>
    </row>
    <row r="15" ht="32" customHeight="1">
      <c r="A15" s="69" t="inlineStr">
        <is>
          <t>1. 「通知一覧」に通知No・支払先コード・発行日・対象期間・支払予定日を1行で入れます。通知Noは1枚に1つです（重なると注意が出ます）。</t>
        </is>
      </c>
      <c r="B15" s="67" t="n"/>
    </row>
    <row r="16" ht="32" customHeight="1">
      <c r="A16" s="69" t="inlineStr">
        <is>
          <t>2. 「支払明細」に、その通知Noで明細を1行ずつ入れます。受領日（納品日・作業をしてもらった日）・品目・数量・単位・単価・税率を入れると、金額が出ます。</t>
        </is>
      </c>
      <c r="B16" s="67" t="n"/>
    </row>
    <row r="17" ht="32" customHeight="1">
      <c r="A17" s="69" t="inlineStr">
        <is>
          <t>3. 「支払通知書」シートの右の黄色いセル（表示する通知No）で通知Noを選ぶと、その通知書になります。印刷するか、PDF にして送ります。</t>
        </is>
      </c>
      <c r="B17" s="67" t="n"/>
    </row>
    <row r="18" ht="32" customHeight="1">
      <c r="A18" s="69" t="inlineStr">
        <is>
          <t>4. 取引先から確認の返事が来たら、通知一覧の「確認」を「済」にします。誤りの連絡が来たら「訂正あり」にして明細を直し、通知書を出し直します。</t>
        </is>
      </c>
      <c r="B18" s="67" t="n"/>
    </row>
    <row r="19" ht="32" customHeight="1">
      <c r="A19" s="69" t="inlineStr">
        <is>
          <t>5. 「月別集計」で年を入れると、月ごとの支払額と源泉徴収税額の合計が出ます。源泉徴収税額は、支払った月の翌月10日までに納めます。</t>
        </is>
      </c>
      <c r="B19" s="67" t="n"/>
    </row>
    <row r="20">
      <c r="A20" s="67" t="n"/>
      <c r="B20" s="67" t="n"/>
    </row>
    <row r="21" ht="20" customHeight="1">
      <c r="A21" s="68" t="inlineStr">
        <is>
          <t>色の意味</t>
        </is>
      </c>
      <c r="B21" s="67" t="n"/>
    </row>
    <row r="22" ht="17.5" customHeight="1">
      <c r="A22" s="69" t="inlineStr">
        <is>
          <t>黄色のセルが入力、灰色のセルが数式です。灰色のセルは書き換えません。赤い文字は、確かめてほしいところです。</t>
        </is>
      </c>
      <c r="B22" s="67" t="n"/>
    </row>
    <row r="23">
      <c r="A23" s="67" t="n"/>
      <c r="B23" s="67" t="n"/>
    </row>
    <row r="24" ht="20" customHeight="1">
      <c r="A24" s="68" t="inlineStr">
        <is>
          <t>消費税の計算</t>
        </is>
      </c>
      <c r="B24" s="67" t="n"/>
    </row>
    <row r="25" ht="32" customHeight="1">
      <c r="A25" s="69" t="inlineStr">
        <is>
          <t>通知書1枚ごとに、10%の明細・8%の明細をそれぞれ合計し、その合計に税率を掛けて1円未満を処理します（行ごとには処理しません）。</t>
        </is>
      </c>
      <c r="B25" s="67" t="n"/>
    </row>
    <row r="26" ht="17.5" customHeight="1">
      <c r="A26" s="69" t="inlineStr">
        <is>
          <t>税抜で入れる設定なら「税抜の合計×10%（8%）」、税込で入れる設定なら「税込の合計×10/110（8/108）」です。</t>
        </is>
      </c>
      <c r="B26" s="67" t="n"/>
    </row>
    <row r="27" ht="32" customHeight="1">
      <c r="A27" s="69" t="inlineStr">
        <is>
          <t>仕入明細書の消費税額等は、消費税法施行令49条4項6号で「支払対価の額に110分の10（軽減は108分の8）を乗じて算出した金額」とされ、国税庁Q&amp;A問89で、税抜の合計と消費税額等を書けばその記載があるものとして扱うとされています。</t>
        </is>
      </c>
      <c r="B27" s="67" t="n"/>
    </row>
    <row r="28" ht="17.5" customHeight="1">
      <c r="A28" s="69" t="inlineStr">
        <is>
          <t>「対象外」は消費税がかからない明細（立替えた印紙代など）です。合計には入りますが、消費税は計算しません。</t>
        </is>
      </c>
      <c r="B28" s="67" t="n"/>
    </row>
    <row r="29">
      <c r="A29" s="67" t="n"/>
      <c r="B29" s="67" t="n"/>
    </row>
    <row r="30" ht="20" customHeight="1">
      <c r="A30" s="68" t="inlineStr">
        <is>
          <t>源泉徴収の計算</t>
        </is>
      </c>
      <c r="B30" s="67" t="n"/>
    </row>
    <row r="31" ht="32" customHeight="1">
      <c r="A31" s="69" t="inlineStr">
        <is>
          <t>支払先シートで源泉徴収を「する」にした支払先だけ計算します。明細の「源泉」の列に「対象外」と入れた行は、源泉の対象額に入りません。</t>
        </is>
      </c>
      <c r="B31" s="67" t="n"/>
    </row>
    <row r="32" ht="32" customHeight="1">
      <c r="A32" s="69" t="inlineStr">
        <is>
          <t>源泉の対象額が100万円以下なら 対象額×10.21%、100万円を超えるなら（対象額−100万円）×20.42%＋102,100円。1円未満は切り捨て（国税庁 No.2795・No.2798）。</t>
        </is>
      </c>
      <c r="B32" s="67" t="n"/>
    </row>
    <row r="33" ht="32" customHeight="1">
      <c r="A33" s="69" t="inlineStr">
        <is>
          <t>源泉の対象額は、原則は消費税等を含めた金額です。請求書等で報酬の額と消費税等の額がはっきり分かれていれば、税抜の額を対象にしてもよいとされています（同）。支払先ごとに税抜・税込を選びます。</t>
        </is>
      </c>
      <c r="B33" s="67" t="n"/>
    </row>
    <row r="34" ht="32" customHeight="1">
      <c r="A34" s="69" t="inlineStr">
        <is>
          <t>この式は、原稿料・デザイン料・講演料や、弁護士・税理士などの報酬の式です。司法書士・土地家屋調査士・外交員などは計算のしかたが違うので、この式は使えません（所得税法205条2号）。</t>
        </is>
      </c>
      <c r="B34" s="67" t="n"/>
    </row>
    <row r="35" ht="17.5" customHeight="1">
      <c r="A35" s="69" t="inlineStr">
        <is>
          <t>率と金額は「設定」シートにあります。法令が変わったら、国税庁の案内で確かめて書き換えます。</t>
        </is>
      </c>
      <c r="B35" s="67" t="n"/>
    </row>
    <row r="36">
      <c r="A36" s="67" t="n"/>
      <c r="B36" s="67" t="n"/>
    </row>
    <row r="37" ht="20" customHeight="1">
      <c r="A37" s="68" t="inlineStr">
        <is>
          <t>振込手数料とフリーランスへの支払期日</t>
        </is>
      </c>
      <c r="B37" s="67" t="n"/>
    </row>
    <row r="38" ht="32" customHeight="1">
      <c r="A38" s="69" t="inlineStr">
        <is>
          <t>振込手数料を「差し引く」にした支払先は、その額を差引支払額から引きます。フリーランス法の禁止行為の対象の取引（1か月以上の業務委託）と、取適法の対象の取引では、合意があっても差し引けません。支払先シートで「対象」にすると注意が出ます。</t>
        </is>
      </c>
      <c r="B38" s="67" t="n"/>
    </row>
    <row r="39" ht="32" customHeight="1">
      <c r="A39" s="69" t="inlineStr">
        <is>
          <t>支払明細の「60日（2か月）」の列は、受領日を1日目として支払予定日まで何日あるかを出し、60日を超え、かつ受領日の2か月後の同じ日以降に払う予定の明細に「超える」と出します。フリーランス法の対象外にした支払先には出しません。</t>
        </is>
      </c>
      <c r="B39" s="67" t="n"/>
    </row>
    <row r="40" ht="17.5" customHeight="1">
      <c r="A40" s="69" t="inlineStr">
        <is>
          <t>再委託の例外（元委託の支払期日から30日以内）や、金融機関の休業日による順延は、この列では見ていません。</t>
        </is>
      </c>
      <c r="B40" s="67" t="n"/>
    </row>
    <row r="41">
      <c r="A41" s="67" t="n"/>
      <c r="B41" s="67" t="n"/>
    </row>
    <row r="42" ht="20" customHeight="1">
      <c r="A42" s="68" t="inlineStr">
        <is>
          <t>印刷</t>
        </is>
      </c>
      <c r="B42" s="67" t="n"/>
    </row>
    <row r="43" ht="17.5" customHeight="1">
      <c r="A43" s="69" t="inlineStr">
        <is>
          <t>支払通知書シートは A4 縦1枚です。明細は20行まで出ます。21行を超えるときは通知Noを分けます。</t>
        </is>
      </c>
      <c r="B43" s="67" t="n"/>
    </row>
    <row r="44" ht="17.5" customHeight="1">
      <c r="A44" s="69" t="inlineStr">
        <is>
          <t>印刷範囲の外（右側）に、表示する通知Noを選ぶセルがあります。そこは印刷されません。</t>
        </is>
      </c>
      <c r="B44" s="67" t="n"/>
    </row>
    <row r="45">
      <c r="A45" s="67" t="n"/>
      <c r="B45" s="67" t="n"/>
    </row>
    <row r="46" ht="20" customHeight="1">
      <c r="A46" s="68" t="inlineStr">
        <is>
          <t>使っている関数</t>
        </is>
      </c>
      <c r="B46" s="67" t="n"/>
    </row>
    <row r="47" ht="32" customHeight="1">
      <c r="A47" s="69" t="inlineStr">
        <is>
          <t>IF・IFERROR・AND・OR・NOT・INDEX・MATCH・SMALL・SUM・SUMIFS・COUNTIF・COUNTIFS・ROUND・ROUNDDOWN・ROUNDUP・ISNUMBER・N・LEN・LEFT・MID・SUBSTITUTE・SUMPRODUCT・YEAR・MONTH・DAY・DATE・EDATE・ROW。XLOOKUP・FILTER・MINIFS は使っていません。</t>
        </is>
      </c>
      <c r="B47" s="67" t="n"/>
    </row>
    <row r="48" ht="17.5" customHeight="1">
      <c r="A48" s="69" t="inlineStr">
        <is>
          <t>このファイルの動作は LibreOffice で確かめています。Excel と Google スプレッドシートの実機では確かめていません。</t>
        </is>
      </c>
      <c r="B48" s="67" t="n"/>
    </row>
  </sheetData>
  <mergeCells count="40">
    <mergeCell ref="A48:B48"/>
    <mergeCell ref="A24:B24"/>
    <mergeCell ref="A30:B30"/>
    <mergeCell ref="A15:B15"/>
    <mergeCell ref="A11:B11"/>
    <mergeCell ref="A1:B1"/>
    <mergeCell ref="A6:B6"/>
    <mergeCell ref="A16:B16"/>
    <mergeCell ref="A25:B25"/>
    <mergeCell ref="A37:B37"/>
    <mergeCell ref="A46:B46"/>
    <mergeCell ref="A18:B18"/>
    <mergeCell ref="A27:B27"/>
    <mergeCell ref="A3:B3"/>
    <mergeCell ref="A12:B12"/>
    <mergeCell ref="A26:B26"/>
    <mergeCell ref="A21:B21"/>
    <mergeCell ref="A2:B2"/>
    <mergeCell ref="A33:B33"/>
    <mergeCell ref="A47:B47"/>
    <mergeCell ref="A5:B5"/>
    <mergeCell ref="A42:B42"/>
    <mergeCell ref="A32:B32"/>
    <mergeCell ref="A14:B14"/>
    <mergeCell ref="A17:B17"/>
    <mergeCell ref="A8:B8"/>
    <mergeCell ref="A22:B22"/>
    <mergeCell ref="A35:B35"/>
    <mergeCell ref="A4:B4"/>
    <mergeCell ref="A38:B38"/>
    <mergeCell ref="A43:B43"/>
    <mergeCell ref="A19:B19"/>
    <mergeCell ref="A10:B10"/>
    <mergeCell ref="A28:B28"/>
    <mergeCell ref="A44:B44"/>
    <mergeCell ref="A40:B40"/>
    <mergeCell ref="A9:B9"/>
    <mergeCell ref="A31:B31"/>
    <mergeCell ref="A39:B39"/>
    <mergeCell ref="A34:B34"/>
  </mergeCells>
  <pageMargins left="0.4" right="0.4" top="0.45" bottom="0.45" header="0.2" footer="0.2"/>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C21"/>
  <sheetViews>
    <sheetView showGridLines="0" tabSelected="0" workbookViewId="0">
      <selection activeCell="A1" sqref="A1"/>
    </sheetView>
  </sheetViews>
  <sheetFormatPr baseColWidth="8" defaultRowHeight="15"/>
  <cols>
    <col width="26" customWidth="1" min="1" max="1"/>
    <col width="46" customWidth="1" min="2" max="2"/>
    <col width="62" customWidth="1" min="3" max="3"/>
  </cols>
  <sheetData>
    <row r="1" ht="26" customHeight="1">
      <c r="A1" s="66" t="inlineStr">
        <is>
          <t>設定（最初に1回入れる）</t>
        </is>
      </c>
      <c r="B1" s="67" t="n"/>
      <c r="C1" s="67" t="n"/>
    </row>
    <row r="2" ht="20" customHeight="1">
      <c r="A2" s="70" t="inlineStr">
        <is>
          <t>黄色のセルに入れます。ここで決めたことが、支払通知書・通知一覧・月別集計に使われます。</t>
        </is>
      </c>
      <c r="B2" s="67" t="n"/>
      <c r="C2" s="67" t="n"/>
    </row>
    <row r="3">
      <c r="A3" s="67" t="n"/>
      <c r="B3" s="67" t="n"/>
      <c r="C3" s="67" t="n"/>
    </row>
    <row r="4" ht="22" customHeight="1">
      <c r="A4" s="71" t="inlineStr">
        <is>
          <t>自社の名前（作成者）</t>
        </is>
      </c>
      <c r="B4" s="8" t="n"/>
      <c r="C4" s="70" t="inlineStr">
        <is>
          <t>通知書の右上に出ます（仕入明細書の記載事項「書類の作成者の氏名又は名称」）。</t>
        </is>
      </c>
    </row>
    <row r="5" ht="22" customHeight="1">
      <c r="A5" s="71" t="inlineStr">
        <is>
          <t>住所</t>
        </is>
      </c>
      <c r="B5" s="8" t="n"/>
      <c r="C5" s="70" t="n"/>
    </row>
    <row r="6" ht="22" customHeight="1">
      <c r="A6" s="71" t="inlineStr">
        <is>
          <t>電話</t>
        </is>
      </c>
      <c r="B6" s="8" t="n"/>
      <c r="C6" s="70" t="n"/>
    </row>
    <row r="7" ht="22" customHeight="1">
      <c r="A7" s="71" t="inlineStr">
        <is>
          <t>担当者</t>
        </is>
      </c>
      <c r="B7" s="8" t="n"/>
      <c r="C7" s="70" t="n"/>
    </row>
    <row r="8" ht="22" customHeight="1">
      <c r="A8" s="71" t="inlineStr">
        <is>
          <t>書類の名前</t>
        </is>
      </c>
      <c r="B8" s="8" t="inlineStr">
        <is>
          <t>支払通知書</t>
        </is>
      </c>
      <c r="C8" s="70" t="inlineStr">
        <is>
          <t>支払通知書・支払明細書・仕入明細書など。通知書のいちばん上に出ます。</t>
        </is>
      </c>
    </row>
    <row r="9">
      <c r="A9" s="67" t="n"/>
      <c r="B9" s="67" t="n"/>
      <c r="C9" s="67" t="n"/>
    </row>
    <row r="10" ht="20" customHeight="1">
      <c r="A10" s="72" t="inlineStr">
        <is>
          <t>計算の決まり</t>
        </is>
      </c>
      <c r="B10" s="73" t="n"/>
      <c r="C10" s="73" t="n"/>
    </row>
    <row r="11" ht="30" customHeight="1">
      <c r="A11" s="71" t="inlineStr">
        <is>
          <t>明細の金額</t>
        </is>
      </c>
      <c r="B11" s="8" t="inlineStr">
        <is>
          <t>税抜</t>
        </is>
      </c>
      <c r="C11" s="70" t="inlineStr">
        <is>
          <t>税抜: 単価を税抜で入れ、税率ごとの合計×10%（8%）。税込: 単価を税込で入れ、合計×10/110（8/108）。</t>
        </is>
      </c>
    </row>
    <row r="12" ht="30" customHeight="1">
      <c r="A12" s="71" t="inlineStr">
        <is>
          <t>消費税の1円未満</t>
        </is>
      </c>
      <c r="B12" s="8" t="inlineStr">
        <is>
          <t>切り捨て</t>
        </is>
      </c>
      <c r="C12" s="70" t="inlineStr">
        <is>
          <t>通知書1枚ごとに、税率ごとの合計で1回だけ処理します（行ごとには処理しません）。</t>
        </is>
      </c>
    </row>
    <row r="13" ht="30" customHeight="1">
      <c r="A13" s="71" t="inlineStr">
        <is>
          <t>確認の期限（発行日の何日後）</t>
        </is>
      </c>
      <c r="B13" s="11" t="n">
        <v>7</v>
      </c>
      <c r="C13" s="70" t="inlineStr">
        <is>
          <t>取引先と決めた日数を入れます（法令で決まった日数はありません）。</t>
        </is>
      </c>
    </row>
    <row r="14" ht="62" customHeight="1">
      <c r="A14" s="71" t="inlineStr">
        <is>
          <t>確認の文言</t>
        </is>
      </c>
      <c r="B14" s="12" t="inlineStr">
        <is>
          <t>この通知書の内容に誤りがある場合は、【期限】までにご連絡ください。期限までにご連絡がない場合は、記載のとおり確認いただいたものとします。</t>
        </is>
      </c>
      <c r="C14" s="70" t="inlineStr">
        <is>
          <t>通知書の下に出ます。【期限】の所に確認の期限の日付が入ります。この扱いは前もって取引先の了承を得ておきます。</t>
        </is>
      </c>
    </row>
    <row r="15">
      <c r="A15" s="67" t="n"/>
      <c r="B15" s="67" t="n"/>
      <c r="C15" s="67" t="n"/>
    </row>
    <row r="16" ht="20" customHeight="1">
      <c r="A16" s="72" t="inlineStr">
        <is>
          <t>源泉徴収の率（国税庁 No.2795・No.2798「令和8年4月1日現在法令等」の表）</t>
        </is>
      </c>
      <c r="B16" s="73" t="n"/>
      <c r="C16" s="73" t="n"/>
    </row>
    <row r="17" ht="22" customHeight="1">
      <c r="A17" s="71" t="inlineStr">
        <is>
          <t>税率（区切りの額まで）</t>
        </is>
      </c>
      <c r="B17" s="13" t="n">
        <v>0.1021</v>
      </c>
      <c r="C17" s="70" t="inlineStr">
        <is>
          <t>10.21%</t>
        </is>
      </c>
    </row>
    <row r="18" ht="22" customHeight="1">
      <c r="A18" s="71" t="inlineStr">
        <is>
          <t>区切りの額（円）</t>
        </is>
      </c>
      <c r="B18" s="14" t="n">
        <v>1000000</v>
      </c>
      <c r="C18" s="70" t="inlineStr">
        <is>
          <t>1回に支払う額が100万円を超えると、超えた部分の税率が変わります。</t>
        </is>
      </c>
    </row>
    <row r="19" ht="22" customHeight="1">
      <c r="A19" s="71" t="inlineStr">
        <is>
          <t>区切りを超える部分の税率</t>
        </is>
      </c>
      <c r="B19" s="13" t="n">
        <v>0.2042</v>
      </c>
      <c r="C19" s="70" t="inlineStr">
        <is>
          <t>20.42%</t>
        </is>
      </c>
    </row>
    <row r="20" ht="22" customHeight="1">
      <c r="A20" s="71" t="inlineStr">
        <is>
          <t>区切りの額までの税額（円）</t>
        </is>
      </c>
      <c r="B20" s="14" t="n">
        <v>102100</v>
      </c>
      <c r="C20" s="70" t="inlineStr">
        <is>
          <t>102,100円（100万円×10.21%）</t>
        </is>
      </c>
    </row>
    <row r="21" ht="30" customHeight="1">
      <c r="A21" s="70" t="inlineStr">
        <is>
          <t>1円未満は切り捨てます。率が変わったときは、国税庁の案内で確かめてからここを書き換えます。司法書士・土地家屋調査士・外交員などへの報酬は計算のしかたが違うので、この率では計算できません。</t>
        </is>
      </c>
      <c r="B21" s="67" t="n"/>
      <c r="C21" s="67" t="n"/>
    </row>
  </sheetData>
  <mergeCells count="5">
    <mergeCell ref="A10:C10"/>
    <mergeCell ref="A1:C1"/>
    <mergeCell ref="A2:C2"/>
    <mergeCell ref="A21:C21"/>
    <mergeCell ref="A16:C16"/>
  </mergeCells>
  <dataValidations count="3">
    <dataValidation sqref="B11" showDropDown="0" showInputMessage="0" showErrorMessage="1" allowBlank="1" errorTitle="一覧から選んでください" error="一覧から選んでください" type="list">
      <formula1>"税抜,税込"</formula1>
    </dataValidation>
    <dataValidation sqref="B12" showDropDown="0" showInputMessage="0" showErrorMessage="1" allowBlank="1" errorTitle="一覧から選んでください" error="一覧から選んでください" type="list">
      <formula1>"切り捨て,四捨五入,切り上げ"</formula1>
    </dataValidation>
    <dataValidation sqref="B13" showDropDown="0" showInputMessage="0" showErrorMessage="1" allowBlank="1" errorTitle="確認の期限" error="0〜365 の日数を入れてください。" type="whole" operator="between">
      <formula1>0</formula1>
      <formula2>365</formula2>
    </dataValidation>
  </dataValidations>
  <pageMargins left="0.4" right="0.4" top="0.45" bottom="0.45" header="0.2" footer="0.2"/>
  <pageSetup orientation="portrait" paperSize="9" fitToHeight="0" fitToWidth="1"/>
</worksheet>
</file>

<file path=xl/worksheets/sheet3.xml><?xml version="1.0" encoding="utf-8"?>
<worksheet xmlns="http://schemas.openxmlformats.org/spreadsheetml/2006/main">
  <sheetPr>
    <tabColor rgb="001B3A5C"/>
    <outlinePr summaryBelow="1" summaryRight="1"/>
    <pageSetUpPr fitToPage="1"/>
  </sheetPr>
  <dimension ref="A1:R104"/>
  <sheetViews>
    <sheetView showGridLines="0" tabSelected="0" workbookViewId="0">
      <pane xSplit="3" ySplit="4" topLeftCell="D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9" customWidth="1" min="2" max="2"/>
    <col width="26" customWidth="1" min="3" max="3"/>
    <col width="6" customWidth="1" min="4" max="4"/>
    <col width="10" customWidth="1" min="5" max="5"/>
    <col width="28" customWidth="1" min="6" max="6"/>
    <col width="17" customWidth="1" min="7" max="7"/>
    <col width="8" customWidth="1" min="8" max="8"/>
    <col width="8" customWidth="1" min="9" max="9"/>
    <col width="9" customWidth="1" min="10" max="10"/>
    <col width="10" customWidth="1" min="11" max="11"/>
    <col width="9" customWidth="1" min="12" max="12"/>
    <col width="10" customWidth="1" min="13" max="13"/>
    <col width="9" customWidth="1" min="14" max="14"/>
    <col width="22" customWidth="1" min="15" max="15"/>
    <col width="15" customWidth="1" min="16" max="16"/>
    <col width="18" customWidth="1" min="17" max="17"/>
    <col width="40" customWidth="1" min="18" max="18"/>
  </cols>
  <sheetData>
    <row r="1" ht="26" customHeight="1">
      <c r="A1" s="66" t="inlineStr">
        <is>
          <t>支払先（1支払先1行）</t>
        </is>
      </c>
      <c r="B1" s="67" t="n"/>
      <c r="C1" s="67" t="n"/>
      <c r="D1" s="67" t="n"/>
      <c r="E1" s="67" t="n"/>
      <c r="F1" s="67" t="n"/>
      <c r="G1" s="67" t="n"/>
      <c r="H1" s="67" t="n"/>
      <c r="I1" s="67" t="n"/>
      <c r="J1" s="67" t="n"/>
      <c r="K1" s="67" t="n"/>
      <c r="L1" s="67" t="n"/>
      <c r="M1" s="67" t="n"/>
      <c r="N1" s="67" t="n"/>
      <c r="O1" s="67" t="n"/>
      <c r="P1" s="67" t="n"/>
      <c r="Q1" s="67" t="n"/>
      <c r="R1" s="67" t="n"/>
    </row>
    <row r="2" ht="30" customHeight="1">
      <c r="A2" s="70" t="inlineStr">
        <is>
          <t>登録番号は「T」と13桁の数字（例 T1234567890123）。登録番号の無い支払先への通知書は、仕入明細書として仕入税額控除に使えません。源泉の対象額を空にすると、原則の「税込」で計算します。フリーランス法・取適法の対象かどうかは、取引ごとに確かめて入れます（空欄は「未確認」と同じ扱い）。</t>
        </is>
      </c>
      <c r="B2" s="67" t="n"/>
      <c r="C2" s="67" t="n"/>
      <c r="D2" s="67" t="n"/>
      <c r="E2" s="67" t="n"/>
      <c r="F2" s="67" t="n"/>
      <c r="G2" s="67" t="n"/>
      <c r="H2" s="67" t="n"/>
      <c r="I2" s="67" t="n"/>
      <c r="J2" s="67" t="n"/>
      <c r="K2" s="67" t="n"/>
      <c r="L2" s="67" t="n"/>
      <c r="M2" s="67" t="n"/>
      <c r="N2" s="67" t="n"/>
      <c r="O2" s="67" t="n"/>
      <c r="P2" s="67" t="n"/>
      <c r="Q2" s="67" t="n"/>
      <c r="R2" s="67" t="n"/>
    </row>
    <row r="3">
      <c r="A3" s="67" t="n"/>
      <c r="B3" s="67" t="n"/>
      <c r="C3" s="67" t="n"/>
      <c r="D3" s="67" t="n"/>
      <c r="E3" s="67" t="n"/>
      <c r="F3" s="67" t="n"/>
      <c r="G3" s="67" t="n"/>
      <c r="H3" s="67" t="n"/>
      <c r="I3" s="67" t="n"/>
      <c r="J3" s="67" t="n"/>
      <c r="K3" s="67" t="n"/>
      <c r="L3" s="67" t="n"/>
      <c r="M3" s="67" t="n"/>
      <c r="N3" s="67" t="n"/>
      <c r="O3" s="67" t="n"/>
      <c r="P3" s="67" t="n"/>
      <c r="Q3" s="67" t="n"/>
      <c r="R3" s="67" t="n"/>
    </row>
    <row r="4" ht="34" customHeight="1">
      <c r="A4" s="15" t="inlineStr">
        <is>
          <t>No.</t>
        </is>
      </c>
      <c r="B4" s="15" t="inlineStr">
        <is>
          <t>支払先コード</t>
        </is>
      </c>
      <c r="C4" s="15" t="inlineStr">
        <is>
          <t>支払先の名前</t>
        </is>
      </c>
      <c r="D4" s="15" t="inlineStr">
        <is>
          <t>敬称</t>
        </is>
      </c>
      <c r="E4" s="15" t="inlineStr">
        <is>
          <t>郵便番号</t>
        </is>
      </c>
      <c r="F4" s="15" t="inlineStr">
        <is>
          <t>住所</t>
        </is>
      </c>
      <c r="G4" s="15" t="inlineStr">
        <is>
          <t>登録番号（T＋13桁）</t>
        </is>
      </c>
      <c r="H4" s="15" t="inlineStr">
        <is>
          <t>個人／法人</t>
        </is>
      </c>
      <c r="I4" s="15" t="inlineStr">
        <is>
          <t>源泉徴収</t>
        </is>
      </c>
      <c r="J4" s="15" t="inlineStr">
        <is>
          <t>源泉の対象額</t>
        </is>
      </c>
      <c r="K4" s="15" t="inlineStr">
        <is>
          <t>振込手数料</t>
        </is>
      </c>
      <c r="L4" s="15" t="inlineStr">
        <is>
          <t>差し引く額（円）</t>
        </is>
      </c>
      <c r="M4" s="15" t="inlineStr">
        <is>
          <t>フリーランス法</t>
        </is>
      </c>
      <c r="N4" s="15" t="inlineStr">
        <is>
          <t>取適法</t>
        </is>
      </c>
      <c r="O4" s="15" t="inlineStr">
        <is>
          <t>振込先（金融機関・支店）</t>
        </is>
      </c>
      <c r="P4" s="15" t="inlineStr">
        <is>
          <t>口座（種別・番号）</t>
        </is>
      </c>
      <c r="Q4" s="15" t="inlineStr">
        <is>
          <t>口座名義</t>
        </is>
      </c>
      <c r="R4" s="16" t="inlineStr">
        <is>
          <t>確かめること</t>
        </is>
      </c>
    </row>
    <row r="5" ht="18" customHeight="1">
      <c r="A5" s="17" t="n">
        <v>1</v>
      </c>
      <c r="B5" s="18" t="n"/>
      <c r="C5" s="19" t="n"/>
      <c r="D5" s="18" t="n"/>
      <c r="E5" s="18" t="n"/>
      <c r="F5" s="19" t="n"/>
      <c r="G5" s="20" t="n"/>
      <c r="H5" s="18" t="n"/>
      <c r="I5" s="18" t="n"/>
      <c r="J5" s="18" t="n"/>
      <c r="K5" s="18" t="n"/>
      <c r="L5" s="21" t="n"/>
      <c r="M5" s="18" t="n"/>
      <c r="N5" s="18" t="n"/>
      <c r="O5" s="19" t="n"/>
      <c r="P5" s="19" t="n"/>
      <c r="Q5" s="19" t="n"/>
      <c r="R5" s="22">
        <f>IF($B5="","",MID(IF($G5="","／登録番号なし（仕入明細書にならない）",IF(AND(LEN($G5)=14,LEFT($G5,1)="T",SUMPRODUCT(--ISNUMBER(--MID($G5,{2,3,4,5,6,7,8,9,10,11,12,13,14},1)))=13),"","／登録番号の形を確かめる"))&amp;IF(AND($H5="個人",$I5=""),"／源泉徴収の欄が空","")&amp;IF(AND($H5="法人",$I5="する"),"／法人に源泉する設定（原則は不要）","")&amp;IF(AND($K5="差し引く",N($L5)=0),"／差し引く額が空","")&amp;IF(AND($K5="差し引く",OR($M5&lt;&gt;"対象外",$N5&lt;&gt;"対象外")),"／手数料を差し引けない取引か確かめる","")&amp;IF(COUNTIF($B$5:$B$104,$B5)&gt;1,"／コードが重複",""),2,300))</f>
        <v/>
      </c>
    </row>
    <row r="6" ht="18" customHeight="1">
      <c r="A6" s="17" t="n">
        <v>2</v>
      </c>
      <c r="B6" s="18" t="n"/>
      <c r="C6" s="19" t="n"/>
      <c r="D6" s="18" t="n"/>
      <c r="E6" s="18" t="n"/>
      <c r="F6" s="19" t="n"/>
      <c r="G6" s="20" t="n"/>
      <c r="H6" s="18" t="n"/>
      <c r="I6" s="18" t="n"/>
      <c r="J6" s="18" t="n"/>
      <c r="K6" s="18" t="n"/>
      <c r="L6" s="21" t="n"/>
      <c r="M6" s="18" t="n"/>
      <c r="N6" s="18" t="n"/>
      <c r="O6" s="19" t="n"/>
      <c r="P6" s="19" t="n"/>
      <c r="Q6" s="19" t="n"/>
      <c r="R6" s="22">
        <f>IF($B6="","",MID(IF($G6="","／登録番号なし（仕入明細書にならない）",IF(AND(LEN($G6)=14,LEFT($G6,1)="T",SUMPRODUCT(--ISNUMBER(--MID($G6,{2,3,4,5,6,7,8,9,10,11,12,13,14},1)))=13),"","／登録番号の形を確かめる"))&amp;IF(AND($H6="個人",$I6=""),"／源泉徴収の欄が空","")&amp;IF(AND($H6="法人",$I6="する"),"／法人に源泉する設定（原則は不要）","")&amp;IF(AND($K6="差し引く",N($L6)=0),"／差し引く額が空","")&amp;IF(AND($K6="差し引く",OR($M6&lt;&gt;"対象外",$N6&lt;&gt;"対象外")),"／手数料を差し引けない取引か確かめる","")&amp;IF(COUNTIF($B$5:$B$104,$B6)&gt;1,"／コードが重複",""),2,300))</f>
        <v/>
      </c>
    </row>
    <row r="7" ht="18" customHeight="1">
      <c r="A7" s="17" t="n">
        <v>3</v>
      </c>
      <c r="B7" s="18" t="n"/>
      <c r="C7" s="19" t="n"/>
      <c r="D7" s="18" t="n"/>
      <c r="E7" s="18" t="n"/>
      <c r="F7" s="19" t="n"/>
      <c r="G7" s="20" t="n"/>
      <c r="H7" s="18" t="n"/>
      <c r="I7" s="18" t="n"/>
      <c r="J7" s="18" t="n"/>
      <c r="K7" s="18" t="n"/>
      <c r="L7" s="21" t="n"/>
      <c r="M7" s="18" t="n"/>
      <c r="N7" s="18" t="n"/>
      <c r="O7" s="19" t="n"/>
      <c r="P7" s="19" t="n"/>
      <c r="Q7" s="19" t="n"/>
      <c r="R7" s="22">
        <f>IF($B7="","",MID(IF($G7="","／登録番号なし（仕入明細書にならない）",IF(AND(LEN($G7)=14,LEFT($G7,1)="T",SUMPRODUCT(--ISNUMBER(--MID($G7,{2,3,4,5,6,7,8,9,10,11,12,13,14},1)))=13),"","／登録番号の形を確かめる"))&amp;IF(AND($H7="個人",$I7=""),"／源泉徴収の欄が空","")&amp;IF(AND($H7="法人",$I7="する"),"／法人に源泉する設定（原則は不要）","")&amp;IF(AND($K7="差し引く",N($L7)=0),"／差し引く額が空","")&amp;IF(AND($K7="差し引く",OR($M7&lt;&gt;"対象外",$N7&lt;&gt;"対象外")),"／手数料を差し引けない取引か確かめる","")&amp;IF(COUNTIF($B$5:$B$104,$B7)&gt;1,"／コードが重複",""),2,300))</f>
        <v/>
      </c>
    </row>
    <row r="8" ht="18" customHeight="1">
      <c r="A8" s="17" t="n">
        <v>4</v>
      </c>
      <c r="B8" s="18" t="n"/>
      <c r="C8" s="19" t="n"/>
      <c r="D8" s="18" t="n"/>
      <c r="E8" s="18" t="n"/>
      <c r="F8" s="19" t="n"/>
      <c r="G8" s="20" t="n"/>
      <c r="H8" s="18" t="n"/>
      <c r="I8" s="18" t="n"/>
      <c r="J8" s="18" t="n"/>
      <c r="K8" s="18" t="n"/>
      <c r="L8" s="21" t="n"/>
      <c r="M8" s="18" t="n"/>
      <c r="N8" s="18" t="n"/>
      <c r="O8" s="19" t="n"/>
      <c r="P8" s="19" t="n"/>
      <c r="Q8" s="19" t="n"/>
      <c r="R8" s="22">
        <f>IF($B8="","",MID(IF($G8="","／登録番号なし（仕入明細書にならない）",IF(AND(LEN($G8)=14,LEFT($G8,1)="T",SUMPRODUCT(--ISNUMBER(--MID($G8,{2,3,4,5,6,7,8,9,10,11,12,13,14},1)))=13),"","／登録番号の形を確かめる"))&amp;IF(AND($H8="個人",$I8=""),"／源泉徴収の欄が空","")&amp;IF(AND($H8="法人",$I8="する"),"／法人に源泉する設定（原則は不要）","")&amp;IF(AND($K8="差し引く",N($L8)=0),"／差し引く額が空","")&amp;IF(AND($K8="差し引く",OR($M8&lt;&gt;"対象外",$N8&lt;&gt;"対象外")),"／手数料を差し引けない取引か確かめる","")&amp;IF(COUNTIF($B$5:$B$104,$B8)&gt;1,"／コードが重複",""),2,300))</f>
        <v/>
      </c>
    </row>
    <row r="9" ht="18" customHeight="1">
      <c r="A9" s="17" t="n">
        <v>5</v>
      </c>
      <c r="B9" s="18" t="n"/>
      <c r="C9" s="19" t="n"/>
      <c r="D9" s="18" t="n"/>
      <c r="E9" s="18" t="n"/>
      <c r="F9" s="19" t="n"/>
      <c r="G9" s="20" t="n"/>
      <c r="H9" s="18" t="n"/>
      <c r="I9" s="18" t="n"/>
      <c r="J9" s="18" t="n"/>
      <c r="K9" s="18" t="n"/>
      <c r="L9" s="21" t="n"/>
      <c r="M9" s="18" t="n"/>
      <c r="N9" s="18" t="n"/>
      <c r="O9" s="19" t="n"/>
      <c r="P9" s="19" t="n"/>
      <c r="Q9" s="19" t="n"/>
      <c r="R9" s="22">
        <f>IF($B9="","",MID(IF($G9="","／登録番号なし（仕入明細書にならない）",IF(AND(LEN($G9)=14,LEFT($G9,1)="T",SUMPRODUCT(--ISNUMBER(--MID($G9,{2,3,4,5,6,7,8,9,10,11,12,13,14},1)))=13),"","／登録番号の形を確かめる"))&amp;IF(AND($H9="個人",$I9=""),"／源泉徴収の欄が空","")&amp;IF(AND($H9="法人",$I9="する"),"／法人に源泉する設定（原則は不要）","")&amp;IF(AND($K9="差し引く",N($L9)=0),"／差し引く額が空","")&amp;IF(AND($K9="差し引く",OR($M9&lt;&gt;"対象外",$N9&lt;&gt;"対象外")),"／手数料を差し引けない取引か確かめる","")&amp;IF(COUNTIF($B$5:$B$104,$B9)&gt;1,"／コードが重複",""),2,300))</f>
        <v/>
      </c>
    </row>
    <row r="10" ht="18" customHeight="1">
      <c r="A10" s="17" t="n">
        <v>6</v>
      </c>
      <c r="B10" s="18" t="n"/>
      <c r="C10" s="19" t="n"/>
      <c r="D10" s="18" t="n"/>
      <c r="E10" s="18" t="n"/>
      <c r="F10" s="19" t="n"/>
      <c r="G10" s="20" t="n"/>
      <c r="H10" s="18" t="n"/>
      <c r="I10" s="18" t="n"/>
      <c r="J10" s="18" t="n"/>
      <c r="K10" s="18" t="n"/>
      <c r="L10" s="21" t="n"/>
      <c r="M10" s="18" t="n"/>
      <c r="N10" s="18" t="n"/>
      <c r="O10" s="19" t="n"/>
      <c r="P10" s="19" t="n"/>
      <c r="Q10" s="19" t="n"/>
      <c r="R10" s="22">
        <f>IF($B10="","",MID(IF($G10="","／登録番号なし（仕入明細書にならない）",IF(AND(LEN($G10)=14,LEFT($G10,1)="T",SUMPRODUCT(--ISNUMBER(--MID($G10,{2,3,4,5,6,7,8,9,10,11,12,13,14},1)))=13),"","／登録番号の形を確かめる"))&amp;IF(AND($H10="個人",$I10=""),"／源泉徴収の欄が空","")&amp;IF(AND($H10="法人",$I10="する"),"／法人に源泉する設定（原則は不要）","")&amp;IF(AND($K10="差し引く",N($L10)=0),"／差し引く額が空","")&amp;IF(AND($K10="差し引く",OR($M10&lt;&gt;"対象外",$N10&lt;&gt;"対象外")),"／手数料を差し引けない取引か確かめる","")&amp;IF(COUNTIF($B$5:$B$104,$B10)&gt;1,"／コードが重複",""),2,300))</f>
        <v/>
      </c>
    </row>
    <row r="11" ht="18" customHeight="1">
      <c r="A11" s="17" t="n">
        <v>7</v>
      </c>
      <c r="B11" s="18" t="n"/>
      <c r="C11" s="19" t="n"/>
      <c r="D11" s="18" t="n"/>
      <c r="E11" s="18" t="n"/>
      <c r="F11" s="19" t="n"/>
      <c r="G11" s="20" t="n"/>
      <c r="H11" s="18" t="n"/>
      <c r="I11" s="18" t="n"/>
      <c r="J11" s="18" t="n"/>
      <c r="K11" s="18" t="n"/>
      <c r="L11" s="21" t="n"/>
      <c r="M11" s="18" t="n"/>
      <c r="N11" s="18" t="n"/>
      <c r="O11" s="19" t="n"/>
      <c r="P11" s="19" t="n"/>
      <c r="Q11" s="19" t="n"/>
      <c r="R11" s="22">
        <f>IF($B11="","",MID(IF($G11="","／登録番号なし（仕入明細書にならない）",IF(AND(LEN($G11)=14,LEFT($G11,1)="T",SUMPRODUCT(--ISNUMBER(--MID($G11,{2,3,4,5,6,7,8,9,10,11,12,13,14},1)))=13),"","／登録番号の形を確かめる"))&amp;IF(AND($H11="個人",$I11=""),"／源泉徴収の欄が空","")&amp;IF(AND($H11="法人",$I11="する"),"／法人に源泉する設定（原則は不要）","")&amp;IF(AND($K11="差し引く",N($L11)=0),"／差し引く額が空","")&amp;IF(AND($K11="差し引く",OR($M11&lt;&gt;"対象外",$N11&lt;&gt;"対象外")),"／手数料を差し引けない取引か確かめる","")&amp;IF(COUNTIF($B$5:$B$104,$B11)&gt;1,"／コードが重複",""),2,300))</f>
        <v/>
      </c>
    </row>
    <row r="12" ht="18" customHeight="1">
      <c r="A12" s="17" t="n">
        <v>8</v>
      </c>
      <c r="B12" s="18" t="n"/>
      <c r="C12" s="19" t="n"/>
      <c r="D12" s="18" t="n"/>
      <c r="E12" s="18" t="n"/>
      <c r="F12" s="19" t="n"/>
      <c r="G12" s="20" t="n"/>
      <c r="H12" s="18" t="n"/>
      <c r="I12" s="18" t="n"/>
      <c r="J12" s="18" t="n"/>
      <c r="K12" s="18" t="n"/>
      <c r="L12" s="21" t="n"/>
      <c r="M12" s="18" t="n"/>
      <c r="N12" s="18" t="n"/>
      <c r="O12" s="19" t="n"/>
      <c r="P12" s="19" t="n"/>
      <c r="Q12" s="19" t="n"/>
      <c r="R12" s="22">
        <f>IF($B12="","",MID(IF($G12="","／登録番号なし（仕入明細書にならない）",IF(AND(LEN($G12)=14,LEFT($G12,1)="T",SUMPRODUCT(--ISNUMBER(--MID($G12,{2,3,4,5,6,7,8,9,10,11,12,13,14},1)))=13),"","／登録番号の形を確かめる"))&amp;IF(AND($H12="個人",$I12=""),"／源泉徴収の欄が空","")&amp;IF(AND($H12="法人",$I12="する"),"／法人に源泉する設定（原則は不要）","")&amp;IF(AND($K12="差し引く",N($L12)=0),"／差し引く額が空","")&amp;IF(AND($K12="差し引く",OR($M12&lt;&gt;"対象外",$N12&lt;&gt;"対象外")),"／手数料を差し引けない取引か確かめる","")&amp;IF(COUNTIF($B$5:$B$104,$B12)&gt;1,"／コードが重複",""),2,300))</f>
        <v/>
      </c>
    </row>
    <row r="13" ht="18" customHeight="1">
      <c r="A13" s="17" t="n">
        <v>9</v>
      </c>
      <c r="B13" s="18" t="n"/>
      <c r="C13" s="19" t="n"/>
      <c r="D13" s="18" t="n"/>
      <c r="E13" s="18" t="n"/>
      <c r="F13" s="19" t="n"/>
      <c r="G13" s="20" t="n"/>
      <c r="H13" s="18" t="n"/>
      <c r="I13" s="18" t="n"/>
      <c r="J13" s="18" t="n"/>
      <c r="K13" s="18" t="n"/>
      <c r="L13" s="21" t="n"/>
      <c r="M13" s="18" t="n"/>
      <c r="N13" s="18" t="n"/>
      <c r="O13" s="19" t="n"/>
      <c r="P13" s="19" t="n"/>
      <c r="Q13" s="19" t="n"/>
      <c r="R13" s="22">
        <f>IF($B13="","",MID(IF($G13="","／登録番号なし（仕入明細書にならない）",IF(AND(LEN($G13)=14,LEFT($G13,1)="T",SUMPRODUCT(--ISNUMBER(--MID($G13,{2,3,4,5,6,7,8,9,10,11,12,13,14},1)))=13),"","／登録番号の形を確かめる"))&amp;IF(AND($H13="個人",$I13=""),"／源泉徴収の欄が空","")&amp;IF(AND($H13="法人",$I13="する"),"／法人に源泉する設定（原則は不要）","")&amp;IF(AND($K13="差し引く",N($L13)=0),"／差し引く額が空","")&amp;IF(AND($K13="差し引く",OR($M13&lt;&gt;"対象外",$N13&lt;&gt;"対象外")),"／手数料を差し引けない取引か確かめる","")&amp;IF(COUNTIF($B$5:$B$104,$B13)&gt;1,"／コードが重複",""),2,300))</f>
        <v/>
      </c>
    </row>
    <row r="14" ht="18" customHeight="1">
      <c r="A14" s="17" t="n">
        <v>10</v>
      </c>
      <c r="B14" s="18" t="n"/>
      <c r="C14" s="19" t="n"/>
      <c r="D14" s="18" t="n"/>
      <c r="E14" s="18" t="n"/>
      <c r="F14" s="19" t="n"/>
      <c r="G14" s="20" t="n"/>
      <c r="H14" s="18" t="n"/>
      <c r="I14" s="18" t="n"/>
      <c r="J14" s="18" t="n"/>
      <c r="K14" s="18" t="n"/>
      <c r="L14" s="21" t="n"/>
      <c r="M14" s="18" t="n"/>
      <c r="N14" s="18" t="n"/>
      <c r="O14" s="19" t="n"/>
      <c r="P14" s="19" t="n"/>
      <c r="Q14" s="19" t="n"/>
      <c r="R14" s="22">
        <f>IF($B14="","",MID(IF($G14="","／登録番号なし（仕入明細書にならない）",IF(AND(LEN($G14)=14,LEFT($G14,1)="T",SUMPRODUCT(--ISNUMBER(--MID($G14,{2,3,4,5,6,7,8,9,10,11,12,13,14},1)))=13),"","／登録番号の形を確かめる"))&amp;IF(AND($H14="個人",$I14=""),"／源泉徴収の欄が空","")&amp;IF(AND($H14="法人",$I14="する"),"／法人に源泉する設定（原則は不要）","")&amp;IF(AND($K14="差し引く",N($L14)=0),"／差し引く額が空","")&amp;IF(AND($K14="差し引く",OR($M14&lt;&gt;"対象外",$N14&lt;&gt;"対象外")),"／手数料を差し引けない取引か確かめる","")&amp;IF(COUNTIF($B$5:$B$104,$B14)&gt;1,"／コードが重複",""),2,300))</f>
        <v/>
      </c>
    </row>
    <row r="15" ht="18" customHeight="1">
      <c r="A15" s="17" t="n">
        <v>11</v>
      </c>
      <c r="B15" s="18" t="n"/>
      <c r="C15" s="19" t="n"/>
      <c r="D15" s="18" t="n"/>
      <c r="E15" s="18" t="n"/>
      <c r="F15" s="19" t="n"/>
      <c r="G15" s="20" t="n"/>
      <c r="H15" s="18" t="n"/>
      <c r="I15" s="18" t="n"/>
      <c r="J15" s="18" t="n"/>
      <c r="K15" s="18" t="n"/>
      <c r="L15" s="21" t="n"/>
      <c r="M15" s="18" t="n"/>
      <c r="N15" s="18" t="n"/>
      <c r="O15" s="19" t="n"/>
      <c r="P15" s="19" t="n"/>
      <c r="Q15" s="19" t="n"/>
      <c r="R15" s="22">
        <f>IF($B15="","",MID(IF($G15="","／登録番号なし（仕入明細書にならない）",IF(AND(LEN($G15)=14,LEFT($G15,1)="T",SUMPRODUCT(--ISNUMBER(--MID($G15,{2,3,4,5,6,7,8,9,10,11,12,13,14},1)))=13),"","／登録番号の形を確かめる"))&amp;IF(AND($H15="個人",$I15=""),"／源泉徴収の欄が空","")&amp;IF(AND($H15="法人",$I15="する"),"／法人に源泉する設定（原則は不要）","")&amp;IF(AND($K15="差し引く",N($L15)=0),"／差し引く額が空","")&amp;IF(AND($K15="差し引く",OR($M15&lt;&gt;"対象外",$N15&lt;&gt;"対象外")),"／手数料を差し引けない取引か確かめる","")&amp;IF(COUNTIF($B$5:$B$104,$B15)&gt;1,"／コードが重複",""),2,300))</f>
        <v/>
      </c>
    </row>
    <row r="16" ht="18" customHeight="1">
      <c r="A16" s="17" t="n">
        <v>12</v>
      </c>
      <c r="B16" s="18" t="n"/>
      <c r="C16" s="19" t="n"/>
      <c r="D16" s="18" t="n"/>
      <c r="E16" s="18" t="n"/>
      <c r="F16" s="19" t="n"/>
      <c r="G16" s="20" t="n"/>
      <c r="H16" s="18" t="n"/>
      <c r="I16" s="18" t="n"/>
      <c r="J16" s="18" t="n"/>
      <c r="K16" s="18" t="n"/>
      <c r="L16" s="21" t="n"/>
      <c r="M16" s="18" t="n"/>
      <c r="N16" s="18" t="n"/>
      <c r="O16" s="19" t="n"/>
      <c r="P16" s="19" t="n"/>
      <c r="Q16" s="19" t="n"/>
      <c r="R16" s="22">
        <f>IF($B16="","",MID(IF($G16="","／登録番号なし（仕入明細書にならない）",IF(AND(LEN($G16)=14,LEFT($G16,1)="T",SUMPRODUCT(--ISNUMBER(--MID($G16,{2,3,4,5,6,7,8,9,10,11,12,13,14},1)))=13),"","／登録番号の形を確かめる"))&amp;IF(AND($H16="個人",$I16=""),"／源泉徴収の欄が空","")&amp;IF(AND($H16="法人",$I16="する"),"／法人に源泉する設定（原則は不要）","")&amp;IF(AND($K16="差し引く",N($L16)=0),"／差し引く額が空","")&amp;IF(AND($K16="差し引く",OR($M16&lt;&gt;"対象外",$N16&lt;&gt;"対象外")),"／手数料を差し引けない取引か確かめる","")&amp;IF(COUNTIF($B$5:$B$104,$B16)&gt;1,"／コードが重複",""),2,300))</f>
        <v/>
      </c>
    </row>
    <row r="17" ht="18" customHeight="1">
      <c r="A17" s="17" t="n">
        <v>13</v>
      </c>
      <c r="B17" s="18" t="n"/>
      <c r="C17" s="19" t="n"/>
      <c r="D17" s="18" t="n"/>
      <c r="E17" s="18" t="n"/>
      <c r="F17" s="19" t="n"/>
      <c r="G17" s="20" t="n"/>
      <c r="H17" s="18" t="n"/>
      <c r="I17" s="18" t="n"/>
      <c r="J17" s="18" t="n"/>
      <c r="K17" s="18" t="n"/>
      <c r="L17" s="21" t="n"/>
      <c r="M17" s="18" t="n"/>
      <c r="N17" s="18" t="n"/>
      <c r="O17" s="19" t="n"/>
      <c r="P17" s="19" t="n"/>
      <c r="Q17" s="19" t="n"/>
      <c r="R17" s="22">
        <f>IF($B17="","",MID(IF($G17="","／登録番号なし（仕入明細書にならない）",IF(AND(LEN($G17)=14,LEFT($G17,1)="T",SUMPRODUCT(--ISNUMBER(--MID($G17,{2,3,4,5,6,7,8,9,10,11,12,13,14},1)))=13),"","／登録番号の形を確かめる"))&amp;IF(AND($H17="個人",$I17=""),"／源泉徴収の欄が空","")&amp;IF(AND($H17="法人",$I17="する"),"／法人に源泉する設定（原則は不要）","")&amp;IF(AND($K17="差し引く",N($L17)=0),"／差し引く額が空","")&amp;IF(AND($K17="差し引く",OR($M17&lt;&gt;"対象外",$N17&lt;&gt;"対象外")),"／手数料を差し引けない取引か確かめる","")&amp;IF(COUNTIF($B$5:$B$104,$B17)&gt;1,"／コードが重複",""),2,300))</f>
        <v/>
      </c>
    </row>
    <row r="18" ht="18" customHeight="1">
      <c r="A18" s="17" t="n">
        <v>14</v>
      </c>
      <c r="B18" s="18" t="n"/>
      <c r="C18" s="19" t="n"/>
      <c r="D18" s="18" t="n"/>
      <c r="E18" s="18" t="n"/>
      <c r="F18" s="19" t="n"/>
      <c r="G18" s="20" t="n"/>
      <c r="H18" s="18" t="n"/>
      <c r="I18" s="18" t="n"/>
      <c r="J18" s="18" t="n"/>
      <c r="K18" s="18" t="n"/>
      <c r="L18" s="21" t="n"/>
      <c r="M18" s="18" t="n"/>
      <c r="N18" s="18" t="n"/>
      <c r="O18" s="19" t="n"/>
      <c r="P18" s="19" t="n"/>
      <c r="Q18" s="19" t="n"/>
      <c r="R18" s="22">
        <f>IF($B18="","",MID(IF($G18="","／登録番号なし（仕入明細書にならない）",IF(AND(LEN($G18)=14,LEFT($G18,1)="T",SUMPRODUCT(--ISNUMBER(--MID($G18,{2,3,4,5,6,7,8,9,10,11,12,13,14},1)))=13),"","／登録番号の形を確かめる"))&amp;IF(AND($H18="個人",$I18=""),"／源泉徴収の欄が空","")&amp;IF(AND($H18="法人",$I18="する"),"／法人に源泉する設定（原則は不要）","")&amp;IF(AND($K18="差し引く",N($L18)=0),"／差し引く額が空","")&amp;IF(AND($K18="差し引く",OR($M18&lt;&gt;"対象外",$N18&lt;&gt;"対象外")),"／手数料を差し引けない取引か確かめる","")&amp;IF(COUNTIF($B$5:$B$104,$B18)&gt;1,"／コードが重複",""),2,300))</f>
        <v/>
      </c>
    </row>
    <row r="19" ht="18" customHeight="1">
      <c r="A19" s="17" t="n">
        <v>15</v>
      </c>
      <c r="B19" s="18" t="n"/>
      <c r="C19" s="19" t="n"/>
      <c r="D19" s="18" t="n"/>
      <c r="E19" s="18" t="n"/>
      <c r="F19" s="19" t="n"/>
      <c r="G19" s="20" t="n"/>
      <c r="H19" s="18" t="n"/>
      <c r="I19" s="18" t="n"/>
      <c r="J19" s="18" t="n"/>
      <c r="K19" s="18" t="n"/>
      <c r="L19" s="21" t="n"/>
      <c r="M19" s="18" t="n"/>
      <c r="N19" s="18" t="n"/>
      <c r="O19" s="19" t="n"/>
      <c r="P19" s="19" t="n"/>
      <c r="Q19" s="19" t="n"/>
      <c r="R19" s="22">
        <f>IF($B19="","",MID(IF($G19="","／登録番号なし（仕入明細書にならない）",IF(AND(LEN($G19)=14,LEFT($G19,1)="T",SUMPRODUCT(--ISNUMBER(--MID($G19,{2,3,4,5,6,7,8,9,10,11,12,13,14},1)))=13),"","／登録番号の形を確かめる"))&amp;IF(AND($H19="個人",$I19=""),"／源泉徴収の欄が空","")&amp;IF(AND($H19="法人",$I19="する"),"／法人に源泉する設定（原則は不要）","")&amp;IF(AND($K19="差し引く",N($L19)=0),"／差し引く額が空","")&amp;IF(AND($K19="差し引く",OR($M19&lt;&gt;"対象外",$N19&lt;&gt;"対象外")),"／手数料を差し引けない取引か確かめる","")&amp;IF(COUNTIF($B$5:$B$104,$B19)&gt;1,"／コードが重複",""),2,300))</f>
        <v/>
      </c>
    </row>
    <row r="20" ht="18" customHeight="1">
      <c r="A20" s="17" t="n">
        <v>16</v>
      </c>
      <c r="B20" s="18" t="n"/>
      <c r="C20" s="19" t="n"/>
      <c r="D20" s="18" t="n"/>
      <c r="E20" s="18" t="n"/>
      <c r="F20" s="19" t="n"/>
      <c r="G20" s="20" t="n"/>
      <c r="H20" s="18" t="n"/>
      <c r="I20" s="18" t="n"/>
      <c r="J20" s="18" t="n"/>
      <c r="K20" s="18" t="n"/>
      <c r="L20" s="21" t="n"/>
      <c r="M20" s="18" t="n"/>
      <c r="N20" s="18" t="n"/>
      <c r="O20" s="19" t="n"/>
      <c r="P20" s="19" t="n"/>
      <c r="Q20" s="19" t="n"/>
      <c r="R20" s="22">
        <f>IF($B20="","",MID(IF($G20="","／登録番号なし（仕入明細書にならない）",IF(AND(LEN($G20)=14,LEFT($G20,1)="T",SUMPRODUCT(--ISNUMBER(--MID($G20,{2,3,4,5,6,7,8,9,10,11,12,13,14},1)))=13),"","／登録番号の形を確かめる"))&amp;IF(AND($H20="個人",$I20=""),"／源泉徴収の欄が空","")&amp;IF(AND($H20="法人",$I20="する"),"／法人に源泉する設定（原則は不要）","")&amp;IF(AND($K20="差し引く",N($L20)=0),"／差し引く額が空","")&amp;IF(AND($K20="差し引く",OR($M20&lt;&gt;"対象外",$N20&lt;&gt;"対象外")),"／手数料を差し引けない取引か確かめる","")&amp;IF(COUNTIF($B$5:$B$104,$B20)&gt;1,"／コードが重複",""),2,300))</f>
        <v/>
      </c>
    </row>
    <row r="21" ht="18" customHeight="1">
      <c r="A21" s="17" t="n">
        <v>17</v>
      </c>
      <c r="B21" s="18" t="n"/>
      <c r="C21" s="19" t="n"/>
      <c r="D21" s="18" t="n"/>
      <c r="E21" s="18" t="n"/>
      <c r="F21" s="19" t="n"/>
      <c r="G21" s="20" t="n"/>
      <c r="H21" s="18" t="n"/>
      <c r="I21" s="18" t="n"/>
      <c r="J21" s="18" t="n"/>
      <c r="K21" s="18" t="n"/>
      <c r="L21" s="21" t="n"/>
      <c r="M21" s="18" t="n"/>
      <c r="N21" s="18" t="n"/>
      <c r="O21" s="19" t="n"/>
      <c r="P21" s="19" t="n"/>
      <c r="Q21" s="19" t="n"/>
      <c r="R21" s="22">
        <f>IF($B21="","",MID(IF($G21="","／登録番号なし（仕入明細書にならない）",IF(AND(LEN($G21)=14,LEFT($G21,1)="T",SUMPRODUCT(--ISNUMBER(--MID($G21,{2,3,4,5,6,7,8,9,10,11,12,13,14},1)))=13),"","／登録番号の形を確かめる"))&amp;IF(AND($H21="個人",$I21=""),"／源泉徴収の欄が空","")&amp;IF(AND($H21="法人",$I21="する"),"／法人に源泉する設定（原則は不要）","")&amp;IF(AND($K21="差し引く",N($L21)=0),"／差し引く額が空","")&amp;IF(AND($K21="差し引く",OR($M21&lt;&gt;"対象外",$N21&lt;&gt;"対象外")),"／手数料を差し引けない取引か確かめる","")&amp;IF(COUNTIF($B$5:$B$104,$B21)&gt;1,"／コードが重複",""),2,300))</f>
        <v/>
      </c>
    </row>
    <row r="22" ht="18" customHeight="1">
      <c r="A22" s="17" t="n">
        <v>18</v>
      </c>
      <c r="B22" s="18" t="n"/>
      <c r="C22" s="19" t="n"/>
      <c r="D22" s="18" t="n"/>
      <c r="E22" s="18" t="n"/>
      <c r="F22" s="19" t="n"/>
      <c r="G22" s="20" t="n"/>
      <c r="H22" s="18" t="n"/>
      <c r="I22" s="18" t="n"/>
      <c r="J22" s="18" t="n"/>
      <c r="K22" s="18" t="n"/>
      <c r="L22" s="21" t="n"/>
      <c r="M22" s="18" t="n"/>
      <c r="N22" s="18" t="n"/>
      <c r="O22" s="19" t="n"/>
      <c r="P22" s="19" t="n"/>
      <c r="Q22" s="19" t="n"/>
      <c r="R22" s="22">
        <f>IF($B22="","",MID(IF($G22="","／登録番号なし（仕入明細書にならない）",IF(AND(LEN($G22)=14,LEFT($G22,1)="T",SUMPRODUCT(--ISNUMBER(--MID($G22,{2,3,4,5,6,7,8,9,10,11,12,13,14},1)))=13),"","／登録番号の形を確かめる"))&amp;IF(AND($H22="個人",$I22=""),"／源泉徴収の欄が空","")&amp;IF(AND($H22="法人",$I22="する"),"／法人に源泉する設定（原則は不要）","")&amp;IF(AND($K22="差し引く",N($L22)=0),"／差し引く額が空","")&amp;IF(AND($K22="差し引く",OR($M22&lt;&gt;"対象外",$N22&lt;&gt;"対象外")),"／手数料を差し引けない取引か確かめる","")&amp;IF(COUNTIF($B$5:$B$104,$B22)&gt;1,"／コードが重複",""),2,300))</f>
        <v/>
      </c>
    </row>
    <row r="23" ht="18" customHeight="1">
      <c r="A23" s="17" t="n">
        <v>19</v>
      </c>
      <c r="B23" s="18" t="n"/>
      <c r="C23" s="19" t="n"/>
      <c r="D23" s="18" t="n"/>
      <c r="E23" s="18" t="n"/>
      <c r="F23" s="19" t="n"/>
      <c r="G23" s="20" t="n"/>
      <c r="H23" s="18" t="n"/>
      <c r="I23" s="18" t="n"/>
      <c r="J23" s="18" t="n"/>
      <c r="K23" s="18" t="n"/>
      <c r="L23" s="21" t="n"/>
      <c r="M23" s="18" t="n"/>
      <c r="N23" s="18" t="n"/>
      <c r="O23" s="19" t="n"/>
      <c r="P23" s="19" t="n"/>
      <c r="Q23" s="19" t="n"/>
      <c r="R23" s="22">
        <f>IF($B23="","",MID(IF($G23="","／登録番号なし（仕入明細書にならない）",IF(AND(LEN($G23)=14,LEFT($G23,1)="T",SUMPRODUCT(--ISNUMBER(--MID($G23,{2,3,4,5,6,7,8,9,10,11,12,13,14},1)))=13),"","／登録番号の形を確かめる"))&amp;IF(AND($H23="個人",$I23=""),"／源泉徴収の欄が空","")&amp;IF(AND($H23="法人",$I23="する"),"／法人に源泉する設定（原則は不要）","")&amp;IF(AND($K23="差し引く",N($L23)=0),"／差し引く額が空","")&amp;IF(AND($K23="差し引く",OR($M23&lt;&gt;"対象外",$N23&lt;&gt;"対象外")),"／手数料を差し引けない取引か確かめる","")&amp;IF(COUNTIF($B$5:$B$104,$B23)&gt;1,"／コードが重複",""),2,300))</f>
        <v/>
      </c>
    </row>
    <row r="24" ht="18" customHeight="1">
      <c r="A24" s="17" t="n">
        <v>20</v>
      </c>
      <c r="B24" s="18" t="n"/>
      <c r="C24" s="19" t="n"/>
      <c r="D24" s="18" t="n"/>
      <c r="E24" s="18" t="n"/>
      <c r="F24" s="19" t="n"/>
      <c r="G24" s="20" t="n"/>
      <c r="H24" s="18" t="n"/>
      <c r="I24" s="18" t="n"/>
      <c r="J24" s="18" t="n"/>
      <c r="K24" s="18" t="n"/>
      <c r="L24" s="21" t="n"/>
      <c r="M24" s="18" t="n"/>
      <c r="N24" s="18" t="n"/>
      <c r="O24" s="19" t="n"/>
      <c r="P24" s="19" t="n"/>
      <c r="Q24" s="19" t="n"/>
      <c r="R24" s="22">
        <f>IF($B24="","",MID(IF($G24="","／登録番号なし（仕入明細書にならない）",IF(AND(LEN($G24)=14,LEFT($G24,1)="T",SUMPRODUCT(--ISNUMBER(--MID($G24,{2,3,4,5,6,7,8,9,10,11,12,13,14},1)))=13),"","／登録番号の形を確かめる"))&amp;IF(AND($H24="個人",$I24=""),"／源泉徴収の欄が空","")&amp;IF(AND($H24="法人",$I24="する"),"／法人に源泉する設定（原則は不要）","")&amp;IF(AND($K24="差し引く",N($L24)=0),"／差し引く額が空","")&amp;IF(AND($K24="差し引く",OR($M24&lt;&gt;"対象外",$N24&lt;&gt;"対象外")),"／手数料を差し引けない取引か確かめる","")&amp;IF(COUNTIF($B$5:$B$104,$B24)&gt;1,"／コードが重複",""),2,300))</f>
        <v/>
      </c>
    </row>
    <row r="25" ht="18" customHeight="1">
      <c r="A25" s="17" t="n">
        <v>21</v>
      </c>
      <c r="B25" s="18" t="n"/>
      <c r="C25" s="19" t="n"/>
      <c r="D25" s="18" t="n"/>
      <c r="E25" s="18" t="n"/>
      <c r="F25" s="19" t="n"/>
      <c r="G25" s="20" t="n"/>
      <c r="H25" s="18" t="n"/>
      <c r="I25" s="18" t="n"/>
      <c r="J25" s="18" t="n"/>
      <c r="K25" s="18" t="n"/>
      <c r="L25" s="21" t="n"/>
      <c r="M25" s="18" t="n"/>
      <c r="N25" s="18" t="n"/>
      <c r="O25" s="19" t="n"/>
      <c r="P25" s="19" t="n"/>
      <c r="Q25" s="19" t="n"/>
      <c r="R25" s="22">
        <f>IF($B25="","",MID(IF($G25="","／登録番号なし（仕入明細書にならない）",IF(AND(LEN($G25)=14,LEFT($G25,1)="T",SUMPRODUCT(--ISNUMBER(--MID($G25,{2,3,4,5,6,7,8,9,10,11,12,13,14},1)))=13),"","／登録番号の形を確かめる"))&amp;IF(AND($H25="個人",$I25=""),"／源泉徴収の欄が空","")&amp;IF(AND($H25="法人",$I25="する"),"／法人に源泉する設定（原則は不要）","")&amp;IF(AND($K25="差し引く",N($L25)=0),"／差し引く額が空","")&amp;IF(AND($K25="差し引く",OR($M25&lt;&gt;"対象外",$N25&lt;&gt;"対象外")),"／手数料を差し引けない取引か確かめる","")&amp;IF(COUNTIF($B$5:$B$104,$B25)&gt;1,"／コードが重複",""),2,300))</f>
        <v/>
      </c>
    </row>
    <row r="26" ht="18" customHeight="1">
      <c r="A26" s="17" t="n">
        <v>22</v>
      </c>
      <c r="B26" s="18" t="n"/>
      <c r="C26" s="19" t="n"/>
      <c r="D26" s="18" t="n"/>
      <c r="E26" s="18" t="n"/>
      <c r="F26" s="19" t="n"/>
      <c r="G26" s="20" t="n"/>
      <c r="H26" s="18" t="n"/>
      <c r="I26" s="18" t="n"/>
      <c r="J26" s="18" t="n"/>
      <c r="K26" s="18" t="n"/>
      <c r="L26" s="21" t="n"/>
      <c r="M26" s="18" t="n"/>
      <c r="N26" s="18" t="n"/>
      <c r="O26" s="19" t="n"/>
      <c r="P26" s="19" t="n"/>
      <c r="Q26" s="19" t="n"/>
      <c r="R26" s="22">
        <f>IF($B26="","",MID(IF($G26="","／登録番号なし（仕入明細書にならない）",IF(AND(LEN($G26)=14,LEFT($G26,1)="T",SUMPRODUCT(--ISNUMBER(--MID($G26,{2,3,4,5,6,7,8,9,10,11,12,13,14},1)))=13),"","／登録番号の形を確かめる"))&amp;IF(AND($H26="個人",$I26=""),"／源泉徴収の欄が空","")&amp;IF(AND($H26="法人",$I26="する"),"／法人に源泉する設定（原則は不要）","")&amp;IF(AND($K26="差し引く",N($L26)=0),"／差し引く額が空","")&amp;IF(AND($K26="差し引く",OR($M26&lt;&gt;"対象外",$N26&lt;&gt;"対象外")),"／手数料を差し引けない取引か確かめる","")&amp;IF(COUNTIF($B$5:$B$104,$B26)&gt;1,"／コードが重複",""),2,300))</f>
        <v/>
      </c>
    </row>
    <row r="27" ht="18" customHeight="1">
      <c r="A27" s="17" t="n">
        <v>23</v>
      </c>
      <c r="B27" s="18" t="n"/>
      <c r="C27" s="19" t="n"/>
      <c r="D27" s="18" t="n"/>
      <c r="E27" s="18" t="n"/>
      <c r="F27" s="19" t="n"/>
      <c r="G27" s="20" t="n"/>
      <c r="H27" s="18" t="n"/>
      <c r="I27" s="18" t="n"/>
      <c r="J27" s="18" t="n"/>
      <c r="K27" s="18" t="n"/>
      <c r="L27" s="21" t="n"/>
      <c r="M27" s="18" t="n"/>
      <c r="N27" s="18" t="n"/>
      <c r="O27" s="19" t="n"/>
      <c r="P27" s="19" t="n"/>
      <c r="Q27" s="19" t="n"/>
      <c r="R27" s="22">
        <f>IF($B27="","",MID(IF($G27="","／登録番号なし（仕入明細書にならない）",IF(AND(LEN($G27)=14,LEFT($G27,1)="T",SUMPRODUCT(--ISNUMBER(--MID($G27,{2,3,4,5,6,7,8,9,10,11,12,13,14},1)))=13),"","／登録番号の形を確かめる"))&amp;IF(AND($H27="個人",$I27=""),"／源泉徴収の欄が空","")&amp;IF(AND($H27="法人",$I27="する"),"／法人に源泉する設定（原則は不要）","")&amp;IF(AND($K27="差し引く",N($L27)=0),"／差し引く額が空","")&amp;IF(AND($K27="差し引く",OR($M27&lt;&gt;"対象外",$N27&lt;&gt;"対象外")),"／手数料を差し引けない取引か確かめる","")&amp;IF(COUNTIF($B$5:$B$104,$B27)&gt;1,"／コードが重複",""),2,300))</f>
        <v/>
      </c>
    </row>
    <row r="28" ht="18" customHeight="1">
      <c r="A28" s="17" t="n">
        <v>24</v>
      </c>
      <c r="B28" s="18" t="n"/>
      <c r="C28" s="19" t="n"/>
      <c r="D28" s="18" t="n"/>
      <c r="E28" s="18" t="n"/>
      <c r="F28" s="19" t="n"/>
      <c r="G28" s="20" t="n"/>
      <c r="H28" s="18" t="n"/>
      <c r="I28" s="18" t="n"/>
      <c r="J28" s="18" t="n"/>
      <c r="K28" s="18" t="n"/>
      <c r="L28" s="21" t="n"/>
      <c r="M28" s="18" t="n"/>
      <c r="N28" s="18" t="n"/>
      <c r="O28" s="19" t="n"/>
      <c r="P28" s="19" t="n"/>
      <c r="Q28" s="19" t="n"/>
      <c r="R28" s="22">
        <f>IF($B28="","",MID(IF($G28="","／登録番号なし（仕入明細書にならない）",IF(AND(LEN($G28)=14,LEFT($G28,1)="T",SUMPRODUCT(--ISNUMBER(--MID($G28,{2,3,4,5,6,7,8,9,10,11,12,13,14},1)))=13),"","／登録番号の形を確かめる"))&amp;IF(AND($H28="個人",$I28=""),"／源泉徴収の欄が空","")&amp;IF(AND($H28="法人",$I28="する"),"／法人に源泉する設定（原則は不要）","")&amp;IF(AND($K28="差し引く",N($L28)=0),"／差し引く額が空","")&amp;IF(AND($K28="差し引く",OR($M28&lt;&gt;"対象外",$N28&lt;&gt;"対象外")),"／手数料を差し引けない取引か確かめる","")&amp;IF(COUNTIF($B$5:$B$104,$B28)&gt;1,"／コードが重複",""),2,300))</f>
        <v/>
      </c>
    </row>
    <row r="29" ht="18" customHeight="1">
      <c r="A29" s="17" t="n">
        <v>25</v>
      </c>
      <c r="B29" s="18" t="n"/>
      <c r="C29" s="19" t="n"/>
      <c r="D29" s="18" t="n"/>
      <c r="E29" s="18" t="n"/>
      <c r="F29" s="19" t="n"/>
      <c r="G29" s="20" t="n"/>
      <c r="H29" s="18" t="n"/>
      <c r="I29" s="18" t="n"/>
      <c r="J29" s="18" t="n"/>
      <c r="K29" s="18" t="n"/>
      <c r="L29" s="21" t="n"/>
      <c r="M29" s="18" t="n"/>
      <c r="N29" s="18" t="n"/>
      <c r="O29" s="19" t="n"/>
      <c r="P29" s="19" t="n"/>
      <c r="Q29" s="19" t="n"/>
      <c r="R29" s="22">
        <f>IF($B29="","",MID(IF($G29="","／登録番号なし（仕入明細書にならない）",IF(AND(LEN($G29)=14,LEFT($G29,1)="T",SUMPRODUCT(--ISNUMBER(--MID($G29,{2,3,4,5,6,7,8,9,10,11,12,13,14},1)))=13),"","／登録番号の形を確かめる"))&amp;IF(AND($H29="個人",$I29=""),"／源泉徴収の欄が空","")&amp;IF(AND($H29="法人",$I29="する"),"／法人に源泉する設定（原則は不要）","")&amp;IF(AND($K29="差し引く",N($L29)=0),"／差し引く額が空","")&amp;IF(AND($K29="差し引く",OR($M29&lt;&gt;"対象外",$N29&lt;&gt;"対象外")),"／手数料を差し引けない取引か確かめる","")&amp;IF(COUNTIF($B$5:$B$104,$B29)&gt;1,"／コードが重複",""),2,300))</f>
        <v/>
      </c>
    </row>
    <row r="30" ht="18" customHeight="1">
      <c r="A30" s="17" t="n">
        <v>26</v>
      </c>
      <c r="B30" s="18" t="n"/>
      <c r="C30" s="19" t="n"/>
      <c r="D30" s="18" t="n"/>
      <c r="E30" s="18" t="n"/>
      <c r="F30" s="19" t="n"/>
      <c r="G30" s="20" t="n"/>
      <c r="H30" s="18" t="n"/>
      <c r="I30" s="18" t="n"/>
      <c r="J30" s="18" t="n"/>
      <c r="K30" s="18" t="n"/>
      <c r="L30" s="21" t="n"/>
      <c r="M30" s="18" t="n"/>
      <c r="N30" s="18" t="n"/>
      <c r="O30" s="19" t="n"/>
      <c r="P30" s="19" t="n"/>
      <c r="Q30" s="19" t="n"/>
      <c r="R30" s="22">
        <f>IF($B30="","",MID(IF($G30="","／登録番号なし（仕入明細書にならない）",IF(AND(LEN($G30)=14,LEFT($G30,1)="T",SUMPRODUCT(--ISNUMBER(--MID($G30,{2,3,4,5,6,7,8,9,10,11,12,13,14},1)))=13),"","／登録番号の形を確かめる"))&amp;IF(AND($H30="個人",$I30=""),"／源泉徴収の欄が空","")&amp;IF(AND($H30="法人",$I30="する"),"／法人に源泉する設定（原則は不要）","")&amp;IF(AND($K30="差し引く",N($L30)=0),"／差し引く額が空","")&amp;IF(AND($K30="差し引く",OR($M30&lt;&gt;"対象外",$N30&lt;&gt;"対象外")),"／手数料を差し引けない取引か確かめる","")&amp;IF(COUNTIF($B$5:$B$104,$B30)&gt;1,"／コードが重複",""),2,300))</f>
        <v/>
      </c>
    </row>
    <row r="31" ht="18" customHeight="1">
      <c r="A31" s="17" t="n">
        <v>27</v>
      </c>
      <c r="B31" s="18" t="n"/>
      <c r="C31" s="19" t="n"/>
      <c r="D31" s="18" t="n"/>
      <c r="E31" s="18" t="n"/>
      <c r="F31" s="19" t="n"/>
      <c r="G31" s="20" t="n"/>
      <c r="H31" s="18" t="n"/>
      <c r="I31" s="18" t="n"/>
      <c r="J31" s="18" t="n"/>
      <c r="K31" s="18" t="n"/>
      <c r="L31" s="21" t="n"/>
      <c r="M31" s="18" t="n"/>
      <c r="N31" s="18" t="n"/>
      <c r="O31" s="19" t="n"/>
      <c r="P31" s="19" t="n"/>
      <c r="Q31" s="19" t="n"/>
      <c r="R31" s="22">
        <f>IF($B31="","",MID(IF($G31="","／登録番号なし（仕入明細書にならない）",IF(AND(LEN($G31)=14,LEFT($G31,1)="T",SUMPRODUCT(--ISNUMBER(--MID($G31,{2,3,4,5,6,7,8,9,10,11,12,13,14},1)))=13),"","／登録番号の形を確かめる"))&amp;IF(AND($H31="個人",$I31=""),"／源泉徴収の欄が空","")&amp;IF(AND($H31="法人",$I31="する"),"／法人に源泉する設定（原則は不要）","")&amp;IF(AND($K31="差し引く",N($L31)=0),"／差し引く額が空","")&amp;IF(AND($K31="差し引く",OR($M31&lt;&gt;"対象外",$N31&lt;&gt;"対象外")),"／手数料を差し引けない取引か確かめる","")&amp;IF(COUNTIF($B$5:$B$104,$B31)&gt;1,"／コードが重複",""),2,300))</f>
        <v/>
      </c>
    </row>
    <row r="32" ht="18" customHeight="1">
      <c r="A32" s="17" t="n">
        <v>28</v>
      </c>
      <c r="B32" s="18" t="n"/>
      <c r="C32" s="19" t="n"/>
      <c r="D32" s="18" t="n"/>
      <c r="E32" s="18" t="n"/>
      <c r="F32" s="19" t="n"/>
      <c r="G32" s="20" t="n"/>
      <c r="H32" s="18" t="n"/>
      <c r="I32" s="18" t="n"/>
      <c r="J32" s="18" t="n"/>
      <c r="K32" s="18" t="n"/>
      <c r="L32" s="21" t="n"/>
      <c r="M32" s="18" t="n"/>
      <c r="N32" s="18" t="n"/>
      <c r="O32" s="19" t="n"/>
      <c r="P32" s="19" t="n"/>
      <c r="Q32" s="19" t="n"/>
      <c r="R32" s="22">
        <f>IF($B32="","",MID(IF($G32="","／登録番号なし（仕入明細書にならない）",IF(AND(LEN($G32)=14,LEFT($G32,1)="T",SUMPRODUCT(--ISNUMBER(--MID($G32,{2,3,4,5,6,7,8,9,10,11,12,13,14},1)))=13),"","／登録番号の形を確かめる"))&amp;IF(AND($H32="個人",$I32=""),"／源泉徴収の欄が空","")&amp;IF(AND($H32="法人",$I32="する"),"／法人に源泉する設定（原則は不要）","")&amp;IF(AND($K32="差し引く",N($L32)=0),"／差し引く額が空","")&amp;IF(AND($K32="差し引く",OR($M32&lt;&gt;"対象外",$N32&lt;&gt;"対象外")),"／手数料を差し引けない取引か確かめる","")&amp;IF(COUNTIF($B$5:$B$104,$B32)&gt;1,"／コードが重複",""),2,300))</f>
        <v/>
      </c>
    </row>
    <row r="33" ht="18" customHeight="1">
      <c r="A33" s="17" t="n">
        <v>29</v>
      </c>
      <c r="B33" s="18" t="n"/>
      <c r="C33" s="19" t="n"/>
      <c r="D33" s="18" t="n"/>
      <c r="E33" s="18" t="n"/>
      <c r="F33" s="19" t="n"/>
      <c r="G33" s="20" t="n"/>
      <c r="H33" s="18" t="n"/>
      <c r="I33" s="18" t="n"/>
      <c r="J33" s="18" t="n"/>
      <c r="K33" s="18" t="n"/>
      <c r="L33" s="21" t="n"/>
      <c r="M33" s="18" t="n"/>
      <c r="N33" s="18" t="n"/>
      <c r="O33" s="19" t="n"/>
      <c r="P33" s="19" t="n"/>
      <c r="Q33" s="19" t="n"/>
      <c r="R33" s="22">
        <f>IF($B33="","",MID(IF($G33="","／登録番号なし（仕入明細書にならない）",IF(AND(LEN($G33)=14,LEFT($G33,1)="T",SUMPRODUCT(--ISNUMBER(--MID($G33,{2,3,4,5,6,7,8,9,10,11,12,13,14},1)))=13),"","／登録番号の形を確かめる"))&amp;IF(AND($H33="個人",$I33=""),"／源泉徴収の欄が空","")&amp;IF(AND($H33="法人",$I33="する"),"／法人に源泉する設定（原則は不要）","")&amp;IF(AND($K33="差し引く",N($L33)=0),"／差し引く額が空","")&amp;IF(AND($K33="差し引く",OR($M33&lt;&gt;"対象外",$N33&lt;&gt;"対象外")),"／手数料を差し引けない取引か確かめる","")&amp;IF(COUNTIF($B$5:$B$104,$B33)&gt;1,"／コードが重複",""),2,300))</f>
        <v/>
      </c>
    </row>
    <row r="34" ht="18" customHeight="1">
      <c r="A34" s="17" t="n">
        <v>30</v>
      </c>
      <c r="B34" s="18" t="n"/>
      <c r="C34" s="19" t="n"/>
      <c r="D34" s="18" t="n"/>
      <c r="E34" s="18" t="n"/>
      <c r="F34" s="19" t="n"/>
      <c r="G34" s="20" t="n"/>
      <c r="H34" s="18" t="n"/>
      <c r="I34" s="18" t="n"/>
      <c r="J34" s="18" t="n"/>
      <c r="K34" s="18" t="n"/>
      <c r="L34" s="21" t="n"/>
      <c r="M34" s="18" t="n"/>
      <c r="N34" s="18" t="n"/>
      <c r="O34" s="19" t="n"/>
      <c r="P34" s="19" t="n"/>
      <c r="Q34" s="19" t="n"/>
      <c r="R34" s="22">
        <f>IF($B34="","",MID(IF($G34="","／登録番号なし（仕入明細書にならない）",IF(AND(LEN($G34)=14,LEFT($G34,1)="T",SUMPRODUCT(--ISNUMBER(--MID($G34,{2,3,4,5,6,7,8,9,10,11,12,13,14},1)))=13),"","／登録番号の形を確かめる"))&amp;IF(AND($H34="個人",$I34=""),"／源泉徴収の欄が空","")&amp;IF(AND($H34="法人",$I34="する"),"／法人に源泉する設定（原則は不要）","")&amp;IF(AND($K34="差し引く",N($L34)=0),"／差し引く額が空","")&amp;IF(AND($K34="差し引く",OR($M34&lt;&gt;"対象外",$N34&lt;&gt;"対象外")),"／手数料を差し引けない取引か確かめる","")&amp;IF(COUNTIF($B$5:$B$104,$B34)&gt;1,"／コードが重複",""),2,300))</f>
        <v/>
      </c>
    </row>
    <row r="35" ht="18" customHeight="1">
      <c r="A35" s="17" t="n">
        <v>31</v>
      </c>
      <c r="B35" s="18" t="n"/>
      <c r="C35" s="19" t="n"/>
      <c r="D35" s="18" t="n"/>
      <c r="E35" s="18" t="n"/>
      <c r="F35" s="19" t="n"/>
      <c r="G35" s="20" t="n"/>
      <c r="H35" s="18" t="n"/>
      <c r="I35" s="18" t="n"/>
      <c r="J35" s="18" t="n"/>
      <c r="K35" s="18" t="n"/>
      <c r="L35" s="21" t="n"/>
      <c r="M35" s="18" t="n"/>
      <c r="N35" s="18" t="n"/>
      <c r="O35" s="19" t="n"/>
      <c r="P35" s="19" t="n"/>
      <c r="Q35" s="19" t="n"/>
      <c r="R35" s="22">
        <f>IF($B35="","",MID(IF($G35="","／登録番号なし（仕入明細書にならない）",IF(AND(LEN($G35)=14,LEFT($G35,1)="T",SUMPRODUCT(--ISNUMBER(--MID($G35,{2,3,4,5,6,7,8,9,10,11,12,13,14},1)))=13),"","／登録番号の形を確かめる"))&amp;IF(AND($H35="個人",$I35=""),"／源泉徴収の欄が空","")&amp;IF(AND($H35="法人",$I35="する"),"／法人に源泉する設定（原則は不要）","")&amp;IF(AND($K35="差し引く",N($L35)=0),"／差し引く額が空","")&amp;IF(AND($K35="差し引く",OR($M35&lt;&gt;"対象外",$N35&lt;&gt;"対象外")),"／手数料を差し引けない取引か確かめる","")&amp;IF(COUNTIF($B$5:$B$104,$B35)&gt;1,"／コードが重複",""),2,300))</f>
        <v/>
      </c>
    </row>
    <row r="36" ht="18" customHeight="1">
      <c r="A36" s="17" t="n">
        <v>32</v>
      </c>
      <c r="B36" s="18" t="n"/>
      <c r="C36" s="19" t="n"/>
      <c r="D36" s="18" t="n"/>
      <c r="E36" s="18" t="n"/>
      <c r="F36" s="19" t="n"/>
      <c r="G36" s="20" t="n"/>
      <c r="H36" s="18" t="n"/>
      <c r="I36" s="18" t="n"/>
      <c r="J36" s="18" t="n"/>
      <c r="K36" s="18" t="n"/>
      <c r="L36" s="21" t="n"/>
      <c r="M36" s="18" t="n"/>
      <c r="N36" s="18" t="n"/>
      <c r="O36" s="19" t="n"/>
      <c r="P36" s="19" t="n"/>
      <c r="Q36" s="19" t="n"/>
      <c r="R36" s="22">
        <f>IF($B36="","",MID(IF($G36="","／登録番号なし（仕入明細書にならない）",IF(AND(LEN($G36)=14,LEFT($G36,1)="T",SUMPRODUCT(--ISNUMBER(--MID($G36,{2,3,4,5,6,7,8,9,10,11,12,13,14},1)))=13),"","／登録番号の形を確かめる"))&amp;IF(AND($H36="個人",$I36=""),"／源泉徴収の欄が空","")&amp;IF(AND($H36="法人",$I36="する"),"／法人に源泉する設定（原則は不要）","")&amp;IF(AND($K36="差し引く",N($L36)=0),"／差し引く額が空","")&amp;IF(AND($K36="差し引く",OR($M36&lt;&gt;"対象外",$N36&lt;&gt;"対象外")),"／手数料を差し引けない取引か確かめる","")&amp;IF(COUNTIF($B$5:$B$104,$B36)&gt;1,"／コードが重複",""),2,300))</f>
        <v/>
      </c>
    </row>
    <row r="37" ht="18" customHeight="1">
      <c r="A37" s="17" t="n">
        <v>33</v>
      </c>
      <c r="B37" s="18" t="n"/>
      <c r="C37" s="19" t="n"/>
      <c r="D37" s="18" t="n"/>
      <c r="E37" s="18" t="n"/>
      <c r="F37" s="19" t="n"/>
      <c r="G37" s="20" t="n"/>
      <c r="H37" s="18" t="n"/>
      <c r="I37" s="18" t="n"/>
      <c r="J37" s="18" t="n"/>
      <c r="K37" s="18" t="n"/>
      <c r="L37" s="21" t="n"/>
      <c r="M37" s="18" t="n"/>
      <c r="N37" s="18" t="n"/>
      <c r="O37" s="19" t="n"/>
      <c r="P37" s="19" t="n"/>
      <c r="Q37" s="19" t="n"/>
      <c r="R37" s="22">
        <f>IF($B37="","",MID(IF($G37="","／登録番号なし（仕入明細書にならない）",IF(AND(LEN($G37)=14,LEFT($G37,1)="T",SUMPRODUCT(--ISNUMBER(--MID($G37,{2,3,4,5,6,7,8,9,10,11,12,13,14},1)))=13),"","／登録番号の形を確かめる"))&amp;IF(AND($H37="個人",$I37=""),"／源泉徴収の欄が空","")&amp;IF(AND($H37="法人",$I37="する"),"／法人に源泉する設定（原則は不要）","")&amp;IF(AND($K37="差し引く",N($L37)=0),"／差し引く額が空","")&amp;IF(AND($K37="差し引く",OR($M37&lt;&gt;"対象外",$N37&lt;&gt;"対象外")),"／手数料を差し引けない取引か確かめる","")&amp;IF(COUNTIF($B$5:$B$104,$B37)&gt;1,"／コードが重複",""),2,300))</f>
        <v/>
      </c>
    </row>
    <row r="38" ht="18" customHeight="1">
      <c r="A38" s="17" t="n">
        <v>34</v>
      </c>
      <c r="B38" s="18" t="n"/>
      <c r="C38" s="19" t="n"/>
      <c r="D38" s="18" t="n"/>
      <c r="E38" s="18" t="n"/>
      <c r="F38" s="19" t="n"/>
      <c r="G38" s="20" t="n"/>
      <c r="H38" s="18" t="n"/>
      <c r="I38" s="18" t="n"/>
      <c r="J38" s="18" t="n"/>
      <c r="K38" s="18" t="n"/>
      <c r="L38" s="21" t="n"/>
      <c r="M38" s="18" t="n"/>
      <c r="N38" s="18" t="n"/>
      <c r="O38" s="19" t="n"/>
      <c r="P38" s="19" t="n"/>
      <c r="Q38" s="19" t="n"/>
      <c r="R38" s="22">
        <f>IF($B38="","",MID(IF($G38="","／登録番号なし（仕入明細書にならない）",IF(AND(LEN($G38)=14,LEFT($G38,1)="T",SUMPRODUCT(--ISNUMBER(--MID($G38,{2,3,4,5,6,7,8,9,10,11,12,13,14},1)))=13),"","／登録番号の形を確かめる"))&amp;IF(AND($H38="個人",$I38=""),"／源泉徴収の欄が空","")&amp;IF(AND($H38="法人",$I38="する"),"／法人に源泉する設定（原則は不要）","")&amp;IF(AND($K38="差し引く",N($L38)=0),"／差し引く額が空","")&amp;IF(AND($K38="差し引く",OR($M38&lt;&gt;"対象外",$N38&lt;&gt;"対象外")),"／手数料を差し引けない取引か確かめる","")&amp;IF(COUNTIF($B$5:$B$104,$B38)&gt;1,"／コードが重複",""),2,300))</f>
        <v/>
      </c>
    </row>
    <row r="39" ht="18" customHeight="1">
      <c r="A39" s="17" t="n">
        <v>35</v>
      </c>
      <c r="B39" s="18" t="n"/>
      <c r="C39" s="19" t="n"/>
      <c r="D39" s="18" t="n"/>
      <c r="E39" s="18" t="n"/>
      <c r="F39" s="19" t="n"/>
      <c r="G39" s="20" t="n"/>
      <c r="H39" s="18" t="n"/>
      <c r="I39" s="18" t="n"/>
      <c r="J39" s="18" t="n"/>
      <c r="K39" s="18" t="n"/>
      <c r="L39" s="21" t="n"/>
      <c r="M39" s="18" t="n"/>
      <c r="N39" s="18" t="n"/>
      <c r="O39" s="19" t="n"/>
      <c r="P39" s="19" t="n"/>
      <c r="Q39" s="19" t="n"/>
      <c r="R39" s="22">
        <f>IF($B39="","",MID(IF($G39="","／登録番号なし（仕入明細書にならない）",IF(AND(LEN($G39)=14,LEFT($G39,1)="T",SUMPRODUCT(--ISNUMBER(--MID($G39,{2,3,4,5,6,7,8,9,10,11,12,13,14},1)))=13),"","／登録番号の形を確かめる"))&amp;IF(AND($H39="個人",$I39=""),"／源泉徴収の欄が空","")&amp;IF(AND($H39="法人",$I39="する"),"／法人に源泉する設定（原則は不要）","")&amp;IF(AND($K39="差し引く",N($L39)=0),"／差し引く額が空","")&amp;IF(AND($K39="差し引く",OR($M39&lt;&gt;"対象外",$N39&lt;&gt;"対象外")),"／手数料を差し引けない取引か確かめる","")&amp;IF(COUNTIF($B$5:$B$104,$B39)&gt;1,"／コードが重複",""),2,300))</f>
        <v/>
      </c>
    </row>
    <row r="40" ht="18" customHeight="1">
      <c r="A40" s="17" t="n">
        <v>36</v>
      </c>
      <c r="B40" s="18" t="n"/>
      <c r="C40" s="19" t="n"/>
      <c r="D40" s="18" t="n"/>
      <c r="E40" s="18" t="n"/>
      <c r="F40" s="19" t="n"/>
      <c r="G40" s="20" t="n"/>
      <c r="H40" s="18" t="n"/>
      <c r="I40" s="18" t="n"/>
      <c r="J40" s="18" t="n"/>
      <c r="K40" s="18" t="n"/>
      <c r="L40" s="21" t="n"/>
      <c r="M40" s="18" t="n"/>
      <c r="N40" s="18" t="n"/>
      <c r="O40" s="19" t="n"/>
      <c r="P40" s="19" t="n"/>
      <c r="Q40" s="19" t="n"/>
      <c r="R40" s="22">
        <f>IF($B40="","",MID(IF($G40="","／登録番号なし（仕入明細書にならない）",IF(AND(LEN($G40)=14,LEFT($G40,1)="T",SUMPRODUCT(--ISNUMBER(--MID($G40,{2,3,4,5,6,7,8,9,10,11,12,13,14},1)))=13),"","／登録番号の形を確かめる"))&amp;IF(AND($H40="個人",$I40=""),"／源泉徴収の欄が空","")&amp;IF(AND($H40="法人",$I40="する"),"／法人に源泉する設定（原則は不要）","")&amp;IF(AND($K40="差し引く",N($L40)=0),"／差し引く額が空","")&amp;IF(AND($K40="差し引く",OR($M40&lt;&gt;"対象外",$N40&lt;&gt;"対象外")),"／手数料を差し引けない取引か確かめる","")&amp;IF(COUNTIF($B$5:$B$104,$B40)&gt;1,"／コードが重複",""),2,300))</f>
        <v/>
      </c>
    </row>
    <row r="41" ht="18" customHeight="1">
      <c r="A41" s="17" t="n">
        <v>37</v>
      </c>
      <c r="B41" s="18" t="n"/>
      <c r="C41" s="19" t="n"/>
      <c r="D41" s="18" t="n"/>
      <c r="E41" s="18" t="n"/>
      <c r="F41" s="19" t="n"/>
      <c r="G41" s="20" t="n"/>
      <c r="H41" s="18" t="n"/>
      <c r="I41" s="18" t="n"/>
      <c r="J41" s="18" t="n"/>
      <c r="K41" s="18" t="n"/>
      <c r="L41" s="21" t="n"/>
      <c r="M41" s="18" t="n"/>
      <c r="N41" s="18" t="n"/>
      <c r="O41" s="19" t="n"/>
      <c r="P41" s="19" t="n"/>
      <c r="Q41" s="19" t="n"/>
      <c r="R41" s="22">
        <f>IF($B41="","",MID(IF($G41="","／登録番号なし（仕入明細書にならない）",IF(AND(LEN($G41)=14,LEFT($G41,1)="T",SUMPRODUCT(--ISNUMBER(--MID($G41,{2,3,4,5,6,7,8,9,10,11,12,13,14},1)))=13),"","／登録番号の形を確かめる"))&amp;IF(AND($H41="個人",$I41=""),"／源泉徴収の欄が空","")&amp;IF(AND($H41="法人",$I41="する"),"／法人に源泉する設定（原則は不要）","")&amp;IF(AND($K41="差し引く",N($L41)=0),"／差し引く額が空","")&amp;IF(AND($K41="差し引く",OR($M41&lt;&gt;"対象外",$N41&lt;&gt;"対象外")),"／手数料を差し引けない取引か確かめる","")&amp;IF(COUNTIF($B$5:$B$104,$B41)&gt;1,"／コードが重複",""),2,300))</f>
        <v/>
      </c>
    </row>
    <row r="42" ht="18" customHeight="1">
      <c r="A42" s="17" t="n">
        <v>38</v>
      </c>
      <c r="B42" s="18" t="n"/>
      <c r="C42" s="19" t="n"/>
      <c r="D42" s="18" t="n"/>
      <c r="E42" s="18" t="n"/>
      <c r="F42" s="19" t="n"/>
      <c r="G42" s="20" t="n"/>
      <c r="H42" s="18" t="n"/>
      <c r="I42" s="18" t="n"/>
      <c r="J42" s="18" t="n"/>
      <c r="K42" s="18" t="n"/>
      <c r="L42" s="21" t="n"/>
      <c r="M42" s="18" t="n"/>
      <c r="N42" s="18" t="n"/>
      <c r="O42" s="19" t="n"/>
      <c r="P42" s="19" t="n"/>
      <c r="Q42" s="19" t="n"/>
      <c r="R42" s="22">
        <f>IF($B42="","",MID(IF($G42="","／登録番号なし（仕入明細書にならない）",IF(AND(LEN($G42)=14,LEFT($G42,1)="T",SUMPRODUCT(--ISNUMBER(--MID($G42,{2,3,4,5,6,7,8,9,10,11,12,13,14},1)))=13),"","／登録番号の形を確かめる"))&amp;IF(AND($H42="個人",$I42=""),"／源泉徴収の欄が空","")&amp;IF(AND($H42="法人",$I42="する"),"／法人に源泉する設定（原則は不要）","")&amp;IF(AND($K42="差し引く",N($L42)=0),"／差し引く額が空","")&amp;IF(AND($K42="差し引く",OR($M42&lt;&gt;"対象外",$N42&lt;&gt;"対象外")),"／手数料を差し引けない取引か確かめる","")&amp;IF(COUNTIF($B$5:$B$104,$B42)&gt;1,"／コードが重複",""),2,300))</f>
        <v/>
      </c>
    </row>
    <row r="43" ht="18" customHeight="1">
      <c r="A43" s="17" t="n">
        <v>39</v>
      </c>
      <c r="B43" s="18" t="n"/>
      <c r="C43" s="19" t="n"/>
      <c r="D43" s="18" t="n"/>
      <c r="E43" s="18" t="n"/>
      <c r="F43" s="19" t="n"/>
      <c r="G43" s="20" t="n"/>
      <c r="H43" s="18" t="n"/>
      <c r="I43" s="18" t="n"/>
      <c r="J43" s="18" t="n"/>
      <c r="K43" s="18" t="n"/>
      <c r="L43" s="21" t="n"/>
      <c r="M43" s="18" t="n"/>
      <c r="N43" s="18" t="n"/>
      <c r="O43" s="19" t="n"/>
      <c r="P43" s="19" t="n"/>
      <c r="Q43" s="19" t="n"/>
      <c r="R43" s="22">
        <f>IF($B43="","",MID(IF($G43="","／登録番号なし（仕入明細書にならない）",IF(AND(LEN($G43)=14,LEFT($G43,1)="T",SUMPRODUCT(--ISNUMBER(--MID($G43,{2,3,4,5,6,7,8,9,10,11,12,13,14},1)))=13),"","／登録番号の形を確かめる"))&amp;IF(AND($H43="個人",$I43=""),"／源泉徴収の欄が空","")&amp;IF(AND($H43="法人",$I43="する"),"／法人に源泉する設定（原則は不要）","")&amp;IF(AND($K43="差し引く",N($L43)=0),"／差し引く額が空","")&amp;IF(AND($K43="差し引く",OR($M43&lt;&gt;"対象外",$N43&lt;&gt;"対象外")),"／手数料を差し引けない取引か確かめる","")&amp;IF(COUNTIF($B$5:$B$104,$B43)&gt;1,"／コードが重複",""),2,300))</f>
        <v/>
      </c>
    </row>
    <row r="44" ht="18" customHeight="1">
      <c r="A44" s="17" t="n">
        <v>40</v>
      </c>
      <c r="B44" s="18" t="n"/>
      <c r="C44" s="19" t="n"/>
      <c r="D44" s="18" t="n"/>
      <c r="E44" s="18" t="n"/>
      <c r="F44" s="19" t="n"/>
      <c r="G44" s="20" t="n"/>
      <c r="H44" s="18" t="n"/>
      <c r="I44" s="18" t="n"/>
      <c r="J44" s="18" t="n"/>
      <c r="K44" s="18" t="n"/>
      <c r="L44" s="21" t="n"/>
      <c r="M44" s="18" t="n"/>
      <c r="N44" s="18" t="n"/>
      <c r="O44" s="19" t="n"/>
      <c r="P44" s="19" t="n"/>
      <c r="Q44" s="19" t="n"/>
      <c r="R44" s="22">
        <f>IF($B44="","",MID(IF($G44="","／登録番号なし（仕入明細書にならない）",IF(AND(LEN($G44)=14,LEFT($G44,1)="T",SUMPRODUCT(--ISNUMBER(--MID($G44,{2,3,4,5,6,7,8,9,10,11,12,13,14},1)))=13),"","／登録番号の形を確かめる"))&amp;IF(AND($H44="個人",$I44=""),"／源泉徴収の欄が空","")&amp;IF(AND($H44="法人",$I44="する"),"／法人に源泉する設定（原則は不要）","")&amp;IF(AND($K44="差し引く",N($L44)=0),"／差し引く額が空","")&amp;IF(AND($K44="差し引く",OR($M44&lt;&gt;"対象外",$N44&lt;&gt;"対象外")),"／手数料を差し引けない取引か確かめる","")&amp;IF(COUNTIF($B$5:$B$104,$B44)&gt;1,"／コードが重複",""),2,300))</f>
        <v/>
      </c>
    </row>
    <row r="45" ht="18" customHeight="1">
      <c r="A45" s="17" t="n">
        <v>41</v>
      </c>
      <c r="B45" s="18" t="n"/>
      <c r="C45" s="19" t="n"/>
      <c r="D45" s="18" t="n"/>
      <c r="E45" s="18" t="n"/>
      <c r="F45" s="19" t="n"/>
      <c r="G45" s="20" t="n"/>
      <c r="H45" s="18" t="n"/>
      <c r="I45" s="18" t="n"/>
      <c r="J45" s="18" t="n"/>
      <c r="K45" s="18" t="n"/>
      <c r="L45" s="21" t="n"/>
      <c r="M45" s="18" t="n"/>
      <c r="N45" s="18" t="n"/>
      <c r="O45" s="19" t="n"/>
      <c r="P45" s="19" t="n"/>
      <c r="Q45" s="19" t="n"/>
      <c r="R45" s="22">
        <f>IF($B45="","",MID(IF($G45="","／登録番号なし（仕入明細書にならない）",IF(AND(LEN($G45)=14,LEFT($G45,1)="T",SUMPRODUCT(--ISNUMBER(--MID($G45,{2,3,4,5,6,7,8,9,10,11,12,13,14},1)))=13),"","／登録番号の形を確かめる"))&amp;IF(AND($H45="個人",$I45=""),"／源泉徴収の欄が空","")&amp;IF(AND($H45="法人",$I45="する"),"／法人に源泉する設定（原則は不要）","")&amp;IF(AND($K45="差し引く",N($L45)=0),"／差し引く額が空","")&amp;IF(AND($K45="差し引く",OR($M45&lt;&gt;"対象外",$N45&lt;&gt;"対象外")),"／手数料を差し引けない取引か確かめる","")&amp;IF(COUNTIF($B$5:$B$104,$B45)&gt;1,"／コードが重複",""),2,300))</f>
        <v/>
      </c>
    </row>
    <row r="46" ht="18" customHeight="1">
      <c r="A46" s="17" t="n">
        <v>42</v>
      </c>
      <c r="B46" s="18" t="n"/>
      <c r="C46" s="19" t="n"/>
      <c r="D46" s="18" t="n"/>
      <c r="E46" s="18" t="n"/>
      <c r="F46" s="19" t="n"/>
      <c r="G46" s="20" t="n"/>
      <c r="H46" s="18" t="n"/>
      <c r="I46" s="18" t="n"/>
      <c r="J46" s="18" t="n"/>
      <c r="K46" s="18" t="n"/>
      <c r="L46" s="21" t="n"/>
      <c r="M46" s="18" t="n"/>
      <c r="N46" s="18" t="n"/>
      <c r="O46" s="19" t="n"/>
      <c r="P46" s="19" t="n"/>
      <c r="Q46" s="19" t="n"/>
      <c r="R46" s="22">
        <f>IF($B46="","",MID(IF($G46="","／登録番号なし（仕入明細書にならない）",IF(AND(LEN($G46)=14,LEFT($G46,1)="T",SUMPRODUCT(--ISNUMBER(--MID($G46,{2,3,4,5,6,7,8,9,10,11,12,13,14},1)))=13),"","／登録番号の形を確かめる"))&amp;IF(AND($H46="個人",$I46=""),"／源泉徴収の欄が空","")&amp;IF(AND($H46="法人",$I46="する"),"／法人に源泉する設定（原則は不要）","")&amp;IF(AND($K46="差し引く",N($L46)=0),"／差し引く額が空","")&amp;IF(AND($K46="差し引く",OR($M46&lt;&gt;"対象外",$N46&lt;&gt;"対象外")),"／手数料を差し引けない取引か確かめる","")&amp;IF(COUNTIF($B$5:$B$104,$B46)&gt;1,"／コードが重複",""),2,300))</f>
        <v/>
      </c>
    </row>
    <row r="47" ht="18" customHeight="1">
      <c r="A47" s="17" t="n">
        <v>43</v>
      </c>
      <c r="B47" s="18" t="n"/>
      <c r="C47" s="19" t="n"/>
      <c r="D47" s="18" t="n"/>
      <c r="E47" s="18" t="n"/>
      <c r="F47" s="19" t="n"/>
      <c r="G47" s="20" t="n"/>
      <c r="H47" s="18" t="n"/>
      <c r="I47" s="18" t="n"/>
      <c r="J47" s="18" t="n"/>
      <c r="K47" s="18" t="n"/>
      <c r="L47" s="21" t="n"/>
      <c r="M47" s="18" t="n"/>
      <c r="N47" s="18" t="n"/>
      <c r="O47" s="19" t="n"/>
      <c r="P47" s="19" t="n"/>
      <c r="Q47" s="19" t="n"/>
      <c r="R47" s="22">
        <f>IF($B47="","",MID(IF($G47="","／登録番号なし（仕入明細書にならない）",IF(AND(LEN($G47)=14,LEFT($G47,1)="T",SUMPRODUCT(--ISNUMBER(--MID($G47,{2,3,4,5,6,7,8,9,10,11,12,13,14},1)))=13),"","／登録番号の形を確かめる"))&amp;IF(AND($H47="個人",$I47=""),"／源泉徴収の欄が空","")&amp;IF(AND($H47="法人",$I47="する"),"／法人に源泉する設定（原則は不要）","")&amp;IF(AND($K47="差し引く",N($L47)=0),"／差し引く額が空","")&amp;IF(AND($K47="差し引く",OR($M47&lt;&gt;"対象外",$N47&lt;&gt;"対象外")),"／手数料を差し引けない取引か確かめる","")&amp;IF(COUNTIF($B$5:$B$104,$B47)&gt;1,"／コードが重複",""),2,300))</f>
        <v/>
      </c>
    </row>
    <row r="48" ht="18" customHeight="1">
      <c r="A48" s="17" t="n">
        <v>44</v>
      </c>
      <c r="B48" s="18" t="n"/>
      <c r="C48" s="19" t="n"/>
      <c r="D48" s="18" t="n"/>
      <c r="E48" s="18" t="n"/>
      <c r="F48" s="19" t="n"/>
      <c r="G48" s="20" t="n"/>
      <c r="H48" s="18" t="n"/>
      <c r="I48" s="18" t="n"/>
      <c r="J48" s="18" t="n"/>
      <c r="K48" s="18" t="n"/>
      <c r="L48" s="21" t="n"/>
      <c r="M48" s="18" t="n"/>
      <c r="N48" s="18" t="n"/>
      <c r="O48" s="19" t="n"/>
      <c r="P48" s="19" t="n"/>
      <c r="Q48" s="19" t="n"/>
      <c r="R48" s="22">
        <f>IF($B48="","",MID(IF($G48="","／登録番号なし（仕入明細書にならない）",IF(AND(LEN($G48)=14,LEFT($G48,1)="T",SUMPRODUCT(--ISNUMBER(--MID($G48,{2,3,4,5,6,7,8,9,10,11,12,13,14},1)))=13),"","／登録番号の形を確かめる"))&amp;IF(AND($H48="個人",$I48=""),"／源泉徴収の欄が空","")&amp;IF(AND($H48="法人",$I48="する"),"／法人に源泉する設定（原則は不要）","")&amp;IF(AND($K48="差し引く",N($L48)=0),"／差し引く額が空","")&amp;IF(AND($K48="差し引く",OR($M48&lt;&gt;"対象外",$N48&lt;&gt;"対象外")),"／手数料を差し引けない取引か確かめる","")&amp;IF(COUNTIF($B$5:$B$104,$B48)&gt;1,"／コードが重複",""),2,300))</f>
        <v/>
      </c>
    </row>
    <row r="49" ht="18" customHeight="1">
      <c r="A49" s="17" t="n">
        <v>45</v>
      </c>
      <c r="B49" s="18" t="n"/>
      <c r="C49" s="19" t="n"/>
      <c r="D49" s="18" t="n"/>
      <c r="E49" s="18" t="n"/>
      <c r="F49" s="19" t="n"/>
      <c r="G49" s="20" t="n"/>
      <c r="H49" s="18" t="n"/>
      <c r="I49" s="18" t="n"/>
      <c r="J49" s="18" t="n"/>
      <c r="K49" s="18" t="n"/>
      <c r="L49" s="21" t="n"/>
      <c r="M49" s="18" t="n"/>
      <c r="N49" s="18" t="n"/>
      <c r="O49" s="19" t="n"/>
      <c r="P49" s="19" t="n"/>
      <c r="Q49" s="19" t="n"/>
      <c r="R49" s="22">
        <f>IF($B49="","",MID(IF($G49="","／登録番号なし（仕入明細書にならない）",IF(AND(LEN($G49)=14,LEFT($G49,1)="T",SUMPRODUCT(--ISNUMBER(--MID($G49,{2,3,4,5,6,7,8,9,10,11,12,13,14},1)))=13),"","／登録番号の形を確かめる"))&amp;IF(AND($H49="個人",$I49=""),"／源泉徴収の欄が空","")&amp;IF(AND($H49="法人",$I49="する"),"／法人に源泉する設定（原則は不要）","")&amp;IF(AND($K49="差し引く",N($L49)=0),"／差し引く額が空","")&amp;IF(AND($K49="差し引く",OR($M49&lt;&gt;"対象外",$N49&lt;&gt;"対象外")),"／手数料を差し引けない取引か確かめる","")&amp;IF(COUNTIF($B$5:$B$104,$B49)&gt;1,"／コードが重複",""),2,300))</f>
        <v/>
      </c>
    </row>
    <row r="50" ht="18" customHeight="1">
      <c r="A50" s="17" t="n">
        <v>46</v>
      </c>
      <c r="B50" s="18" t="n"/>
      <c r="C50" s="19" t="n"/>
      <c r="D50" s="18" t="n"/>
      <c r="E50" s="18" t="n"/>
      <c r="F50" s="19" t="n"/>
      <c r="G50" s="20" t="n"/>
      <c r="H50" s="18" t="n"/>
      <c r="I50" s="18" t="n"/>
      <c r="J50" s="18" t="n"/>
      <c r="K50" s="18" t="n"/>
      <c r="L50" s="21" t="n"/>
      <c r="M50" s="18" t="n"/>
      <c r="N50" s="18" t="n"/>
      <c r="O50" s="19" t="n"/>
      <c r="P50" s="19" t="n"/>
      <c r="Q50" s="19" t="n"/>
      <c r="R50" s="22">
        <f>IF($B50="","",MID(IF($G50="","／登録番号なし（仕入明細書にならない）",IF(AND(LEN($G50)=14,LEFT($G50,1)="T",SUMPRODUCT(--ISNUMBER(--MID($G50,{2,3,4,5,6,7,8,9,10,11,12,13,14},1)))=13),"","／登録番号の形を確かめる"))&amp;IF(AND($H50="個人",$I50=""),"／源泉徴収の欄が空","")&amp;IF(AND($H50="法人",$I50="する"),"／法人に源泉する設定（原則は不要）","")&amp;IF(AND($K50="差し引く",N($L50)=0),"／差し引く額が空","")&amp;IF(AND($K50="差し引く",OR($M50&lt;&gt;"対象外",$N50&lt;&gt;"対象外")),"／手数料を差し引けない取引か確かめる","")&amp;IF(COUNTIF($B$5:$B$104,$B50)&gt;1,"／コードが重複",""),2,300))</f>
        <v/>
      </c>
    </row>
    <row r="51" ht="18" customHeight="1">
      <c r="A51" s="17" t="n">
        <v>47</v>
      </c>
      <c r="B51" s="18" t="n"/>
      <c r="C51" s="19" t="n"/>
      <c r="D51" s="18" t="n"/>
      <c r="E51" s="18" t="n"/>
      <c r="F51" s="19" t="n"/>
      <c r="G51" s="20" t="n"/>
      <c r="H51" s="18" t="n"/>
      <c r="I51" s="18" t="n"/>
      <c r="J51" s="18" t="n"/>
      <c r="K51" s="18" t="n"/>
      <c r="L51" s="21" t="n"/>
      <c r="M51" s="18" t="n"/>
      <c r="N51" s="18" t="n"/>
      <c r="O51" s="19" t="n"/>
      <c r="P51" s="19" t="n"/>
      <c r="Q51" s="19" t="n"/>
      <c r="R51" s="22">
        <f>IF($B51="","",MID(IF($G51="","／登録番号なし（仕入明細書にならない）",IF(AND(LEN($G51)=14,LEFT($G51,1)="T",SUMPRODUCT(--ISNUMBER(--MID($G51,{2,3,4,5,6,7,8,9,10,11,12,13,14},1)))=13),"","／登録番号の形を確かめる"))&amp;IF(AND($H51="個人",$I51=""),"／源泉徴収の欄が空","")&amp;IF(AND($H51="法人",$I51="する"),"／法人に源泉する設定（原則は不要）","")&amp;IF(AND($K51="差し引く",N($L51)=0),"／差し引く額が空","")&amp;IF(AND($K51="差し引く",OR($M51&lt;&gt;"対象外",$N51&lt;&gt;"対象外")),"／手数料を差し引けない取引か確かめる","")&amp;IF(COUNTIF($B$5:$B$104,$B51)&gt;1,"／コードが重複",""),2,300))</f>
        <v/>
      </c>
    </row>
    <row r="52" ht="18" customHeight="1">
      <c r="A52" s="17" t="n">
        <v>48</v>
      </c>
      <c r="B52" s="18" t="n"/>
      <c r="C52" s="19" t="n"/>
      <c r="D52" s="18" t="n"/>
      <c r="E52" s="18" t="n"/>
      <c r="F52" s="19" t="n"/>
      <c r="G52" s="20" t="n"/>
      <c r="H52" s="18" t="n"/>
      <c r="I52" s="18" t="n"/>
      <c r="J52" s="18" t="n"/>
      <c r="K52" s="18" t="n"/>
      <c r="L52" s="21" t="n"/>
      <c r="M52" s="18" t="n"/>
      <c r="N52" s="18" t="n"/>
      <c r="O52" s="19" t="n"/>
      <c r="P52" s="19" t="n"/>
      <c r="Q52" s="19" t="n"/>
      <c r="R52" s="22">
        <f>IF($B52="","",MID(IF($G52="","／登録番号なし（仕入明細書にならない）",IF(AND(LEN($G52)=14,LEFT($G52,1)="T",SUMPRODUCT(--ISNUMBER(--MID($G52,{2,3,4,5,6,7,8,9,10,11,12,13,14},1)))=13),"","／登録番号の形を確かめる"))&amp;IF(AND($H52="個人",$I52=""),"／源泉徴収の欄が空","")&amp;IF(AND($H52="法人",$I52="する"),"／法人に源泉する設定（原則は不要）","")&amp;IF(AND($K52="差し引く",N($L52)=0),"／差し引く額が空","")&amp;IF(AND($K52="差し引く",OR($M52&lt;&gt;"対象外",$N52&lt;&gt;"対象外")),"／手数料を差し引けない取引か確かめる","")&amp;IF(COUNTIF($B$5:$B$104,$B52)&gt;1,"／コードが重複",""),2,300))</f>
        <v/>
      </c>
    </row>
    <row r="53" ht="18" customHeight="1">
      <c r="A53" s="17" t="n">
        <v>49</v>
      </c>
      <c r="B53" s="18" t="n"/>
      <c r="C53" s="19" t="n"/>
      <c r="D53" s="18" t="n"/>
      <c r="E53" s="18" t="n"/>
      <c r="F53" s="19" t="n"/>
      <c r="G53" s="20" t="n"/>
      <c r="H53" s="18" t="n"/>
      <c r="I53" s="18" t="n"/>
      <c r="J53" s="18" t="n"/>
      <c r="K53" s="18" t="n"/>
      <c r="L53" s="21" t="n"/>
      <c r="M53" s="18" t="n"/>
      <c r="N53" s="18" t="n"/>
      <c r="O53" s="19" t="n"/>
      <c r="P53" s="19" t="n"/>
      <c r="Q53" s="19" t="n"/>
      <c r="R53" s="22">
        <f>IF($B53="","",MID(IF($G53="","／登録番号なし（仕入明細書にならない）",IF(AND(LEN($G53)=14,LEFT($G53,1)="T",SUMPRODUCT(--ISNUMBER(--MID($G53,{2,3,4,5,6,7,8,9,10,11,12,13,14},1)))=13),"","／登録番号の形を確かめる"))&amp;IF(AND($H53="個人",$I53=""),"／源泉徴収の欄が空","")&amp;IF(AND($H53="法人",$I53="する"),"／法人に源泉する設定（原則は不要）","")&amp;IF(AND($K53="差し引く",N($L53)=0),"／差し引く額が空","")&amp;IF(AND($K53="差し引く",OR($M53&lt;&gt;"対象外",$N53&lt;&gt;"対象外")),"／手数料を差し引けない取引か確かめる","")&amp;IF(COUNTIF($B$5:$B$104,$B53)&gt;1,"／コードが重複",""),2,300))</f>
        <v/>
      </c>
    </row>
    <row r="54" ht="18" customHeight="1">
      <c r="A54" s="17" t="n">
        <v>50</v>
      </c>
      <c r="B54" s="18" t="n"/>
      <c r="C54" s="19" t="n"/>
      <c r="D54" s="18" t="n"/>
      <c r="E54" s="18" t="n"/>
      <c r="F54" s="19" t="n"/>
      <c r="G54" s="20" t="n"/>
      <c r="H54" s="18" t="n"/>
      <c r="I54" s="18" t="n"/>
      <c r="J54" s="18" t="n"/>
      <c r="K54" s="18" t="n"/>
      <c r="L54" s="21" t="n"/>
      <c r="M54" s="18" t="n"/>
      <c r="N54" s="18" t="n"/>
      <c r="O54" s="19" t="n"/>
      <c r="P54" s="19" t="n"/>
      <c r="Q54" s="19" t="n"/>
      <c r="R54" s="22">
        <f>IF($B54="","",MID(IF($G54="","／登録番号なし（仕入明細書にならない）",IF(AND(LEN($G54)=14,LEFT($G54,1)="T",SUMPRODUCT(--ISNUMBER(--MID($G54,{2,3,4,5,6,7,8,9,10,11,12,13,14},1)))=13),"","／登録番号の形を確かめる"))&amp;IF(AND($H54="個人",$I54=""),"／源泉徴収の欄が空","")&amp;IF(AND($H54="法人",$I54="する"),"／法人に源泉する設定（原則は不要）","")&amp;IF(AND($K54="差し引く",N($L54)=0),"／差し引く額が空","")&amp;IF(AND($K54="差し引く",OR($M54&lt;&gt;"対象外",$N54&lt;&gt;"対象外")),"／手数料を差し引けない取引か確かめる","")&amp;IF(COUNTIF($B$5:$B$104,$B54)&gt;1,"／コードが重複",""),2,300))</f>
        <v/>
      </c>
    </row>
    <row r="55" ht="18" customHeight="1">
      <c r="A55" s="17" t="n">
        <v>51</v>
      </c>
      <c r="B55" s="18" t="n"/>
      <c r="C55" s="19" t="n"/>
      <c r="D55" s="18" t="n"/>
      <c r="E55" s="18" t="n"/>
      <c r="F55" s="19" t="n"/>
      <c r="G55" s="20" t="n"/>
      <c r="H55" s="18" t="n"/>
      <c r="I55" s="18" t="n"/>
      <c r="J55" s="18" t="n"/>
      <c r="K55" s="18" t="n"/>
      <c r="L55" s="21" t="n"/>
      <c r="M55" s="18" t="n"/>
      <c r="N55" s="18" t="n"/>
      <c r="O55" s="19" t="n"/>
      <c r="P55" s="19" t="n"/>
      <c r="Q55" s="19" t="n"/>
      <c r="R55" s="22">
        <f>IF($B55="","",MID(IF($G55="","／登録番号なし（仕入明細書にならない）",IF(AND(LEN($G55)=14,LEFT($G55,1)="T",SUMPRODUCT(--ISNUMBER(--MID($G55,{2,3,4,5,6,7,8,9,10,11,12,13,14},1)))=13),"","／登録番号の形を確かめる"))&amp;IF(AND($H55="個人",$I55=""),"／源泉徴収の欄が空","")&amp;IF(AND($H55="法人",$I55="する"),"／法人に源泉する設定（原則は不要）","")&amp;IF(AND($K55="差し引く",N($L55)=0),"／差し引く額が空","")&amp;IF(AND($K55="差し引く",OR($M55&lt;&gt;"対象外",$N55&lt;&gt;"対象外")),"／手数料を差し引けない取引か確かめる","")&amp;IF(COUNTIF($B$5:$B$104,$B55)&gt;1,"／コードが重複",""),2,300))</f>
        <v/>
      </c>
    </row>
    <row r="56" ht="18" customHeight="1">
      <c r="A56" s="17" t="n">
        <v>52</v>
      </c>
      <c r="B56" s="18" t="n"/>
      <c r="C56" s="19" t="n"/>
      <c r="D56" s="18" t="n"/>
      <c r="E56" s="18" t="n"/>
      <c r="F56" s="19" t="n"/>
      <c r="G56" s="20" t="n"/>
      <c r="H56" s="18" t="n"/>
      <c r="I56" s="18" t="n"/>
      <c r="J56" s="18" t="n"/>
      <c r="K56" s="18" t="n"/>
      <c r="L56" s="21" t="n"/>
      <c r="M56" s="18" t="n"/>
      <c r="N56" s="18" t="n"/>
      <c r="O56" s="19" t="n"/>
      <c r="P56" s="19" t="n"/>
      <c r="Q56" s="19" t="n"/>
      <c r="R56" s="22">
        <f>IF($B56="","",MID(IF($G56="","／登録番号なし（仕入明細書にならない）",IF(AND(LEN($G56)=14,LEFT($G56,1)="T",SUMPRODUCT(--ISNUMBER(--MID($G56,{2,3,4,5,6,7,8,9,10,11,12,13,14},1)))=13),"","／登録番号の形を確かめる"))&amp;IF(AND($H56="個人",$I56=""),"／源泉徴収の欄が空","")&amp;IF(AND($H56="法人",$I56="する"),"／法人に源泉する設定（原則は不要）","")&amp;IF(AND($K56="差し引く",N($L56)=0),"／差し引く額が空","")&amp;IF(AND($K56="差し引く",OR($M56&lt;&gt;"対象外",$N56&lt;&gt;"対象外")),"／手数料を差し引けない取引か確かめる","")&amp;IF(COUNTIF($B$5:$B$104,$B56)&gt;1,"／コードが重複",""),2,300))</f>
        <v/>
      </c>
    </row>
    <row r="57" ht="18" customHeight="1">
      <c r="A57" s="17" t="n">
        <v>53</v>
      </c>
      <c r="B57" s="18" t="n"/>
      <c r="C57" s="19" t="n"/>
      <c r="D57" s="18" t="n"/>
      <c r="E57" s="18" t="n"/>
      <c r="F57" s="19" t="n"/>
      <c r="G57" s="20" t="n"/>
      <c r="H57" s="18" t="n"/>
      <c r="I57" s="18" t="n"/>
      <c r="J57" s="18" t="n"/>
      <c r="K57" s="18" t="n"/>
      <c r="L57" s="21" t="n"/>
      <c r="M57" s="18" t="n"/>
      <c r="N57" s="18" t="n"/>
      <c r="O57" s="19" t="n"/>
      <c r="P57" s="19" t="n"/>
      <c r="Q57" s="19" t="n"/>
      <c r="R57" s="22">
        <f>IF($B57="","",MID(IF($G57="","／登録番号なし（仕入明細書にならない）",IF(AND(LEN($G57)=14,LEFT($G57,1)="T",SUMPRODUCT(--ISNUMBER(--MID($G57,{2,3,4,5,6,7,8,9,10,11,12,13,14},1)))=13),"","／登録番号の形を確かめる"))&amp;IF(AND($H57="個人",$I57=""),"／源泉徴収の欄が空","")&amp;IF(AND($H57="法人",$I57="する"),"／法人に源泉する設定（原則は不要）","")&amp;IF(AND($K57="差し引く",N($L57)=0),"／差し引く額が空","")&amp;IF(AND($K57="差し引く",OR($M57&lt;&gt;"対象外",$N57&lt;&gt;"対象外")),"／手数料を差し引けない取引か確かめる","")&amp;IF(COUNTIF($B$5:$B$104,$B57)&gt;1,"／コードが重複",""),2,300))</f>
        <v/>
      </c>
    </row>
    <row r="58" ht="18" customHeight="1">
      <c r="A58" s="17" t="n">
        <v>54</v>
      </c>
      <c r="B58" s="18" t="n"/>
      <c r="C58" s="19" t="n"/>
      <c r="D58" s="18" t="n"/>
      <c r="E58" s="18" t="n"/>
      <c r="F58" s="19" t="n"/>
      <c r="G58" s="20" t="n"/>
      <c r="H58" s="18" t="n"/>
      <c r="I58" s="18" t="n"/>
      <c r="J58" s="18" t="n"/>
      <c r="K58" s="18" t="n"/>
      <c r="L58" s="21" t="n"/>
      <c r="M58" s="18" t="n"/>
      <c r="N58" s="18" t="n"/>
      <c r="O58" s="19" t="n"/>
      <c r="P58" s="19" t="n"/>
      <c r="Q58" s="19" t="n"/>
      <c r="R58" s="22">
        <f>IF($B58="","",MID(IF($G58="","／登録番号なし（仕入明細書にならない）",IF(AND(LEN($G58)=14,LEFT($G58,1)="T",SUMPRODUCT(--ISNUMBER(--MID($G58,{2,3,4,5,6,7,8,9,10,11,12,13,14},1)))=13),"","／登録番号の形を確かめる"))&amp;IF(AND($H58="個人",$I58=""),"／源泉徴収の欄が空","")&amp;IF(AND($H58="法人",$I58="する"),"／法人に源泉する設定（原則は不要）","")&amp;IF(AND($K58="差し引く",N($L58)=0),"／差し引く額が空","")&amp;IF(AND($K58="差し引く",OR($M58&lt;&gt;"対象外",$N58&lt;&gt;"対象外")),"／手数料を差し引けない取引か確かめる","")&amp;IF(COUNTIF($B$5:$B$104,$B58)&gt;1,"／コードが重複",""),2,300))</f>
        <v/>
      </c>
    </row>
    <row r="59" ht="18" customHeight="1">
      <c r="A59" s="17" t="n">
        <v>55</v>
      </c>
      <c r="B59" s="18" t="n"/>
      <c r="C59" s="19" t="n"/>
      <c r="D59" s="18" t="n"/>
      <c r="E59" s="18" t="n"/>
      <c r="F59" s="19" t="n"/>
      <c r="G59" s="20" t="n"/>
      <c r="H59" s="18" t="n"/>
      <c r="I59" s="18" t="n"/>
      <c r="J59" s="18" t="n"/>
      <c r="K59" s="18" t="n"/>
      <c r="L59" s="21" t="n"/>
      <c r="M59" s="18" t="n"/>
      <c r="N59" s="18" t="n"/>
      <c r="O59" s="19" t="n"/>
      <c r="P59" s="19" t="n"/>
      <c r="Q59" s="19" t="n"/>
      <c r="R59" s="22">
        <f>IF($B59="","",MID(IF($G59="","／登録番号なし（仕入明細書にならない）",IF(AND(LEN($G59)=14,LEFT($G59,1)="T",SUMPRODUCT(--ISNUMBER(--MID($G59,{2,3,4,5,6,7,8,9,10,11,12,13,14},1)))=13),"","／登録番号の形を確かめる"))&amp;IF(AND($H59="個人",$I59=""),"／源泉徴収の欄が空","")&amp;IF(AND($H59="法人",$I59="する"),"／法人に源泉する設定（原則は不要）","")&amp;IF(AND($K59="差し引く",N($L59)=0),"／差し引く額が空","")&amp;IF(AND($K59="差し引く",OR($M59&lt;&gt;"対象外",$N59&lt;&gt;"対象外")),"／手数料を差し引けない取引か確かめる","")&amp;IF(COUNTIF($B$5:$B$104,$B59)&gt;1,"／コードが重複",""),2,300))</f>
        <v/>
      </c>
    </row>
    <row r="60" ht="18" customHeight="1">
      <c r="A60" s="17" t="n">
        <v>56</v>
      </c>
      <c r="B60" s="18" t="n"/>
      <c r="C60" s="19" t="n"/>
      <c r="D60" s="18" t="n"/>
      <c r="E60" s="18" t="n"/>
      <c r="F60" s="19" t="n"/>
      <c r="G60" s="20" t="n"/>
      <c r="H60" s="18" t="n"/>
      <c r="I60" s="18" t="n"/>
      <c r="J60" s="18" t="n"/>
      <c r="K60" s="18" t="n"/>
      <c r="L60" s="21" t="n"/>
      <c r="M60" s="18" t="n"/>
      <c r="N60" s="18" t="n"/>
      <c r="O60" s="19" t="n"/>
      <c r="P60" s="19" t="n"/>
      <c r="Q60" s="19" t="n"/>
      <c r="R60" s="22">
        <f>IF($B60="","",MID(IF($G60="","／登録番号なし（仕入明細書にならない）",IF(AND(LEN($G60)=14,LEFT($G60,1)="T",SUMPRODUCT(--ISNUMBER(--MID($G60,{2,3,4,5,6,7,8,9,10,11,12,13,14},1)))=13),"","／登録番号の形を確かめる"))&amp;IF(AND($H60="個人",$I60=""),"／源泉徴収の欄が空","")&amp;IF(AND($H60="法人",$I60="する"),"／法人に源泉する設定（原則は不要）","")&amp;IF(AND($K60="差し引く",N($L60)=0),"／差し引く額が空","")&amp;IF(AND($K60="差し引く",OR($M60&lt;&gt;"対象外",$N60&lt;&gt;"対象外")),"／手数料を差し引けない取引か確かめる","")&amp;IF(COUNTIF($B$5:$B$104,$B60)&gt;1,"／コードが重複",""),2,300))</f>
        <v/>
      </c>
    </row>
    <row r="61" ht="18" customHeight="1">
      <c r="A61" s="17" t="n">
        <v>57</v>
      </c>
      <c r="B61" s="18" t="n"/>
      <c r="C61" s="19" t="n"/>
      <c r="D61" s="18" t="n"/>
      <c r="E61" s="18" t="n"/>
      <c r="F61" s="19" t="n"/>
      <c r="G61" s="20" t="n"/>
      <c r="H61" s="18" t="n"/>
      <c r="I61" s="18" t="n"/>
      <c r="J61" s="18" t="n"/>
      <c r="K61" s="18" t="n"/>
      <c r="L61" s="21" t="n"/>
      <c r="M61" s="18" t="n"/>
      <c r="N61" s="18" t="n"/>
      <c r="O61" s="19" t="n"/>
      <c r="P61" s="19" t="n"/>
      <c r="Q61" s="19" t="n"/>
      <c r="R61" s="22">
        <f>IF($B61="","",MID(IF($G61="","／登録番号なし（仕入明細書にならない）",IF(AND(LEN($G61)=14,LEFT($G61,1)="T",SUMPRODUCT(--ISNUMBER(--MID($G61,{2,3,4,5,6,7,8,9,10,11,12,13,14},1)))=13),"","／登録番号の形を確かめる"))&amp;IF(AND($H61="個人",$I61=""),"／源泉徴収の欄が空","")&amp;IF(AND($H61="法人",$I61="する"),"／法人に源泉する設定（原則は不要）","")&amp;IF(AND($K61="差し引く",N($L61)=0),"／差し引く額が空","")&amp;IF(AND($K61="差し引く",OR($M61&lt;&gt;"対象外",$N61&lt;&gt;"対象外")),"／手数料を差し引けない取引か確かめる","")&amp;IF(COUNTIF($B$5:$B$104,$B61)&gt;1,"／コードが重複",""),2,300))</f>
        <v/>
      </c>
    </row>
    <row r="62" ht="18" customHeight="1">
      <c r="A62" s="17" t="n">
        <v>58</v>
      </c>
      <c r="B62" s="18" t="n"/>
      <c r="C62" s="19" t="n"/>
      <c r="D62" s="18" t="n"/>
      <c r="E62" s="18" t="n"/>
      <c r="F62" s="19" t="n"/>
      <c r="G62" s="20" t="n"/>
      <c r="H62" s="18" t="n"/>
      <c r="I62" s="18" t="n"/>
      <c r="J62" s="18" t="n"/>
      <c r="K62" s="18" t="n"/>
      <c r="L62" s="21" t="n"/>
      <c r="M62" s="18" t="n"/>
      <c r="N62" s="18" t="n"/>
      <c r="O62" s="19" t="n"/>
      <c r="P62" s="19" t="n"/>
      <c r="Q62" s="19" t="n"/>
      <c r="R62" s="22">
        <f>IF($B62="","",MID(IF($G62="","／登録番号なし（仕入明細書にならない）",IF(AND(LEN($G62)=14,LEFT($G62,1)="T",SUMPRODUCT(--ISNUMBER(--MID($G62,{2,3,4,5,6,7,8,9,10,11,12,13,14},1)))=13),"","／登録番号の形を確かめる"))&amp;IF(AND($H62="個人",$I62=""),"／源泉徴収の欄が空","")&amp;IF(AND($H62="法人",$I62="する"),"／法人に源泉する設定（原則は不要）","")&amp;IF(AND($K62="差し引く",N($L62)=0),"／差し引く額が空","")&amp;IF(AND($K62="差し引く",OR($M62&lt;&gt;"対象外",$N62&lt;&gt;"対象外")),"／手数料を差し引けない取引か確かめる","")&amp;IF(COUNTIF($B$5:$B$104,$B62)&gt;1,"／コードが重複",""),2,300))</f>
        <v/>
      </c>
    </row>
    <row r="63" ht="18" customHeight="1">
      <c r="A63" s="17" t="n">
        <v>59</v>
      </c>
      <c r="B63" s="18" t="n"/>
      <c r="C63" s="19" t="n"/>
      <c r="D63" s="18" t="n"/>
      <c r="E63" s="18" t="n"/>
      <c r="F63" s="19" t="n"/>
      <c r="G63" s="20" t="n"/>
      <c r="H63" s="18" t="n"/>
      <c r="I63" s="18" t="n"/>
      <c r="J63" s="18" t="n"/>
      <c r="K63" s="18" t="n"/>
      <c r="L63" s="21" t="n"/>
      <c r="M63" s="18" t="n"/>
      <c r="N63" s="18" t="n"/>
      <c r="O63" s="19" t="n"/>
      <c r="P63" s="19" t="n"/>
      <c r="Q63" s="19" t="n"/>
      <c r="R63" s="22">
        <f>IF($B63="","",MID(IF($G63="","／登録番号なし（仕入明細書にならない）",IF(AND(LEN($G63)=14,LEFT($G63,1)="T",SUMPRODUCT(--ISNUMBER(--MID($G63,{2,3,4,5,6,7,8,9,10,11,12,13,14},1)))=13),"","／登録番号の形を確かめる"))&amp;IF(AND($H63="個人",$I63=""),"／源泉徴収の欄が空","")&amp;IF(AND($H63="法人",$I63="する"),"／法人に源泉する設定（原則は不要）","")&amp;IF(AND($K63="差し引く",N($L63)=0),"／差し引く額が空","")&amp;IF(AND($K63="差し引く",OR($M63&lt;&gt;"対象外",$N63&lt;&gt;"対象外")),"／手数料を差し引けない取引か確かめる","")&amp;IF(COUNTIF($B$5:$B$104,$B63)&gt;1,"／コードが重複",""),2,300))</f>
        <v/>
      </c>
    </row>
    <row r="64" ht="18" customHeight="1">
      <c r="A64" s="17" t="n">
        <v>60</v>
      </c>
      <c r="B64" s="18" t="n"/>
      <c r="C64" s="19" t="n"/>
      <c r="D64" s="18" t="n"/>
      <c r="E64" s="18" t="n"/>
      <c r="F64" s="19" t="n"/>
      <c r="G64" s="20" t="n"/>
      <c r="H64" s="18" t="n"/>
      <c r="I64" s="18" t="n"/>
      <c r="J64" s="18" t="n"/>
      <c r="K64" s="18" t="n"/>
      <c r="L64" s="21" t="n"/>
      <c r="M64" s="18" t="n"/>
      <c r="N64" s="18" t="n"/>
      <c r="O64" s="19" t="n"/>
      <c r="P64" s="19" t="n"/>
      <c r="Q64" s="19" t="n"/>
      <c r="R64" s="22">
        <f>IF($B64="","",MID(IF($G64="","／登録番号なし（仕入明細書にならない）",IF(AND(LEN($G64)=14,LEFT($G64,1)="T",SUMPRODUCT(--ISNUMBER(--MID($G64,{2,3,4,5,6,7,8,9,10,11,12,13,14},1)))=13),"","／登録番号の形を確かめる"))&amp;IF(AND($H64="個人",$I64=""),"／源泉徴収の欄が空","")&amp;IF(AND($H64="法人",$I64="する"),"／法人に源泉する設定（原則は不要）","")&amp;IF(AND($K64="差し引く",N($L64)=0),"／差し引く額が空","")&amp;IF(AND($K64="差し引く",OR($M64&lt;&gt;"対象外",$N64&lt;&gt;"対象外")),"／手数料を差し引けない取引か確かめる","")&amp;IF(COUNTIF($B$5:$B$104,$B64)&gt;1,"／コードが重複",""),2,300))</f>
        <v/>
      </c>
    </row>
    <row r="65" ht="18" customHeight="1">
      <c r="A65" s="17" t="n">
        <v>61</v>
      </c>
      <c r="B65" s="18" t="n"/>
      <c r="C65" s="19" t="n"/>
      <c r="D65" s="18" t="n"/>
      <c r="E65" s="18" t="n"/>
      <c r="F65" s="19" t="n"/>
      <c r="G65" s="20" t="n"/>
      <c r="H65" s="18" t="n"/>
      <c r="I65" s="18" t="n"/>
      <c r="J65" s="18" t="n"/>
      <c r="K65" s="18" t="n"/>
      <c r="L65" s="21" t="n"/>
      <c r="M65" s="18" t="n"/>
      <c r="N65" s="18" t="n"/>
      <c r="O65" s="19" t="n"/>
      <c r="P65" s="19" t="n"/>
      <c r="Q65" s="19" t="n"/>
      <c r="R65" s="22">
        <f>IF($B65="","",MID(IF($G65="","／登録番号なし（仕入明細書にならない）",IF(AND(LEN($G65)=14,LEFT($G65,1)="T",SUMPRODUCT(--ISNUMBER(--MID($G65,{2,3,4,5,6,7,8,9,10,11,12,13,14},1)))=13),"","／登録番号の形を確かめる"))&amp;IF(AND($H65="個人",$I65=""),"／源泉徴収の欄が空","")&amp;IF(AND($H65="法人",$I65="する"),"／法人に源泉する設定（原則は不要）","")&amp;IF(AND($K65="差し引く",N($L65)=0),"／差し引く額が空","")&amp;IF(AND($K65="差し引く",OR($M65&lt;&gt;"対象外",$N65&lt;&gt;"対象外")),"／手数料を差し引けない取引か確かめる","")&amp;IF(COUNTIF($B$5:$B$104,$B65)&gt;1,"／コードが重複",""),2,300))</f>
        <v/>
      </c>
    </row>
    <row r="66" ht="18" customHeight="1">
      <c r="A66" s="17" t="n">
        <v>62</v>
      </c>
      <c r="B66" s="18" t="n"/>
      <c r="C66" s="19" t="n"/>
      <c r="D66" s="18" t="n"/>
      <c r="E66" s="18" t="n"/>
      <c r="F66" s="19" t="n"/>
      <c r="G66" s="20" t="n"/>
      <c r="H66" s="18" t="n"/>
      <c r="I66" s="18" t="n"/>
      <c r="J66" s="18" t="n"/>
      <c r="K66" s="18" t="n"/>
      <c r="L66" s="21" t="n"/>
      <c r="M66" s="18" t="n"/>
      <c r="N66" s="18" t="n"/>
      <c r="O66" s="19" t="n"/>
      <c r="P66" s="19" t="n"/>
      <c r="Q66" s="19" t="n"/>
      <c r="R66" s="22">
        <f>IF($B66="","",MID(IF($G66="","／登録番号なし（仕入明細書にならない）",IF(AND(LEN($G66)=14,LEFT($G66,1)="T",SUMPRODUCT(--ISNUMBER(--MID($G66,{2,3,4,5,6,7,8,9,10,11,12,13,14},1)))=13),"","／登録番号の形を確かめる"))&amp;IF(AND($H66="個人",$I66=""),"／源泉徴収の欄が空","")&amp;IF(AND($H66="法人",$I66="する"),"／法人に源泉する設定（原則は不要）","")&amp;IF(AND($K66="差し引く",N($L66)=0),"／差し引く額が空","")&amp;IF(AND($K66="差し引く",OR($M66&lt;&gt;"対象外",$N66&lt;&gt;"対象外")),"／手数料を差し引けない取引か確かめる","")&amp;IF(COUNTIF($B$5:$B$104,$B66)&gt;1,"／コードが重複",""),2,300))</f>
        <v/>
      </c>
    </row>
    <row r="67" ht="18" customHeight="1">
      <c r="A67" s="17" t="n">
        <v>63</v>
      </c>
      <c r="B67" s="18" t="n"/>
      <c r="C67" s="19" t="n"/>
      <c r="D67" s="18" t="n"/>
      <c r="E67" s="18" t="n"/>
      <c r="F67" s="19" t="n"/>
      <c r="G67" s="20" t="n"/>
      <c r="H67" s="18" t="n"/>
      <c r="I67" s="18" t="n"/>
      <c r="J67" s="18" t="n"/>
      <c r="K67" s="18" t="n"/>
      <c r="L67" s="21" t="n"/>
      <c r="M67" s="18" t="n"/>
      <c r="N67" s="18" t="n"/>
      <c r="O67" s="19" t="n"/>
      <c r="P67" s="19" t="n"/>
      <c r="Q67" s="19" t="n"/>
      <c r="R67" s="22">
        <f>IF($B67="","",MID(IF($G67="","／登録番号なし（仕入明細書にならない）",IF(AND(LEN($G67)=14,LEFT($G67,1)="T",SUMPRODUCT(--ISNUMBER(--MID($G67,{2,3,4,5,6,7,8,9,10,11,12,13,14},1)))=13),"","／登録番号の形を確かめる"))&amp;IF(AND($H67="個人",$I67=""),"／源泉徴収の欄が空","")&amp;IF(AND($H67="法人",$I67="する"),"／法人に源泉する設定（原則は不要）","")&amp;IF(AND($K67="差し引く",N($L67)=0),"／差し引く額が空","")&amp;IF(AND($K67="差し引く",OR($M67&lt;&gt;"対象外",$N67&lt;&gt;"対象外")),"／手数料を差し引けない取引か確かめる","")&amp;IF(COUNTIF($B$5:$B$104,$B67)&gt;1,"／コードが重複",""),2,300))</f>
        <v/>
      </c>
    </row>
    <row r="68" ht="18" customHeight="1">
      <c r="A68" s="17" t="n">
        <v>64</v>
      </c>
      <c r="B68" s="18" t="n"/>
      <c r="C68" s="19" t="n"/>
      <c r="D68" s="18" t="n"/>
      <c r="E68" s="18" t="n"/>
      <c r="F68" s="19" t="n"/>
      <c r="G68" s="20" t="n"/>
      <c r="H68" s="18" t="n"/>
      <c r="I68" s="18" t="n"/>
      <c r="J68" s="18" t="n"/>
      <c r="K68" s="18" t="n"/>
      <c r="L68" s="21" t="n"/>
      <c r="M68" s="18" t="n"/>
      <c r="N68" s="18" t="n"/>
      <c r="O68" s="19" t="n"/>
      <c r="P68" s="19" t="n"/>
      <c r="Q68" s="19" t="n"/>
      <c r="R68" s="22">
        <f>IF($B68="","",MID(IF($G68="","／登録番号なし（仕入明細書にならない）",IF(AND(LEN($G68)=14,LEFT($G68,1)="T",SUMPRODUCT(--ISNUMBER(--MID($G68,{2,3,4,5,6,7,8,9,10,11,12,13,14},1)))=13),"","／登録番号の形を確かめる"))&amp;IF(AND($H68="個人",$I68=""),"／源泉徴収の欄が空","")&amp;IF(AND($H68="法人",$I68="する"),"／法人に源泉する設定（原則は不要）","")&amp;IF(AND($K68="差し引く",N($L68)=0),"／差し引く額が空","")&amp;IF(AND($K68="差し引く",OR($M68&lt;&gt;"対象外",$N68&lt;&gt;"対象外")),"／手数料を差し引けない取引か確かめる","")&amp;IF(COUNTIF($B$5:$B$104,$B68)&gt;1,"／コードが重複",""),2,300))</f>
        <v/>
      </c>
    </row>
    <row r="69" ht="18" customHeight="1">
      <c r="A69" s="17" t="n">
        <v>65</v>
      </c>
      <c r="B69" s="18" t="n"/>
      <c r="C69" s="19" t="n"/>
      <c r="D69" s="18" t="n"/>
      <c r="E69" s="18" t="n"/>
      <c r="F69" s="19" t="n"/>
      <c r="G69" s="20" t="n"/>
      <c r="H69" s="18" t="n"/>
      <c r="I69" s="18" t="n"/>
      <c r="J69" s="18" t="n"/>
      <c r="K69" s="18" t="n"/>
      <c r="L69" s="21" t="n"/>
      <c r="M69" s="18" t="n"/>
      <c r="N69" s="18" t="n"/>
      <c r="O69" s="19" t="n"/>
      <c r="P69" s="19" t="n"/>
      <c r="Q69" s="19" t="n"/>
      <c r="R69" s="22">
        <f>IF($B69="","",MID(IF($G69="","／登録番号なし（仕入明細書にならない）",IF(AND(LEN($G69)=14,LEFT($G69,1)="T",SUMPRODUCT(--ISNUMBER(--MID($G69,{2,3,4,5,6,7,8,9,10,11,12,13,14},1)))=13),"","／登録番号の形を確かめる"))&amp;IF(AND($H69="個人",$I69=""),"／源泉徴収の欄が空","")&amp;IF(AND($H69="法人",$I69="する"),"／法人に源泉する設定（原則は不要）","")&amp;IF(AND($K69="差し引く",N($L69)=0),"／差し引く額が空","")&amp;IF(AND($K69="差し引く",OR($M69&lt;&gt;"対象外",$N69&lt;&gt;"対象外")),"／手数料を差し引けない取引か確かめる","")&amp;IF(COUNTIF($B$5:$B$104,$B69)&gt;1,"／コードが重複",""),2,300))</f>
        <v/>
      </c>
    </row>
    <row r="70" ht="18" customHeight="1">
      <c r="A70" s="17" t="n">
        <v>66</v>
      </c>
      <c r="B70" s="18" t="n"/>
      <c r="C70" s="19" t="n"/>
      <c r="D70" s="18" t="n"/>
      <c r="E70" s="18" t="n"/>
      <c r="F70" s="19" t="n"/>
      <c r="G70" s="20" t="n"/>
      <c r="H70" s="18" t="n"/>
      <c r="I70" s="18" t="n"/>
      <c r="J70" s="18" t="n"/>
      <c r="K70" s="18" t="n"/>
      <c r="L70" s="21" t="n"/>
      <c r="M70" s="18" t="n"/>
      <c r="N70" s="18" t="n"/>
      <c r="O70" s="19" t="n"/>
      <c r="P70" s="19" t="n"/>
      <c r="Q70" s="19" t="n"/>
      <c r="R70" s="22">
        <f>IF($B70="","",MID(IF($G70="","／登録番号なし（仕入明細書にならない）",IF(AND(LEN($G70)=14,LEFT($G70,1)="T",SUMPRODUCT(--ISNUMBER(--MID($G70,{2,3,4,5,6,7,8,9,10,11,12,13,14},1)))=13),"","／登録番号の形を確かめる"))&amp;IF(AND($H70="個人",$I70=""),"／源泉徴収の欄が空","")&amp;IF(AND($H70="法人",$I70="する"),"／法人に源泉する設定（原則は不要）","")&amp;IF(AND($K70="差し引く",N($L70)=0),"／差し引く額が空","")&amp;IF(AND($K70="差し引く",OR($M70&lt;&gt;"対象外",$N70&lt;&gt;"対象外")),"／手数料を差し引けない取引か確かめる","")&amp;IF(COUNTIF($B$5:$B$104,$B70)&gt;1,"／コードが重複",""),2,300))</f>
        <v/>
      </c>
    </row>
    <row r="71" ht="18" customHeight="1">
      <c r="A71" s="17" t="n">
        <v>67</v>
      </c>
      <c r="B71" s="18" t="n"/>
      <c r="C71" s="19" t="n"/>
      <c r="D71" s="18" t="n"/>
      <c r="E71" s="18" t="n"/>
      <c r="F71" s="19" t="n"/>
      <c r="G71" s="20" t="n"/>
      <c r="H71" s="18" t="n"/>
      <c r="I71" s="18" t="n"/>
      <c r="J71" s="18" t="n"/>
      <c r="K71" s="18" t="n"/>
      <c r="L71" s="21" t="n"/>
      <c r="M71" s="18" t="n"/>
      <c r="N71" s="18" t="n"/>
      <c r="O71" s="19" t="n"/>
      <c r="P71" s="19" t="n"/>
      <c r="Q71" s="19" t="n"/>
      <c r="R71" s="22">
        <f>IF($B71="","",MID(IF($G71="","／登録番号なし（仕入明細書にならない）",IF(AND(LEN($G71)=14,LEFT($G71,1)="T",SUMPRODUCT(--ISNUMBER(--MID($G71,{2,3,4,5,6,7,8,9,10,11,12,13,14},1)))=13),"","／登録番号の形を確かめる"))&amp;IF(AND($H71="個人",$I71=""),"／源泉徴収の欄が空","")&amp;IF(AND($H71="法人",$I71="する"),"／法人に源泉する設定（原則は不要）","")&amp;IF(AND($K71="差し引く",N($L71)=0),"／差し引く額が空","")&amp;IF(AND($K71="差し引く",OR($M71&lt;&gt;"対象外",$N71&lt;&gt;"対象外")),"／手数料を差し引けない取引か確かめる","")&amp;IF(COUNTIF($B$5:$B$104,$B71)&gt;1,"／コードが重複",""),2,300))</f>
        <v/>
      </c>
    </row>
    <row r="72" ht="18" customHeight="1">
      <c r="A72" s="17" t="n">
        <v>68</v>
      </c>
      <c r="B72" s="18" t="n"/>
      <c r="C72" s="19" t="n"/>
      <c r="D72" s="18" t="n"/>
      <c r="E72" s="18" t="n"/>
      <c r="F72" s="19" t="n"/>
      <c r="G72" s="20" t="n"/>
      <c r="H72" s="18" t="n"/>
      <c r="I72" s="18" t="n"/>
      <c r="J72" s="18" t="n"/>
      <c r="K72" s="18" t="n"/>
      <c r="L72" s="21" t="n"/>
      <c r="M72" s="18" t="n"/>
      <c r="N72" s="18" t="n"/>
      <c r="O72" s="19" t="n"/>
      <c r="P72" s="19" t="n"/>
      <c r="Q72" s="19" t="n"/>
      <c r="R72" s="22">
        <f>IF($B72="","",MID(IF($G72="","／登録番号なし（仕入明細書にならない）",IF(AND(LEN($G72)=14,LEFT($G72,1)="T",SUMPRODUCT(--ISNUMBER(--MID($G72,{2,3,4,5,6,7,8,9,10,11,12,13,14},1)))=13),"","／登録番号の形を確かめる"))&amp;IF(AND($H72="個人",$I72=""),"／源泉徴収の欄が空","")&amp;IF(AND($H72="法人",$I72="する"),"／法人に源泉する設定（原則は不要）","")&amp;IF(AND($K72="差し引く",N($L72)=0),"／差し引く額が空","")&amp;IF(AND($K72="差し引く",OR($M72&lt;&gt;"対象外",$N72&lt;&gt;"対象外")),"／手数料を差し引けない取引か確かめる","")&amp;IF(COUNTIF($B$5:$B$104,$B72)&gt;1,"／コードが重複",""),2,300))</f>
        <v/>
      </c>
    </row>
    <row r="73" ht="18" customHeight="1">
      <c r="A73" s="17" t="n">
        <v>69</v>
      </c>
      <c r="B73" s="18" t="n"/>
      <c r="C73" s="19" t="n"/>
      <c r="D73" s="18" t="n"/>
      <c r="E73" s="18" t="n"/>
      <c r="F73" s="19" t="n"/>
      <c r="G73" s="20" t="n"/>
      <c r="H73" s="18" t="n"/>
      <c r="I73" s="18" t="n"/>
      <c r="J73" s="18" t="n"/>
      <c r="K73" s="18" t="n"/>
      <c r="L73" s="21" t="n"/>
      <c r="M73" s="18" t="n"/>
      <c r="N73" s="18" t="n"/>
      <c r="O73" s="19" t="n"/>
      <c r="P73" s="19" t="n"/>
      <c r="Q73" s="19" t="n"/>
      <c r="R73" s="22">
        <f>IF($B73="","",MID(IF($G73="","／登録番号なし（仕入明細書にならない）",IF(AND(LEN($G73)=14,LEFT($G73,1)="T",SUMPRODUCT(--ISNUMBER(--MID($G73,{2,3,4,5,6,7,8,9,10,11,12,13,14},1)))=13),"","／登録番号の形を確かめる"))&amp;IF(AND($H73="個人",$I73=""),"／源泉徴収の欄が空","")&amp;IF(AND($H73="法人",$I73="する"),"／法人に源泉する設定（原則は不要）","")&amp;IF(AND($K73="差し引く",N($L73)=0),"／差し引く額が空","")&amp;IF(AND($K73="差し引く",OR($M73&lt;&gt;"対象外",$N73&lt;&gt;"対象外")),"／手数料を差し引けない取引か確かめる","")&amp;IF(COUNTIF($B$5:$B$104,$B73)&gt;1,"／コードが重複",""),2,300))</f>
        <v/>
      </c>
    </row>
    <row r="74" ht="18" customHeight="1">
      <c r="A74" s="17" t="n">
        <v>70</v>
      </c>
      <c r="B74" s="18" t="n"/>
      <c r="C74" s="19" t="n"/>
      <c r="D74" s="18" t="n"/>
      <c r="E74" s="18" t="n"/>
      <c r="F74" s="19" t="n"/>
      <c r="G74" s="20" t="n"/>
      <c r="H74" s="18" t="n"/>
      <c r="I74" s="18" t="n"/>
      <c r="J74" s="18" t="n"/>
      <c r="K74" s="18" t="n"/>
      <c r="L74" s="21" t="n"/>
      <c r="M74" s="18" t="n"/>
      <c r="N74" s="18" t="n"/>
      <c r="O74" s="19" t="n"/>
      <c r="P74" s="19" t="n"/>
      <c r="Q74" s="19" t="n"/>
      <c r="R74" s="22">
        <f>IF($B74="","",MID(IF($G74="","／登録番号なし（仕入明細書にならない）",IF(AND(LEN($G74)=14,LEFT($G74,1)="T",SUMPRODUCT(--ISNUMBER(--MID($G74,{2,3,4,5,6,7,8,9,10,11,12,13,14},1)))=13),"","／登録番号の形を確かめる"))&amp;IF(AND($H74="個人",$I74=""),"／源泉徴収の欄が空","")&amp;IF(AND($H74="法人",$I74="する"),"／法人に源泉する設定（原則は不要）","")&amp;IF(AND($K74="差し引く",N($L74)=0),"／差し引く額が空","")&amp;IF(AND($K74="差し引く",OR($M74&lt;&gt;"対象外",$N74&lt;&gt;"対象外")),"／手数料を差し引けない取引か確かめる","")&amp;IF(COUNTIF($B$5:$B$104,$B74)&gt;1,"／コードが重複",""),2,300))</f>
        <v/>
      </c>
    </row>
    <row r="75" ht="18" customHeight="1">
      <c r="A75" s="17" t="n">
        <v>71</v>
      </c>
      <c r="B75" s="18" t="n"/>
      <c r="C75" s="19" t="n"/>
      <c r="D75" s="18" t="n"/>
      <c r="E75" s="18" t="n"/>
      <c r="F75" s="19" t="n"/>
      <c r="G75" s="20" t="n"/>
      <c r="H75" s="18" t="n"/>
      <c r="I75" s="18" t="n"/>
      <c r="J75" s="18" t="n"/>
      <c r="K75" s="18" t="n"/>
      <c r="L75" s="21" t="n"/>
      <c r="M75" s="18" t="n"/>
      <c r="N75" s="18" t="n"/>
      <c r="O75" s="19" t="n"/>
      <c r="P75" s="19" t="n"/>
      <c r="Q75" s="19" t="n"/>
      <c r="R75" s="22">
        <f>IF($B75="","",MID(IF($G75="","／登録番号なし（仕入明細書にならない）",IF(AND(LEN($G75)=14,LEFT($G75,1)="T",SUMPRODUCT(--ISNUMBER(--MID($G75,{2,3,4,5,6,7,8,9,10,11,12,13,14},1)))=13),"","／登録番号の形を確かめる"))&amp;IF(AND($H75="個人",$I75=""),"／源泉徴収の欄が空","")&amp;IF(AND($H75="法人",$I75="する"),"／法人に源泉する設定（原則は不要）","")&amp;IF(AND($K75="差し引く",N($L75)=0),"／差し引く額が空","")&amp;IF(AND($K75="差し引く",OR($M75&lt;&gt;"対象外",$N75&lt;&gt;"対象外")),"／手数料を差し引けない取引か確かめる","")&amp;IF(COUNTIF($B$5:$B$104,$B75)&gt;1,"／コードが重複",""),2,300))</f>
        <v/>
      </c>
    </row>
    <row r="76" ht="18" customHeight="1">
      <c r="A76" s="17" t="n">
        <v>72</v>
      </c>
      <c r="B76" s="18" t="n"/>
      <c r="C76" s="19" t="n"/>
      <c r="D76" s="18" t="n"/>
      <c r="E76" s="18" t="n"/>
      <c r="F76" s="19" t="n"/>
      <c r="G76" s="20" t="n"/>
      <c r="H76" s="18" t="n"/>
      <c r="I76" s="18" t="n"/>
      <c r="J76" s="18" t="n"/>
      <c r="K76" s="18" t="n"/>
      <c r="L76" s="21" t="n"/>
      <c r="M76" s="18" t="n"/>
      <c r="N76" s="18" t="n"/>
      <c r="O76" s="19" t="n"/>
      <c r="P76" s="19" t="n"/>
      <c r="Q76" s="19" t="n"/>
      <c r="R76" s="22">
        <f>IF($B76="","",MID(IF($G76="","／登録番号なし（仕入明細書にならない）",IF(AND(LEN($G76)=14,LEFT($G76,1)="T",SUMPRODUCT(--ISNUMBER(--MID($G76,{2,3,4,5,6,7,8,9,10,11,12,13,14},1)))=13),"","／登録番号の形を確かめる"))&amp;IF(AND($H76="個人",$I76=""),"／源泉徴収の欄が空","")&amp;IF(AND($H76="法人",$I76="する"),"／法人に源泉する設定（原則は不要）","")&amp;IF(AND($K76="差し引く",N($L76)=0),"／差し引く額が空","")&amp;IF(AND($K76="差し引く",OR($M76&lt;&gt;"対象外",$N76&lt;&gt;"対象外")),"／手数料を差し引けない取引か確かめる","")&amp;IF(COUNTIF($B$5:$B$104,$B76)&gt;1,"／コードが重複",""),2,300))</f>
        <v/>
      </c>
    </row>
    <row r="77" ht="18" customHeight="1">
      <c r="A77" s="17" t="n">
        <v>73</v>
      </c>
      <c r="B77" s="18" t="n"/>
      <c r="C77" s="19" t="n"/>
      <c r="D77" s="18" t="n"/>
      <c r="E77" s="18" t="n"/>
      <c r="F77" s="19" t="n"/>
      <c r="G77" s="20" t="n"/>
      <c r="H77" s="18" t="n"/>
      <c r="I77" s="18" t="n"/>
      <c r="J77" s="18" t="n"/>
      <c r="K77" s="18" t="n"/>
      <c r="L77" s="21" t="n"/>
      <c r="M77" s="18" t="n"/>
      <c r="N77" s="18" t="n"/>
      <c r="O77" s="19" t="n"/>
      <c r="P77" s="19" t="n"/>
      <c r="Q77" s="19" t="n"/>
      <c r="R77" s="22">
        <f>IF($B77="","",MID(IF($G77="","／登録番号なし（仕入明細書にならない）",IF(AND(LEN($G77)=14,LEFT($G77,1)="T",SUMPRODUCT(--ISNUMBER(--MID($G77,{2,3,4,5,6,7,8,9,10,11,12,13,14},1)))=13),"","／登録番号の形を確かめる"))&amp;IF(AND($H77="個人",$I77=""),"／源泉徴収の欄が空","")&amp;IF(AND($H77="法人",$I77="する"),"／法人に源泉する設定（原則は不要）","")&amp;IF(AND($K77="差し引く",N($L77)=0),"／差し引く額が空","")&amp;IF(AND($K77="差し引く",OR($M77&lt;&gt;"対象外",$N77&lt;&gt;"対象外")),"／手数料を差し引けない取引か確かめる","")&amp;IF(COUNTIF($B$5:$B$104,$B77)&gt;1,"／コードが重複",""),2,300))</f>
        <v/>
      </c>
    </row>
    <row r="78" ht="18" customHeight="1">
      <c r="A78" s="17" t="n">
        <v>74</v>
      </c>
      <c r="B78" s="18" t="n"/>
      <c r="C78" s="19" t="n"/>
      <c r="D78" s="18" t="n"/>
      <c r="E78" s="18" t="n"/>
      <c r="F78" s="19" t="n"/>
      <c r="G78" s="20" t="n"/>
      <c r="H78" s="18" t="n"/>
      <c r="I78" s="18" t="n"/>
      <c r="J78" s="18" t="n"/>
      <c r="K78" s="18" t="n"/>
      <c r="L78" s="21" t="n"/>
      <c r="M78" s="18" t="n"/>
      <c r="N78" s="18" t="n"/>
      <c r="O78" s="19" t="n"/>
      <c r="P78" s="19" t="n"/>
      <c r="Q78" s="19" t="n"/>
      <c r="R78" s="22">
        <f>IF($B78="","",MID(IF($G78="","／登録番号なし（仕入明細書にならない）",IF(AND(LEN($G78)=14,LEFT($G78,1)="T",SUMPRODUCT(--ISNUMBER(--MID($G78,{2,3,4,5,6,7,8,9,10,11,12,13,14},1)))=13),"","／登録番号の形を確かめる"))&amp;IF(AND($H78="個人",$I78=""),"／源泉徴収の欄が空","")&amp;IF(AND($H78="法人",$I78="する"),"／法人に源泉する設定（原則は不要）","")&amp;IF(AND($K78="差し引く",N($L78)=0),"／差し引く額が空","")&amp;IF(AND($K78="差し引く",OR($M78&lt;&gt;"対象外",$N78&lt;&gt;"対象外")),"／手数料を差し引けない取引か確かめる","")&amp;IF(COUNTIF($B$5:$B$104,$B78)&gt;1,"／コードが重複",""),2,300))</f>
        <v/>
      </c>
    </row>
    <row r="79" ht="18" customHeight="1">
      <c r="A79" s="17" t="n">
        <v>75</v>
      </c>
      <c r="B79" s="18" t="n"/>
      <c r="C79" s="19" t="n"/>
      <c r="D79" s="18" t="n"/>
      <c r="E79" s="18" t="n"/>
      <c r="F79" s="19" t="n"/>
      <c r="G79" s="20" t="n"/>
      <c r="H79" s="18" t="n"/>
      <c r="I79" s="18" t="n"/>
      <c r="J79" s="18" t="n"/>
      <c r="K79" s="18" t="n"/>
      <c r="L79" s="21" t="n"/>
      <c r="M79" s="18" t="n"/>
      <c r="N79" s="18" t="n"/>
      <c r="O79" s="19" t="n"/>
      <c r="P79" s="19" t="n"/>
      <c r="Q79" s="19" t="n"/>
      <c r="R79" s="22">
        <f>IF($B79="","",MID(IF($G79="","／登録番号なし（仕入明細書にならない）",IF(AND(LEN($G79)=14,LEFT($G79,1)="T",SUMPRODUCT(--ISNUMBER(--MID($G79,{2,3,4,5,6,7,8,9,10,11,12,13,14},1)))=13),"","／登録番号の形を確かめる"))&amp;IF(AND($H79="個人",$I79=""),"／源泉徴収の欄が空","")&amp;IF(AND($H79="法人",$I79="する"),"／法人に源泉する設定（原則は不要）","")&amp;IF(AND($K79="差し引く",N($L79)=0),"／差し引く額が空","")&amp;IF(AND($K79="差し引く",OR($M79&lt;&gt;"対象外",$N79&lt;&gt;"対象外")),"／手数料を差し引けない取引か確かめる","")&amp;IF(COUNTIF($B$5:$B$104,$B79)&gt;1,"／コードが重複",""),2,300))</f>
        <v/>
      </c>
    </row>
    <row r="80" ht="18" customHeight="1">
      <c r="A80" s="17" t="n">
        <v>76</v>
      </c>
      <c r="B80" s="18" t="n"/>
      <c r="C80" s="19" t="n"/>
      <c r="D80" s="18" t="n"/>
      <c r="E80" s="18" t="n"/>
      <c r="F80" s="19" t="n"/>
      <c r="G80" s="20" t="n"/>
      <c r="H80" s="18" t="n"/>
      <c r="I80" s="18" t="n"/>
      <c r="J80" s="18" t="n"/>
      <c r="K80" s="18" t="n"/>
      <c r="L80" s="21" t="n"/>
      <c r="M80" s="18" t="n"/>
      <c r="N80" s="18" t="n"/>
      <c r="O80" s="19" t="n"/>
      <c r="P80" s="19" t="n"/>
      <c r="Q80" s="19" t="n"/>
      <c r="R80" s="22">
        <f>IF($B80="","",MID(IF($G80="","／登録番号なし（仕入明細書にならない）",IF(AND(LEN($G80)=14,LEFT($G80,1)="T",SUMPRODUCT(--ISNUMBER(--MID($G80,{2,3,4,5,6,7,8,9,10,11,12,13,14},1)))=13),"","／登録番号の形を確かめる"))&amp;IF(AND($H80="個人",$I80=""),"／源泉徴収の欄が空","")&amp;IF(AND($H80="法人",$I80="する"),"／法人に源泉する設定（原則は不要）","")&amp;IF(AND($K80="差し引く",N($L80)=0),"／差し引く額が空","")&amp;IF(AND($K80="差し引く",OR($M80&lt;&gt;"対象外",$N80&lt;&gt;"対象外")),"／手数料を差し引けない取引か確かめる","")&amp;IF(COUNTIF($B$5:$B$104,$B80)&gt;1,"／コードが重複",""),2,300))</f>
        <v/>
      </c>
    </row>
    <row r="81" ht="18" customHeight="1">
      <c r="A81" s="17" t="n">
        <v>77</v>
      </c>
      <c r="B81" s="18" t="n"/>
      <c r="C81" s="19" t="n"/>
      <c r="D81" s="18" t="n"/>
      <c r="E81" s="18" t="n"/>
      <c r="F81" s="19" t="n"/>
      <c r="G81" s="20" t="n"/>
      <c r="H81" s="18" t="n"/>
      <c r="I81" s="18" t="n"/>
      <c r="J81" s="18" t="n"/>
      <c r="K81" s="18" t="n"/>
      <c r="L81" s="21" t="n"/>
      <c r="M81" s="18" t="n"/>
      <c r="N81" s="18" t="n"/>
      <c r="O81" s="19" t="n"/>
      <c r="P81" s="19" t="n"/>
      <c r="Q81" s="19" t="n"/>
      <c r="R81" s="22">
        <f>IF($B81="","",MID(IF($G81="","／登録番号なし（仕入明細書にならない）",IF(AND(LEN($G81)=14,LEFT($G81,1)="T",SUMPRODUCT(--ISNUMBER(--MID($G81,{2,3,4,5,6,7,8,9,10,11,12,13,14},1)))=13),"","／登録番号の形を確かめる"))&amp;IF(AND($H81="個人",$I81=""),"／源泉徴収の欄が空","")&amp;IF(AND($H81="法人",$I81="する"),"／法人に源泉する設定（原則は不要）","")&amp;IF(AND($K81="差し引く",N($L81)=0),"／差し引く額が空","")&amp;IF(AND($K81="差し引く",OR($M81&lt;&gt;"対象外",$N81&lt;&gt;"対象外")),"／手数料を差し引けない取引か確かめる","")&amp;IF(COUNTIF($B$5:$B$104,$B81)&gt;1,"／コードが重複",""),2,300))</f>
        <v/>
      </c>
    </row>
    <row r="82" ht="18" customHeight="1">
      <c r="A82" s="17" t="n">
        <v>78</v>
      </c>
      <c r="B82" s="18" t="n"/>
      <c r="C82" s="19" t="n"/>
      <c r="D82" s="18" t="n"/>
      <c r="E82" s="18" t="n"/>
      <c r="F82" s="19" t="n"/>
      <c r="G82" s="20" t="n"/>
      <c r="H82" s="18" t="n"/>
      <c r="I82" s="18" t="n"/>
      <c r="J82" s="18" t="n"/>
      <c r="K82" s="18" t="n"/>
      <c r="L82" s="21" t="n"/>
      <c r="M82" s="18" t="n"/>
      <c r="N82" s="18" t="n"/>
      <c r="O82" s="19" t="n"/>
      <c r="P82" s="19" t="n"/>
      <c r="Q82" s="19" t="n"/>
      <c r="R82" s="22">
        <f>IF($B82="","",MID(IF($G82="","／登録番号なし（仕入明細書にならない）",IF(AND(LEN($G82)=14,LEFT($G82,1)="T",SUMPRODUCT(--ISNUMBER(--MID($G82,{2,3,4,5,6,7,8,9,10,11,12,13,14},1)))=13),"","／登録番号の形を確かめる"))&amp;IF(AND($H82="個人",$I82=""),"／源泉徴収の欄が空","")&amp;IF(AND($H82="法人",$I82="する"),"／法人に源泉する設定（原則は不要）","")&amp;IF(AND($K82="差し引く",N($L82)=0),"／差し引く額が空","")&amp;IF(AND($K82="差し引く",OR($M82&lt;&gt;"対象外",$N82&lt;&gt;"対象外")),"／手数料を差し引けない取引か確かめる","")&amp;IF(COUNTIF($B$5:$B$104,$B82)&gt;1,"／コードが重複",""),2,300))</f>
        <v/>
      </c>
    </row>
    <row r="83" ht="18" customHeight="1">
      <c r="A83" s="17" t="n">
        <v>79</v>
      </c>
      <c r="B83" s="18" t="n"/>
      <c r="C83" s="19" t="n"/>
      <c r="D83" s="18" t="n"/>
      <c r="E83" s="18" t="n"/>
      <c r="F83" s="19" t="n"/>
      <c r="G83" s="20" t="n"/>
      <c r="H83" s="18" t="n"/>
      <c r="I83" s="18" t="n"/>
      <c r="J83" s="18" t="n"/>
      <c r="K83" s="18" t="n"/>
      <c r="L83" s="21" t="n"/>
      <c r="M83" s="18" t="n"/>
      <c r="N83" s="18" t="n"/>
      <c r="O83" s="19" t="n"/>
      <c r="P83" s="19" t="n"/>
      <c r="Q83" s="19" t="n"/>
      <c r="R83" s="22">
        <f>IF($B83="","",MID(IF($G83="","／登録番号なし（仕入明細書にならない）",IF(AND(LEN($G83)=14,LEFT($G83,1)="T",SUMPRODUCT(--ISNUMBER(--MID($G83,{2,3,4,5,6,7,8,9,10,11,12,13,14},1)))=13),"","／登録番号の形を確かめる"))&amp;IF(AND($H83="個人",$I83=""),"／源泉徴収の欄が空","")&amp;IF(AND($H83="法人",$I83="する"),"／法人に源泉する設定（原則は不要）","")&amp;IF(AND($K83="差し引く",N($L83)=0),"／差し引く額が空","")&amp;IF(AND($K83="差し引く",OR($M83&lt;&gt;"対象外",$N83&lt;&gt;"対象外")),"／手数料を差し引けない取引か確かめる","")&amp;IF(COUNTIF($B$5:$B$104,$B83)&gt;1,"／コードが重複",""),2,300))</f>
        <v/>
      </c>
    </row>
    <row r="84" ht="18" customHeight="1">
      <c r="A84" s="17" t="n">
        <v>80</v>
      </c>
      <c r="B84" s="18" t="n"/>
      <c r="C84" s="19" t="n"/>
      <c r="D84" s="18" t="n"/>
      <c r="E84" s="18" t="n"/>
      <c r="F84" s="19" t="n"/>
      <c r="G84" s="20" t="n"/>
      <c r="H84" s="18" t="n"/>
      <c r="I84" s="18" t="n"/>
      <c r="J84" s="18" t="n"/>
      <c r="K84" s="18" t="n"/>
      <c r="L84" s="21" t="n"/>
      <c r="M84" s="18" t="n"/>
      <c r="N84" s="18" t="n"/>
      <c r="O84" s="19" t="n"/>
      <c r="P84" s="19" t="n"/>
      <c r="Q84" s="19" t="n"/>
      <c r="R84" s="22">
        <f>IF($B84="","",MID(IF($G84="","／登録番号なし（仕入明細書にならない）",IF(AND(LEN($G84)=14,LEFT($G84,1)="T",SUMPRODUCT(--ISNUMBER(--MID($G84,{2,3,4,5,6,7,8,9,10,11,12,13,14},1)))=13),"","／登録番号の形を確かめる"))&amp;IF(AND($H84="個人",$I84=""),"／源泉徴収の欄が空","")&amp;IF(AND($H84="法人",$I84="する"),"／法人に源泉する設定（原則は不要）","")&amp;IF(AND($K84="差し引く",N($L84)=0),"／差し引く額が空","")&amp;IF(AND($K84="差し引く",OR($M84&lt;&gt;"対象外",$N84&lt;&gt;"対象外")),"／手数料を差し引けない取引か確かめる","")&amp;IF(COUNTIF($B$5:$B$104,$B84)&gt;1,"／コードが重複",""),2,300))</f>
        <v/>
      </c>
    </row>
    <row r="85" ht="18" customHeight="1">
      <c r="A85" s="17" t="n">
        <v>81</v>
      </c>
      <c r="B85" s="18" t="n"/>
      <c r="C85" s="19" t="n"/>
      <c r="D85" s="18" t="n"/>
      <c r="E85" s="18" t="n"/>
      <c r="F85" s="19" t="n"/>
      <c r="G85" s="20" t="n"/>
      <c r="H85" s="18" t="n"/>
      <c r="I85" s="18" t="n"/>
      <c r="J85" s="18" t="n"/>
      <c r="K85" s="18" t="n"/>
      <c r="L85" s="21" t="n"/>
      <c r="M85" s="18" t="n"/>
      <c r="N85" s="18" t="n"/>
      <c r="O85" s="19" t="n"/>
      <c r="P85" s="19" t="n"/>
      <c r="Q85" s="19" t="n"/>
      <c r="R85" s="22">
        <f>IF($B85="","",MID(IF($G85="","／登録番号なし（仕入明細書にならない）",IF(AND(LEN($G85)=14,LEFT($G85,1)="T",SUMPRODUCT(--ISNUMBER(--MID($G85,{2,3,4,5,6,7,8,9,10,11,12,13,14},1)))=13),"","／登録番号の形を確かめる"))&amp;IF(AND($H85="個人",$I85=""),"／源泉徴収の欄が空","")&amp;IF(AND($H85="法人",$I85="する"),"／法人に源泉する設定（原則は不要）","")&amp;IF(AND($K85="差し引く",N($L85)=0),"／差し引く額が空","")&amp;IF(AND($K85="差し引く",OR($M85&lt;&gt;"対象外",$N85&lt;&gt;"対象外")),"／手数料を差し引けない取引か確かめる","")&amp;IF(COUNTIF($B$5:$B$104,$B85)&gt;1,"／コードが重複",""),2,300))</f>
        <v/>
      </c>
    </row>
    <row r="86" ht="18" customHeight="1">
      <c r="A86" s="17" t="n">
        <v>82</v>
      </c>
      <c r="B86" s="18" t="n"/>
      <c r="C86" s="19" t="n"/>
      <c r="D86" s="18" t="n"/>
      <c r="E86" s="18" t="n"/>
      <c r="F86" s="19" t="n"/>
      <c r="G86" s="20" t="n"/>
      <c r="H86" s="18" t="n"/>
      <c r="I86" s="18" t="n"/>
      <c r="J86" s="18" t="n"/>
      <c r="K86" s="18" t="n"/>
      <c r="L86" s="21" t="n"/>
      <c r="M86" s="18" t="n"/>
      <c r="N86" s="18" t="n"/>
      <c r="O86" s="19" t="n"/>
      <c r="P86" s="19" t="n"/>
      <c r="Q86" s="19" t="n"/>
      <c r="R86" s="22">
        <f>IF($B86="","",MID(IF($G86="","／登録番号なし（仕入明細書にならない）",IF(AND(LEN($G86)=14,LEFT($G86,1)="T",SUMPRODUCT(--ISNUMBER(--MID($G86,{2,3,4,5,6,7,8,9,10,11,12,13,14},1)))=13),"","／登録番号の形を確かめる"))&amp;IF(AND($H86="個人",$I86=""),"／源泉徴収の欄が空","")&amp;IF(AND($H86="法人",$I86="する"),"／法人に源泉する設定（原則は不要）","")&amp;IF(AND($K86="差し引く",N($L86)=0),"／差し引く額が空","")&amp;IF(AND($K86="差し引く",OR($M86&lt;&gt;"対象外",$N86&lt;&gt;"対象外")),"／手数料を差し引けない取引か確かめる","")&amp;IF(COUNTIF($B$5:$B$104,$B86)&gt;1,"／コードが重複",""),2,300))</f>
        <v/>
      </c>
    </row>
    <row r="87" ht="18" customHeight="1">
      <c r="A87" s="17" t="n">
        <v>83</v>
      </c>
      <c r="B87" s="18" t="n"/>
      <c r="C87" s="19" t="n"/>
      <c r="D87" s="18" t="n"/>
      <c r="E87" s="18" t="n"/>
      <c r="F87" s="19" t="n"/>
      <c r="G87" s="20" t="n"/>
      <c r="H87" s="18" t="n"/>
      <c r="I87" s="18" t="n"/>
      <c r="J87" s="18" t="n"/>
      <c r="K87" s="18" t="n"/>
      <c r="L87" s="21" t="n"/>
      <c r="M87" s="18" t="n"/>
      <c r="N87" s="18" t="n"/>
      <c r="O87" s="19" t="n"/>
      <c r="P87" s="19" t="n"/>
      <c r="Q87" s="19" t="n"/>
      <c r="R87" s="22">
        <f>IF($B87="","",MID(IF($G87="","／登録番号なし（仕入明細書にならない）",IF(AND(LEN($G87)=14,LEFT($G87,1)="T",SUMPRODUCT(--ISNUMBER(--MID($G87,{2,3,4,5,6,7,8,9,10,11,12,13,14},1)))=13),"","／登録番号の形を確かめる"))&amp;IF(AND($H87="個人",$I87=""),"／源泉徴収の欄が空","")&amp;IF(AND($H87="法人",$I87="する"),"／法人に源泉する設定（原則は不要）","")&amp;IF(AND($K87="差し引く",N($L87)=0),"／差し引く額が空","")&amp;IF(AND($K87="差し引く",OR($M87&lt;&gt;"対象外",$N87&lt;&gt;"対象外")),"／手数料を差し引けない取引か確かめる","")&amp;IF(COUNTIF($B$5:$B$104,$B87)&gt;1,"／コードが重複",""),2,300))</f>
        <v/>
      </c>
    </row>
    <row r="88" ht="18" customHeight="1">
      <c r="A88" s="17" t="n">
        <v>84</v>
      </c>
      <c r="B88" s="18" t="n"/>
      <c r="C88" s="19" t="n"/>
      <c r="D88" s="18" t="n"/>
      <c r="E88" s="18" t="n"/>
      <c r="F88" s="19" t="n"/>
      <c r="G88" s="20" t="n"/>
      <c r="H88" s="18" t="n"/>
      <c r="I88" s="18" t="n"/>
      <c r="J88" s="18" t="n"/>
      <c r="K88" s="18" t="n"/>
      <c r="L88" s="21" t="n"/>
      <c r="M88" s="18" t="n"/>
      <c r="N88" s="18" t="n"/>
      <c r="O88" s="19" t="n"/>
      <c r="P88" s="19" t="n"/>
      <c r="Q88" s="19" t="n"/>
      <c r="R88" s="22">
        <f>IF($B88="","",MID(IF($G88="","／登録番号なし（仕入明細書にならない）",IF(AND(LEN($G88)=14,LEFT($G88,1)="T",SUMPRODUCT(--ISNUMBER(--MID($G88,{2,3,4,5,6,7,8,9,10,11,12,13,14},1)))=13),"","／登録番号の形を確かめる"))&amp;IF(AND($H88="個人",$I88=""),"／源泉徴収の欄が空","")&amp;IF(AND($H88="法人",$I88="する"),"／法人に源泉する設定（原則は不要）","")&amp;IF(AND($K88="差し引く",N($L88)=0),"／差し引く額が空","")&amp;IF(AND($K88="差し引く",OR($M88&lt;&gt;"対象外",$N88&lt;&gt;"対象外")),"／手数料を差し引けない取引か確かめる","")&amp;IF(COUNTIF($B$5:$B$104,$B88)&gt;1,"／コードが重複",""),2,300))</f>
        <v/>
      </c>
    </row>
    <row r="89" ht="18" customHeight="1">
      <c r="A89" s="17" t="n">
        <v>85</v>
      </c>
      <c r="B89" s="18" t="n"/>
      <c r="C89" s="19" t="n"/>
      <c r="D89" s="18" t="n"/>
      <c r="E89" s="18" t="n"/>
      <c r="F89" s="19" t="n"/>
      <c r="G89" s="20" t="n"/>
      <c r="H89" s="18" t="n"/>
      <c r="I89" s="18" t="n"/>
      <c r="J89" s="18" t="n"/>
      <c r="K89" s="18" t="n"/>
      <c r="L89" s="21" t="n"/>
      <c r="M89" s="18" t="n"/>
      <c r="N89" s="18" t="n"/>
      <c r="O89" s="19" t="n"/>
      <c r="P89" s="19" t="n"/>
      <c r="Q89" s="19" t="n"/>
      <c r="R89" s="22">
        <f>IF($B89="","",MID(IF($G89="","／登録番号なし（仕入明細書にならない）",IF(AND(LEN($G89)=14,LEFT($G89,1)="T",SUMPRODUCT(--ISNUMBER(--MID($G89,{2,3,4,5,6,7,8,9,10,11,12,13,14},1)))=13),"","／登録番号の形を確かめる"))&amp;IF(AND($H89="個人",$I89=""),"／源泉徴収の欄が空","")&amp;IF(AND($H89="法人",$I89="する"),"／法人に源泉する設定（原則は不要）","")&amp;IF(AND($K89="差し引く",N($L89)=0),"／差し引く額が空","")&amp;IF(AND($K89="差し引く",OR($M89&lt;&gt;"対象外",$N89&lt;&gt;"対象外")),"／手数料を差し引けない取引か確かめる","")&amp;IF(COUNTIF($B$5:$B$104,$B89)&gt;1,"／コードが重複",""),2,300))</f>
        <v/>
      </c>
    </row>
    <row r="90" ht="18" customHeight="1">
      <c r="A90" s="17" t="n">
        <v>86</v>
      </c>
      <c r="B90" s="18" t="n"/>
      <c r="C90" s="19" t="n"/>
      <c r="D90" s="18" t="n"/>
      <c r="E90" s="18" t="n"/>
      <c r="F90" s="19" t="n"/>
      <c r="G90" s="20" t="n"/>
      <c r="H90" s="18" t="n"/>
      <c r="I90" s="18" t="n"/>
      <c r="J90" s="18" t="n"/>
      <c r="K90" s="18" t="n"/>
      <c r="L90" s="21" t="n"/>
      <c r="M90" s="18" t="n"/>
      <c r="N90" s="18" t="n"/>
      <c r="O90" s="19" t="n"/>
      <c r="P90" s="19" t="n"/>
      <c r="Q90" s="19" t="n"/>
      <c r="R90" s="22">
        <f>IF($B90="","",MID(IF($G90="","／登録番号なし（仕入明細書にならない）",IF(AND(LEN($G90)=14,LEFT($G90,1)="T",SUMPRODUCT(--ISNUMBER(--MID($G90,{2,3,4,5,6,7,8,9,10,11,12,13,14},1)))=13),"","／登録番号の形を確かめる"))&amp;IF(AND($H90="個人",$I90=""),"／源泉徴収の欄が空","")&amp;IF(AND($H90="法人",$I90="する"),"／法人に源泉する設定（原則は不要）","")&amp;IF(AND($K90="差し引く",N($L90)=0),"／差し引く額が空","")&amp;IF(AND($K90="差し引く",OR($M90&lt;&gt;"対象外",$N90&lt;&gt;"対象外")),"／手数料を差し引けない取引か確かめる","")&amp;IF(COUNTIF($B$5:$B$104,$B90)&gt;1,"／コードが重複",""),2,300))</f>
        <v/>
      </c>
    </row>
    <row r="91" ht="18" customHeight="1">
      <c r="A91" s="17" t="n">
        <v>87</v>
      </c>
      <c r="B91" s="18" t="n"/>
      <c r="C91" s="19" t="n"/>
      <c r="D91" s="18" t="n"/>
      <c r="E91" s="18" t="n"/>
      <c r="F91" s="19" t="n"/>
      <c r="G91" s="20" t="n"/>
      <c r="H91" s="18" t="n"/>
      <c r="I91" s="18" t="n"/>
      <c r="J91" s="18" t="n"/>
      <c r="K91" s="18" t="n"/>
      <c r="L91" s="21" t="n"/>
      <c r="M91" s="18" t="n"/>
      <c r="N91" s="18" t="n"/>
      <c r="O91" s="19" t="n"/>
      <c r="P91" s="19" t="n"/>
      <c r="Q91" s="19" t="n"/>
      <c r="R91" s="22">
        <f>IF($B91="","",MID(IF($G91="","／登録番号なし（仕入明細書にならない）",IF(AND(LEN($G91)=14,LEFT($G91,1)="T",SUMPRODUCT(--ISNUMBER(--MID($G91,{2,3,4,5,6,7,8,9,10,11,12,13,14},1)))=13),"","／登録番号の形を確かめる"))&amp;IF(AND($H91="個人",$I91=""),"／源泉徴収の欄が空","")&amp;IF(AND($H91="法人",$I91="する"),"／法人に源泉する設定（原則は不要）","")&amp;IF(AND($K91="差し引く",N($L91)=0),"／差し引く額が空","")&amp;IF(AND($K91="差し引く",OR($M91&lt;&gt;"対象外",$N91&lt;&gt;"対象外")),"／手数料を差し引けない取引か確かめる","")&amp;IF(COUNTIF($B$5:$B$104,$B91)&gt;1,"／コードが重複",""),2,300))</f>
        <v/>
      </c>
    </row>
    <row r="92" ht="18" customHeight="1">
      <c r="A92" s="17" t="n">
        <v>88</v>
      </c>
      <c r="B92" s="18" t="n"/>
      <c r="C92" s="19" t="n"/>
      <c r="D92" s="18" t="n"/>
      <c r="E92" s="18" t="n"/>
      <c r="F92" s="19" t="n"/>
      <c r="G92" s="20" t="n"/>
      <c r="H92" s="18" t="n"/>
      <c r="I92" s="18" t="n"/>
      <c r="J92" s="18" t="n"/>
      <c r="K92" s="18" t="n"/>
      <c r="L92" s="21" t="n"/>
      <c r="M92" s="18" t="n"/>
      <c r="N92" s="18" t="n"/>
      <c r="O92" s="19" t="n"/>
      <c r="P92" s="19" t="n"/>
      <c r="Q92" s="19" t="n"/>
      <c r="R92" s="22">
        <f>IF($B92="","",MID(IF($G92="","／登録番号なし（仕入明細書にならない）",IF(AND(LEN($G92)=14,LEFT($G92,1)="T",SUMPRODUCT(--ISNUMBER(--MID($G92,{2,3,4,5,6,7,8,9,10,11,12,13,14},1)))=13),"","／登録番号の形を確かめる"))&amp;IF(AND($H92="個人",$I92=""),"／源泉徴収の欄が空","")&amp;IF(AND($H92="法人",$I92="する"),"／法人に源泉する設定（原則は不要）","")&amp;IF(AND($K92="差し引く",N($L92)=0),"／差し引く額が空","")&amp;IF(AND($K92="差し引く",OR($M92&lt;&gt;"対象外",$N92&lt;&gt;"対象外")),"／手数料を差し引けない取引か確かめる","")&amp;IF(COUNTIF($B$5:$B$104,$B92)&gt;1,"／コードが重複",""),2,300))</f>
        <v/>
      </c>
    </row>
    <row r="93" ht="18" customHeight="1">
      <c r="A93" s="17" t="n">
        <v>89</v>
      </c>
      <c r="B93" s="18" t="n"/>
      <c r="C93" s="19" t="n"/>
      <c r="D93" s="18" t="n"/>
      <c r="E93" s="18" t="n"/>
      <c r="F93" s="19" t="n"/>
      <c r="G93" s="20" t="n"/>
      <c r="H93" s="18" t="n"/>
      <c r="I93" s="18" t="n"/>
      <c r="J93" s="18" t="n"/>
      <c r="K93" s="18" t="n"/>
      <c r="L93" s="21" t="n"/>
      <c r="M93" s="18" t="n"/>
      <c r="N93" s="18" t="n"/>
      <c r="O93" s="19" t="n"/>
      <c r="P93" s="19" t="n"/>
      <c r="Q93" s="19" t="n"/>
      <c r="R93" s="22">
        <f>IF($B93="","",MID(IF($G93="","／登録番号なし（仕入明細書にならない）",IF(AND(LEN($G93)=14,LEFT($G93,1)="T",SUMPRODUCT(--ISNUMBER(--MID($G93,{2,3,4,5,6,7,8,9,10,11,12,13,14},1)))=13),"","／登録番号の形を確かめる"))&amp;IF(AND($H93="個人",$I93=""),"／源泉徴収の欄が空","")&amp;IF(AND($H93="法人",$I93="する"),"／法人に源泉する設定（原則は不要）","")&amp;IF(AND($K93="差し引く",N($L93)=0),"／差し引く額が空","")&amp;IF(AND($K93="差し引く",OR($M93&lt;&gt;"対象外",$N93&lt;&gt;"対象外")),"／手数料を差し引けない取引か確かめる","")&amp;IF(COUNTIF($B$5:$B$104,$B93)&gt;1,"／コードが重複",""),2,300))</f>
        <v/>
      </c>
    </row>
    <row r="94" ht="18" customHeight="1">
      <c r="A94" s="17" t="n">
        <v>90</v>
      </c>
      <c r="B94" s="18" t="n"/>
      <c r="C94" s="19" t="n"/>
      <c r="D94" s="18" t="n"/>
      <c r="E94" s="18" t="n"/>
      <c r="F94" s="19" t="n"/>
      <c r="G94" s="20" t="n"/>
      <c r="H94" s="18" t="n"/>
      <c r="I94" s="18" t="n"/>
      <c r="J94" s="18" t="n"/>
      <c r="K94" s="18" t="n"/>
      <c r="L94" s="21" t="n"/>
      <c r="M94" s="18" t="n"/>
      <c r="N94" s="18" t="n"/>
      <c r="O94" s="19" t="n"/>
      <c r="P94" s="19" t="n"/>
      <c r="Q94" s="19" t="n"/>
      <c r="R94" s="22">
        <f>IF($B94="","",MID(IF($G94="","／登録番号なし（仕入明細書にならない）",IF(AND(LEN($G94)=14,LEFT($G94,1)="T",SUMPRODUCT(--ISNUMBER(--MID($G94,{2,3,4,5,6,7,8,9,10,11,12,13,14},1)))=13),"","／登録番号の形を確かめる"))&amp;IF(AND($H94="個人",$I94=""),"／源泉徴収の欄が空","")&amp;IF(AND($H94="法人",$I94="する"),"／法人に源泉する設定（原則は不要）","")&amp;IF(AND($K94="差し引く",N($L94)=0),"／差し引く額が空","")&amp;IF(AND($K94="差し引く",OR($M94&lt;&gt;"対象外",$N94&lt;&gt;"対象外")),"／手数料を差し引けない取引か確かめる","")&amp;IF(COUNTIF($B$5:$B$104,$B94)&gt;1,"／コードが重複",""),2,300))</f>
        <v/>
      </c>
    </row>
    <row r="95" ht="18" customHeight="1">
      <c r="A95" s="17" t="n">
        <v>91</v>
      </c>
      <c r="B95" s="18" t="n"/>
      <c r="C95" s="19" t="n"/>
      <c r="D95" s="18" t="n"/>
      <c r="E95" s="18" t="n"/>
      <c r="F95" s="19" t="n"/>
      <c r="G95" s="20" t="n"/>
      <c r="H95" s="18" t="n"/>
      <c r="I95" s="18" t="n"/>
      <c r="J95" s="18" t="n"/>
      <c r="K95" s="18" t="n"/>
      <c r="L95" s="21" t="n"/>
      <c r="M95" s="18" t="n"/>
      <c r="N95" s="18" t="n"/>
      <c r="O95" s="19" t="n"/>
      <c r="P95" s="19" t="n"/>
      <c r="Q95" s="19" t="n"/>
      <c r="R95" s="22">
        <f>IF($B95="","",MID(IF($G95="","／登録番号なし（仕入明細書にならない）",IF(AND(LEN($G95)=14,LEFT($G95,1)="T",SUMPRODUCT(--ISNUMBER(--MID($G95,{2,3,4,5,6,7,8,9,10,11,12,13,14},1)))=13),"","／登録番号の形を確かめる"))&amp;IF(AND($H95="個人",$I95=""),"／源泉徴収の欄が空","")&amp;IF(AND($H95="法人",$I95="する"),"／法人に源泉する設定（原則は不要）","")&amp;IF(AND($K95="差し引く",N($L95)=0),"／差し引く額が空","")&amp;IF(AND($K95="差し引く",OR($M95&lt;&gt;"対象外",$N95&lt;&gt;"対象外")),"／手数料を差し引けない取引か確かめる","")&amp;IF(COUNTIF($B$5:$B$104,$B95)&gt;1,"／コードが重複",""),2,300))</f>
        <v/>
      </c>
    </row>
    <row r="96" ht="18" customHeight="1">
      <c r="A96" s="17" t="n">
        <v>92</v>
      </c>
      <c r="B96" s="18" t="n"/>
      <c r="C96" s="19" t="n"/>
      <c r="D96" s="18" t="n"/>
      <c r="E96" s="18" t="n"/>
      <c r="F96" s="19" t="n"/>
      <c r="G96" s="20" t="n"/>
      <c r="H96" s="18" t="n"/>
      <c r="I96" s="18" t="n"/>
      <c r="J96" s="18" t="n"/>
      <c r="K96" s="18" t="n"/>
      <c r="L96" s="21" t="n"/>
      <c r="M96" s="18" t="n"/>
      <c r="N96" s="18" t="n"/>
      <c r="O96" s="19" t="n"/>
      <c r="P96" s="19" t="n"/>
      <c r="Q96" s="19" t="n"/>
      <c r="R96" s="22">
        <f>IF($B96="","",MID(IF($G96="","／登録番号なし（仕入明細書にならない）",IF(AND(LEN($G96)=14,LEFT($G96,1)="T",SUMPRODUCT(--ISNUMBER(--MID($G96,{2,3,4,5,6,7,8,9,10,11,12,13,14},1)))=13),"","／登録番号の形を確かめる"))&amp;IF(AND($H96="個人",$I96=""),"／源泉徴収の欄が空","")&amp;IF(AND($H96="法人",$I96="する"),"／法人に源泉する設定（原則は不要）","")&amp;IF(AND($K96="差し引く",N($L96)=0),"／差し引く額が空","")&amp;IF(AND($K96="差し引く",OR($M96&lt;&gt;"対象外",$N96&lt;&gt;"対象外")),"／手数料を差し引けない取引か確かめる","")&amp;IF(COUNTIF($B$5:$B$104,$B96)&gt;1,"／コードが重複",""),2,300))</f>
        <v/>
      </c>
    </row>
    <row r="97" ht="18" customHeight="1">
      <c r="A97" s="17" t="n">
        <v>93</v>
      </c>
      <c r="B97" s="18" t="n"/>
      <c r="C97" s="19" t="n"/>
      <c r="D97" s="18" t="n"/>
      <c r="E97" s="18" t="n"/>
      <c r="F97" s="19" t="n"/>
      <c r="G97" s="20" t="n"/>
      <c r="H97" s="18" t="n"/>
      <c r="I97" s="18" t="n"/>
      <c r="J97" s="18" t="n"/>
      <c r="K97" s="18" t="n"/>
      <c r="L97" s="21" t="n"/>
      <c r="M97" s="18" t="n"/>
      <c r="N97" s="18" t="n"/>
      <c r="O97" s="19" t="n"/>
      <c r="P97" s="19" t="n"/>
      <c r="Q97" s="19" t="n"/>
      <c r="R97" s="22">
        <f>IF($B97="","",MID(IF($G97="","／登録番号なし（仕入明細書にならない）",IF(AND(LEN($G97)=14,LEFT($G97,1)="T",SUMPRODUCT(--ISNUMBER(--MID($G97,{2,3,4,5,6,7,8,9,10,11,12,13,14},1)))=13),"","／登録番号の形を確かめる"))&amp;IF(AND($H97="個人",$I97=""),"／源泉徴収の欄が空","")&amp;IF(AND($H97="法人",$I97="する"),"／法人に源泉する設定（原則は不要）","")&amp;IF(AND($K97="差し引く",N($L97)=0),"／差し引く額が空","")&amp;IF(AND($K97="差し引く",OR($M97&lt;&gt;"対象外",$N97&lt;&gt;"対象外")),"／手数料を差し引けない取引か確かめる","")&amp;IF(COUNTIF($B$5:$B$104,$B97)&gt;1,"／コードが重複",""),2,300))</f>
        <v/>
      </c>
    </row>
    <row r="98" ht="18" customHeight="1">
      <c r="A98" s="17" t="n">
        <v>94</v>
      </c>
      <c r="B98" s="18" t="n"/>
      <c r="C98" s="19" t="n"/>
      <c r="D98" s="18" t="n"/>
      <c r="E98" s="18" t="n"/>
      <c r="F98" s="19" t="n"/>
      <c r="G98" s="20" t="n"/>
      <c r="H98" s="18" t="n"/>
      <c r="I98" s="18" t="n"/>
      <c r="J98" s="18" t="n"/>
      <c r="K98" s="18" t="n"/>
      <c r="L98" s="21" t="n"/>
      <c r="M98" s="18" t="n"/>
      <c r="N98" s="18" t="n"/>
      <c r="O98" s="19" t="n"/>
      <c r="P98" s="19" t="n"/>
      <c r="Q98" s="19" t="n"/>
      <c r="R98" s="22">
        <f>IF($B98="","",MID(IF($G98="","／登録番号なし（仕入明細書にならない）",IF(AND(LEN($G98)=14,LEFT($G98,1)="T",SUMPRODUCT(--ISNUMBER(--MID($G98,{2,3,4,5,6,7,8,9,10,11,12,13,14},1)))=13),"","／登録番号の形を確かめる"))&amp;IF(AND($H98="個人",$I98=""),"／源泉徴収の欄が空","")&amp;IF(AND($H98="法人",$I98="する"),"／法人に源泉する設定（原則は不要）","")&amp;IF(AND($K98="差し引く",N($L98)=0),"／差し引く額が空","")&amp;IF(AND($K98="差し引く",OR($M98&lt;&gt;"対象外",$N98&lt;&gt;"対象外")),"／手数料を差し引けない取引か確かめる","")&amp;IF(COUNTIF($B$5:$B$104,$B98)&gt;1,"／コードが重複",""),2,300))</f>
        <v/>
      </c>
    </row>
    <row r="99" ht="18" customHeight="1">
      <c r="A99" s="17" t="n">
        <v>95</v>
      </c>
      <c r="B99" s="18" t="n"/>
      <c r="C99" s="19" t="n"/>
      <c r="D99" s="18" t="n"/>
      <c r="E99" s="18" t="n"/>
      <c r="F99" s="19" t="n"/>
      <c r="G99" s="20" t="n"/>
      <c r="H99" s="18" t="n"/>
      <c r="I99" s="18" t="n"/>
      <c r="J99" s="18" t="n"/>
      <c r="K99" s="18" t="n"/>
      <c r="L99" s="21" t="n"/>
      <c r="M99" s="18" t="n"/>
      <c r="N99" s="18" t="n"/>
      <c r="O99" s="19" t="n"/>
      <c r="P99" s="19" t="n"/>
      <c r="Q99" s="19" t="n"/>
      <c r="R99" s="22">
        <f>IF($B99="","",MID(IF($G99="","／登録番号なし（仕入明細書にならない）",IF(AND(LEN($G99)=14,LEFT($G99,1)="T",SUMPRODUCT(--ISNUMBER(--MID($G99,{2,3,4,5,6,7,8,9,10,11,12,13,14},1)))=13),"","／登録番号の形を確かめる"))&amp;IF(AND($H99="個人",$I99=""),"／源泉徴収の欄が空","")&amp;IF(AND($H99="法人",$I99="する"),"／法人に源泉する設定（原則は不要）","")&amp;IF(AND($K99="差し引く",N($L99)=0),"／差し引く額が空","")&amp;IF(AND($K99="差し引く",OR($M99&lt;&gt;"対象外",$N99&lt;&gt;"対象外")),"／手数料を差し引けない取引か確かめる","")&amp;IF(COUNTIF($B$5:$B$104,$B99)&gt;1,"／コードが重複",""),2,300))</f>
        <v/>
      </c>
    </row>
    <row r="100" ht="18" customHeight="1">
      <c r="A100" s="17" t="n">
        <v>96</v>
      </c>
      <c r="B100" s="18" t="n"/>
      <c r="C100" s="19" t="n"/>
      <c r="D100" s="18" t="n"/>
      <c r="E100" s="18" t="n"/>
      <c r="F100" s="19" t="n"/>
      <c r="G100" s="20" t="n"/>
      <c r="H100" s="18" t="n"/>
      <c r="I100" s="18" t="n"/>
      <c r="J100" s="18" t="n"/>
      <c r="K100" s="18" t="n"/>
      <c r="L100" s="21" t="n"/>
      <c r="M100" s="18" t="n"/>
      <c r="N100" s="18" t="n"/>
      <c r="O100" s="19" t="n"/>
      <c r="P100" s="19" t="n"/>
      <c r="Q100" s="19" t="n"/>
      <c r="R100" s="22">
        <f>IF($B100="","",MID(IF($G100="","／登録番号なし（仕入明細書にならない）",IF(AND(LEN($G100)=14,LEFT($G100,1)="T",SUMPRODUCT(--ISNUMBER(--MID($G100,{2,3,4,5,6,7,8,9,10,11,12,13,14},1)))=13),"","／登録番号の形を確かめる"))&amp;IF(AND($H100="個人",$I100=""),"／源泉徴収の欄が空","")&amp;IF(AND($H100="法人",$I100="する"),"／法人に源泉する設定（原則は不要）","")&amp;IF(AND($K100="差し引く",N($L100)=0),"／差し引く額が空","")&amp;IF(AND($K100="差し引く",OR($M100&lt;&gt;"対象外",$N100&lt;&gt;"対象外")),"／手数料を差し引けない取引か確かめる","")&amp;IF(COUNTIF($B$5:$B$104,$B100)&gt;1,"／コードが重複",""),2,300))</f>
        <v/>
      </c>
    </row>
    <row r="101" ht="18" customHeight="1">
      <c r="A101" s="17" t="n">
        <v>97</v>
      </c>
      <c r="B101" s="18" t="n"/>
      <c r="C101" s="19" t="n"/>
      <c r="D101" s="18" t="n"/>
      <c r="E101" s="18" t="n"/>
      <c r="F101" s="19" t="n"/>
      <c r="G101" s="20" t="n"/>
      <c r="H101" s="18" t="n"/>
      <c r="I101" s="18" t="n"/>
      <c r="J101" s="18" t="n"/>
      <c r="K101" s="18" t="n"/>
      <c r="L101" s="21" t="n"/>
      <c r="M101" s="18" t="n"/>
      <c r="N101" s="18" t="n"/>
      <c r="O101" s="19" t="n"/>
      <c r="P101" s="19" t="n"/>
      <c r="Q101" s="19" t="n"/>
      <c r="R101" s="22">
        <f>IF($B101="","",MID(IF($G101="","／登録番号なし（仕入明細書にならない）",IF(AND(LEN($G101)=14,LEFT($G101,1)="T",SUMPRODUCT(--ISNUMBER(--MID($G101,{2,3,4,5,6,7,8,9,10,11,12,13,14},1)))=13),"","／登録番号の形を確かめる"))&amp;IF(AND($H101="個人",$I101=""),"／源泉徴収の欄が空","")&amp;IF(AND($H101="法人",$I101="する"),"／法人に源泉する設定（原則は不要）","")&amp;IF(AND($K101="差し引く",N($L101)=0),"／差し引く額が空","")&amp;IF(AND($K101="差し引く",OR($M101&lt;&gt;"対象外",$N101&lt;&gt;"対象外")),"／手数料を差し引けない取引か確かめる","")&amp;IF(COUNTIF($B$5:$B$104,$B101)&gt;1,"／コードが重複",""),2,300))</f>
        <v/>
      </c>
    </row>
    <row r="102" ht="18" customHeight="1">
      <c r="A102" s="17" t="n">
        <v>98</v>
      </c>
      <c r="B102" s="18" t="n"/>
      <c r="C102" s="19" t="n"/>
      <c r="D102" s="18" t="n"/>
      <c r="E102" s="18" t="n"/>
      <c r="F102" s="19" t="n"/>
      <c r="G102" s="20" t="n"/>
      <c r="H102" s="18" t="n"/>
      <c r="I102" s="18" t="n"/>
      <c r="J102" s="18" t="n"/>
      <c r="K102" s="18" t="n"/>
      <c r="L102" s="21" t="n"/>
      <c r="M102" s="18" t="n"/>
      <c r="N102" s="18" t="n"/>
      <c r="O102" s="19" t="n"/>
      <c r="P102" s="19" t="n"/>
      <c r="Q102" s="19" t="n"/>
      <c r="R102" s="22">
        <f>IF($B102="","",MID(IF($G102="","／登録番号なし（仕入明細書にならない）",IF(AND(LEN($G102)=14,LEFT($G102,1)="T",SUMPRODUCT(--ISNUMBER(--MID($G102,{2,3,4,5,6,7,8,9,10,11,12,13,14},1)))=13),"","／登録番号の形を確かめる"))&amp;IF(AND($H102="個人",$I102=""),"／源泉徴収の欄が空","")&amp;IF(AND($H102="法人",$I102="する"),"／法人に源泉する設定（原則は不要）","")&amp;IF(AND($K102="差し引く",N($L102)=0),"／差し引く額が空","")&amp;IF(AND($K102="差し引く",OR($M102&lt;&gt;"対象外",$N102&lt;&gt;"対象外")),"／手数料を差し引けない取引か確かめる","")&amp;IF(COUNTIF($B$5:$B$104,$B102)&gt;1,"／コードが重複",""),2,300))</f>
        <v/>
      </c>
    </row>
    <row r="103" ht="18" customHeight="1">
      <c r="A103" s="17" t="n">
        <v>99</v>
      </c>
      <c r="B103" s="18" t="n"/>
      <c r="C103" s="19" t="n"/>
      <c r="D103" s="18" t="n"/>
      <c r="E103" s="18" t="n"/>
      <c r="F103" s="19" t="n"/>
      <c r="G103" s="20" t="n"/>
      <c r="H103" s="18" t="n"/>
      <c r="I103" s="18" t="n"/>
      <c r="J103" s="18" t="n"/>
      <c r="K103" s="18" t="n"/>
      <c r="L103" s="21" t="n"/>
      <c r="M103" s="18" t="n"/>
      <c r="N103" s="18" t="n"/>
      <c r="O103" s="19" t="n"/>
      <c r="P103" s="19" t="n"/>
      <c r="Q103" s="19" t="n"/>
      <c r="R103" s="22">
        <f>IF($B103="","",MID(IF($G103="","／登録番号なし（仕入明細書にならない）",IF(AND(LEN($G103)=14,LEFT($G103,1)="T",SUMPRODUCT(--ISNUMBER(--MID($G103,{2,3,4,5,6,7,8,9,10,11,12,13,14},1)))=13),"","／登録番号の形を確かめる"))&amp;IF(AND($H103="個人",$I103=""),"／源泉徴収の欄が空","")&amp;IF(AND($H103="法人",$I103="する"),"／法人に源泉する設定（原則は不要）","")&amp;IF(AND($K103="差し引く",N($L103)=0),"／差し引く額が空","")&amp;IF(AND($K103="差し引く",OR($M103&lt;&gt;"対象外",$N103&lt;&gt;"対象外")),"／手数料を差し引けない取引か確かめる","")&amp;IF(COUNTIF($B$5:$B$104,$B103)&gt;1,"／コードが重複",""),2,300))</f>
        <v/>
      </c>
    </row>
    <row r="104" ht="18" customHeight="1">
      <c r="A104" s="17" t="n">
        <v>100</v>
      </c>
      <c r="B104" s="18" t="n"/>
      <c r="C104" s="19" t="n"/>
      <c r="D104" s="18" t="n"/>
      <c r="E104" s="18" t="n"/>
      <c r="F104" s="19" t="n"/>
      <c r="G104" s="20" t="n"/>
      <c r="H104" s="18" t="n"/>
      <c r="I104" s="18" t="n"/>
      <c r="J104" s="18" t="n"/>
      <c r="K104" s="18" t="n"/>
      <c r="L104" s="21" t="n"/>
      <c r="M104" s="18" t="n"/>
      <c r="N104" s="18" t="n"/>
      <c r="O104" s="19" t="n"/>
      <c r="P104" s="19" t="n"/>
      <c r="Q104" s="19" t="n"/>
      <c r="R104" s="22">
        <f>IF($B104="","",MID(IF($G104="","／登録番号なし（仕入明細書にならない）",IF(AND(LEN($G104)=14,LEFT($G104,1)="T",SUMPRODUCT(--ISNUMBER(--MID($G104,{2,3,4,5,6,7,8,9,10,11,12,13,14},1)))=13),"","／登録番号の形を確かめる"))&amp;IF(AND($H104="個人",$I104=""),"／源泉徴収の欄が空","")&amp;IF(AND($H104="法人",$I104="する"),"／法人に源泉する設定（原則は不要）","")&amp;IF(AND($K104="差し引く",N($L104)=0),"／差し引く額が空","")&amp;IF(AND($K104="差し引く",OR($M104&lt;&gt;"対象外",$N104&lt;&gt;"対象外")),"／手数料を差し引けない取引か確かめる","")&amp;IF(COUNTIF($B$5:$B$104,$B104)&gt;1,"／コードが重複",""),2,300))</f>
        <v/>
      </c>
    </row>
  </sheetData>
  <autoFilter ref="A4:R104"/>
  <mergeCells count="2">
    <mergeCell ref="A2:R2"/>
    <mergeCell ref="A1:R1"/>
  </mergeCells>
  <conditionalFormatting sqref="B5:B104">
    <cfRule type="expression" priority="1" dxfId="0">
      <formula>AND($B5&lt;&gt;"",COUNTIF($B$5:$B$104,$B5)&gt;1)</formula>
    </cfRule>
  </conditionalFormatting>
  <dataValidations count="8">
    <dataValidation sqref="D5:D104" showDropDown="0" showInputMessage="0" showErrorMessage="1" allowBlank="1" errorTitle="一覧から選んでください" error="一覧から選んでください" type="list">
      <formula1>"御中,様"</formula1>
    </dataValidation>
    <dataValidation sqref="H5:H104" showDropDown="0" showInputMessage="0" showErrorMessage="1" allowBlank="1" errorTitle="一覧から選んでください" error="一覧から選んでください" type="list">
      <formula1>"個人,法人"</formula1>
    </dataValidation>
    <dataValidation sqref="I5:I104" showDropDown="0" showInputMessage="0" showErrorMessage="1" allowBlank="1" errorTitle="一覧から選んでください" error="一覧から選んでください" type="list">
      <formula1>"する,しない"</formula1>
    </dataValidation>
    <dataValidation sqref="J5:J104" showDropDown="0" showInputMessage="0" showErrorMessage="1" allowBlank="1" errorTitle="一覧から選んでください" error="一覧から選んでください" type="list">
      <formula1>"税抜,税込"</formula1>
    </dataValidation>
    <dataValidation sqref="K5:K104" showDropDown="0" showInputMessage="0" showErrorMessage="1" allowBlank="1" errorTitle="一覧から選んでください" error="一覧から選んでください" type="list">
      <formula1>"当社負担,差し引く"</formula1>
    </dataValidation>
    <dataValidation sqref="M5:M104" showDropDown="0" showInputMessage="0" showErrorMessage="1" allowBlank="1" errorTitle="一覧から選んでください" error="一覧から選んでください" type="list">
      <formula1>"対象,対象外,未確認"</formula1>
    </dataValidation>
    <dataValidation sqref="N5:N104" showDropDown="0" showInputMessage="0" showErrorMessage="1" allowBlank="1" errorTitle="一覧から選んでください" error="一覧から選んでください" type="list">
      <formula1>"対象,対象外,未確認"</formula1>
    </dataValidation>
    <dataValidation sqref="L5:L104" showDropDown="0" showInputMessage="0" showErrorMessage="1" allowBlank="1" errorTitle="差し引く額" error="0以上の金額（円）を入れてください。" type="decimal" operator="between">
      <formula1>0</formula1>
      <formula2>99999</formula2>
    </dataValidation>
  </dataValidations>
  <pageMargins left="0.4" right="0.4" top="0.45" bottom="0.45" header="0.2" footer="0.2"/>
  <pageSetup orientation="landscape" paperSize="9" fitToHeight="0" fitToWidth="1"/>
</worksheet>
</file>

<file path=xl/worksheets/sheet4.xml><?xml version="1.0" encoding="utf-8"?>
<worksheet xmlns="http://schemas.openxmlformats.org/spreadsheetml/2006/main">
  <sheetPr>
    <tabColor rgb="001B3A5C"/>
    <outlinePr summaryBelow="1" summaryRight="1"/>
    <pageSetUpPr fitToPage="1"/>
  </sheetPr>
  <dimension ref="A1:Q1004"/>
  <sheetViews>
    <sheetView showGridLines="0"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11" customWidth="1" min="1" max="1"/>
    <col width="11" customWidth="1" min="2" max="2"/>
    <col width="34" customWidth="1" min="3" max="3"/>
    <col width="8" customWidth="1" min="4" max="4"/>
    <col width="6" customWidth="1" min="5" max="5"/>
    <col width="10" customWidth="1" min="6" max="6"/>
    <col width="11" customWidth="1" min="7" max="7"/>
    <col width="8" customWidth="1" min="8" max="8"/>
    <col width="12" customWidth="1" min="9" max="9"/>
    <col width="22" customWidth="1" min="10" max="10"/>
    <col width="11" customWidth="1" min="11" max="11"/>
    <col width="9" customWidth="1" min="12" max="12"/>
    <col width="10" customWidth="1" min="13" max="13"/>
    <col width="2" customWidth="1" min="14" max="14"/>
    <col width="7" customWidth="1" min="15" max="15"/>
    <col width="7" customWidth="1" min="16" max="16"/>
    <col width="8" customWidth="1" min="17" max="17"/>
  </cols>
  <sheetData>
    <row r="1" ht="26" customHeight="1">
      <c r="A1" s="66" t="inlineStr">
        <is>
          <t>支払明細（1明細1行）</t>
        </is>
      </c>
      <c r="B1" s="67" t="n"/>
      <c r="C1" s="67" t="n"/>
      <c r="D1" s="67" t="n"/>
      <c r="E1" s="67" t="n"/>
      <c r="F1" s="67" t="n"/>
      <c r="G1" s="67" t="n"/>
      <c r="H1" s="67" t="n"/>
      <c r="I1" s="67" t="n"/>
      <c r="J1" s="67" t="n"/>
      <c r="K1" s="67" t="n"/>
      <c r="L1" s="67" t="n"/>
      <c r="M1" s="67" t="n"/>
      <c r="N1" s="67" t="n"/>
      <c r="O1" s="67" t="n"/>
      <c r="P1" s="67" t="n"/>
      <c r="Q1" s="67" t="n"/>
    </row>
    <row r="2" ht="42" customHeight="1">
      <c r="A2" s="70" t="inlineStr">
        <is>
          <t>通知Noは「通知一覧」に入れたものから選びます。金額＝数量×単価（1円未満は四捨五入。数量が空なら1）。単価は設定シートの「明細の金額」に合わせて税抜か税込で入れます。値引き・返品はマイナスの単価で入れます。源泉の列は、源泉徴収をする支払先の明細のうち、源泉の対象にしないもの（立替えた印紙代など）だけ「対象外」にします。</t>
        </is>
      </c>
      <c r="B2" s="67" t="n"/>
      <c r="C2" s="67" t="n"/>
      <c r="D2" s="67" t="n"/>
      <c r="E2" s="67" t="n"/>
      <c r="F2" s="67" t="n"/>
      <c r="G2" s="67" t="n"/>
      <c r="H2" s="67" t="n"/>
      <c r="I2" s="67" t="n"/>
      <c r="J2" s="67" t="n"/>
      <c r="K2" s="67" t="n"/>
      <c r="L2" s="67" t="n"/>
      <c r="M2" s="67" t="n"/>
      <c r="N2" s="67" t="n"/>
      <c r="O2" s="67" t="n"/>
      <c r="P2" s="67" t="n"/>
      <c r="Q2" s="67" t="n"/>
    </row>
    <row r="3" ht="30" customHeight="1">
      <c r="A3" s="70" t="inlineStr">
        <is>
          <t>「60日（2か月）」: フリーランス法4条（報酬は受領日から起算して60日以内のできる限り短い期間内に支払う）の目安。受領日を1日目として60日を超え、かつ受領日の2か月後の同じ日以降に払う予定なら「超える」。支払先シートでフリーランス法を「対象外」にした支払先には出しません。</t>
        </is>
      </c>
      <c r="B3" s="67" t="n"/>
      <c r="C3" s="67" t="n"/>
      <c r="D3" s="67" t="n"/>
      <c r="E3" s="67" t="n"/>
      <c r="F3" s="67" t="n"/>
      <c r="G3" s="67" t="n"/>
      <c r="H3" s="67" t="n"/>
      <c r="I3" s="67" t="n"/>
      <c r="J3" s="67" t="n"/>
      <c r="K3" s="67" t="n"/>
      <c r="L3" s="67" t="n"/>
      <c r="M3" s="67" t="n"/>
      <c r="N3" s="67" t="n"/>
      <c r="O3" s="67" t="n"/>
      <c r="P3" s="67" t="n"/>
      <c r="Q3" s="67" t="n"/>
    </row>
    <row r="4" ht="32" customHeight="1">
      <c r="A4" s="15" t="inlineStr">
        <is>
          <t>通知No</t>
        </is>
      </c>
      <c r="B4" s="15" t="inlineStr">
        <is>
          <t>受領日・提供日</t>
        </is>
      </c>
      <c r="C4" s="15" t="inlineStr">
        <is>
          <t>品目・内容</t>
        </is>
      </c>
      <c r="D4" s="15" t="inlineStr">
        <is>
          <t>数量</t>
        </is>
      </c>
      <c r="E4" s="15" t="inlineStr">
        <is>
          <t>単位</t>
        </is>
      </c>
      <c r="F4" s="15" t="inlineStr">
        <is>
          <t>単価（円）</t>
        </is>
      </c>
      <c r="G4" s="15" t="inlineStr">
        <is>
          <t>税率</t>
        </is>
      </c>
      <c r="H4" s="15" t="inlineStr">
        <is>
          <t>源泉</t>
        </is>
      </c>
      <c r="I4" s="16" t="inlineStr">
        <is>
          <t>金額（円）</t>
        </is>
      </c>
      <c r="J4" s="16" t="inlineStr">
        <is>
          <t>支払先</t>
        </is>
      </c>
      <c r="K4" s="16" t="inlineStr">
        <is>
          <t>支払予定日</t>
        </is>
      </c>
      <c r="L4" s="16" t="inlineStr">
        <is>
          <t>受領日から（日目）</t>
        </is>
      </c>
      <c r="M4" s="16" t="inlineStr">
        <is>
          <t>60日（2か月）</t>
        </is>
      </c>
      <c r="N4" s="67" t="n"/>
      <c r="O4" s="23" t="inlineStr">
        <is>
          <t>通知の行</t>
        </is>
      </c>
      <c r="P4" s="23" t="inlineStr">
        <is>
          <t>支払先の行</t>
        </is>
      </c>
      <c r="Q4" s="23" t="inlineStr">
        <is>
          <t>通知書の表示用</t>
        </is>
      </c>
    </row>
    <row r="5" ht="18" customHeight="1">
      <c r="A5" s="18" t="n"/>
      <c r="B5" s="24" t="n"/>
      <c r="C5" s="19" t="n"/>
      <c r="D5" s="25" t="n"/>
      <c r="E5" s="18" t="n"/>
      <c r="F5" s="25" t="n"/>
      <c r="G5" s="18" t="n"/>
      <c r="H5" s="18" t="n"/>
      <c r="I5" s="26">
        <f>IF(OR($A5="",$F5=""),"",ROUND(IF($D5="",1,$D5)*$F5,0))</f>
        <v/>
      </c>
      <c r="J5" s="27">
        <f>IF($A5="","",IF($O5="なし","※通知一覧にない通知No",IF($P5="","",INDEX('支払先'!$C$5:$C$104,$P5)&amp;"")))</f>
        <v/>
      </c>
      <c r="K5" s="28">
        <f>IF(NOT(ISNUMBER($O5)),"",IF(ISNUMBER(INDEX('通知一覧'!$F$5:$F$204,$O5)),INDEX('通知一覧'!$F$5:$F$204,$O5),""))</f>
        <v/>
      </c>
      <c r="L5" s="29">
        <f>IF(AND(ISNUMBER($B5),ISNUMBER($K5)),$K5-$B5+1,"")</f>
        <v/>
      </c>
      <c r="M5" s="30">
        <f>IF(OR($L5="",$P5=""),"",IF(INDEX('支払先'!$M$5:$M$104,$P5)="対象外","",IF(AND($L5&gt;60,$K5&gt;=EDATE($B5,2)),"超える","")))</f>
        <v/>
      </c>
      <c r="N5" s="67" t="n"/>
      <c r="O5" s="31">
        <f>IF($A5="","",IFERROR(MATCH($A5,'通知一覧'!$B$5:$B$204,0),"なし"))</f>
        <v/>
      </c>
      <c r="P5" s="31">
        <f>IF(NOT(ISNUMBER($O5)),"",IFERROR(MATCH(INDEX('通知一覧'!$C$5:$C$204,$O5),'支払先'!$B$5:$B$104,0),""))</f>
        <v/>
      </c>
      <c r="Q5" s="31">
        <f>IF(AND($A5&lt;&gt;"",$A5='支払通知書'!$K$2),ROW(),"")</f>
        <v/>
      </c>
    </row>
    <row r="6" ht="18" customHeight="1">
      <c r="A6" s="18" t="n"/>
      <c r="B6" s="24" t="n"/>
      <c r="C6" s="19" t="n"/>
      <c r="D6" s="25" t="n"/>
      <c r="E6" s="18" t="n"/>
      <c r="F6" s="25" t="n"/>
      <c r="G6" s="18" t="n"/>
      <c r="H6" s="18" t="n"/>
      <c r="I6" s="26">
        <f>IF(OR($A6="",$F6=""),"",ROUND(IF($D6="",1,$D6)*$F6,0))</f>
        <v/>
      </c>
      <c r="J6" s="27">
        <f>IF($A6="","",IF($O6="なし","※通知一覧にない通知No",IF($P6="","",INDEX('支払先'!$C$5:$C$104,$P6)&amp;"")))</f>
        <v/>
      </c>
      <c r="K6" s="28">
        <f>IF(NOT(ISNUMBER($O6)),"",IF(ISNUMBER(INDEX('通知一覧'!$F$5:$F$204,$O6)),INDEX('通知一覧'!$F$5:$F$204,$O6),""))</f>
        <v/>
      </c>
      <c r="L6" s="29">
        <f>IF(AND(ISNUMBER($B6),ISNUMBER($K6)),$K6-$B6+1,"")</f>
        <v/>
      </c>
      <c r="M6" s="30">
        <f>IF(OR($L6="",$P6=""),"",IF(INDEX('支払先'!$M$5:$M$104,$P6)="対象外","",IF(AND($L6&gt;60,$K6&gt;=EDATE($B6,2)),"超える","")))</f>
        <v/>
      </c>
      <c r="N6" s="67" t="n"/>
      <c r="O6" s="31">
        <f>IF($A6="","",IFERROR(MATCH($A6,'通知一覧'!$B$5:$B$204,0),"なし"))</f>
        <v/>
      </c>
      <c r="P6" s="31">
        <f>IF(NOT(ISNUMBER($O6)),"",IFERROR(MATCH(INDEX('通知一覧'!$C$5:$C$204,$O6),'支払先'!$B$5:$B$104,0),""))</f>
        <v/>
      </c>
      <c r="Q6" s="31">
        <f>IF(AND($A6&lt;&gt;"",$A6='支払通知書'!$K$2),ROW(),"")</f>
        <v/>
      </c>
    </row>
    <row r="7" ht="18" customHeight="1">
      <c r="A7" s="18" t="n"/>
      <c r="B7" s="24" t="n"/>
      <c r="C7" s="19" t="n"/>
      <c r="D7" s="25" t="n"/>
      <c r="E7" s="18" t="n"/>
      <c r="F7" s="25" t="n"/>
      <c r="G7" s="18" t="n"/>
      <c r="H7" s="18" t="n"/>
      <c r="I7" s="26">
        <f>IF(OR($A7="",$F7=""),"",ROUND(IF($D7="",1,$D7)*$F7,0))</f>
        <v/>
      </c>
      <c r="J7" s="27">
        <f>IF($A7="","",IF($O7="なし","※通知一覧にない通知No",IF($P7="","",INDEX('支払先'!$C$5:$C$104,$P7)&amp;"")))</f>
        <v/>
      </c>
      <c r="K7" s="28">
        <f>IF(NOT(ISNUMBER($O7)),"",IF(ISNUMBER(INDEX('通知一覧'!$F$5:$F$204,$O7)),INDEX('通知一覧'!$F$5:$F$204,$O7),""))</f>
        <v/>
      </c>
      <c r="L7" s="29">
        <f>IF(AND(ISNUMBER($B7),ISNUMBER($K7)),$K7-$B7+1,"")</f>
        <v/>
      </c>
      <c r="M7" s="30">
        <f>IF(OR($L7="",$P7=""),"",IF(INDEX('支払先'!$M$5:$M$104,$P7)="対象外","",IF(AND($L7&gt;60,$K7&gt;=EDATE($B7,2)),"超える","")))</f>
        <v/>
      </c>
      <c r="N7" s="67" t="n"/>
      <c r="O7" s="31">
        <f>IF($A7="","",IFERROR(MATCH($A7,'通知一覧'!$B$5:$B$204,0),"なし"))</f>
        <v/>
      </c>
      <c r="P7" s="31">
        <f>IF(NOT(ISNUMBER($O7)),"",IFERROR(MATCH(INDEX('通知一覧'!$C$5:$C$204,$O7),'支払先'!$B$5:$B$104,0),""))</f>
        <v/>
      </c>
      <c r="Q7" s="31">
        <f>IF(AND($A7&lt;&gt;"",$A7='支払通知書'!$K$2),ROW(),"")</f>
        <v/>
      </c>
    </row>
    <row r="8" ht="18" customHeight="1">
      <c r="A8" s="18" t="n"/>
      <c r="B8" s="24" t="n"/>
      <c r="C8" s="19" t="n"/>
      <c r="D8" s="25" t="n"/>
      <c r="E8" s="18" t="n"/>
      <c r="F8" s="25" t="n"/>
      <c r="G8" s="18" t="n"/>
      <c r="H8" s="18" t="n"/>
      <c r="I8" s="26">
        <f>IF(OR($A8="",$F8=""),"",ROUND(IF($D8="",1,$D8)*$F8,0))</f>
        <v/>
      </c>
      <c r="J8" s="27">
        <f>IF($A8="","",IF($O8="なし","※通知一覧にない通知No",IF($P8="","",INDEX('支払先'!$C$5:$C$104,$P8)&amp;"")))</f>
        <v/>
      </c>
      <c r="K8" s="28">
        <f>IF(NOT(ISNUMBER($O8)),"",IF(ISNUMBER(INDEX('通知一覧'!$F$5:$F$204,$O8)),INDEX('通知一覧'!$F$5:$F$204,$O8),""))</f>
        <v/>
      </c>
      <c r="L8" s="29">
        <f>IF(AND(ISNUMBER($B8),ISNUMBER($K8)),$K8-$B8+1,"")</f>
        <v/>
      </c>
      <c r="M8" s="30">
        <f>IF(OR($L8="",$P8=""),"",IF(INDEX('支払先'!$M$5:$M$104,$P8)="対象外","",IF(AND($L8&gt;60,$K8&gt;=EDATE($B8,2)),"超える","")))</f>
        <v/>
      </c>
      <c r="N8" s="67" t="n"/>
      <c r="O8" s="31">
        <f>IF($A8="","",IFERROR(MATCH($A8,'通知一覧'!$B$5:$B$204,0),"なし"))</f>
        <v/>
      </c>
      <c r="P8" s="31">
        <f>IF(NOT(ISNUMBER($O8)),"",IFERROR(MATCH(INDEX('通知一覧'!$C$5:$C$204,$O8),'支払先'!$B$5:$B$104,0),""))</f>
        <v/>
      </c>
      <c r="Q8" s="31">
        <f>IF(AND($A8&lt;&gt;"",$A8='支払通知書'!$K$2),ROW(),"")</f>
        <v/>
      </c>
    </row>
    <row r="9" ht="18" customHeight="1">
      <c r="A9" s="18" t="n"/>
      <c r="B9" s="24" t="n"/>
      <c r="C9" s="19" t="n"/>
      <c r="D9" s="25" t="n"/>
      <c r="E9" s="18" t="n"/>
      <c r="F9" s="25" t="n"/>
      <c r="G9" s="18" t="n"/>
      <c r="H9" s="18" t="n"/>
      <c r="I9" s="26">
        <f>IF(OR($A9="",$F9=""),"",ROUND(IF($D9="",1,$D9)*$F9,0))</f>
        <v/>
      </c>
      <c r="J9" s="27">
        <f>IF($A9="","",IF($O9="なし","※通知一覧にない通知No",IF($P9="","",INDEX('支払先'!$C$5:$C$104,$P9)&amp;"")))</f>
        <v/>
      </c>
      <c r="K9" s="28">
        <f>IF(NOT(ISNUMBER($O9)),"",IF(ISNUMBER(INDEX('通知一覧'!$F$5:$F$204,$O9)),INDEX('通知一覧'!$F$5:$F$204,$O9),""))</f>
        <v/>
      </c>
      <c r="L9" s="29">
        <f>IF(AND(ISNUMBER($B9),ISNUMBER($K9)),$K9-$B9+1,"")</f>
        <v/>
      </c>
      <c r="M9" s="30">
        <f>IF(OR($L9="",$P9=""),"",IF(INDEX('支払先'!$M$5:$M$104,$P9)="対象外","",IF(AND($L9&gt;60,$K9&gt;=EDATE($B9,2)),"超える","")))</f>
        <v/>
      </c>
      <c r="N9" s="67" t="n"/>
      <c r="O9" s="31">
        <f>IF($A9="","",IFERROR(MATCH($A9,'通知一覧'!$B$5:$B$204,0),"なし"))</f>
        <v/>
      </c>
      <c r="P9" s="31">
        <f>IF(NOT(ISNUMBER($O9)),"",IFERROR(MATCH(INDEX('通知一覧'!$C$5:$C$204,$O9),'支払先'!$B$5:$B$104,0),""))</f>
        <v/>
      </c>
      <c r="Q9" s="31">
        <f>IF(AND($A9&lt;&gt;"",$A9='支払通知書'!$K$2),ROW(),"")</f>
        <v/>
      </c>
    </row>
    <row r="10" ht="18" customHeight="1">
      <c r="A10" s="18" t="n"/>
      <c r="B10" s="24" t="n"/>
      <c r="C10" s="19" t="n"/>
      <c r="D10" s="25" t="n"/>
      <c r="E10" s="18" t="n"/>
      <c r="F10" s="25" t="n"/>
      <c r="G10" s="18" t="n"/>
      <c r="H10" s="18" t="n"/>
      <c r="I10" s="26">
        <f>IF(OR($A10="",$F10=""),"",ROUND(IF($D10="",1,$D10)*$F10,0))</f>
        <v/>
      </c>
      <c r="J10" s="27">
        <f>IF($A10="","",IF($O10="なし","※通知一覧にない通知No",IF($P10="","",INDEX('支払先'!$C$5:$C$104,$P10)&amp;"")))</f>
        <v/>
      </c>
      <c r="K10" s="28">
        <f>IF(NOT(ISNUMBER($O10)),"",IF(ISNUMBER(INDEX('通知一覧'!$F$5:$F$204,$O10)),INDEX('通知一覧'!$F$5:$F$204,$O10),""))</f>
        <v/>
      </c>
      <c r="L10" s="29">
        <f>IF(AND(ISNUMBER($B10),ISNUMBER($K10)),$K10-$B10+1,"")</f>
        <v/>
      </c>
      <c r="M10" s="30">
        <f>IF(OR($L10="",$P10=""),"",IF(INDEX('支払先'!$M$5:$M$104,$P10)="対象外","",IF(AND($L10&gt;60,$K10&gt;=EDATE($B10,2)),"超える","")))</f>
        <v/>
      </c>
      <c r="N10" s="67" t="n"/>
      <c r="O10" s="31">
        <f>IF($A10="","",IFERROR(MATCH($A10,'通知一覧'!$B$5:$B$204,0),"なし"))</f>
        <v/>
      </c>
      <c r="P10" s="31">
        <f>IF(NOT(ISNUMBER($O10)),"",IFERROR(MATCH(INDEX('通知一覧'!$C$5:$C$204,$O10),'支払先'!$B$5:$B$104,0),""))</f>
        <v/>
      </c>
      <c r="Q10" s="31">
        <f>IF(AND($A10&lt;&gt;"",$A10='支払通知書'!$K$2),ROW(),"")</f>
        <v/>
      </c>
    </row>
    <row r="11" ht="18" customHeight="1">
      <c r="A11" s="18" t="n"/>
      <c r="B11" s="24" t="n"/>
      <c r="C11" s="19" t="n"/>
      <c r="D11" s="25" t="n"/>
      <c r="E11" s="18" t="n"/>
      <c r="F11" s="25" t="n"/>
      <c r="G11" s="18" t="n"/>
      <c r="H11" s="18" t="n"/>
      <c r="I11" s="26">
        <f>IF(OR($A11="",$F11=""),"",ROUND(IF($D11="",1,$D11)*$F11,0))</f>
        <v/>
      </c>
      <c r="J11" s="27">
        <f>IF($A11="","",IF($O11="なし","※通知一覧にない通知No",IF($P11="","",INDEX('支払先'!$C$5:$C$104,$P11)&amp;"")))</f>
        <v/>
      </c>
      <c r="K11" s="28">
        <f>IF(NOT(ISNUMBER($O11)),"",IF(ISNUMBER(INDEX('通知一覧'!$F$5:$F$204,$O11)),INDEX('通知一覧'!$F$5:$F$204,$O11),""))</f>
        <v/>
      </c>
      <c r="L11" s="29">
        <f>IF(AND(ISNUMBER($B11),ISNUMBER($K11)),$K11-$B11+1,"")</f>
        <v/>
      </c>
      <c r="M11" s="30">
        <f>IF(OR($L11="",$P11=""),"",IF(INDEX('支払先'!$M$5:$M$104,$P11)="対象外","",IF(AND($L11&gt;60,$K11&gt;=EDATE($B11,2)),"超える","")))</f>
        <v/>
      </c>
      <c r="N11" s="67" t="n"/>
      <c r="O11" s="31">
        <f>IF($A11="","",IFERROR(MATCH($A11,'通知一覧'!$B$5:$B$204,0),"なし"))</f>
        <v/>
      </c>
      <c r="P11" s="31">
        <f>IF(NOT(ISNUMBER($O11)),"",IFERROR(MATCH(INDEX('通知一覧'!$C$5:$C$204,$O11),'支払先'!$B$5:$B$104,0),""))</f>
        <v/>
      </c>
      <c r="Q11" s="31">
        <f>IF(AND($A11&lt;&gt;"",$A11='支払通知書'!$K$2),ROW(),"")</f>
        <v/>
      </c>
    </row>
    <row r="12" ht="18" customHeight="1">
      <c r="A12" s="18" t="n"/>
      <c r="B12" s="24" t="n"/>
      <c r="C12" s="19" t="n"/>
      <c r="D12" s="25" t="n"/>
      <c r="E12" s="18" t="n"/>
      <c r="F12" s="25" t="n"/>
      <c r="G12" s="18" t="n"/>
      <c r="H12" s="18" t="n"/>
      <c r="I12" s="26">
        <f>IF(OR($A12="",$F12=""),"",ROUND(IF($D12="",1,$D12)*$F12,0))</f>
        <v/>
      </c>
      <c r="J12" s="27">
        <f>IF($A12="","",IF($O12="なし","※通知一覧にない通知No",IF($P12="","",INDEX('支払先'!$C$5:$C$104,$P12)&amp;"")))</f>
        <v/>
      </c>
      <c r="K12" s="28">
        <f>IF(NOT(ISNUMBER($O12)),"",IF(ISNUMBER(INDEX('通知一覧'!$F$5:$F$204,$O12)),INDEX('通知一覧'!$F$5:$F$204,$O12),""))</f>
        <v/>
      </c>
      <c r="L12" s="29">
        <f>IF(AND(ISNUMBER($B12),ISNUMBER($K12)),$K12-$B12+1,"")</f>
        <v/>
      </c>
      <c r="M12" s="30">
        <f>IF(OR($L12="",$P12=""),"",IF(INDEX('支払先'!$M$5:$M$104,$P12)="対象外","",IF(AND($L12&gt;60,$K12&gt;=EDATE($B12,2)),"超える","")))</f>
        <v/>
      </c>
      <c r="N12" s="67" t="n"/>
      <c r="O12" s="31">
        <f>IF($A12="","",IFERROR(MATCH($A12,'通知一覧'!$B$5:$B$204,0),"なし"))</f>
        <v/>
      </c>
      <c r="P12" s="31">
        <f>IF(NOT(ISNUMBER($O12)),"",IFERROR(MATCH(INDEX('通知一覧'!$C$5:$C$204,$O12),'支払先'!$B$5:$B$104,0),""))</f>
        <v/>
      </c>
      <c r="Q12" s="31">
        <f>IF(AND($A12&lt;&gt;"",$A12='支払通知書'!$K$2),ROW(),"")</f>
        <v/>
      </c>
    </row>
    <row r="13" ht="18" customHeight="1">
      <c r="A13" s="18" t="n"/>
      <c r="B13" s="24" t="n"/>
      <c r="C13" s="19" t="n"/>
      <c r="D13" s="25" t="n"/>
      <c r="E13" s="18" t="n"/>
      <c r="F13" s="25" t="n"/>
      <c r="G13" s="18" t="n"/>
      <c r="H13" s="18" t="n"/>
      <c r="I13" s="26">
        <f>IF(OR($A13="",$F13=""),"",ROUND(IF($D13="",1,$D13)*$F13,0))</f>
        <v/>
      </c>
      <c r="J13" s="27">
        <f>IF($A13="","",IF($O13="なし","※通知一覧にない通知No",IF($P13="","",INDEX('支払先'!$C$5:$C$104,$P13)&amp;"")))</f>
        <v/>
      </c>
      <c r="K13" s="28">
        <f>IF(NOT(ISNUMBER($O13)),"",IF(ISNUMBER(INDEX('通知一覧'!$F$5:$F$204,$O13)),INDEX('通知一覧'!$F$5:$F$204,$O13),""))</f>
        <v/>
      </c>
      <c r="L13" s="29">
        <f>IF(AND(ISNUMBER($B13),ISNUMBER($K13)),$K13-$B13+1,"")</f>
        <v/>
      </c>
      <c r="M13" s="30">
        <f>IF(OR($L13="",$P13=""),"",IF(INDEX('支払先'!$M$5:$M$104,$P13)="対象外","",IF(AND($L13&gt;60,$K13&gt;=EDATE($B13,2)),"超える","")))</f>
        <v/>
      </c>
      <c r="N13" s="67" t="n"/>
      <c r="O13" s="31">
        <f>IF($A13="","",IFERROR(MATCH($A13,'通知一覧'!$B$5:$B$204,0),"なし"))</f>
        <v/>
      </c>
      <c r="P13" s="31">
        <f>IF(NOT(ISNUMBER($O13)),"",IFERROR(MATCH(INDEX('通知一覧'!$C$5:$C$204,$O13),'支払先'!$B$5:$B$104,0),""))</f>
        <v/>
      </c>
      <c r="Q13" s="31">
        <f>IF(AND($A13&lt;&gt;"",$A13='支払通知書'!$K$2),ROW(),"")</f>
        <v/>
      </c>
    </row>
    <row r="14" ht="18" customHeight="1">
      <c r="A14" s="18" t="n"/>
      <c r="B14" s="24" t="n"/>
      <c r="C14" s="19" t="n"/>
      <c r="D14" s="25" t="n"/>
      <c r="E14" s="18" t="n"/>
      <c r="F14" s="25" t="n"/>
      <c r="G14" s="18" t="n"/>
      <c r="H14" s="18" t="n"/>
      <c r="I14" s="26">
        <f>IF(OR($A14="",$F14=""),"",ROUND(IF($D14="",1,$D14)*$F14,0))</f>
        <v/>
      </c>
      <c r="J14" s="27">
        <f>IF($A14="","",IF($O14="なし","※通知一覧にない通知No",IF($P14="","",INDEX('支払先'!$C$5:$C$104,$P14)&amp;"")))</f>
        <v/>
      </c>
      <c r="K14" s="28">
        <f>IF(NOT(ISNUMBER($O14)),"",IF(ISNUMBER(INDEX('通知一覧'!$F$5:$F$204,$O14)),INDEX('通知一覧'!$F$5:$F$204,$O14),""))</f>
        <v/>
      </c>
      <c r="L14" s="29">
        <f>IF(AND(ISNUMBER($B14),ISNUMBER($K14)),$K14-$B14+1,"")</f>
        <v/>
      </c>
      <c r="M14" s="30">
        <f>IF(OR($L14="",$P14=""),"",IF(INDEX('支払先'!$M$5:$M$104,$P14)="対象外","",IF(AND($L14&gt;60,$K14&gt;=EDATE($B14,2)),"超える","")))</f>
        <v/>
      </c>
      <c r="N14" s="67" t="n"/>
      <c r="O14" s="31">
        <f>IF($A14="","",IFERROR(MATCH($A14,'通知一覧'!$B$5:$B$204,0),"なし"))</f>
        <v/>
      </c>
      <c r="P14" s="31">
        <f>IF(NOT(ISNUMBER($O14)),"",IFERROR(MATCH(INDEX('通知一覧'!$C$5:$C$204,$O14),'支払先'!$B$5:$B$104,0),""))</f>
        <v/>
      </c>
      <c r="Q14" s="31">
        <f>IF(AND($A14&lt;&gt;"",$A14='支払通知書'!$K$2),ROW(),"")</f>
        <v/>
      </c>
    </row>
    <row r="15" ht="18" customHeight="1">
      <c r="A15" s="18" t="n"/>
      <c r="B15" s="24" t="n"/>
      <c r="C15" s="19" t="n"/>
      <c r="D15" s="25" t="n"/>
      <c r="E15" s="18" t="n"/>
      <c r="F15" s="25" t="n"/>
      <c r="G15" s="18" t="n"/>
      <c r="H15" s="18" t="n"/>
      <c r="I15" s="26">
        <f>IF(OR($A15="",$F15=""),"",ROUND(IF($D15="",1,$D15)*$F15,0))</f>
        <v/>
      </c>
      <c r="J15" s="27">
        <f>IF($A15="","",IF($O15="なし","※通知一覧にない通知No",IF($P15="","",INDEX('支払先'!$C$5:$C$104,$P15)&amp;"")))</f>
        <v/>
      </c>
      <c r="K15" s="28">
        <f>IF(NOT(ISNUMBER($O15)),"",IF(ISNUMBER(INDEX('通知一覧'!$F$5:$F$204,$O15)),INDEX('通知一覧'!$F$5:$F$204,$O15),""))</f>
        <v/>
      </c>
      <c r="L15" s="29">
        <f>IF(AND(ISNUMBER($B15),ISNUMBER($K15)),$K15-$B15+1,"")</f>
        <v/>
      </c>
      <c r="M15" s="30">
        <f>IF(OR($L15="",$P15=""),"",IF(INDEX('支払先'!$M$5:$M$104,$P15)="対象外","",IF(AND($L15&gt;60,$K15&gt;=EDATE($B15,2)),"超える","")))</f>
        <v/>
      </c>
      <c r="N15" s="67" t="n"/>
      <c r="O15" s="31">
        <f>IF($A15="","",IFERROR(MATCH($A15,'通知一覧'!$B$5:$B$204,0),"なし"))</f>
        <v/>
      </c>
      <c r="P15" s="31">
        <f>IF(NOT(ISNUMBER($O15)),"",IFERROR(MATCH(INDEX('通知一覧'!$C$5:$C$204,$O15),'支払先'!$B$5:$B$104,0),""))</f>
        <v/>
      </c>
      <c r="Q15" s="31">
        <f>IF(AND($A15&lt;&gt;"",$A15='支払通知書'!$K$2),ROW(),"")</f>
        <v/>
      </c>
    </row>
    <row r="16" ht="18" customHeight="1">
      <c r="A16" s="18" t="n"/>
      <c r="B16" s="24" t="n"/>
      <c r="C16" s="19" t="n"/>
      <c r="D16" s="25" t="n"/>
      <c r="E16" s="18" t="n"/>
      <c r="F16" s="25" t="n"/>
      <c r="G16" s="18" t="n"/>
      <c r="H16" s="18" t="n"/>
      <c r="I16" s="26">
        <f>IF(OR($A16="",$F16=""),"",ROUND(IF($D16="",1,$D16)*$F16,0))</f>
        <v/>
      </c>
      <c r="J16" s="27">
        <f>IF($A16="","",IF($O16="なし","※通知一覧にない通知No",IF($P16="","",INDEX('支払先'!$C$5:$C$104,$P16)&amp;"")))</f>
        <v/>
      </c>
      <c r="K16" s="28">
        <f>IF(NOT(ISNUMBER($O16)),"",IF(ISNUMBER(INDEX('通知一覧'!$F$5:$F$204,$O16)),INDEX('通知一覧'!$F$5:$F$204,$O16),""))</f>
        <v/>
      </c>
      <c r="L16" s="29">
        <f>IF(AND(ISNUMBER($B16),ISNUMBER($K16)),$K16-$B16+1,"")</f>
        <v/>
      </c>
      <c r="M16" s="30">
        <f>IF(OR($L16="",$P16=""),"",IF(INDEX('支払先'!$M$5:$M$104,$P16)="対象外","",IF(AND($L16&gt;60,$K16&gt;=EDATE($B16,2)),"超える","")))</f>
        <v/>
      </c>
      <c r="N16" s="67" t="n"/>
      <c r="O16" s="31">
        <f>IF($A16="","",IFERROR(MATCH($A16,'通知一覧'!$B$5:$B$204,0),"なし"))</f>
        <v/>
      </c>
      <c r="P16" s="31">
        <f>IF(NOT(ISNUMBER($O16)),"",IFERROR(MATCH(INDEX('通知一覧'!$C$5:$C$204,$O16),'支払先'!$B$5:$B$104,0),""))</f>
        <v/>
      </c>
      <c r="Q16" s="31">
        <f>IF(AND($A16&lt;&gt;"",$A16='支払通知書'!$K$2),ROW(),"")</f>
        <v/>
      </c>
    </row>
    <row r="17" ht="18" customHeight="1">
      <c r="A17" s="18" t="n"/>
      <c r="B17" s="24" t="n"/>
      <c r="C17" s="19" t="n"/>
      <c r="D17" s="25" t="n"/>
      <c r="E17" s="18" t="n"/>
      <c r="F17" s="25" t="n"/>
      <c r="G17" s="18" t="n"/>
      <c r="H17" s="18" t="n"/>
      <c r="I17" s="26">
        <f>IF(OR($A17="",$F17=""),"",ROUND(IF($D17="",1,$D17)*$F17,0))</f>
        <v/>
      </c>
      <c r="J17" s="27">
        <f>IF($A17="","",IF($O17="なし","※通知一覧にない通知No",IF($P17="","",INDEX('支払先'!$C$5:$C$104,$P17)&amp;"")))</f>
        <v/>
      </c>
      <c r="K17" s="28">
        <f>IF(NOT(ISNUMBER($O17)),"",IF(ISNUMBER(INDEX('通知一覧'!$F$5:$F$204,$O17)),INDEX('通知一覧'!$F$5:$F$204,$O17),""))</f>
        <v/>
      </c>
      <c r="L17" s="29">
        <f>IF(AND(ISNUMBER($B17),ISNUMBER($K17)),$K17-$B17+1,"")</f>
        <v/>
      </c>
      <c r="M17" s="30">
        <f>IF(OR($L17="",$P17=""),"",IF(INDEX('支払先'!$M$5:$M$104,$P17)="対象外","",IF(AND($L17&gt;60,$K17&gt;=EDATE($B17,2)),"超える","")))</f>
        <v/>
      </c>
      <c r="N17" s="67" t="n"/>
      <c r="O17" s="31">
        <f>IF($A17="","",IFERROR(MATCH($A17,'通知一覧'!$B$5:$B$204,0),"なし"))</f>
        <v/>
      </c>
      <c r="P17" s="31">
        <f>IF(NOT(ISNUMBER($O17)),"",IFERROR(MATCH(INDEX('通知一覧'!$C$5:$C$204,$O17),'支払先'!$B$5:$B$104,0),""))</f>
        <v/>
      </c>
      <c r="Q17" s="31">
        <f>IF(AND($A17&lt;&gt;"",$A17='支払通知書'!$K$2),ROW(),"")</f>
        <v/>
      </c>
    </row>
    <row r="18" ht="18" customHeight="1">
      <c r="A18" s="18" t="n"/>
      <c r="B18" s="24" t="n"/>
      <c r="C18" s="19" t="n"/>
      <c r="D18" s="25" t="n"/>
      <c r="E18" s="18" t="n"/>
      <c r="F18" s="25" t="n"/>
      <c r="G18" s="18" t="n"/>
      <c r="H18" s="18" t="n"/>
      <c r="I18" s="26">
        <f>IF(OR($A18="",$F18=""),"",ROUND(IF($D18="",1,$D18)*$F18,0))</f>
        <v/>
      </c>
      <c r="J18" s="27">
        <f>IF($A18="","",IF($O18="なし","※通知一覧にない通知No",IF($P18="","",INDEX('支払先'!$C$5:$C$104,$P18)&amp;"")))</f>
        <v/>
      </c>
      <c r="K18" s="28">
        <f>IF(NOT(ISNUMBER($O18)),"",IF(ISNUMBER(INDEX('通知一覧'!$F$5:$F$204,$O18)),INDEX('通知一覧'!$F$5:$F$204,$O18),""))</f>
        <v/>
      </c>
      <c r="L18" s="29">
        <f>IF(AND(ISNUMBER($B18),ISNUMBER($K18)),$K18-$B18+1,"")</f>
        <v/>
      </c>
      <c r="M18" s="30">
        <f>IF(OR($L18="",$P18=""),"",IF(INDEX('支払先'!$M$5:$M$104,$P18)="対象外","",IF(AND($L18&gt;60,$K18&gt;=EDATE($B18,2)),"超える","")))</f>
        <v/>
      </c>
      <c r="N18" s="67" t="n"/>
      <c r="O18" s="31">
        <f>IF($A18="","",IFERROR(MATCH($A18,'通知一覧'!$B$5:$B$204,0),"なし"))</f>
        <v/>
      </c>
      <c r="P18" s="31">
        <f>IF(NOT(ISNUMBER($O18)),"",IFERROR(MATCH(INDEX('通知一覧'!$C$5:$C$204,$O18),'支払先'!$B$5:$B$104,0),""))</f>
        <v/>
      </c>
      <c r="Q18" s="31">
        <f>IF(AND($A18&lt;&gt;"",$A18='支払通知書'!$K$2),ROW(),"")</f>
        <v/>
      </c>
    </row>
    <row r="19" ht="18" customHeight="1">
      <c r="A19" s="18" t="n"/>
      <c r="B19" s="24" t="n"/>
      <c r="C19" s="19" t="n"/>
      <c r="D19" s="25" t="n"/>
      <c r="E19" s="18" t="n"/>
      <c r="F19" s="25" t="n"/>
      <c r="G19" s="18" t="n"/>
      <c r="H19" s="18" t="n"/>
      <c r="I19" s="26">
        <f>IF(OR($A19="",$F19=""),"",ROUND(IF($D19="",1,$D19)*$F19,0))</f>
        <v/>
      </c>
      <c r="J19" s="27">
        <f>IF($A19="","",IF($O19="なし","※通知一覧にない通知No",IF($P19="","",INDEX('支払先'!$C$5:$C$104,$P19)&amp;"")))</f>
        <v/>
      </c>
      <c r="K19" s="28">
        <f>IF(NOT(ISNUMBER($O19)),"",IF(ISNUMBER(INDEX('通知一覧'!$F$5:$F$204,$O19)),INDEX('通知一覧'!$F$5:$F$204,$O19),""))</f>
        <v/>
      </c>
      <c r="L19" s="29">
        <f>IF(AND(ISNUMBER($B19),ISNUMBER($K19)),$K19-$B19+1,"")</f>
        <v/>
      </c>
      <c r="M19" s="30">
        <f>IF(OR($L19="",$P19=""),"",IF(INDEX('支払先'!$M$5:$M$104,$P19)="対象外","",IF(AND($L19&gt;60,$K19&gt;=EDATE($B19,2)),"超える","")))</f>
        <v/>
      </c>
      <c r="N19" s="67" t="n"/>
      <c r="O19" s="31">
        <f>IF($A19="","",IFERROR(MATCH($A19,'通知一覧'!$B$5:$B$204,0),"なし"))</f>
        <v/>
      </c>
      <c r="P19" s="31">
        <f>IF(NOT(ISNUMBER($O19)),"",IFERROR(MATCH(INDEX('通知一覧'!$C$5:$C$204,$O19),'支払先'!$B$5:$B$104,0),""))</f>
        <v/>
      </c>
      <c r="Q19" s="31">
        <f>IF(AND($A19&lt;&gt;"",$A19='支払通知書'!$K$2),ROW(),"")</f>
        <v/>
      </c>
    </row>
    <row r="20" ht="18" customHeight="1">
      <c r="A20" s="18" t="n"/>
      <c r="B20" s="24" t="n"/>
      <c r="C20" s="19" t="n"/>
      <c r="D20" s="25" t="n"/>
      <c r="E20" s="18" t="n"/>
      <c r="F20" s="25" t="n"/>
      <c r="G20" s="18" t="n"/>
      <c r="H20" s="18" t="n"/>
      <c r="I20" s="26">
        <f>IF(OR($A20="",$F20=""),"",ROUND(IF($D20="",1,$D20)*$F20,0))</f>
        <v/>
      </c>
      <c r="J20" s="27">
        <f>IF($A20="","",IF($O20="なし","※通知一覧にない通知No",IF($P20="","",INDEX('支払先'!$C$5:$C$104,$P20)&amp;"")))</f>
        <v/>
      </c>
      <c r="K20" s="28">
        <f>IF(NOT(ISNUMBER($O20)),"",IF(ISNUMBER(INDEX('通知一覧'!$F$5:$F$204,$O20)),INDEX('通知一覧'!$F$5:$F$204,$O20),""))</f>
        <v/>
      </c>
      <c r="L20" s="29">
        <f>IF(AND(ISNUMBER($B20),ISNUMBER($K20)),$K20-$B20+1,"")</f>
        <v/>
      </c>
      <c r="M20" s="30">
        <f>IF(OR($L20="",$P20=""),"",IF(INDEX('支払先'!$M$5:$M$104,$P20)="対象外","",IF(AND($L20&gt;60,$K20&gt;=EDATE($B20,2)),"超える","")))</f>
        <v/>
      </c>
      <c r="N20" s="67" t="n"/>
      <c r="O20" s="31">
        <f>IF($A20="","",IFERROR(MATCH($A20,'通知一覧'!$B$5:$B$204,0),"なし"))</f>
        <v/>
      </c>
      <c r="P20" s="31">
        <f>IF(NOT(ISNUMBER($O20)),"",IFERROR(MATCH(INDEX('通知一覧'!$C$5:$C$204,$O20),'支払先'!$B$5:$B$104,0),""))</f>
        <v/>
      </c>
      <c r="Q20" s="31">
        <f>IF(AND($A20&lt;&gt;"",$A20='支払通知書'!$K$2),ROW(),"")</f>
        <v/>
      </c>
    </row>
    <row r="21" ht="18" customHeight="1">
      <c r="A21" s="18" t="n"/>
      <c r="B21" s="24" t="n"/>
      <c r="C21" s="19" t="n"/>
      <c r="D21" s="25" t="n"/>
      <c r="E21" s="18" t="n"/>
      <c r="F21" s="25" t="n"/>
      <c r="G21" s="18" t="n"/>
      <c r="H21" s="18" t="n"/>
      <c r="I21" s="26">
        <f>IF(OR($A21="",$F21=""),"",ROUND(IF($D21="",1,$D21)*$F21,0))</f>
        <v/>
      </c>
      <c r="J21" s="27">
        <f>IF($A21="","",IF($O21="なし","※通知一覧にない通知No",IF($P21="","",INDEX('支払先'!$C$5:$C$104,$P21)&amp;"")))</f>
        <v/>
      </c>
      <c r="K21" s="28">
        <f>IF(NOT(ISNUMBER($O21)),"",IF(ISNUMBER(INDEX('通知一覧'!$F$5:$F$204,$O21)),INDEX('通知一覧'!$F$5:$F$204,$O21),""))</f>
        <v/>
      </c>
      <c r="L21" s="29">
        <f>IF(AND(ISNUMBER($B21),ISNUMBER($K21)),$K21-$B21+1,"")</f>
        <v/>
      </c>
      <c r="M21" s="30">
        <f>IF(OR($L21="",$P21=""),"",IF(INDEX('支払先'!$M$5:$M$104,$P21)="対象外","",IF(AND($L21&gt;60,$K21&gt;=EDATE($B21,2)),"超える","")))</f>
        <v/>
      </c>
      <c r="N21" s="67" t="n"/>
      <c r="O21" s="31">
        <f>IF($A21="","",IFERROR(MATCH($A21,'通知一覧'!$B$5:$B$204,0),"なし"))</f>
        <v/>
      </c>
      <c r="P21" s="31">
        <f>IF(NOT(ISNUMBER($O21)),"",IFERROR(MATCH(INDEX('通知一覧'!$C$5:$C$204,$O21),'支払先'!$B$5:$B$104,0),""))</f>
        <v/>
      </c>
      <c r="Q21" s="31">
        <f>IF(AND($A21&lt;&gt;"",$A21='支払通知書'!$K$2),ROW(),"")</f>
        <v/>
      </c>
    </row>
    <row r="22" ht="18" customHeight="1">
      <c r="A22" s="18" t="n"/>
      <c r="B22" s="24" t="n"/>
      <c r="C22" s="19" t="n"/>
      <c r="D22" s="25" t="n"/>
      <c r="E22" s="18" t="n"/>
      <c r="F22" s="25" t="n"/>
      <c r="G22" s="18" t="n"/>
      <c r="H22" s="18" t="n"/>
      <c r="I22" s="26">
        <f>IF(OR($A22="",$F22=""),"",ROUND(IF($D22="",1,$D22)*$F22,0))</f>
        <v/>
      </c>
      <c r="J22" s="27">
        <f>IF($A22="","",IF($O22="なし","※通知一覧にない通知No",IF($P22="","",INDEX('支払先'!$C$5:$C$104,$P22)&amp;"")))</f>
        <v/>
      </c>
      <c r="K22" s="28">
        <f>IF(NOT(ISNUMBER($O22)),"",IF(ISNUMBER(INDEX('通知一覧'!$F$5:$F$204,$O22)),INDEX('通知一覧'!$F$5:$F$204,$O22),""))</f>
        <v/>
      </c>
      <c r="L22" s="29">
        <f>IF(AND(ISNUMBER($B22),ISNUMBER($K22)),$K22-$B22+1,"")</f>
        <v/>
      </c>
      <c r="M22" s="30">
        <f>IF(OR($L22="",$P22=""),"",IF(INDEX('支払先'!$M$5:$M$104,$P22)="対象外","",IF(AND($L22&gt;60,$K22&gt;=EDATE($B22,2)),"超える","")))</f>
        <v/>
      </c>
      <c r="N22" s="67" t="n"/>
      <c r="O22" s="31">
        <f>IF($A22="","",IFERROR(MATCH($A22,'通知一覧'!$B$5:$B$204,0),"なし"))</f>
        <v/>
      </c>
      <c r="P22" s="31">
        <f>IF(NOT(ISNUMBER($O22)),"",IFERROR(MATCH(INDEX('通知一覧'!$C$5:$C$204,$O22),'支払先'!$B$5:$B$104,0),""))</f>
        <v/>
      </c>
      <c r="Q22" s="31">
        <f>IF(AND($A22&lt;&gt;"",$A22='支払通知書'!$K$2),ROW(),"")</f>
        <v/>
      </c>
    </row>
    <row r="23" ht="18" customHeight="1">
      <c r="A23" s="18" t="n"/>
      <c r="B23" s="24" t="n"/>
      <c r="C23" s="19" t="n"/>
      <c r="D23" s="25" t="n"/>
      <c r="E23" s="18" t="n"/>
      <c r="F23" s="25" t="n"/>
      <c r="G23" s="18" t="n"/>
      <c r="H23" s="18" t="n"/>
      <c r="I23" s="26">
        <f>IF(OR($A23="",$F23=""),"",ROUND(IF($D23="",1,$D23)*$F23,0))</f>
        <v/>
      </c>
      <c r="J23" s="27">
        <f>IF($A23="","",IF($O23="なし","※通知一覧にない通知No",IF($P23="","",INDEX('支払先'!$C$5:$C$104,$P23)&amp;"")))</f>
        <v/>
      </c>
      <c r="K23" s="28">
        <f>IF(NOT(ISNUMBER($O23)),"",IF(ISNUMBER(INDEX('通知一覧'!$F$5:$F$204,$O23)),INDEX('通知一覧'!$F$5:$F$204,$O23),""))</f>
        <v/>
      </c>
      <c r="L23" s="29">
        <f>IF(AND(ISNUMBER($B23),ISNUMBER($K23)),$K23-$B23+1,"")</f>
        <v/>
      </c>
      <c r="M23" s="30">
        <f>IF(OR($L23="",$P23=""),"",IF(INDEX('支払先'!$M$5:$M$104,$P23)="対象外","",IF(AND($L23&gt;60,$K23&gt;=EDATE($B23,2)),"超える","")))</f>
        <v/>
      </c>
      <c r="N23" s="67" t="n"/>
      <c r="O23" s="31">
        <f>IF($A23="","",IFERROR(MATCH($A23,'通知一覧'!$B$5:$B$204,0),"なし"))</f>
        <v/>
      </c>
      <c r="P23" s="31">
        <f>IF(NOT(ISNUMBER($O23)),"",IFERROR(MATCH(INDEX('通知一覧'!$C$5:$C$204,$O23),'支払先'!$B$5:$B$104,0),""))</f>
        <v/>
      </c>
      <c r="Q23" s="31">
        <f>IF(AND($A23&lt;&gt;"",$A23='支払通知書'!$K$2),ROW(),"")</f>
        <v/>
      </c>
    </row>
    <row r="24" ht="18" customHeight="1">
      <c r="A24" s="18" t="n"/>
      <c r="B24" s="24" t="n"/>
      <c r="C24" s="19" t="n"/>
      <c r="D24" s="25" t="n"/>
      <c r="E24" s="18" t="n"/>
      <c r="F24" s="25" t="n"/>
      <c r="G24" s="18" t="n"/>
      <c r="H24" s="18" t="n"/>
      <c r="I24" s="26">
        <f>IF(OR($A24="",$F24=""),"",ROUND(IF($D24="",1,$D24)*$F24,0))</f>
        <v/>
      </c>
      <c r="J24" s="27">
        <f>IF($A24="","",IF($O24="なし","※通知一覧にない通知No",IF($P24="","",INDEX('支払先'!$C$5:$C$104,$P24)&amp;"")))</f>
        <v/>
      </c>
      <c r="K24" s="28">
        <f>IF(NOT(ISNUMBER($O24)),"",IF(ISNUMBER(INDEX('通知一覧'!$F$5:$F$204,$O24)),INDEX('通知一覧'!$F$5:$F$204,$O24),""))</f>
        <v/>
      </c>
      <c r="L24" s="29">
        <f>IF(AND(ISNUMBER($B24),ISNUMBER($K24)),$K24-$B24+1,"")</f>
        <v/>
      </c>
      <c r="M24" s="30">
        <f>IF(OR($L24="",$P24=""),"",IF(INDEX('支払先'!$M$5:$M$104,$P24)="対象外","",IF(AND($L24&gt;60,$K24&gt;=EDATE($B24,2)),"超える","")))</f>
        <v/>
      </c>
      <c r="N24" s="67" t="n"/>
      <c r="O24" s="31">
        <f>IF($A24="","",IFERROR(MATCH($A24,'通知一覧'!$B$5:$B$204,0),"なし"))</f>
        <v/>
      </c>
      <c r="P24" s="31">
        <f>IF(NOT(ISNUMBER($O24)),"",IFERROR(MATCH(INDEX('通知一覧'!$C$5:$C$204,$O24),'支払先'!$B$5:$B$104,0),""))</f>
        <v/>
      </c>
      <c r="Q24" s="31">
        <f>IF(AND($A24&lt;&gt;"",$A24='支払通知書'!$K$2),ROW(),"")</f>
        <v/>
      </c>
    </row>
    <row r="25" ht="18" customHeight="1">
      <c r="A25" s="18" t="n"/>
      <c r="B25" s="24" t="n"/>
      <c r="C25" s="19" t="n"/>
      <c r="D25" s="25" t="n"/>
      <c r="E25" s="18" t="n"/>
      <c r="F25" s="25" t="n"/>
      <c r="G25" s="18" t="n"/>
      <c r="H25" s="18" t="n"/>
      <c r="I25" s="26">
        <f>IF(OR($A25="",$F25=""),"",ROUND(IF($D25="",1,$D25)*$F25,0))</f>
        <v/>
      </c>
      <c r="J25" s="27">
        <f>IF($A25="","",IF($O25="なし","※通知一覧にない通知No",IF($P25="","",INDEX('支払先'!$C$5:$C$104,$P25)&amp;"")))</f>
        <v/>
      </c>
      <c r="K25" s="28">
        <f>IF(NOT(ISNUMBER($O25)),"",IF(ISNUMBER(INDEX('通知一覧'!$F$5:$F$204,$O25)),INDEX('通知一覧'!$F$5:$F$204,$O25),""))</f>
        <v/>
      </c>
      <c r="L25" s="29">
        <f>IF(AND(ISNUMBER($B25),ISNUMBER($K25)),$K25-$B25+1,"")</f>
        <v/>
      </c>
      <c r="M25" s="30">
        <f>IF(OR($L25="",$P25=""),"",IF(INDEX('支払先'!$M$5:$M$104,$P25)="対象外","",IF(AND($L25&gt;60,$K25&gt;=EDATE($B25,2)),"超える","")))</f>
        <v/>
      </c>
      <c r="N25" s="67" t="n"/>
      <c r="O25" s="31">
        <f>IF($A25="","",IFERROR(MATCH($A25,'通知一覧'!$B$5:$B$204,0),"なし"))</f>
        <v/>
      </c>
      <c r="P25" s="31">
        <f>IF(NOT(ISNUMBER($O25)),"",IFERROR(MATCH(INDEX('通知一覧'!$C$5:$C$204,$O25),'支払先'!$B$5:$B$104,0),""))</f>
        <v/>
      </c>
      <c r="Q25" s="31">
        <f>IF(AND($A25&lt;&gt;"",$A25='支払通知書'!$K$2),ROW(),"")</f>
        <v/>
      </c>
    </row>
    <row r="26" ht="18" customHeight="1">
      <c r="A26" s="18" t="n"/>
      <c r="B26" s="24" t="n"/>
      <c r="C26" s="19" t="n"/>
      <c r="D26" s="25" t="n"/>
      <c r="E26" s="18" t="n"/>
      <c r="F26" s="25" t="n"/>
      <c r="G26" s="18" t="n"/>
      <c r="H26" s="18" t="n"/>
      <c r="I26" s="26">
        <f>IF(OR($A26="",$F26=""),"",ROUND(IF($D26="",1,$D26)*$F26,0))</f>
        <v/>
      </c>
      <c r="J26" s="27">
        <f>IF($A26="","",IF($O26="なし","※通知一覧にない通知No",IF($P26="","",INDEX('支払先'!$C$5:$C$104,$P26)&amp;"")))</f>
        <v/>
      </c>
      <c r="K26" s="28">
        <f>IF(NOT(ISNUMBER($O26)),"",IF(ISNUMBER(INDEX('通知一覧'!$F$5:$F$204,$O26)),INDEX('通知一覧'!$F$5:$F$204,$O26),""))</f>
        <v/>
      </c>
      <c r="L26" s="29">
        <f>IF(AND(ISNUMBER($B26),ISNUMBER($K26)),$K26-$B26+1,"")</f>
        <v/>
      </c>
      <c r="M26" s="30">
        <f>IF(OR($L26="",$P26=""),"",IF(INDEX('支払先'!$M$5:$M$104,$P26)="対象外","",IF(AND($L26&gt;60,$K26&gt;=EDATE($B26,2)),"超える","")))</f>
        <v/>
      </c>
      <c r="N26" s="67" t="n"/>
      <c r="O26" s="31">
        <f>IF($A26="","",IFERROR(MATCH($A26,'通知一覧'!$B$5:$B$204,0),"なし"))</f>
        <v/>
      </c>
      <c r="P26" s="31">
        <f>IF(NOT(ISNUMBER($O26)),"",IFERROR(MATCH(INDEX('通知一覧'!$C$5:$C$204,$O26),'支払先'!$B$5:$B$104,0),""))</f>
        <v/>
      </c>
      <c r="Q26" s="31">
        <f>IF(AND($A26&lt;&gt;"",$A26='支払通知書'!$K$2),ROW(),"")</f>
        <v/>
      </c>
    </row>
    <row r="27" ht="18" customHeight="1">
      <c r="A27" s="18" t="n"/>
      <c r="B27" s="24" t="n"/>
      <c r="C27" s="19" t="n"/>
      <c r="D27" s="25" t="n"/>
      <c r="E27" s="18" t="n"/>
      <c r="F27" s="25" t="n"/>
      <c r="G27" s="18" t="n"/>
      <c r="H27" s="18" t="n"/>
      <c r="I27" s="26">
        <f>IF(OR($A27="",$F27=""),"",ROUND(IF($D27="",1,$D27)*$F27,0))</f>
        <v/>
      </c>
      <c r="J27" s="27">
        <f>IF($A27="","",IF($O27="なし","※通知一覧にない通知No",IF($P27="","",INDEX('支払先'!$C$5:$C$104,$P27)&amp;"")))</f>
        <v/>
      </c>
      <c r="K27" s="28">
        <f>IF(NOT(ISNUMBER($O27)),"",IF(ISNUMBER(INDEX('通知一覧'!$F$5:$F$204,$O27)),INDEX('通知一覧'!$F$5:$F$204,$O27),""))</f>
        <v/>
      </c>
      <c r="L27" s="29">
        <f>IF(AND(ISNUMBER($B27),ISNUMBER($K27)),$K27-$B27+1,"")</f>
        <v/>
      </c>
      <c r="M27" s="30">
        <f>IF(OR($L27="",$P27=""),"",IF(INDEX('支払先'!$M$5:$M$104,$P27)="対象外","",IF(AND($L27&gt;60,$K27&gt;=EDATE($B27,2)),"超える","")))</f>
        <v/>
      </c>
      <c r="N27" s="67" t="n"/>
      <c r="O27" s="31">
        <f>IF($A27="","",IFERROR(MATCH($A27,'通知一覧'!$B$5:$B$204,0),"なし"))</f>
        <v/>
      </c>
      <c r="P27" s="31">
        <f>IF(NOT(ISNUMBER($O27)),"",IFERROR(MATCH(INDEX('通知一覧'!$C$5:$C$204,$O27),'支払先'!$B$5:$B$104,0),""))</f>
        <v/>
      </c>
      <c r="Q27" s="31">
        <f>IF(AND($A27&lt;&gt;"",$A27='支払通知書'!$K$2),ROW(),"")</f>
        <v/>
      </c>
    </row>
    <row r="28" ht="18" customHeight="1">
      <c r="A28" s="18" t="n"/>
      <c r="B28" s="24" t="n"/>
      <c r="C28" s="19" t="n"/>
      <c r="D28" s="25" t="n"/>
      <c r="E28" s="18" t="n"/>
      <c r="F28" s="25" t="n"/>
      <c r="G28" s="18" t="n"/>
      <c r="H28" s="18" t="n"/>
      <c r="I28" s="26">
        <f>IF(OR($A28="",$F28=""),"",ROUND(IF($D28="",1,$D28)*$F28,0))</f>
        <v/>
      </c>
      <c r="J28" s="27">
        <f>IF($A28="","",IF($O28="なし","※通知一覧にない通知No",IF($P28="","",INDEX('支払先'!$C$5:$C$104,$P28)&amp;"")))</f>
        <v/>
      </c>
      <c r="K28" s="28">
        <f>IF(NOT(ISNUMBER($O28)),"",IF(ISNUMBER(INDEX('通知一覧'!$F$5:$F$204,$O28)),INDEX('通知一覧'!$F$5:$F$204,$O28),""))</f>
        <v/>
      </c>
      <c r="L28" s="29">
        <f>IF(AND(ISNUMBER($B28),ISNUMBER($K28)),$K28-$B28+1,"")</f>
        <v/>
      </c>
      <c r="M28" s="30">
        <f>IF(OR($L28="",$P28=""),"",IF(INDEX('支払先'!$M$5:$M$104,$P28)="対象外","",IF(AND($L28&gt;60,$K28&gt;=EDATE($B28,2)),"超える","")))</f>
        <v/>
      </c>
      <c r="N28" s="67" t="n"/>
      <c r="O28" s="31">
        <f>IF($A28="","",IFERROR(MATCH($A28,'通知一覧'!$B$5:$B$204,0),"なし"))</f>
        <v/>
      </c>
      <c r="P28" s="31">
        <f>IF(NOT(ISNUMBER($O28)),"",IFERROR(MATCH(INDEX('通知一覧'!$C$5:$C$204,$O28),'支払先'!$B$5:$B$104,0),""))</f>
        <v/>
      </c>
      <c r="Q28" s="31">
        <f>IF(AND($A28&lt;&gt;"",$A28='支払通知書'!$K$2),ROW(),"")</f>
        <v/>
      </c>
    </row>
    <row r="29" ht="18" customHeight="1">
      <c r="A29" s="18" t="n"/>
      <c r="B29" s="24" t="n"/>
      <c r="C29" s="19" t="n"/>
      <c r="D29" s="25" t="n"/>
      <c r="E29" s="18" t="n"/>
      <c r="F29" s="25" t="n"/>
      <c r="G29" s="18" t="n"/>
      <c r="H29" s="18" t="n"/>
      <c r="I29" s="26">
        <f>IF(OR($A29="",$F29=""),"",ROUND(IF($D29="",1,$D29)*$F29,0))</f>
        <v/>
      </c>
      <c r="J29" s="27">
        <f>IF($A29="","",IF($O29="なし","※通知一覧にない通知No",IF($P29="","",INDEX('支払先'!$C$5:$C$104,$P29)&amp;"")))</f>
        <v/>
      </c>
      <c r="K29" s="28">
        <f>IF(NOT(ISNUMBER($O29)),"",IF(ISNUMBER(INDEX('通知一覧'!$F$5:$F$204,$O29)),INDEX('通知一覧'!$F$5:$F$204,$O29),""))</f>
        <v/>
      </c>
      <c r="L29" s="29">
        <f>IF(AND(ISNUMBER($B29),ISNUMBER($K29)),$K29-$B29+1,"")</f>
        <v/>
      </c>
      <c r="M29" s="30">
        <f>IF(OR($L29="",$P29=""),"",IF(INDEX('支払先'!$M$5:$M$104,$P29)="対象外","",IF(AND($L29&gt;60,$K29&gt;=EDATE($B29,2)),"超える","")))</f>
        <v/>
      </c>
      <c r="N29" s="67" t="n"/>
      <c r="O29" s="31">
        <f>IF($A29="","",IFERROR(MATCH($A29,'通知一覧'!$B$5:$B$204,0),"なし"))</f>
        <v/>
      </c>
      <c r="P29" s="31">
        <f>IF(NOT(ISNUMBER($O29)),"",IFERROR(MATCH(INDEX('通知一覧'!$C$5:$C$204,$O29),'支払先'!$B$5:$B$104,0),""))</f>
        <v/>
      </c>
      <c r="Q29" s="31">
        <f>IF(AND($A29&lt;&gt;"",$A29='支払通知書'!$K$2),ROW(),"")</f>
        <v/>
      </c>
    </row>
    <row r="30" ht="18" customHeight="1">
      <c r="A30" s="18" t="n"/>
      <c r="B30" s="24" t="n"/>
      <c r="C30" s="19" t="n"/>
      <c r="D30" s="25" t="n"/>
      <c r="E30" s="18" t="n"/>
      <c r="F30" s="25" t="n"/>
      <c r="G30" s="18" t="n"/>
      <c r="H30" s="18" t="n"/>
      <c r="I30" s="26">
        <f>IF(OR($A30="",$F30=""),"",ROUND(IF($D30="",1,$D30)*$F30,0))</f>
        <v/>
      </c>
      <c r="J30" s="27">
        <f>IF($A30="","",IF($O30="なし","※通知一覧にない通知No",IF($P30="","",INDEX('支払先'!$C$5:$C$104,$P30)&amp;"")))</f>
        <v/>
      </c>
      <c r="K30" s="28">
        <f>IF(NOT(ISNUMBER($O30)),"",IF(ISNUMBER(INDEX('通知一覧'!$F$5:$F$204,$O30)),INDEX('通知一覧'!$F$5:$F$204,$O30),""))</f>
        <v/>
      </c>
      <c r="L30" s="29">
        <f>IF(AND(ISNUMBER($B30),ISNUMBER($K30)),$K30-$B30+1,"")</f>
        <v/>
      </c>
      <c r="M30" s="30">
        <f>IF(OR($L30="",$P30=""),"",IF(INDEX('支払先'!$M$5:$M$104,$P30)="対象外","",IF(AND($L30&gt;60,$K30&gt;=EDATE($B30,2)),"超える","")))</f>
        <v/>
      </c>
      <c r="N30" s="67" t="n"/>
      <c r="O30" s="31">
        <f>IF($A30="","",IFERROR(MATCH($A30,'通知一覧'!$B$5:$B$204,0),"なし"))</f>
        <v/>
      </c>
      <c r="P30" s="31">
        <f>IF(NOT(ISNUMBER($O30)),"",IFERROR(MATCH(INDEX('通知一覧'!$C$5:$C$204,$O30),'支払先'!$B$5:$B$104,0),""))</f>
        <v/>
      </c>
      <c r="Q30" s="31">
        <f>IF(AND($A30&lt;&gt;"",$A30='支払通知書'!$K$2),ROW(),"")</f>
        <v/>
      </c>
    </row>
    <row r="31" ht="18" customHeight="1">
      <c r="A31" s="18" t="n"/>
      <c r="B31" s="24" t="n"/>
      <c r="C31" s="19" t="n"/>
      <c r="D31" s="25" t="n"/>
      <c r="E31" s="18" t="n"/>
      <c r="F31" s="25" t="n"/>
      <c r="G31" s="18" t="n"/>
      <c r="H31" s="18" t="n"/>
      <c r="I31" s="26">
        <f>IF(OR($A31="",$F31=""),"",ROUND(IF($D31="",1,$D31)*$F31,0))</f>
        <v/>
      </c>
      <c r="J31" s="27">
        <f>IF($A31="","",IF($O31="なし","※通知一覧にない通知No",IF($P31="","",INDEX('支払先'!$C$5:$C$104,$P31)&amp;"")))</f>
        <v/>
      </c>
      <c r="K31" s="28">
        <f>IF(NOT(ISNUMBER($O31)),"",IF(ISNUMBER(INDEX('通知一覧'!$F$5:$F$204,$O31)),INDEX('通知一覧'!$F$5:$F$204,$O31),""))</f>
        <v/>
      </c>
      <c r="L31" s="29">
        <f>IF(AND(ISNUMBER($B31),ISNUMBER($K31)),$K31-$B31+1,"")</f>
        <v/>
      </c>
      <c r="M31" s="30">
        <f>IF(OR($L31="",$P31=""),"",IF(INDEX('支払先'!$M$5:$M$104,$P31)="対象外","",IF(AND($L31&gt;60,$K31&gt;=EDATE($B31,2)),"超える","")))</f>
        <v/>
      </c>
      <c r="N31" s="67" t="n"/>
      <c r="O31" s="31">
        <f>IF($A31="","",IFERROR(MATCH($A31,'通知一覧'!$B$5:$B$204,0),"なし"))</f>
        <v/>
      </c>
      <c r="P31" s="31">
        <f>IF(NOT(ISNUMBER($O31)),"",IFERROR(MATCH(INDEX('通知一覧'!$C$5:$C$204,$O31),'支払先'!$B$5:$B$104,0),""))</f>
        <v/>
      </c>
      <c r="Q31" s="31">
        <f>IF(AND($A31&lt;&gt;"",$A31='支払通知書'!$K$2),ROW(),"")</f>
        <v/>
      </c>
    </row>
    <row r="32" ht="18" customHeight="1">
      <c r="A32" s="18" t="n"/>
      <c r="B32" s="24" t="n"/>
      <c r="C32" s="19" t="n"/>
      <c r="D32" s="25" t="n"/>
      <c r="E32" s="18" t="n"/>
      <c r="F32" s="25" t="n"/>
      <c r="G32" s="18" t="n"/>
      <c r="H32" s="18" t="n"/>
      <c r="I32" s="26">
        <f>IF(OR($A32="",$F32=""),"",ROUND(IF($D32="",1,$D32)*$F32,0))</f>
        <v/>
      </c>
      <c r="J32" s="27">
        <f>IF($A32="","",IF($O32="なし","※通知一覧にない通知No",IF($P32="","",INDEX('支払先'!$C$5:$C$104,$P32)&amp;"")))</f>
        <v/>
      </c>
      <c r="K32" s="28">
        <f>IF(NOT(ISNUMBER($O32)),"",IF(ISNUMBER(INDEX('通知一覧'!$F$5:$F$204,$O32)),INDEX('通知一覧'!$F$5:$F$204,$O32),""))</f>
        <v/>
      </c>
      <c r="L32" s="29">
        <f>IF(AND(ISNUMBER($B32),ISNUMBER($K32)),$K32-$B32+1,"")</f>
        <v/>
      </c>
      <c r="M32" s="30">
        <f>IF(OR($L32="",$P32=""),"",IF(INDEX('支払先'!$M$5:$M$104,$P32)="対象外","",IF(AND($L32&gt;60,$K32&gt;=EDATE($B32,2)),"超える","")))</f>
        <v/>
      </c>
      <c r="N32" s="67" t="n"/>
      <c r="O32" s="31">
        <f>IF($A32="","",IFERROR(MATCH($A32,'通知一覧'!$B$5:$B$204,0),"なし"))</f>
        <v/>
      </c>
      <c r="P32" s="31">
        <f>IF(NOT(ISNUMBER($O32)),"",IFERROR(MATCH(INDEX('通知一覧'!$C$5:$C$204,$O32),'支払先'!$B$5:$B$104,0),""))</f>
        <v/>
      </c>
      <c r="Q32" s="31">
        <f>IF(AND($A32&lt;&gt;"",$A32='支払通知書'!$K$2),ROW(),"")</f>
        <v/>
      </c>
    </row>
    <row r="33" ht="18" customHeight="1">
      <c r="A33" s="18" t="n"/>
      <c r="B33" s="24" t="n"/>
      <c r="C33" s="19" t="n"/>
      <c r="D33" s="25" t="n"/>
      <c r="E33" s="18" t="n"/>
      <c r="F33" s="25" t="n"/>
      <c r="G33" s="18" t="n"/>
      <c r="H33" s="18" t="n"/>
      <c r="I33" s="26">
        <f>IF(OR($A33="",$F33=""),"",ROUND(IF($D33="",1,$D33)*$F33,0))</f>
        <v/>
      </c>
      <c r="J33" s="27">
        <f>IF($A33="","",IF($O33="なし","※通知一覧にない通知No",IF($P33="","",INDEX('支払先'!$C$5:$C$104,$P33)&amp;"")))</f>
        <v/>
      </c>
      <c r="K33" s="28">
        <f>IF(NOT(ISNUMBER($O33)),"",IF(ISNUMBER(INDEX('通知一覧'!$F$5:$F$204,$O33)),INDEX('通知一覧'!$F$5:$F$204,$O33),""))</f>
        <v/>
      </c>
      <c r="L33" s="29">
        <f>IF(AND(ISNUMBER($B33),ISNUMBER($K33)),$K33-$B33+1,"")</f>
        <v/>
      </c>
      <c r="M33" s="30">
        <f>IF(OR($L33="",$P33=""),"",IF(INDEX('支払先'!$M$5:$M$104,$P33)="対象外","",IF(AND($L33&gt;60,$K33&gt;=EDATE($B33,2)),"超える","")))</f>
        <v/>
      </c>
      <c r="N33" s="67" t="n"/>
      <c r="O33" s="31">
        <f>IF($A33="","",IFERROR(MATCH($A33,'通知一覧'!$B$5:$B$204,0),"なし"))</f>
        <v/>
      </c>
      <c r="P33" s="31">
        <f>IF(NOT(ISNUMBER($O33)),"",IFERROR(MATCH(INDEX('通知一覧'!$C$5:$C$204,$O33),'支払先'!$B$5:$B$104,0),""))</f>
        <v/>
      </c>
      <c r="Q33" s="31">
        <f>IF(AND($A33&lt;&gt;"",$A33='支払通知書'!$K$2),ROW(),"")</f>
        <v/>
      </c>
    </row>
    <row r="34" ht="18" customHeight="1">
      <c r="A34" s="18" t="n"/>
      <c r="B34" s="24" t="n"/>
      <c r="C34" s="19" t="n"/>
      <c r="D34" s="25" t="n"/>
      <c r="E34" s="18" t="n"/>
      <c r="F34" s="25" t="n"/>
      <c r="G34" s="18" t="n"/>
      <c r="H34" s="18" t="n"/>
      <c r="I34" s="26">
        <f>IF(OR($A34="",$F34=""),"",ROUND(IF($D34="",1,$D34)*$F34,0))</f>
        <v/>
      </c>
      <c r="J34" s="27">
        <f>IF($A34="","",IF($O34="なし","※通知一覧にない通知No",IF($P34="","",INDEX('支払先'!$C$5:$C$104,$P34)&amp;"")))</f>
        <v/>
      </c>
      <c r="K34" s="28">
        <f>IF(NOT(ISNUMBER($O34)),"",IF(ISNUMBER(INDEX('通知一覧'!$F$5:$F$204,$O34)),INDEX('通知一覧'!$F$5:$F$204,$O34),""))</f>
        <v/>
      </c>
      <c r="L34" s="29">
        <f>IF(AND(ISNUMBER($B34),ISNUMBER($K34)),$K34-$B34+1,"")</f>
        <v/>
      </c>
      <c r="M34" s="30">
        <f>IF(OR($L34="",$P34=""),"",IF(INDEX('支払先'!$M$5:$M$104,$P34)="対象外","",IF(AND($L34&gt;60,$K34&gt;=EDATE($B34,2)),"超える","")))</f>
        <v/>
      </c>
      <c r="N34" s="67" t="n"/>
      <c r="O34" s="31">
        <f>IF($A34="","",IFERROR(MATCH($A34,'通知一覧'!$B$5:$B$204,0),"なし"))</f>
        <v/>
      </c>
      <c r="P34" s="31">
        <f>IF(NOT(ISNUMBER($O34)),"",IFERROR(MATCH(INDEX('通知一覧'!$C$5:$C$204,$O34),'支払先'!$B$5:$B$104,0),""))</f>
        <v/>
      </c>
      <c r="Q34" s="31">
        <f>IF(AND($A34&lt;&gt;"",$A34='支払通知書'!$K$2),ROW(),"")</f>
        <v/>
      </c>
    </row>
    <row r="35" ht="18" customHeight="1">
      <c r="A35" s="18" t="n"/>
      <c r="B35" s="24" t="n"/>
      <c r="C35" s="19" t="n"/>
      <c r="D35" s="25" t="n"/>
      <c r="E35" s="18" t="n"/>
      <c r="F35" s="25" t="n"/>
      <c r="G35" s="18" t="n"/>
      <c r="H35" s="18" t="n"/>
      <c r="I35" s="26">
        <f>IF(OR($A35="",$F35=""),"",ROUND(IF($D35="",1,$D35)*$F35,0))</f>
        <v/>
      </c>
      <c r="J35" s="27">
        <f>IF($A35="","",IF($O35="なし","※通知一覧にない通知No",IF($P35="","",INDEX('支払先'!$C$5:$C$104,$P35)&amp;"")))</f>
        <v/>
      </c>
      <c r="K35" s="28">
        <f>IF(NOT(ISNUMBER($O35)),"",IF(ISNUMBER(INDEX('通知一覧'!$F$5:$F$204,$O35)),INDEX('通知一覧'!$F$5:$F$204,$O35),""))</f>
        <v/>
      </c>
      <c r="L35" s="29">
        <f>IF(AND(ISNUMBER($B35),ISNUMBER($K35)),$K35-$B35+1,"")</f>
        <v/>
      </c>
      <c r="M35" s="30">
        <f>IF(OR($L35="",$P35=""),"",IF(INDEX('支払先'!$M$5:$M$104,$P35)="対象外","",IF(AND($L35&gt;60,$K35&gt;=EDATE($B35,2)),"超える","")))</f>
        <v/>
      </c>
      <c r="N35" s="67" t="n"/>
      <c r="O35" s="31">
        <f>IF($A35="","",IFERROR(MATCH($A35,'通知一覧'!$B$5:$B$204,0),"なし"))</f>
        <v/>
      </c>
      <c r="P35" s="31">
        <f>IF(NOT(ISNUMBER($O35)),"",IFERROR(MATCH(INDEX('通知一覧'!$C$5:$C$204,$O35),'支払先'!$B$5:$B$104,0),""))</f>
        <v/>
      </c>
      <c r="Q35" s="31">
        <f>IF(AND($A35&lt;&gt;"",$A35='支払通知書'!$K$2),ROW(),"")</f>
        <v/>
      </c>
    </row>
    <row r="36" ht="18" customHeight="1">
      <c r="A36" s="18" t="n"/>
      <c r="B36" s="24" t="n"/>
      <c r="C36" s="19" t="n"/>
      <c r="D36" s="25" t="n"/>
      <c r="E36" s="18" t="n"/>
      <c r="F36" s="25" t="n"/>
      <c r="G36" s="18" t="n"/>
      <c r="H36" s="18" t="n"/>
      <c r="I36" s="26">
        <f>IF(OR($A36="",$F36=""),"",ROUND(IF($D36="",1,$D36)*$F36,0))</f>
        <v/>
      </c>
      <c r="J36" s="27">
        <f>IF($A36="","",IF($O36="なし","※通知一覧にない通知No",IF($P36="","",INDEX('支払先'!$C$5:$C$104,$P36)&amp;"")))</f>
        <v/>
      </c>
      <c r="K36" s="28">
        <f>IF(NOT(ISNUMBER($O36)),"",IF(ISNUMBER(INDEX('通知一覧'!$F$5:$F$204,$O36)),INDEX('通知一覧'!$F$5:$F$204,$O36),""))</f>
        <v/>
      </c>
      <c r="L36" s="29">
        <f>IF(AND(ISNUMBER($B36),ISNUMBER($K36)),$K36-$B36+1,"")</f>
        <v/>
      </c>
      <c r="M36" s="30">
        <f>IF(OR($L36="",$P36=""),"",IF(INDEX('支払先'!$M$5:$M$104,$P36)="対象外","",IF(AND($L36&gt;60,$K36&gt;=EDATE($B36,2)),"超える","")))</f>
        <v/>
      </c>
      <c r="N36" s="67" t="n"/>
      <c r="O36" s="31">
        <f>IF($A36="","",IFERROR(MATCH($A36,'通知一覧'!$B$5:$B$204,0),"なし"))</f>
        <v/>
      </c>
      <c r="P36" s="31">
        <f>IF(NOT(ISNUMBER($O36)),"",IFERROR(MATCH(INDEX('通知一覧'!$C$5:$C$204,$O36),'支払先'!$B$5:$B$104,0),""))</f>
        <v/>
      </c>
      <c r="Q36" s="31">
        <f>IF(AND($A36&lt;&gt;"",$A36='支払通知書'!$K$2),ROW(),"")</f>
        <v/>
      </c>
    </row>
    <row r="37" ht="18" customHeight="1">
      <c r="A37" s="18" t="n"/>
      <c r="B37" s="24" t="n"/>
      <c r="C37" s="19" t="n"/>
      <c r="D37" s="25" t="n"/>
      <c r="E37" s="18" t="n"/>
      <c r="F37" s="25" t="n"/>
      <c r="G37" s="18" t="n"/>
      <c r="H37" s="18" t="n"/>
      <c r="I37" s="26">
        <f>IF(OR($A37="",$F37=""),"",ROUND(IF($D37="",1,$D37)*$F37,0))</f>
        <v/>
      </c>
      <c r="J37" s="27">
        <f>IF($A37="","",IF($O37="なし","※通知一覧にない通知No",IF($P37="","",INDEX('支払先'!$C$5:$C$104,$P37)&amp;"")))</f>
        <v/>
      </c>
      <c r="K37" s="28">
        <f>IF(NOT(ISNUMBER($O37)),"",IF(ISNUMBER(INDEX('通知一覧'!$F$5:$F$204,$O37)),INDEX('通知一覧'!$F$5:$F$204,$O37),""))</f>
        <v/>
      </c>
      <c r="L37" s="29">
        <f>IF(AND(ISNUMBER($B37),ISNUMBER($K37)),$K37-$B37+1,"")</f>
        <v/>
      </c>
      <c r="M37" s="30">
        <f>IF(OR($L37="",$P37=""),"",IF(INDEX('支払先'!$M$5:$M$104,$P37)="対象外","",IF(AND($L37&gt;60,$K37&gt;=EDATE($B37,2)),"超える","")))</f>
        <v/>
      </c>
      <c r="N37" s="67" t="n"/>
      <c r="O37" s="31">
        <f>IF($A37="","",IFERROR(MATCH($A37,'通知一覧'!$B$5:$B$204,0),"なし"))</f>
        <v/>
      </c>
      <c r="P37" s="31">
        <f>IF(NOT(ISNUMBER($O37)),"",IFERROR(MATCH(INDEX('通知一覧'!$C$5:$C$204,$O37),'支払先'!$B$5:$B$104,0),""))</f>
        <v/>
      </c>
      <c r="Q37" s="31">
        <f>IF(AND($A37&lt;&gt;"",$A37='支払通知書'!$K$2),ROW(),"")</f>
        <v/>
      </c>
    </row>
    <row r="38" ht="18" customHeight="1">
      <c r="A38" s="18" t="n"/>
      <c r="B38" s="24" t="n"/>
      <c r="C38" s="19" t="n"/>
      <c r="D38" s="25" t="n"/>
      <c r="E38" s="18" t="n"/>
      <c r="F38" s="25" t="n"/>
      <c r="G38" s="18" t="n"/>
      <c r="H38" s="18" t="n"/>
      <c r="I38" s="26">
        <f>IF(OR($A38="",$F38=""),"",ROUND(IF($D38="",1,$D38)*$F38,0))</f>
        <v/>
      </c>
      <c r="J38" s="27">
        <f>IF($A38="","",IF($O38="なし","※通知一覧にない通知No",IF($P38="","",INDEX('支払先'!$C$5:$C$104,$P38)&amp;"")))</f>
        <v/>
      </c>
      <c r="K38" s="28">
        <f>IF(NOT(ISNUMBER($O38)),"",IF(ISNUMBER(INDEX('通知一覧'!$F$5:$F$204,$O38)),INDEX('通知一覧'!$F$5:$F$204,$O38),""))</f>
        <v/>
      </c>
      <c r="L38" s="29">
        <f>IF(AND(ISNUMBER($B38),ISNUMBER($K38)),$K38-$B38+1,"")</f>
        <v/>
      </c>
      <c r="M38" s="30">
        <f>IF(OR($L38="",$P38=""),"",IF(INDEX('支払先'!$M$5:$M$104,$P38)="対象外","",IF(AND($L38&gt;60,$K38&gt;=EDATE($B38,2)),"超える","")))</f>
        <v/>
      </c>
      <c r="N38" s="67" t="n"/>
      <c r="O38" s="31">
        <f>IF($A38="","",IFERROR(MATCH($A38,'通知一覧'!$B$5:$B$204,0),"なし"))</f>
        <v/>
      </c>
      <c r="P38" s="31">
        <f>IF(NOT(ISNUMBER($O38)),"",IFERROR(MATCH(INDEX('通知一覧'!$C$5:$C$204,$O38),'支払先'!$B$5:$B$104,0),""))</f>
        <v/>
      </c>
      <c r="Q38" s="31">
        <f>IF(AND($A38&lt;&gt;"",$A38='支払通知書'!$K$2),ROW(),"")</f>
        <v/>
      </c>
    </row>
    <row r="39" ht="18" customHeight="1">
      <c r="A39" s="18" t="n"/>
      <c r="B39" s="24" t="n"/>
      <c r="C39" s="19" t="n"/>
      <c r="D39" s="25" t="n"/>
      <c r="E39" s="18" t="n"/>
      <c r="F39" s="25" t="n"/>
      <c r="G39" s="18" t="n"/>
      <c r="H39" s="18" t="n"/>
      <c r="I39" s="26">
        <f>IF(OR($A39="",$F39=""),"",ROUND(IF($D39="",1,$D39)*$F39,0))</f>
        <v/>
      </c>
      <c r="J39" s="27">
        <f>IF($A39="","",IF($O39="なし","※通知一覧にない通知No",IF($P39="","",INDEX('支払先'!$C$5:$C$104,$P39)&amp;"")))</f>
        <v/>
      </c>
      <c r="K39" s="28">
        <f>IF(NOT(ISNUMBER($O39)),"",IF(ISNUMBER(INDEX('通知一覧'!$F$5:$F$204,$O39)),INDEX('通知一覧'!$F$5:$F$204,$O39),""))</f>
        <v/>
      </c>
      <c r="L39" s="29">
        <f>IF(AND(ISNUMBER($B39),ISNUMBER($K39)),$K39-$B39+1,"")</f>
        <v/>
      </c>
      <c r="M39" s="30">
        <f>IF(OR($L39="",$P39=""),"",IF(INDEX('支払先'!$M$5:$M$104,$P39)="対象外","",IF(AND($L39&gt;60,$K39&gt;=EDATE($B39,2)),"超える","")))</f>
        <v/>
      </c>
      <c r="N39" s="67" t="n"/>
      <c r="O39" s="31">
        <f>IF($A39="","",IFERROR(MATCH($A39,'通知一覧'!$B$5:$B$204,0),"なし"))</f>
        <v/>
      </c>
      <c r="P39" s="31">
        <f>IF(NOT(ISNUMBER($O39)),"",IFERROR(MATCH(INDEX('通知一覧'!$C$5:$C$204,$O39),'支払先'!$B$5:$B$104,0),""))</f>
        <v/>
      </c>
      <c r="Q39" s="31">
        <f>IF(AND($A39&lt;&gt;"",$A39='支払通知書'!$K$2),ROW(),"")</f>
        <v/>
      </c>
    </row>
    <row r="40" ht="18" customHeight="1">
      <c r="A40" s="18" t="n"/>
      <c r="B40" s="24" t="n"/>
      <c r="C40" s="19" t="n"/>
      <c r="D40" s="25" t="n"/>
      <c r="E40" s="18" t="n"/>
      <c r="F40" s="25" t="n"/>
      <c r="G40" s="18" t="n"/>
      <c r="H40" s="18" t="n"/>
      <c r="I40" s="26">
        <f>IF(OR($A40="",$F40=""),"",ROUND(IF($D40="",1,$D40)*$F40,0))</f>
        <v/>
      </c>
      <c r="J40" s="27">
        <f>IF($A40="","",IF($O40="なし","※通知一覧にない通知No",IF($P40="","",INDEX('支払先'!$C$5:$C$104,$P40)&amp;"")))</f>
        <v/>
      </c>
      <c r="K40" s="28">
        <f>IF(NOT(ISNUMBER($O40)),"",IF(ISNUMBER(INDEX('通知一覧'!$F$5:$F$204,$O40)),INDEX('通知一覧'!$F$5:$F$204,$O40),""))</f>
        <v/>
      </c>
      <c r="L40" s="29">
        <f>IF(AND(ISNUMBER($B40),ISNUMBER($K40)),$K40-$B40+1,"")</f>
        <v/>
      </c>
      <c r="M40" s="30">
        <f>IF(OR($L40="",$P40=""),"",IF(INDEX('支払先'!$M$5:$M$104,$P40)="対象外","",IF(AND($L40&gt;60,$K40&gt;=EDATE($B40,2)),"超える","")))</f>
        <v/>
      </c>
      <c r="N40" s="67" t="n"/>
      <c r="O40" s="31">
        <f>IF($A40="","",IFERROR(MATCH($A40,'通知一覧'!$B$5:$B$204,0),"なし"))</f>
        <v/>
      </c>
      <c r="P40" s="31">
        <f>IF(NOT(ISNUMBER($O40)),"",IFERROR(MATCH(INDEX('通知一覧'!$C$5:$C$204,$O40),'支払先'!$B$5:$B$104,0),""))</f>
        <v/>
      </c>
      <c r="Q40" s="31">
        <f>IF(AND($A40&lt;&gt;"",$A40='支払通知書'!$K$2),ROW(),"")</f>
        <v/>
      </c>
    </row>
    <row r="41" ht="18" customHeight="1">
      <c r="A41" s="18" t="n"/>
      <c r="B41" s="24" t="n"/>
      <c r="C41" s="19" t="n"/>
      <c r="D41" s="25" t="n"/>
      <c r="E41" s="18" t="n"/>
      <c r="F41" s="25" t="n"/>
      <c r="G41" s="18" t="n"/>
      <c r="H41" s="18" t="n"/>
      <c r="I41" s="26">
        <f>IF(OR($A41="",$F41=""),"",ROUND(IF($D41="",1,$D41)*$F41,0))</f>
        <v/>
      </c>
      <c r="J41" s="27">
        <f>IF($A41="","",IF($O41="なし","※通知一覧にない通知No",IF($P41="","",INDEX('支払先'!$C$5:$C$104,$P41)&amp;"")))</f>
        <v/>
      </c>
      <c r="K41" s="28">
        <f>IF(NOT(ISNUMBER($O41)),"",IF(ISNUMBER(INDEX('通知一覧'!$F$5:$F$204,$O41)),INDEX('通知一覧'!$F$5:$F$204,$O41),""))</f>
        <v/>
      </c>
      <c r="L41" s="29">
        <f>IF(AND(ISNUMBER($B41),ISNUMBER($K41)),$K41-$B41+1,"")</f>
        <v/>
      </c>
      <c r="M41" s="30">
        <f>IF(OR($L41="",$P41=""),"",IF(INDEX('支払先'!$M$5:$M$104,$P41)="対象外","",IF(AND($L41&gt;60,$K41&gt;=EDATE($B41,2)),"超える","")))</f>
        <v/>
      </c>
      <c r="N41" s="67" t="n"/>
      <c r="O41" s="31">
        <f>IF($A41="","",IFERROR(MATCH($A41,'通知一覧'!$B$5:$B$204,0),"なし"))</f>
        <v/>
      </c>
      <c r="P41" s="31">
        <f>IF(NOT(ISNUMBER($O41)),"",IFERROR(MATCH(INDEX('通知一覧'!$C$5:$C$204,$O41),'支払先'!$B$5:$B$104,0),""))</f>
        <v/>
      </c>
      <c r="Q41" s="31">
        <f>IF(AND($A41&lt;&gt;"",$A41='支払通知書'!$K$2),ROW(),"")</f>
        <v/>
      </c>
    </row>
    <row r="42" ht="18" customHeight="1">
      <c r="A42" s="18" t="n"/>
      <c r="B42" s="24" t="n"/>
      <c r="C42" s="19" t="n"/>
      <c r="D42" s="25" t="n"/>
      <c r="E42" s="18" t="n"/>
      <c r="F42" s="25" t="n"/>
      <c r="G42" s="18" t="n"/>
      <c r="H42" s="18" t="n"/>
      <c r="I42" s="26">
        <f>IF(OR($A42="",$F42=""),"",ROUND(IF($D42="",1,$D42)*$F42,0))</f>
        <v/>
      </c>
      <c r="J42" s="27">
        <f>IF($A42="","",IF($O42="なし","※通知一覧にない通知No",IF($P42="","",INDEX('支払先'!$C$5:$C$104,$P42)&amp;"")))</f>
        <v/>
      </c>
      <c r="K42" s="28">
        <f>IF(NOT(ISNUMBER($O42)),"",IF(ISNUMBER(INDEX('通知一覧'!$F$5:$F$204,$O42)),INDEX('通知一覧'!$F$5:$F$204,$O42),""))</f>
        <v/>
      </c>
      <c r="L42" s="29">
        <f>IF(AND(ISNUMBER($B42),ISNUMBER($K42)),$K42-$B42+1,"")</f>
        <v/>
      </c>
      <c r="M42" s="30">
        <f>IF(OR($L42="",$P42=""),"",IF(INDEX('支払先'!$M$5:$M$104,$P42)="対象外","",IF(AND($L42&gt;60,$K42&gt;=EDATE($B42,2)),"超える","")))</f>
        <v/>
      </c>
      <c r="N42" s="67" t="n"/>
      <c r="O42" s="31">
        <f>IF($A42="","",IFERROR(MATCH($A42,'通知一覧'!$B$5:$B$204,0),"なし"))</f>
        <v/>
      </c>
      <c r="P42" s="31">
        <f>IF(NOT(ISNUMBER($O42)),"",IFERROR(MATCH(INDEX('通知一覧'!$C$5:$C$204,$O42),'支払先'!$B$5:$B$104,0),""))</f>
        <v/>
      </c>
      <c r="Q42" s="31">
        <f>IF(AND($A42&lt;&gt;"",$A42='支払通知書'!$K$2),ROW(),"")</f>
        <v/>
      </c>
    </row>
    <row r="43" ht="18" customHeight="1">
      <c r="A43" s="18" t="n"/>
      <c r="B43" s="24" t="n"/>
      <c r="C43" s="19" t="n"/>
      <c r="D43" s="25" t="n"/>
      <c r="E43" s="18" t="n"/>
      <c r="F43" s="25" t="n"/>
      <c r="G43" s="18" t="n"/>
      <c r="H43" s="18" t="n"/>
      <c r="I43" s="26">
        <f>IF(OR($A43="",$F43=""),"",ROUND(IF($D43="",1,$D43)*$F43,0))</f>
        <v/>
      </c>
      <c r="J43" s="27">
        <f>IF($A43="","",IF($O43="なし","※通知一覧にない通知No",IF($P43="","",INDEX('支払先'!$C$5:$C$104,$P43)&amp;"")))</f>
        <v/>
      </c>
      <c r="K43" s="28">
        <f>IF(NOT(ISNUMBER($O43)),"",IF(ISNUMBER(INDEX('通知一覧'!$F$5:$F$204,$O43)),INDEX('通知一覧'!$F$5:$F$204,$O43),""))</f>
        <v/>
      </c>
      <c r="L43" s="29">
        <f>IF(AND(ISNUMBER($B43),ISNUMBER($K43)),$K43-$B43+1,"")</f>
        <v/>
      </c>
      <c r="M43" s="30">
        <f>IF(OR($L43="",$P43=""),"",IF(INDEX('支払先'!$M$5:$M$104,$P43)="対象外","",IF(AND($L43&gt;60,$K43&gt;=EDATE($B43,2)),"超える","")))</f>
        <v/>
      </c>
      <c r="N43" s="67" t="n"/>
      <c r="O43" s="31">
        <f>IF($A43="","",IFERROR(MATCH($A43,'通知一覧'!$B$5:$B$204,0),"なし"))</f>
        <v/>
      </c>
      <c r="P43" s="31">
        <f>IF(NOT(ISNUMBER($O43)),"",IFERROR(MATCH(INDEX('通知一覧'!$C$5:$C$204,$O43),'支払先'!$B$5:$B$104,0),""))</f>
        <v/>
      </c>
      <c r="Q43" s="31">
        <f>IF(AND($A43&lt;&gt;"",$A43='支払通知書'!$K$2),ROW(),"")</f>
        <v/>
      </c>
    </row>
    <row r="44" ht="18" customHeight="1">
      <c r="A44" s="18" t="n"/>
      <c r="B44" s="24" t="n"/>
      <c r="C44" s="19" t="n"/>
      <c r="D44" s="25" t="n"/>
      <c r="E44" s="18" t="n"/>
      <c r="F44" s="25" t="n"/>
      <c r="G44" s="18" t="n"/>
      <c r="H44" s="18" t="n"/>
      <c r="I44" s="26">
        <f>IF(OR($A44="",$F44=""),"",ROUND(IF($D44="",1,$D44)*$F44,0))</f>
        <v/>
      </c>
      <c r="J44" s="27">
        <f>IF($A44="","",IF($O44="なし","※通知一覧にない通知No",IF($P44="","",INDEX('支払先'!$C$5:$C$104,$P44)&amp;"")))</f>
        <v/>
      </c>
      <c r="K44" s="28">
        <f>IF(NOT(ISNUMBER($O44)),"",IF(ISNUMBER(INDEX('通知一覧'!$F$5:$F$204,$O44)),INDEX('通知一覧'!$F$5:$F$204,$O44),""))</f>
        <v/>
      </c>
      <c r="L44" s="29">
        <f>IF(AND(ISNUMBER($B44),ISNUMBER($K44)),$K44-$B44+1,"")</f>
        <v/>
      </c>
      <c r="M44" s="30">
        <f>IF(OR($L44="",$P44=""),"",IF(INDEX('支払先'!$M$5:$M$104,$P44)="対象外","",IF(AND($L44&gt;60,$K44&gt;=EDATE($B44,2)),"超える","")))</f>
        <v/>
      </c>
      <c r="N44" s="67" t="n"/>
      <c r="O44" s="31">
        <f>IF($A44="","",IFERROR(MATCH($A44,'通知一覧'!$B$5:$B$204,0),"なし"))</f>
        <v/>
      </c>
      <c r="P44" s="31">
        <f>IF(NOT(ISNUMBER($O44)),"",IFERROR(MATCH(INDEX('通知一覧'!$C$5:$C$204,$O44),'支払先'!$B$5:$B$104,0),""))</f>
        <v/>
      </c>
      <c r="Q44" s="31">
        <f>IF(AND($A44&lt;&gt;"",$A44='支払通知書'!$K$2),ROW(),"")</f>
        <v/>
      </c>
    </row>
    <row r="45" ht="18" customHeight="1">
      <c r="A45" s="18" t="n"/>
      <c r="B45" s="24" t="n"/>
      <c r="C45" s="19" t="n"/>
      <c r="D45" s="25" t="n"/>
      <c r="E45" s="18" t="n"/>
      <c r="F45" s="25" t="n"/>
      <c r="G45" s="18" t="n"/>
      <c r="H45" s="18" t="n"/>
      <c r="I45" s="26">
        <f>IF(OR($A45="",$F45=""),"",ROUND(IF($D45="",1,$D45)*$F45,0))</f>
        <v/>
      </c>
      <c r="J45" s="27">
        <f>IF($A45="","",IF($O45="なし","※通知一覧にない通知No",IF($P45="","",INDEX('支払先'!$C$5:$C$104,$P45)&amp;"")))</f>
        <v/>
      </c>
      <c r="K45" s="28">
        <f>IF(NOT(ISNUMBER($O45)),"",IF(ISNUMBER(INDEX('通知一覧'!$F$5:$F$204,$O45)),INDEX('通知一覧'!$F$5:$F$204,$O45),""))</f>
        <v/>
      </c>
      <c r="L45" s="29">
        <f>IF(AND(ISNUMBER($B45),ISNUMBER($K45)),$K45-$B45+1,"")</f>
        <v/>
      </c>
      <c r="M45" s="30">
        <f>IF(OR($L45="",$P45=""),"",IF(INDEX('支払先'!$M$5:$M$104,$P45)="対象外","",IF(AND($L45&gt;60,$K45&gt;=EDATE($B45,2)),"超える","")))</f>
        <v/>
      </c>
      <c r="N45" s="67" t="n"/>
      <c r="O45" s="31">
        <f>IF($A45="","",IFERROR(MATCH($A45,'通知一覧'!$B$5:$B$204,0),"なし"))</f>
        <v/>
      </c>
      <c r="P45" s="31">
        <f>IF(NOT(ISNUMBER($O45)),"",IFERROR(MATCH(INDEX('通知一覧'!$C$5:$C$204,$O45),'支払先'!$B$5:$B$104,0),""))</f>
        <v/>
      </c>
      <c r="Q45" s="31">
        <f>IF(AND($A45&lt;&gt;"",$A45='支払通知書'!$K$2),ROW(),"")</f>
        <v/>
      </c>
    </row>
    <row r="46" ht="18" customHeight="1">
      <c r="A46" s="18" t="n"/>
      <c r="B46" s="24" t="n"/>
      <c r="C46" s="19" t="n"/>
      <c r="D46" s="25" t="n"/>
      <c r="E46" s="18" t="n"/>
      <c r="F46" s="25" t="n"/>
      <c r="G46" s="18" t="n"/>
      <c r="H46" s="18" t="n"/>
      <c r="I46" s="26">
        <f>IF(OR($A46="",$F46=""),"",ROUND(IF($D46="",1,$D46)*$F46,0))</f>
        <v/>
      </c>
      <c r="J46" s="27">
        <f>IF($A46="","",IF($O46="なし","※通知一覧にない通知No",IF($P46="","",INDEX('支払先'!$C$5:$C$104,$P46)&amp;"")))</f>
        <v/>
      </c>
      <c r="K46" s="28">
        <f>IF(NOT(ISNUMBER($O46)),"",IF(ISNUMBER(INDEX('通知一覧'!$F$5:$F$204,$O46)),INDEX('通知一覧'!$F$5:$F$204,$O46),""))</f>
        <v/>
      </c>
      <c r="L46" s="29">
        <f>IF(AND(ISNUMBER($B46),ISNUMBER($K46)),$K46-$B46+1,"")</f>
        <v/>
      </c>
      <c r="M46" s="30">
        <f>IF(OR($L46="",$P46=""),"",IF(INDEX('支払先'!$M$5:$M$104,$P46)="対象外","",IF(AND($L46&gt;60,$K46&gt;=EDATE($B46,2)),"超える","")))</f>
        <v/>
      </c>
      <c r="N46" s="67" t="n"/>
      <c r="O46" s="31">
        <f>IF($A46="","",IFERROR(MATCH($A46,'通知一覧'!$B$5:$B$204,0),"なし"))</f>
        <v/>
      </c>
      <c r="P46" s="31">
        <f>IF(NOT(ISNUMBER($O46)),"",IFERROR(MATCH(INDEX('通知一覧'!$C$5:$C$204,$O46),'支払先'!$B$5:$B$104,0),""))</f>
        <v/>
      </c>
      <c r="Q46" s="31">
        <f>IF(AND($A46&lt;&gt;"",$A46='支払通知書'!$K$2),ROW(),"")</f>
        <v/>
      </c>
    </row>
    <row r="47" ht="18" customHeight="1">
      <c r="A47" s="18" t="n"/>
      <c r="B47" s="24" t="n"/>
      <c r="C47" s="19" t="n"/>
      <c r="D47" s="25" t="n"/>
      <c r="E47" s="18" t="n"/>
      <c r="F47" s="25" t="n"/>
      <c r="G47" s="18" t="n"/>
      <c r="H47" s="18" t="n"/>
      <c r="I47" s="26">
        <f>IF(OR($A47="",$F47=""),"",ROUND(IF($D47="",1,$D47)*$F47,0))</f>
        <v/>
      </c>
      <c r="J47" s="27">
        <f>IF($A47="","",IF($O47="なし","※通知一覧にない通知No",IF($P47="","",INDEX('支払先'!$C$5:$C$104,$P47)&amp;"")))</f>
        <v/>
      </c>
      <c r="K47" s="28">
        <f>IF(NOT(ISNUMBER($O47)),"",IF(ISNUMBER(INDEX('通知一覧'!$F$5:$F$204,$O47)),INDEX('通知一覧'!$F$5:$F$204,$O47),""))</f>
        <v/>
      </c>
      <c r="L47" s="29">
        <f>IF(AND(ISNUMBER($B47),ISNUMBER($K47)),$K47-$B47+1,"")</f>
        <v/>
      </c>
      <c r="M47" s="30">
        <f>IF(OR($L47="",$P47=""),"",IF(INDEX('支払先'!$M$5:$M$104,$P47)="対象外","",IF(AND($L47&gt;60,$K47&gt;=EDATE($B47,2)),"超える","")))</f>
        <v/>
      </c>
      <c r="N47" s="67" t="n"/>
      <c r="O47" s="31">
        <f>IF($A47="","",IFERROR(MATCH($A47,'通知一覧'!$B$5:$B$204,0),"なし"))</f>
        <v/>
      </c>
      <c r="P47" s="31">
        <f>IF(NOT(ISNUMBER($O47)),"",IFERROR(MATCH(INDEX('通知一覧'!$C$5:$C$204,$O47),'支払先'!$B$5:$B$104,0),""))</f>
        <v/>
      </c>
      <c r="Q47" s="31">
        <f>IF(AND($A47&lt;&gt;"",$A47='支払通知書'!$K$2),ROW(),"")</f>
        <v/>
      </c>
    </row>
    <row r="48" ht="18" customHeight="1">
      <c r="A48" s="18" t="n"/>
      <c r="B48" s="24" t="n"/>
      <c r="C48" s="19" t="n"/>
      <c r="D48" s="25" t="n"/>
      <c r="E48" s="18" t="n"/>
      <c r="F48" s="25" t="n"/>
      <c r="G48" s="18" t="n"/>
      <c r="H48" s="18" t="n"/>
      <c r="I48" s="26">
        <f>IF(OR($A48="",$F48=""),"",ROUND(IF($D48="",1,$D48)*$F48,0))</f>
        <v/>
      </c>
      <c r="J48" s="27">
        <f>IF($A48="","",IF($O48="なし","※通知一覧にない通知No",IF($P48="","",INDEX('支払先'!$C$5:$C$104,$P48)&amp;"")))</f>
        <v/>
      </c>
      <c r="K48" s="28">
        <f>IF(NOT(ISNUMBER($O48)),"",IF(ISNUMBER(INDEX('通知一覧'!$F$5:$F$204,$O48)),INDEX('通知一覧'!$F$5:$F$204,$O48),""))</f>
        <v/>
      </c>
      <c r="L48" s="29">
        <f>IF(AND(ISNUMBER($B48),ISNUMBER($K48)),$K48-$B48+1,"")</f>
        <v/>
      </c>
      <c r="M48" s="30">
        <f>IF(OR($L48="",$P48=""),"",IF(INDEX('支払先'!$M$5:$M$104,$P48)="対象外","",IF(AND($L48&gt;60,$K48&gt;=EDATE($B48,2)),"超える","")))</f>
        <v/>
      </c>
      <c r="N48" s="67" t="n"/>
      <c r="O48" s="31">
        <f>IF($A48="","",IFERROR(MATCH($A48,'通知一覧'!$B$5:$B$204,0),"なし"))</f>
        <v/>
      </c>
      <c r="P48" s="31">
        <f>IF(NOT(ISNUMBER($O48)),"",IFERROR(MATCH(INDEX('通知一覧'!$C$5:$C$204,$O48),'支払先'!$B$5:$B$104,0),""))</f>
        <v/>
      </c>
      <c r="Q48" s="31">
        <f>IF(AND($A48&lt;&gt;"",$A48='支払通知書'!$K$2),ROW(),"")</f>
        <v/>
      </c>
    </row>
    <row r="49" ht="18" customHeight="1">
      <c r="A49" s="18" t="n"/>
      <c r="B49" s="24" t="n"/>
      <c r="C49" s="19" t="n"/>
      <c r="D49" s="25" t="n"/>
      <c r="E49" s="18" t="n"/>
      <c r="F49" s="25" t="n"/>
      <c r="G49" s="18" t="n"/>
      <c r="H49" s="18" t="n"/>
      <c r="I49" s="26">
        <f>IF(OR($A49="",$F49=""),"",ROUND(IF($D49="",1,$D49)*$F49,0))</f>
        <v/>
      </c>
      <c r="J49" s="27">
        <f>IF($A49="","",IF($O49="なし","※通知一覧にない通知No",IF($P49="","",INDEX('支払先'!$C$5:$C$104,$P49)&amp;"")))</f>
        <v/>
      </c>
      <c r="K49" s="28">
        <f>IF(NOT(ISNUMBER($O49)),"",IF(ISNUMBER(INDEX('通知一覧'!$F$5:$F$204,$O49)),INDEX('通知一覧'!$F$5:$F$204,$O49),""))</f>
        <v/>
      </c>
      <c r="L49" s="29">
        <f>IF(AND(ISNUMBER($B49),ISNUMBER($K49)),$K49-$B49+1,"")</f>
        <v/>
      </c>
      <c r="M49" s="30">
        <f>IF(OR($L49="",$P49=""),"",IF(INDEX('支払先'!$M$5:$M$104,$P49)="対象外","",IF(AND($L49&gt;60,$K49&gt;=EDATE($B49,2)),"超える","")))</f>
        <v/>
      </c>
      <c r="N49" s="67" t="n"/>
      <c r="O49" s="31">
        <f>IF($A49="","",IFERROR(MATCH($A49,'通知一覧'!$B$5:$B$204,0),"なし"))</f>
        <v/>
      </c>
      <c r="P49" s="31">
        <f>IF(NOT(ISNUMBER($O49)),"",IFERROR(MATCH(INDEX('通知一覧'!$C$5:$C$204,$O49),'支払先'!$B$5:$B$104,0),""))</f>
        <v/>
      </c>
      <c r="Q49" s="31">
        <f>IF(AND($A49&lt;&gt;"",$A49='支払通知書'!$K$2),ROW(),"")</f>
        <v/>
      </c>
    </row>
    <row r="50" ht="18" customHeight="1">
      <c r="A50" s="18" t="n"/>
      <c r="B50" s="24" t="n"/>
      <c r="C50" s="19" t="n"/>
      <c r="D50" s="25" t="n"/>
      <c r="E50" s="18" t="n"/>
      <c r="F50" s="25" t="n"/>
      <c r="G50" s="18" t="n"/>
      <c r="H50" s="18" t="n"/>
      <c r="I50" s="26">
        <f>IF(OR($A50="",$F50=""),"",ROUND(IF($D50="",1,$D50)*$F50,0))</f>
        <v/>
      </c>
      <c r="J50" s="27">
        <f>IF($A50="","",IF($O50="なし","※通知一覧にない通知No",IF($P50="","",INDEX('支払先'!$C$5:$C$104,$P50)&amp;"")))</f>
        <v/>
      </c>
      <c r="K50" s="28">
        <f>IF(NOT(ISNUMBER($O50)),"",IF(ISNUMBER(INDEX('通知一覧'!$F$5:$F$204,$O50)),INDEX('通知一覧'!$F$5:$F$204,$O50),""))</f>
        <v/>
      </c>
      <c r="L50" s="29">
        <f>IF(AND(ISNUMBER($B50),ISNUMBER($K50)),$K50-$B50+1,"")</f>
        <v/>
      </c>
      <c r="M50" s="30">
        <f>IF(OR($L50="",$P50=""),"",IF(INDEX('支払先'!$M$5:$M$104,$P50)="対象外","",IF(AND($L50&gt;60,$K50&gt;=EDATE($B50,2)),"超える","")))</f>
        <v/>
      </c>
      <c r="N50" s="67" t="n"/>
      <c r="O50" s="31">
        <f>IF($A50="","",IFERROR(MATCH($A50,'通知一覧'!$B$5:$B$204,0),"なし"))</f>
        <v/>
      </c>
      <c r="P50" s="31">
        <f>IF(NOT(ISNUMBER($O50)),"",IFERROR(MATCH(INDEX('通知一覧'!$C$5:$C$204,$O50),'支払先'!$B$5:$B$104,0),""))</f>
        <v/>
      </c>
      <c r="Q50" s="31">
        <f>IF(AND($A50&lt;&gt;"",$A50='支払通知書'!$K$2),ROW(),"")</f>
        <v/>
      </c>
    </row>
    <row r="51" ht="18" customHeight="1">
      <c r="A51" s="18" t="n"/>
      <c r="B51" s="24" t="n"/>
      <c r="C51" s="19" t="n"/>
      <c r="D51" s="25" t="n"/>
      <c r="E51" s="18" t="n"/>
      <c r="F51" s="25" t="n"/>
      <c r="G51" s="18" t="n"/>
      <c r="H51" s="18" t="n"/>
      <c r="I51" s="26">
        <f>IF(OR($A51="",$F51=""),"",ROUND(IF($D51="",1,$D51)*$F51,0))</f>
        <v/>
      </c>
      <c r="J51" s="27">
        <f>IF($A51="","",IF($O51="なし","※通知一覧にない通知No",IF($P51="","",INDEX('支払先'!$C$5:$C$104,$P51)&amp;"")))</f>
        <v/>
      </c>
      <c r="K51" s="28">
        <f>IF(NOT(ISNUMBER($O51)),"",IF(ISNUMBER(INDEX('通知一覧'!$F$5:$F$204,$O51)),INDEX('通知一覧'!$F$5:$F$204,$O51),""))</f>
        <v/>
      </c>
      <c r="L51" s="29">
        <f>IF(AND(ISNUMBER($B51),ISNUMBER($K51)),$K51-$B51+1,"")</f>
        <v/>
      </c>
      <c r="M51" s="30">
        <f>IF(OR($L51="",$P51=""),"",IF(INDEX('支払先'!$M$5:$M$104,$P51)="対象外","",IF(AND($L51&gt;60,$K51&gt;=EDATE($B51,2)),"超える","")))</f>
        <v/>
      </c>
      <c r="N51" s="67" t="n"/>
      <c r="O51" s="31">
        <f>IF($A51="","",IFERROR(MATCH($A51,'通知一覧'!$B$5:$B$204,0),"なし"))</f>
        <v/>
      </c>
      <c r="P51" s="31">
        <f>IF(NOT(ISNUMBER($O51)),"",IFERROR(MATCH(INDEX('通知一覧'!$C$5:$C$204,$O51),'支払先'!$B$5:$B$104,0),""))</f>
        <v/>
      </c>
      <c r="Q51" s="31">
        <f>IF(AND($A51&lt;&gt;"",$A51='支払通知書'!$K$2),ROW(),"")</f>
        <v/>
      </c>
    </row>
    <row r="52" ht="18" customHeight="1">
      <c r="A52" s="18" t="n"/>
      <c r="B52" s="24" t="n"/>
      <c r="C52" s="19" t="n"/>
      <c r="D52" s="25" t="n"/>
      <c r="E52" s="18" t="n"/>
      <c r="F52" s="25" t="n"/>
      <c r="G52" s="18" t="n"/>
      <c r="H52" s="18" t="n"/>
      <c r="I52" s="26">
        <f>IF(OR($A52="",$F52=""),"",ROUND(IF($D52="",1,$D52)*$F52,0))</f>
        <v/>
      </c>
      <c r="J52" s="27">
        <f>IF($A52="","",IF($O52="なし","※通知一覧にない通知No",IF($P52="","",INDEX('支払先'!$C$5:$C$104,$P52)&amp;"")))</f>
        <v/>
      </c>
      <c r="K52" s="28">
        <f>IF(NOT(ISNUMBER($O52)),"",IF(ISNUMBER(INDEX('通知一覧'!$F$5:$F$204,$O52)),INDEX('通知一覧'!$F$5:$F$204,$O52),""))</f>
        <v/>
      </c>
      <c r="L52" s="29">
        <f>IF(AND(ISNUMBER($B52),ISNUMBER($K52)),$K52-$B52+1,"")</f>
        <v/>
      </c>
      <c r="M52" s="30">
        <f>IF(OR($L52="",$P52=""),"",IF(INDEX('支払先'!$M$5:$M$104,$P52)="対象外","",IF(AND($L52&gt;60,$K52&gt;=EDATE($B52,2)),"超える","")))</f>
        <v/>
      </c>
      <c r="N52" s="67" t="n"/>
      <c r="O52" s="31">
        <f>IF($A52="","",IFERROR(MATCH($A52,'通知一覧'!$B$5:$B$204,0),"なし"))</f>
        <v/>
      </c>
      <c r="P52" s="31">
        <f>IF(NOT(ISNUMBER($O52)),"",IFERROR(MATCH(INDEX('通知一覧'!$C$5:$C$204,$O52),'支払先'!$B$5:$B$104,0),""))</f>
        <v/>
      </c>
      <c r="Q52" s="31">
        <f>IF(AND($A52&lt;&gt;"",$A52='支払通知書'!$K$2),ROW(),"")</f>
        <v/>
      </c>
    </row>
    <row r="53" ht="18" customHeight="1">
      <c r="A53" s="18" t="n"/>
      <c r="B53" s="24" t="n"/>
      <c r="C53" s="19" t="n"/>
      <c r="D53" s="25" t="n"/>
      <c r="E53" s="18" t="n"/>
      <c r="F53" s="25" t="n"/>
      <c r="G53" s="18" t="n"/>
      <c r="H53" s="18" t="n"/>
      <c r="I53" s="26">
        <f>IF(OR($A53="",$F53=""),"",ROUND(IF($D53="",1,$D53)*$F53,0))</f>
        <v/>
      </c>
      <c r="J53" s="27">
        <f>IF($A53="","",IF($O53="なし","※通知一覧にない通知No",IF($P53="","",INDEX('支払先'!$C$5:$C$104,$P53)&amp;"")))</f>
        <v/>
      </c>
      <c r="K53" s="28">
        <f>IF(NOT(ISNUMBER($O53)),"",IF(ISNUMBER(INDEX('通知一覧'!$F$5:$F$204,$O53)),INDEX('通知一覧'!$F$5:$F$204,$O53),""))</f>
        <v/>
      </c>
      <c r="L53" s="29">
        <f>IF(AND(ISNUMBER($B53),ISNUMBER($K53)),$K53-$B53+1,"")</f>
        <v/>
      </c>
      <c r="M53" s="30">
        <f>IF(OR($L53="",$P53=""),"",IF(INDEX('支払先'!$M$5:$M$104,$P53)="対象外","",IF(AND($L53&gt;60,$K53&gt;=EDATE($B53,2)),"超える","")))</f>
        <v/>
      </c>
      <c r="N53" s="67" t="n"/>
      <c r="O53" s="31">
        <f>IF($A53="","",IFERROR(MATCH($A53,'通知一覧'!$B$5:$B$204,0),"なし"))</f>
        <v/>
      </c>
      <c r="P53" s="31">
        <f>IF(NOT(ISNUMBER($O53)),"",IFERROR(MATCH(INDEX('通知一覧'!$C$5:$C$204,$O53),'支払先'!$B$5:$B$104,0),""))</f>
        <v/>
      </c>
      <c r="Q53" s="31">
        <f>IF(AND($A53&lt;&gt;"",$A53='支払通知書'!$K$2),ROW(),"")</f>
        <v/>
      </c>
    </row>
    <row r="54" ht="18" customHeight="1">
      <c r="A54" s="18" t="n"/>
      <c r="B54" s="24" t="n"/>
      <c r="C54" s="19" t="n"/>
      <c r="D54" s="25" t="n"/>
      <c r="E54" s="18" t="n"/>
      <c r="F54" s="25" t="n"/>
      <c r="G54" s="18" t="n"/>
      <c r="H54" s="18" t="n"/>
      <c r="I54" s="26">
        <f>IF(OR($A54="",$F54=""),"",ROUND(IF($D54="",1,$D54)*$F54,0))</f>
        <v/>
      </c>
      <c r="J54" s="27">
        <f>IF($A54="","",IF($O54="なし","※通知一覧にない通知No",IF($P54="","",INDEX('支払先'!$C$5:$C$104,$P54)&amp;"")))</f>
        <v/>
      </c>
      <c r="K54" s="28">
        <f>IF(NOT(ISNUMBER($O54)),"",IF(ISNUMBER(INDEX('通知一覧'!$F$5:$F$204,$O54)),INDEX('通知一覧'!$F$5:$F$204,$O54),""))</f>
        <v/>
      </c>
      <c r="L54" s="29">
        <f>IF(AND(ISNUMBER($B54),ISNUMBER($K54)),$K54-$B54+1,"")</f>
        <v/>
      </c>
      <c r="M54" s="30">
        <f>IF(OR($L54="",$P54=""),"",IF(INDEX('支払先'!$M$5:$M$104,$P54)="対象外","",IF(AND($L54&gt;60,$K54&gt;=EDATE($B54,2)),"超える","")))</f>
        <v/>
      </c>
      <c r="N54" s="67" t="n"/>
      <c r="O54" s="31">
        <f>IF($A54="","",IFERROR(MATCH($A54,'通知一覧'!$B$5:$B$204,0),"なし"))</f>
        <v/>
      </c>
      <c r="P54" s="31">
        <f>IF(NOT(ISNUMBER($O54)),"",IFERROR(MATCH(INDEX('通知一覧'!$C$5:$C$204,$O54),'支払先'!$B$5:$B$104,0),""))</f>
        <v/>
      </c>
      <c r="Q54" s="31">
        <f>IF(AND($A54&lt;&gt;"",$A54='支払通知書'!$K$2),ROW(),"")</f>
        <v/>
      </c>
    </row>
    <row r="55" ht="18" customHeight="1">
      <c r="A55" s="18" t="n"/>
      <c r="B55" s="24" t="n"/>
      <c r="C55" s="19" t="n"/>
      <c r="D55" s="25" t="n"/>
      <c r="E55" s="18" t="n"/>
      <c r="F55" s="25" t="n"/>
      <c r="G55" s="18" t="n"/>
      <c r="H55" s="18" t="n"/>
      <c r="I55" s="26">
        <f>IF(OR($A55="",$F55=""),"",ROUND(IF($D55="",1,$D55)*$F55,0))</f>
        <v/>
      </c>
      <c r="J55" s="27">
        <f>IF($A55="","",IF($O55="なし","※通知一覧にない通知No",IF($P55="","",INDEX('支払先'!$C$5:$C$104,$P55)&amp;"")))</f>
        <v/>
      </c>
      <c r="K55" s="28">
        <f>IF(NOT(ISNUMBER($O55)),"",IF(ISNUMBER(INDEX('通知一覧'!$F$5:$F$204,$O55)),INDEX('通知一覧'!$F$5:$F$204,$O55),""))</f>
        <v/>
      </c>
      <c r="L55" s="29">
        <f>IF(AND(ISNUMBER($B55),ISNUMBER($K55)),$K55-$B55+1,"")</f>
        <v/>
      </c>
      <c r="M55" s="30">
        <f>IF(OR($L55="",$P55=""),"",IF(INDEX('支払先'!$M$5:$M$104,$P55)="対象外","",IF(AND($L55&gt;60,$K55&gt;=EDATE($B55,2)),"超える","")))</f>
        <v/>
      </c>
      <c r="N55" s="67" t="n"/>
      <c r="O55" s="31">
        <f>IF($A55="","",IFERROR(MATCH($A55,'通知一覧'!$B$5:$B$204,0),"なし"))</f>
        <v/>
      </c>
      <c r="P55" s="31">
        <f>IF(NOT(ISNUMBER($O55)),"",IFERROR(MATCH(INDEX('通知一覧'!$C$5:$C$204,$O55),'支払先'!$B$5:$B$104,0),""))</f>
        <v/>
      </c>
      <c r="Q55" s="31">
        <f>IF(AND($A55&lt;&gt;"",$A55='支払通知書'!$K$2),ROW(),"")</f>
        <v/>
      </c>
    </row>
    <row r="56" ht="18" customHeight="1">
      <c r="A56" s="18" t="n"/>
      <c r="B56" s="24" t="n"/>
      <c r="C56" s="19" t="n"/>
      <c r="D56" s="25" t="n"/>
      <c r="E56" s="18" t="n"/>
      <c r="F56" s="25" t="n"/>
      <c r="G56" s="18" t="n"/>
      <c r="H56" s="18" t="n"/>
      <c r="I56" s="26">
        <f>IF(OR($A56="",$F56=""),"",ROUND(IF($D56="",1,$D56)*$F56,0))</f>
        <v/>
      </c>
      <c r="J56" s="27">
        <f>IF($A56="","",IF($O56="なし","※通知一覧にない通知No",IF($P56="","",INDEX('支払先'!$C$5:$C$104,$P56)&amp;"")))</f>
        <v/>
      </c>
      <c r="K56" s="28">
        <f>IF(NOT(ISNUMBER($O56)),"",IF(ISNUMBER(INDEX('通知一覧'!$F$5:$F$204,$O56)),INDEX('通知一覧'!$F$5:$F$204,$O56),""))</f>
        <v/>
      </c>
      <c r="L56" s="29">
        <f>IF(AND(ISNUMBER($B56),ISNUMBER($K56)),$K56-$B56+1,"")</f>
        <v/>
      </c>
      <c r="M56" s="30">
        <f>IF(OR($L56="",$P56=""),"",IF(INDEX('支払先'!$M$5:$M$104,$P56)="対象外","",IF(AND($L56&gt;60,$K56&gt;=EDATE($B56,2)),"超える","")))</f>
        <v/>
      </c>
      <c r="N56" s="67" t="n"/>
      <c r="O56" s="31">
        <f>IF($A56="","",IFERROR(MATCH($A56,'通知一覧'!$B$5:$B$204,0),"なし"))</f>
        <v/>
      </c>
      <c r="P56" s="31">
        <f>IF(NOT(ISNUMBER($O56)),"",IFERROR(MATCH(INDEX('通知一覧'!$C$5:$C$204,$O56),'支払先'!$B$5:$B$104,0),""))</f>
        <v/>
      </c>
      <c r="Q56" s="31">
        <f>IF(AND($A56&lt;&gt;"",$A56='支払通知書'!$K$2),ROW(),"")</f>
        <v/>
      </c>
    </row>
    <row r="57" ht="18" customHeight="1">
      <c r="A57" s="18" t="n"/>
      <c r="B57" s="24" t="n"/>
      <c r="C57" s="19" t="n"/>
      <c r="D57" s="25" t="n"/>
      <c r="E57" s="18" t="n"/>
      <c r="F57" s="25" t="n"/>
      <c r="G57" s="18" t="n"/>
      <c r="H57" s="18" t="n"/>
      <c r="I57" s="26">
        <f>IF(OR($A57="",$F57=""),"",ROUND(IF($D57="",1,$D57)*$F57,0))</f>
        <v/>
      </c>
      <c r="J57" s="27">
        <f>IF($A57="","",IF($O57="なし","※通知一覧にない通知No",IF($P57="","",INDEX('支払先'!$C$5:$C$104,$P57)&amp;"")))</f>
        <v/>
      </c>
      <c r="K57" s="28">
        <f>IF(NOT(ISNUMBER($O57)),"",IF(ISNUMBER(INDEX('通知一覧'!$F$5:$F$204,$O57)),INDEX('通知一覧'!$F$5:$F$204,$O57),""))</f>
        <v/>
      </c>
      <c r="L57" s="29">
        <f>IF(AND(ISNUMBER($B57),ISNUMBER($K57)),$K57-$B57+1,"")</f>
        <v/>
      </c>
      <c r="M57" s="30">
        <f>IF(OR($L57="",$P57=""),"",IF(INDEX('支払先'!$M$5:$M$104,$P57)="対象外","",IF(AND($L57&gt;60,$K57&gt;=EDATE($B57,2)),"超える","")))</f>
        <v/>
      </c>
      <c r="N57" s="67" t="n"/>
      <c r="O57" s="31">
        <f>IF($A57="","",IFERROR(MATCH($A57,'通知一覧'!$B$5:$B$204,0),"なし"))</f>
        <v/>
      </c>
      <c r="P57" s="31">
        <f>IF(NOT(ISNUMBER($O57)),"",IFERROR(MATCH(INDEX('通知一覧'!$C$5:$C$204,$O57),'支払先'!$B$5:$B$104,0),""))</f>
        <v/>
      </c>
      <c r="Q57" s="31">
        <f>IF(AND($A57&lt;&gt;"",$A57='支払通知書'!$K$2),ROW(),"")</f>
        <v/>
      </c>
    </row>
    <row r="58" ht="18" customHeight="1">
      <c r="A58" s="18" t="n"/>
      <c r="B58" s="24" t="n"/>
      <c r="C58" s="19" t="n"/>
      <c r="D58" s="25" t="n"/>
      <c r="E58" s="18" t="n"/>
      <c r="F58" s="25" t="n"/>
      <c r="G58" s="18" t="n"/>
      <c r="H58" s="18" t="n"/>
      <c r="I58" s="26">
        <f>IF(OR($A58="",$F58=""),"",ROUND(IF($D58="",1,$D58)*$F58,0))</f>
        <v/>
      </c>
      <c r="J58" s="27">
        <f>IF($A58="","",IF($O58="なし","※通知一覧にない通知No",IF($P58="","",INDEX('支払先'!$C$5:$C$104,$P58)&amp;"")))</f>
        <v/>
      </c>
      <c r="K58" s="28">
        <f>IF(NOT(ISNUMBER($O58)),"",IF(ISNUMBER(INDEX('通知一覧'!$F$5:$F$204,$O58)),INDEX('通知一覧'!$F$5:$F$204,$O58),""))</f>
        <v/>
      </c>
      <c r="L58" s="29">
        <f>IF(AND(ISNUMBER($B58),ISNUMBER($K58)),$K58-$B58+1,"")</f>
        <v/>
      </c>
      <c r="M58" s="30">
        <f>IF(OR($L58="",$P58=""),"",IF(INDEX('支払先'!$M$5:$M$104,$P58)="対象外","",IF(AND($L58&gt;60,$K58&gt;=EDATE($B58,2)),"超える","")))</f>
        <v/>
      </c>
      <c r="N58" s="67" t="n"/>
      <c r="O58" s="31">
        <f>IF($A58="","",IFERROR(MATCH($A58,'通知一覧'!$B$5:$B$204,0),"なし"))</f>
        <v/>
      </c>
      <c r="P58" s="31">
        <f>IF(NOT(ISNUMBER($O58)),"",IFERROR(MATCH(INDEX('通知一覧'!$C$5:$C$204,$O58),'支払先'!$B$5:$B$104,0),""))</f>
        <v/>
      </c>
      <c r="Q58" s="31">
        <f>IF(AND($A58&lt;&gt;"",$A58='支払通知書'!$K$2),ROW(),"")</f>
        <v/>
      </c>
    </row>
    <row r="59" ht="18" customHeight="1">
      <c r="A59" s="18" t="n"/>
      <c r="B59" s="24" t="n"/>
      <c r="C59" s="19" t="n"/>
      <c r="D59" s="25" t="n"/>
      <c r="E59" s="18" t="n"/>
      <c r="F59" s="25" t="n"/>
      <c r="G59" s="18" t="n"/>
      <c r="H59" s="18" t="n"/>
      <c r="I59" s="26">
        <f>IF(OR($A59="",$F59=""),"",ROUND(IF($D59="",1,$D59)*$F59,0))</f>
        <v/>
      </c>
      <c r="J59" s="27">
        <f>IF($A59="","",IF($O59="なし","※通知一覧にない通知No",IF($P59="","",INDEX('支払先'!$C$5:$C$104,$P59)&amp;"")))</f>
        <v/>
      </c>
      <c r="K59" s="28">
        <f>IF(NOT(ISNUMBER($O59)),"",IF(ISNUMBER(INDEX('通知一覧'!$F$5:$F$204,$O59)),INDEX('通知一覧'!$F$5:$F$204,$O59),""))</f>
        <v/>
      </c>
      <c r="L59" s="29">
        <f>IF(AND(ISNUMBER($B59),ISNUMBER($K59)),$K59-$B59+1,"")</f>
        <v/>
      </c>
      <c r="M59" s="30">
        <f>IF(OR($L59="",$P59=""),"",IF(INDEX('支払先'!$M$5:$M$104,$P59)="対象外","",IF(AND($L59&gt;60,$K59&gt;=EDATE($B59,2)),"超える","")))</f>
        <v/>
      </c>
      <c r="N59" s="67" t="n"/>
      <c r="O59" s="31">
        <f>IF($A59="","",IFERROR(MATCH($A59,'通知一覧'!$B$5:$B$204,0),"なし"))</f>
        <v/>
      </c>
      <c r="P59" s="31">
        <f>IF(NOT(ISNUMBER($O59)),"",IFERROR(MATCH(INDEX('通知一覧'!$C$5:$C$204,$O59),'支払先'!$B$5:$B$104,0),""))</f>
        <v/>
      </c>
      <c r="Q59" s="31">
        <f>IF(AND($A59&lt;&gt;"",$A59='支払通知書'!$K$2),ROW(),"")</f>
        <v/>
      </c>
    </row>
    <row r="60" ht="18" customHeight="1">
      <c r="A60" s="18" t="n"/>
      <c r="B60" s="24" t="n"/>
      <c r="C60" s="19" t="n"/>
      <c r="D60" s="25" t="n"/>
      <c r="E60" s="18" t="n"/>
      <c r="F60" s="25" t="n"/>
      <c r="G60" s="18" t="n"/>
      <c r="H60" s="18" t="n"/>
      <c r="I60" s="26">
        <f>IF(OR($A60="",$F60=""),"",ROUND(IF($D60="",1,$D60)*$F60,0))</f>
        <v/>
      </c>
      <c r="J60" s="27">
        <f>IF($A60="","",IF($O60="なし","※通知一覧にない通知No",IF($P60="","",INDEX('支払先'!$C$5:$C$104,$P60)&amp;"")))</f>
        <v/>
      </c>
      <c r="K60" s="28">
        <f>IF(NOT(ISNUMBER($O60)),"",IF(ISNUMBER(INDEX('通知一覧'!$F$5:$F$204,$O60)),INDEX('通知一覧'!$F$5:$F$204,$O60),""))</f>
        <v/>
      </c>
      <c r="L60" s="29">
        <f>IF(AND(ISNUMBER($B60),ISNUMBER($K60)),$K60-$B60+1,"")</f>
        <v/>
      </c>
      <c r="M60" s="30">
        <f>IF(OR($L60="",$P60=""),"",IF(INDEX('支払先'!$M$5:$M$104,$P60)="対象外","",IF(AND($L60&gt;60,$K60&gt;=EDATE($B60,2)),"超える","")))</f>
        <v/>
      </c>
      <c r="N60" s="67" t="n"/>
      <c r="O60" s="31">
        <f>IF($A60="","",IFERROR(MATCH($A60,'通知一覧'!$B$5:$B$204,0),"なし"))</f>
        <v/>
      </c>
      <c r="P60" s="31">
        <f>IF(NOT(ISNUMBER($O60)),"",IFERROR(MATCH(INDEX('通知一覧'!$C$5:$C$204,$O60),'支払先'!$B$5:$B$104,0),""))</f>
        <v/>
      </c>
      <c r="Q60" s="31">
        <f>IF(AND($A60&lt;&gt;"",$A60='支払通知書'!$K$2),ROW(),"")</f>
        <v/>
      </c>
    </row>
    <row r="61" ht="18" customHeight="1">
      <c r="A61" s="18" t="n"/>
      <c r="B61" s="24" t="n"/>
      <c r="C61" s="19" t="n"/>
      <c r="D61" s="25" t="n"/>
      <c r="E61" s="18" t="n"/>
      <c r="F61" s="25" t="n"/>
      <c r="G61" s="18" t="n"/>
      <c r="H61" s="18" t="n"/>
      <c r="I61" s="26">
        <f>IF(OR($A61="",$F61=""),"",ROUND(IF($D61="",1,$D61)*$F61,0))</f>
        <v/>
      </c>
      <c r="J61" s="27">
        <f>IF($A61="","",IF($O61="なし","※通知一覧にない通知No",IF($P61="","",INDEX('支払先'!$C$5:$C$104,$P61)&amp;"")))</f>
        <v/>
      </c>
      <c r="K61" s="28">
        <f>IF(NOT(ISNUMBER($O61)),"",IF(ISNUMBER(INDEX('通知一覧'!$F$5:$F$204,$O61)),INDEX('通知一覧'!$F$5:$F$204,$O61),""))</f>
        <v/>
      </c>
      <c r="L61" s="29">
        <f>IF(AND(ISNUMBER($B61),ISNUMBER($K61)),$K61-$B61+1,"")</f>
        <v/>
      </c>
      <c r="M61" s="30">
        <f>IF(OR($L61="",$P61=""),"",IF(INDEX('支払先'!$M$5:$M$104,$P61)="対象外","",IF(AND($L61&gt;60,$K61&gt;=EDATE($B61,2)),"超える","")))</f>
        <v/>
      </c>
      <c r="N61" s="67" t="n"/>
      <c r="O61" s="31">
        <f>IF($A61="","",IFERROR(MATCH($A61,'通知一覧'!$B$5:$B$204,0),"なし"))</f>
        <v/>
      </c>
      <c r="P61" s="31">
        <f>IF(NOT(ISNUMBER($O61)),"",IFERROR(MATCH(INDEX('通知一覧'!$C$5:$C$204,$O61),'支払先'!$B$5:$B$104,0),""))</f>
        <v/>
      </c>
      <c r="Q61" s="31">
        <f>IF(AND($A61&lt;&gt;"",$A61='支払通知書'!$K$2),ROW(),"")</f>
        <v/>
      </c>
    </row>
    <row r="62" ht="18" customHeight="1">
      <c r="A62" s="18" t="n"/>
      <c r="B62" s="24" t="n"/>
      <c r="C62" s="19" t="n"/>
      <c r="D62" s="25" t="n"/>
      <c r="E62" s="18" t="n"/>
      <c r="F62" s="25" t="n"/>
      <c r="G62" s="18" t="n"/>
      <c r="H62" s="18" t="n"/>
      <c r="I62" s="26">
        <f>IF(OR($A62="",$F62=""),"",ROUND(IF($D62="",1,$D62)*$F62,0))</f>
        <v/>
      </c>
      <c r="J62" s="27">
        <f>IF($A62="","",IF($O62="なし","※通知一覧にない通知No",IF($P62="","",INDEX('支払先'!$C$5:$C$104,$P62)&amp;"")))</f>
        <v/>
      </c>
      <c r="K62" s="28">
        <f>IF(NOT(ISNUMBER($O62)),"",IF(ISNUMBER(INDEX('通知一覧'!$F$5:$F$204,$O62)),INDEX('通知一覧'!$F$5:$F$204,$O62),""))</f>
        <v/>
      </c>
      <c r="L62" s="29">
        <f>IF(AND(ISNUMBER($B62),ISNUMBER($K62)),$K62-$B62+1,"")</f>
        <v/>
      </c>
      <c r="M62" s="30">
        <f>IF(OR($L62="",$P62=""),"",IF(INDEX('支払先'!$M$5:$M$104,$P62)="対象外","",IF(AND($L62&gt;60,$K62&gt;=EDATE($B62,2)),"超える","")))</f>
        <v/>
      </c>
      <c r="N62" s="67" t="n"/>
      <c r="O62" s="31">
        <f>IF($A62="","",IFERROR(MATCH($A62,'通知一覧'!$B$5:$B$204,0),"なし"))</f>
        <v/>
      </c>
      <c r="P62" s="31">
        <f>IF(NOT(ISNUMBER($O62)),"",IFERROR(MATCH(INDEX('通知一覧'!$C$5:$C$204,$O62),'支払先'!$B$5:$B$104,0),""))</f>
        <v/>
      </c>
      <c r="Q62" s="31">
        <f>IF(AND($A62&lt;&gt;"",$A62='支払通知書'!$K$2),ROW(),"")</f>
        <v/>
      </c>
    </row>
    <row r="63" ht="18" customHeight="1">
      <c r="A63" s="18" t="n"/>
      <c r="B63" s="24" t="n"/>
      <c r="C63" s="19" t="n"/>
      <c r="D63" s="25" t="n"/>
      <c r="E63" s="18" t="n"/>
      <c r="F63" s="25" t="n"/>
      <c r="G63" s="18" t="n"/>
      <c r="H63" s="18" t="n"/>
      <c r="I63" s="26">
        <f>IF(OR($A63="",$F63=""),"",ROUND(IF($D63="",1,$D63)*$F63,0))</f>
        <v/>
      </c>
      <c r="J63" s="27">
        <f>IF($A63="","",IF($O63="なし","※通知一覧にない通知No",IF($P63="","",INDEX('支払先'!$C$5:$C$104,$P63)&amp;"")))</f>
        <v/>
      </c>
      <c r="K63" s="28">
        <f>IF(NOT(ISNUMBER($O63)),"",IF(ISNUMBER(INDEX('通知一覧'!$F$5:$F$204,$O63)),INDEX('通知一覧'!$F$5:$F$204,$O63),""))</f>
        <v/>
      </c>
      <c r="L63" s="29">
        <f>IF(AND(ISNUMBER($B63),ISNUMBER($K63)),$K63-$B63+1,"")</f>
        <v/>
      </c>
      <c r="M63" s="30">
        <f>IF(OR($L63="",$P63=""),"",IF(INDEX('支払先'!$M$5:$M$104,$P63)="対象外","",IF(AND($L63&gt;60,$K63&gt;=EDATE($B63,2)),"超える","")))</f>
        <v/>
      </c>
      <c r="N63" s="67" t="n"/>
      <c r="O63" s="31">
        <f>IF($A63="","",IFERROR(MATCH($A63,'通知一覧'!$B$5:$B$204,0),"なし"))</f>
        <v/>
      </c>
      <c r="P63" s="31">
        <f>IF(NOT(ISNUMBER($O63)),"",IFERROR(MATCH(INDEX('通知一覧'!$C$5:$C$204,$O63),'支払先'!$B$5:$B$104,0),""))</f>
        <v/>
      </c>
      <c r="Q63" s="31">
        <f>IF(AND($A63&lt;&gt;"",$A63='支払通知書'!$K$2),ROW(),"")</f>
        <v/>
      </c>
    </row>
    <row r="64" ht="18" customHeight="1">
      <c r="A64" s="18" t="n"/>
      <c r="B64" s="24" t="n"/>
      <c r="C64" s="19" t="n"/>
      <c r="D64" s="25" t="n"/>
      <c r="E64" s="18" t="n"/>
      <c r="F64" s="25" t="n"/>
      <c r="G64" s="18" t="n"/>
      <c r="H64" s="18" t="n"/>
      <c r="I64" s="26">
        <f>IF(OR($A64="",$F64=""),"",ROUND(IF($D64="",1,$D64)*$F64,0))</f>
        <v/>
      </c>
      <c r="J64" s="27">
        <f>IF($A64="","",IF($O64="なし","※通知一覧にない通知No",IF($P64="","",INDEX('支払先'!$C$5:$C$104,$P64)&amp;"")))</f>
        <v/>
      </c>
      <c r="K64" s="28">
        <f>IF(NOT(ISNUMBER($O64)),"",IF(ISNUMBER(INDEX('通知一覧'!$F$5:$F$204,$O64)),INDEX('通知一覧'!$F$5:$F$204,$O64),""))</f>
        <v/>
      </c>
      <c r="L64" s="29">
        <f>IF(AND(ISNUMBER($B64),ISNUMBER($K64)),$K64-$B64+1,"")</f>
        <v/>
      </c>
      <c r="M64" s="30">
        <f>IF(OR($L64="",$P64=""),"",IF(INDEX('支払先'!$M$5:$M$104,$P64)="対象外","",IF(AND($L64&gt;60,$K64&gt;=EDATE($B64,2)),"超える","")))</f>
        <v/>
      </c>
      <c r="N64" s="67" t="n"/>
      <c r="O64" s="31">
        <f>IF($A64="","",IFERROR(MATCH($A64,'通知一覧'!$B$5:$B$204,0),"なし"))</f>
        <v/>
      </c>
      <c r="P64" s="31">
        <f>IF(NOT(ISNUMBER($O64)),"",IFERROR(MATCH(INDEX('通知一覧'!$C$5:$C$204,$O64),'支払先'!$B$5:$B$104,0),""))</f>
        <v/>
      </c>
      <c r="Q64" s="31">
        <f>IF(AND($A64&lt;&gt;"",$A64='支払通知書'!$K$2),ROW(),"")</f>
        <v/>
      </c>
    </row>
    <row r="65" ht="18" customHeight="1">
      <c r="A65" s="18" t="n"/>
      <c r="B65" s="24" t="n"/>
      <c r="C65" s="19" t="n"/>
      <c r="D65" s="25" t="n"/>
      <c r="E65" s="18" t="n"/>
      <c r="F65" s="25" t="n"/>
      <c r="G65" s="18" t="n"/>
      <c r="H65" s="18" t="n"/>
      <c r="I65" s="26">
        <f>IF(OR($A65="",$F65=""),"",ROUND(IF($D65="",1,$D65)*$F65,0))</f>
        <v/>
      </c>
      <c r="J65" s="27">
        <f>IF($A65="","",IF($O65="なし","※通知一覧にない通知No",IF($P65="","",INDEX('支払先'!$C$5:$C$104,$P65)&amp;"")))</f>
        <v/>
      </c>
      <c r="K65" s="28">
        <f>IF(NOT(ISNUMBER($O65)),"",IF(ISNUMBER(INDEX('通知一覧'!$F$5:$F$204,$O65)),INDEX('通知一覧'!$F$5:$F$204,$O65),""))</f>
        <v/>
      </c>
      <c r="L65" s="29">
        <f>IF(AND(ISNUMBER($B65),ISNUMBER($K65)),$K65-$B65+1,"")</f>
        <v/>
      </c>
      <c r="M65" s="30">
        <f>IF(OR($L65="",$P65=""),"",IF(INDEX('支払先'!$M$5:$M$104,$P65)="対象外","",IF(AND($L65&gt;60,$K65&gt;=EDATE($B65,2)),"超える","")))</f>
        <v/>
      </c>
      <c r="N65" s="67" t="n"/>
      <c r="O65" s="31">
        <f>IF($A65="","",IFERROR(MATCH($A65,'通知一覧'!$B$5:$B$204,0),"なし"))</f>
        <v/>
      </c>
      <c r="P65" s="31">
        <f>IF(NOT(ISNUMBER($O65)),"",IFERROR(MATCH(INDEX('通知一覧'!$C$5:$C$204,$O65),'支払先'!$B$5:$B$104,0),""))</f>
        <v/>
      </c>
      <c r="Q65" s="31">
        <f>IF(AND($A65&lt;&gt;"",$A65='支払通知書'!$K$2),ROW(),"")</f>
        <v/>
      </c>
    </row>
    <row r="66" ht="18" customHeight="1">
      <c r="A66" s="18" t="n"/>
      <c r="B66" s="24" t="n"/>
      <c r="C66" s="19" t="n"/>
      <c r="D66" s="25" t="n"/>
      <c r="E66" s="18" t="n"/>
      <c r="F66" s="25" t="n"/>
      <c r="G66" s="18" t="n"/>
      <c r="H66" s="18" t="n"/>
      <c r="I66" s="26">
        <f>IF(OR($A66="",$F66=""),"",ROUND(IF($D66="",1,$D66)*$F66,0))</f>
        <v/>
      </c>
      <c r="J66" s="27">
        <f>IF($A66="","",IF($O66="なし","※通知一覧にない通知No",IF($P66="","",INDEX('支払先'!$C$5:$C$104,$P66)&amp;"")))</f>
        <v/>
      </c>
      <c r="K66" s="28">
        <f>IF(NOT(ISNUMBER($O66)),"",IF(ISNUMBER(INDEX('通知一覧'!$F$5:$F$204,$O66)),INDEX('通知一覧'!$F$5:$F$204,$O66),""))</f>
        <v/>
      </c>
      <c r="L66" s="29">
        <f>IF(AND(ISNUMBER($B66),ISNUMBER($K66)),$K66-$B66+1,"")</f>
        <v/>
      </c>
      <c r="M66" s="30">
        <f>IF(OR($L66="",$P66=""),"",IF(INDEX('支払先'!$M$5:$M$104,$P66)="対象外","",IF(AND($L66&gt;60,$K66&gt;=EDATE($B66,2)),"超える","")))</f>
        <v/>
      </c>
      <c r="N66" s="67" t="n"/>
      <c r="O66" s="31">
        <f>IF($A66="","",IFERROR(MATCH($A66,'通知一覧'!$B$5:$B$204,0),"なし"))</f>
        <v/>
      </c>
      <c r="P66" s="31">
        <f>IF(NOT(ISNUMBER($O66)),"",IFERROR(MATCH(INDEX('通知一覧'!$C$5:$C$204,$O66),'支払先'!$B$5:$B$104,0),""))</f>
        <v/>
      </c>
      <c r="Q66" s="31">
        <f>IF(AND($A66&lt;&gt;"",$A66='支払通知書'!$K$2),ROW(),"")</f>
        <v/>
      </c>
    </row>
    <row r="67" ht="18" customHeight="1">
      <c r="A67" s="18" t="n"/>
      <c r="B67" s="24" t="n"/>
      <c r="C67" s="19" t="n"/>
      <c r="D67" s="25" t="n"/>
      <c r="E67" s="18" t="n"/>
      <c r="F67" s="25" t="n"/>
      <c r="G67" s="18" t="n"/>
      <c r="H67" s="18" t="n"/>
      <c r="I67" s="26">
        <f>IF(OR($A67="",$F67=""),"",ROUND(IF($D67="",1,$D67)*$F67,0))</f>
        <v/>
      </c>
      <c r="J67" s="27">
        <f>IF($A67="","",IF($O67="なし","※通知一覧にない通知No",IF($P67="","",INDEX('支払先'!$C$5:$C$104,$P67)&amp;"")))</f>
        <v/>
      </c>
      <c r="K67" s="28">
        <f>IF(NOT(ISNUMBER($O67)),"",IF(ISNUMBER(INDEX('通知一覧'!$F$5:$F$204,$O67)),INDEX('通知一覧'!$F$5:$F$204,$O67),""))</f>
        <v/>
      </c>
      <c r="L67" s="29">
        <f>IF(AND(ISNUMBER($B67),ISNUMBER($K67)),$K67-$B67+1,"")</f>
        <v/>
      </c>
      <c r="M67" s="30">
        <f>IF(OR($L67="",$P67=""),"",IF(INDEX('支払先'!$M$5:$M$104,$P67)="対象外","",IF(AND($L67&gt;60,$K67&gt;=EDATE($B67,2)),"超える","")))</f>
        <v/>
      </c>
      <c r="N67" s="67" t="n"/>
      <c r="O67" s="31">
        <f>IF($A67="","",IFERROR(MATCH($A67,'通知一覧'!$B$5:$B$204,0),"なし"))</f>
        <v/>
      </c>
      <c r="P67" s="31">
        <f>IF(NOT(ISNUMBER($O67)),"",IFERROR(MATCH(INDEX('通知一覧'!$C$5:$C$204,$O67),'支払先'!$B$5:$B$104,0),""))</f>
        <v/>
      </c>
      <c r="Q67" s="31">
        <f>IF(AND($A67&lt;&gt;"",$A67='支払通知書'!$K$2),ROW(),"")</f>
        <v/>
      </c>
    </row>
    <row r="68" ht="18" customHeight="1">
      <c r="A68" s="18" t="n"/>
      <c r="B68" s="24" t="n"/>
      <c r="C68" s="19" t="n"/>
      <c r="D68" s="25" t="n"/>
      <c r="E68" s="18" t="n"/>
      <c r="F68" s="25" t="n"/>
      <c r="G68" s="18" t="n"/>
      <c r="H68" s="18" t="n"/>
      <c r="I68" s="26">
        <f>IF(OR($A68="",$F68=""),"",ROUND(IF($D68="",1,$D68)*$F68,0))</f>
        <v/>
      </c>
      <c r="J68" s="27">
        <f>IF($A68="","",IF($O68="なし","※通知一覧にない通知No",IF($P68="","",INDEX('支払先'!$C$5:$C$104,$P68)&amp;"")))</f>
        <v/>
      </c>
      <c r="K68" s="28">
        <f>IF(NOT(ISNUMBER($O68)),"",IF(ISNUMBER(INDEX('通知一覧'!$F$5:$F$204,$O68)),INDEX('通知一覧'!$F$5:$F$204,$O68),""))</f>
        <v/>
      </c>
      <c r="L68" s="29">
        <f>IF(AND(ISNUMBER($B68),ISNUMBER($K68)),$K68-$B68+1,"")</f>
        <v/>
      </c>
      <c r="M68" s="30">
        <f>IF(OR($L68="",$P68=""),"",IF(INDEX('支払先'!$M$5:$M$104,$P68)="対象外","",IF(AND($L68&gt;60,$K68&gt;=EDATE($B68,2)),"超える","")))</f>
        <v/>
      </c>
      <c r="N68" s="67" t="n"/>
      <c r="O68" s="31">
        <f>IF($A68="","",IFERROR(MATCH($A68,'通知一覧'!$B$5:$B$204,0),"なし"))</f>
        <v/>
      </c>
      <c r="P68" s="31">
        <f>IF(NOT(ISNUMBER($O68)),"",IFERROR(MATCH(INDEX('通知一覧'!$C$5:$C$204,$O68),'支払先'!$B$5:$B$104,0),""))</f>
        <v/>
      </c>
      <c r="Q68" s="31">
        <f>IF(AND($A68&lt;&gt;"",$A68='支払通知書'!$K$2),ROW(),"")</f>
        <v/>
      </c>
    </row>
    <row r="69" ht="18" customHeight="1">
      <c r="A69" s="18" t="n"/>
      <c r="B69" s="24" t="n"/>
      <c r="C69" s="19" t="n"/>
      <c r="D69" s="25" t="n"/>
      <c r="E69" s="18" t="n"/>
      <c r="F69" s="25" t="n"/>
      <c r="G69" s="18" t="n"/>
      <c r="H69" s="18" t="n"/>
      <c r="I69" s="26">
        <f>IF(OR($A69="",$F69=""),"",ROUND(IF($D69="",1,$D69)*$F69,0))</f>
        <v/>
      </c>
      <c r="J69" s="27">
        <f>IF($A69="","",IF($O69="なし","※通知一覧にない通知No",IF($P69="","",INDEX('支払先'!$C$5:$C$104,$P69)&amp;"")))</f>
        <v/>
      </c>
      <c r="K69" s="28">
        <f>IF(NOT(ISNUMBER($O69)),"",IF(ISNUMBER(INDEX('通知一覧'!$F$5:$F$204,$O69)),INDEX('通知一覧'!$F$5:$F$204,$O69),""))</f>
        <v/>
      </c>
      <c r="L69" s="29">
        <f>IF(AND(ISNUMBER($B69),ISNUMBER($K69)),$K69-$B69+1,"")</f>
        <v/>
      </c>
      <c r="M69" s="30">
        <f>IF(OR($L69="",$P69=""),"",IF(INDEX('支払先'!$M$5:$M$104,$P69)="対象外","",IF(AND($L69&gt;60,$K69&gt;=EDATE($B69,2)),"超える","")))</f>
        <v/>
      </c>
      <c r="N69" s="67" t="n"/>
      <c r="O69" s="31">
        <f>IF($A69="","",IFERROR(MATCH($A69,'通知一覧'!$B$5:$B$204,0),"なし"))</f>
        <v/>
      </c>
      <c r="P69" s="31">
        <f>IF(NOT(ISNUMBER($O69)),"",IFERROR(MATCH(INDEX('通知一覧'!$C$5:$C$204,$O69),'支払先'!$B$5:$B$104,0),""))</f>
        <v/>
      </c>
      <c r="Q69" s="31">
        <f>IF(AND($A69&lt;&gt;"",$A69='支払通知書'!$K$2),ROW(),"")</f>
        <v/>
      </c>
    </row>
    <row r="70" ht="18" customHeight="1">
      <c r="A70" s="18" t="n"/>
      <c r="B70" s="24" t="n"/>
      <c r="C70" s="19" t="n"/>
      <c r="D70" s="25" t="n"/>
      <c r="E70" s="18" t="n"/>
      <c r="F70" s="25" t="n"/>
      <c r="G70" s="18" t="n"/>
      <c r="H70" s="18" t="n"/>
      <c r="I70" s="26">
        <f>IF(OR($A70="",$F70=""),"",ROUND(IF($D70="",1,$D70)*$F70,0))</f>
        <v/>
      </c>
      <c r="J70" s="27">
        <f>IF($A70="","",IF($O70="なし","※通知一覧にない通知No",IF($P70="","",INDEX('支払先'!$C$5:$C$104,$P70)&amp;"")))</f>
        <v/>
      </c>
      <c r="K70" s="28">
        <f>IF(NOT(ISNUMBER($O70)),"",IF(ISNUMBER(INDEX('通知一覧'!$F$5:$F$204,$O70)),INDEX('通知一覧'!$F$5:$F$204,$O70),""))</f>
        <v/>
      </c>
      <c r="L70" s="29">
        <f>IF(AND(ISNUMBER($B70),ISNUMBER($K70)),$K70-$B70+1,"")</f>
        <v/>
      </c>
      <c r="M70" s="30">
        <f>IF(OR($L70="",$P70=""),"",IF(INDEX('支払先'!$M$5:$M$104,$P70)="対象外","",IF(AND($L70&gt;60,$K70&gt;=EDATE($B70,2)),"超える","")))</f>
        <v/>
      </c>
      <c r="N70" s="67" t="n"/>
      <c r="O70" s="31">
        <f>IF($A70="","",IFERROR(MATCH($A70,'通知一覧'!$B$5:$B$204,0),"なし"))</f>
        <v/>
      </c>
      <c r="P70" s="31">
        <f>IF(NOT(ISNUMBER($O70)),"",IFERROR(MATCH(INDEX('通知一覧'!$C$5:$C$204,$O70),'支払先'!$B$5:$B$104,0),""))</f>
        <v/>
      </c>
      <c r="Q70" s="31">
        <f>IF(AND($A70&lt;&gt;"",$A70='支払通知書'!$K$2),ROW(),"")</f>
        <v/>
      </c>
    </row>
    <row r="71" ht="18" customHeight="1">
      <c r="A71" s="18" t="n"/>
      <c r="B71" s="24" t="n"/>
      <c r="C71" s="19" t="n"/>
      <c r="D71" s="25" t="n"/>
      <c r="E71" s="18" t="n"/>
      <c r="F71" s="25" t="n"/>
      <c r="G71" s="18" t="n"/>
      <c r="H71" s="18" t="n"/>
      <c r="I71" s="26">
        <f>IF(OR($A71="",$F71=""),"",ROUND(IF($D71="",1,$D71)*$F71,0))</f>
        <v/>
      </c>
      <c r="J71" s="27">
        <f>IF($A71="","",IF($O71="なし","※通知一覧にない通知No",IF($P71="","",INDEX('支払先'!$C$5:$C$104,$P71)&amp;"")))</f>
        <v/>
      </c>
      <c r="K71" s="28">
        <f>IF(NOT(ISNUMBER($O71)),"",IF(ISNUMBER(INDEX('通知一覧'!$F$5:$F$204,$O71)),INDEX('通知一覧'!$F$5:$F$204,$O71),""))</f>
        <v/>
      </c>
      <c r="L71" s="29">
        <f>IF(AND(ISNUMBER($B71),ISNUMBER($K71)),$K71-$B71+1,"")</f>
        <v/>
      </c>
      <c r="M71" s="30">
        <f>IF(OR($L71="",$P71=""),"",IF(INDEX('支払先'!$M$5:$M$104,$P71)="対象外","",IF(AND($L71&gt;60,$K71&gt;=EDATE($B71,2)),"超える","")))</f>
        <v/>
      </c>
      <c r="N71" s="67" t="n"/>
      <c r="O71" s="31">
        <f>IF($A71="","",IFERROR(MATCH($A71,'通知一覧'!$B$5:$B$204,0),"なし"))</f>
        <v/>
      </c>
      <c r="P71" s="31">
        <f>IF(NOT(ISNUMBER($O71)),"",IFERROR(MATCH(INDEX('通知一覧'!$C$5:$C$204,$O71),'支払先'!$B$5:$B$104,0),""))</f>
        <v/>
      </c>
      <c r="Q71" s="31">
        <f>IF(AND($A71&lt;&gt;"",$A71='支払通知書'!$K$2),ROW(),"")</f>
        <v/>
      </c>
    </row>
    <row r="72" ht="18" customHeight="1">
      <c r="A72" s="18" t="n"/>
      <c r="B72" s="24" t="n"/>
      <c r="C72" s="19" t="n"/>
      <c r="D72" s="25" t="n"/>
      <c r="E72" s="18" t="n"/>
      <c r="F72" s="25" t="n"/>
      <c r="G72" s="18" t="n"/>
      <c r="H72" s="18" t="n"/>
      <c r="I72" s="26">
        <f>IF(OR($A72="",$F72=""),"",ROUND(IF($D72="",1,$D72)*$F72,0))</f>
        <v/>
      </c>
      <c r="J72" s="27">
        <f>IF($A72="","",IF($O72="なし","※通知一覧にない通知No",IF($P72="","",INDEX('支払先'!$C$5:$C$104,$P72)&amp;"")))</f>
        <v/>
      </c>
      <c r="K72" s="28">
        <f>IF(NOT(ISNUMBER($O72)),"",IF(ISNUMBER(INDEX('通知一覧'!$F$5:$F$204,$O72)),INDEX('通知一覧'!$F$5:$F$204,$O72),""))</f>
        <v/>
      </c>
      <c r="L72" s="29">
        <f>IF(AND(ISNUMBER($B72),ISNUMBER($K72)),$K72-$B72+1,"")</f>
        <v/>
      </c>
      <c r="M72" s="30">
        <f>IF(OR($L72="",$P72=""),"",IF(INDEX('支払先'!$M$5:$M$104,$P72)="対象外","",IF(AND($L72&gt;60,$K72&gt;=EDATE($B72,2)),"超える","")))</f>
        <v/>
      </c>
      <c r="N72" s="67" t="n"/>
      <c r="O72" s="31">
        <f>IF($A72="","",IFERROR(MATCH($A72,'通知一覧'!$B$5:$B$204,0),"なし"))</f>
        <v/>
      </c>
      <c r="P72" s="31">
        <f>IF(NOT(ISNUMBER($O72)),"",IFERROR(MATCH(INDEX('通知一覧'!$C$5:$C$204,$O72),'支払先'!$B$5:$B$104,0),""))</f>
        <v/>
      </c>
      <c r="Q72" s="31">
        <f>IF(AND($A72&lt;&gt;"",$A72='支払通知書'!$K$2),ROW(),"")</f>
        <v/>
      </c>
    </row>
    <row r="73" ht="18" customHeight="1">
      <c r="A73" s="18" t="n"/>
      <c r="B73" s="24" t="n"/>
      <c r="C73" s="19" t="n"/>
      <c r="D73" s="25" t="n"/>
      <c r="E73" s="18" t="n"/>
      <c r="F73" s="25" t="n"/>
      <c r="G73" s="18" t="n"/>
      <c r="H73" s="18" t="n"/>
      <c r="I73" s="26">
        <f>IF(OR($A73="",$F73=""),"",ROUND(IF($D73="",1,$D73)*$F73,0))</f>
        <v/>
      </c>
      <c r="J73" s="27">
        <f>IF($A73="","",IF($O73="なし","※通知一覧にない通知No",IF($P73="","",INDEX('支払先'!$C$5:$C$104,$P73)&amp;"")))</f>
        <v/>
      </c>
      <c r="K73" s="28">
        <f>IF(NOT(ISNUMBER($O73)),"",IF(ISNUMBER(INDEX('通知一覧'!$F$5:$F$204,$O73)),INDEX('通知一覧'!$F$5:$F$204,$O73),""))</f>
        <v/>
      </c>
      <c r="L73" s="29">
        <f>IF(AND(ISNUMBER($B73),ISNUMBER($K73)),$K73-$B73+1,"")</f>
        <v/>
      </c>
      <c r="M73" s="30">
        <f>IF(OR($L73="",$P73=""),"",IF(INDEX('支払先'!$M$5:$M$104,$P73)="対象外","",IF(AND($L73&gt;60,$K73&gt;=EDATE($B73,2)),"超える","")))</f>
        <v/>
      </c>
      <c r="N73" s="67" t="n"/>
      <c r="O73" s="31">
        <f>IF($A73="","",IFERROR(MATCH($A73,'通知一覧'!$B$5:$B$204,0),"なし"))</f>
        <v/>
      </c>
      <c r="P73" s="31">
        <f>IF(NOT(ISNUMBER($O73)),"",IFERROR(MATCH(INDEX('通知一覧'!$C$5:$C$204,$O73),'支払先'!$B$5:$B$104,0),""))</f>
        <v/>
      </c>
      <c r="Q73" s="31">
        <f>IF(AND($A73&lt;&gt;"",$A73='支払通知書'!$K$2),ROW(),"")</f>
        <v/>
      </c>
    </row>
    <row r="74" ht="18" customHeight="1">
      <c r="A74" s="18" t="n"/>
      <c r="B74" s="24" t="n"/>
      <c r="C74" s="19" t="n"/>
      <c r="D74" s="25" t="n"/>
      <c r="E74" s="18" t="n"/>
      <c r="F74" s="25" t="n"/>
      <c r="G74" s="18" t="n"/>
      <c r="H74" s="18" t="n"/>
      <c r="I74" s="26">
        <f>IF(OR($A74="",$F74=""),"",ROUND(IF($D74="",1,$D74)*$F74,0))</f>
        <v/>
      </c>
      <c r="J74" s="27">
        <f>IF($A74="","",IF($O74="なし","※通知一覧にない通知No",IF($P74="","",INDEX('支払先'!$C$5:$C$104,$P74)&amp;"")))</f>
        <v/>
      </c>
      <c r="K74" s="28">
        <f>IF(NOT(ISNUMBER($O74)),"",IF(ISNUMBER(INDEX('通知一覧'!$F$5:$F$204,$O74)),INDEX('通知一覧'!$F$5:$F$204,$O74),""))</f>
        <v/>
      </c>
      <c r="L74" s="29">
        <f>IF(AND(ISNUMBER($B74),ISNUMBER($K74)),$K74-$B74+1,"")</f>
        <v/>
      </c>
      <c r="M74" s="30">
        <f>IF(OR($L74="",$P74=""),"",IF(INDEX('支払先'!$M$5:$M$104,$P74)="対象外","",IF(AND($L74&gt;60,$K74&gt;=EDATE($B74,2)),"超える","")))</f>
        <v/>
      </c>
      <c r="N74" s="67" t="n"/>
      <c r="O74" s="31">
        <f>IF($A74="","",IFERROR(MATCH($A74,'通知一覧'!$B$5:$B$204,0),"なし"))</f>
        <v/>
      </c>
      <c r="P74" s="31">
        <f>IF(NOT(ISNUMBER($O74)),"",IFERROR(MATCH(INDEX('通知一覧'!$C$5:$C$204,$O74),'支払先'!$B$5:$B$104,0),""))</f>
        <v/>
      </c>
      <c r="Q74" s="31">
        <f>IF(AND($A74&lt;&gt;"",$A74='支払通知書'!$K$2),ROW(),"")</f>
        <v/>
      </c>
    </row>
    <row r="75" ht="18" customHeight="1">
      <c r="A75" s="18" t="n"/>
      <c r="B75" s="24" t="n"/>
      <c r="C75" s="19" t="n"/>
      <c r="D75" s="25" t="n"/>
      <c r="E75" s="18" t="n"/>
      <c r="F75" s="25" t="n"/>
      <c r="G75" s="18" t="n"/>
      <c r="H75" s="18" t="n"/>
      <c r="I75" s="26">
        <f>IF(OR($A75="",$F75=""),"",ROUND(IF($D75="",1,$D75)*$F75,0))</f>
        <v/>
      </c>
      <c r="J75" s="27">
        <f>IF($A75="","",IF($O75="なし","※通知一覧にない通知No",IF($P75="","",INDEX('支払先'!$C$5:$C$104,$P75)&amp;"")))</f>
        <v/>
      </c>
      <c r="K75" s="28">
        <f>IF(NOT(ISNUMBER($O75)),"",IF(ISNUMBER(INDEX('通知一覧'!$F$5:$F$204,$O75)),INDEX('通知一覧'!$F$5:$F$204,$O75),""))</f>
        <v/>
      </c>
      <c r="L75" s="29">
        <f>IF(AND(ISNUMBER($B75),ISNUMBER($K75)),$K75-$B75+1,"")</f>
        <v/>
      </c>
      <c r="M75" s="30">
        <f>IF(OR($L75="",$P75=""),"",IF(INDEX('支払先'!$M$5:$M$104,$P75)="対象外","",IF(AND($L75&gt;60,$K75&gt;=EDATE($B75,2)),"超える","")))</f>
        <v/>
      </c>
      <c r="N75" s="67" t="n"/>
      <c r="O75" s="31">
        <f>IF($A75="","",IFERROR(MATCH($A75,'通知一覧'!$B$5:$B$204,0),"なし"))</f>
        <v/>
      </c>
      <c r="P75" s="31">
        <f>IF(NOT(ISNUMBER($O75)),"",IFERROR(MATCH(INDEX('通知一覧'!$C$5:$C$204,$O75),'支払先'!$B$5:$B$104,0),""))</f>
        <v/>
      </c>
      <c r="Q75" s="31">
        <f>IF(AND($A75&lt;&gt;"",$A75='支払通知書'!$K$2),ROW(),"")</f>
        <v/>
      </c>
    </row>
    <row r="76" ht="18" customHeight="1">
      <c r="A76" s="18" t="n"/>
      <c r="B76" s="24" t="n"/>
      <c r="C76" s="19" t="n"/>
      <c r="D76" s="25" t="n"/>
      <c r="E76" s="18" t="n"/>
      <c r="F76" s="25" t="n"/>
      <c r="G76" s="18" t="n"/>
      <c r="H76" s="18" t="n"/>
      <c r="I76" s="26">
        <f>IF(OR($A76="",$F76=""),"",ROUND(IF($D76="",1,$D76)*$F76,0))</f>
        <v/>
      </c>
      <c r="J76" s="27">
        <f>IF($A76="","",IF($O76="なし","※通知一覧にない通知No",IF($P76="","",INDEX('支払先'!$C$5:$C$104,$P76)&amp;"")))</f>
        <v/>
      </c>
      <c r="K76" s="28">
        <f>IF(NOT(ISNUMBER($O76)),"",IF(ISNUMBER(INDEX('通知一覧'!$F$5:$F$204,$O76)),INDEX('通知一覧'!$F$5:$F$204,$O76),""))</f>
        <v/>
      </c>
      <c r="L76" s="29">
        <f>IF(AND(ISNUMBER($B76),ISNUMBER($K76)),$K76-$B76+1,"")</f>
        <v/>
      </c>
      <c r="M76" s="30">
        <f>IF(OR($L76="",$P76=""),"",IF(INDEX('支払先'!$M$5:$M$104,$P76)="対象外","",IF(AND($L76&gt;60,$K76&gt;=EDATE($B76,2)),"超える","")))</f>
        <v/>
      </c>
      <c r="N76" s="67" t="n"/>
      <c r="O76" s="31">
        <f>IF($A76="","",IFERROR(MATCH($A76,'通知一覧'!$B$5:$B$204,0),"なし"))</f>
        <v/>
      </c>
      <c r="P76" s="31">
        <f>IF(NOT(ISNUMBER($O76)),"",IFERROR(MATCH(INDEX('通知一覧'!$C$5:$C$204,$O76),'支払先'!$B$5:$B$104,0),""))</f>
        <v/>
      </c>
      <c r="Q76" s="31">
        <f>IF(AND($A76&lt;&gt;"",$A76='支払通知書'!$K$2),ROW(),"")</f>
        <v/>
      </c>
    </row>
    <row r="77" ht="18" customHeight="1">
      <c r="A77" s="18" t="n"/>
      <c r="B77" s="24" t="n"/>
      <c r="C77" s="19" t="n"/>
      <c r="D77" s="25" t="n"/>
      <c r="E77" s="18" t="n"/>
      <c r="F77" s="25" t="n"/>
      <c r="G77" s="18" t="n"/>
      <c r="H77" s="18" t="n"/>
      <c r="I77" s="26">
        <f>IF(OR($A77="",$F77=""),"",ROUND(IF($D77="",1,$D77)*$F77,0))</f>
        <v/>
      </c>
      <c r="J77" s="27">
        <f>IF($A77="","",IF($O77="なし","※通知一覧にない通知No",IF($P77="","",INDEX('支払先'!$C$5:$C$104,$P77)&amp;"")))</f>
        <v/>
      </c>
      <c r="K77" s="28">
        <f>IF(NOT(ISNUMBER($O77)),"",IF(ISNUMBER(INDEX('通知一覧'!$F$5:$F$204,$O77)),INDEX('通知一覧'!$F$5:$F$204,$O77),""))</f>
        <v/>
      </c>
      <c r="L77" s="29">
        <f>IF(AND(ISNUMBER($B77),ISNUMBER($K77)),$K77-$B77+1,"")</f>
        <v/>
      </c>
      <c r="M77" s="30">
        <f>IF(OR($L77="",$P77=""),"",IF(INDEX('支払先'!$M$5:$M$104,$P77)="対象外","",IF(AND($L77&gt;60,$K77&gt;=EDATE($B77,2)),"超える","")))</f>
        <v/>
      </c>
      <c r="N77" s="67" t="n"/>
      <c r="O77" s="31">
        <f>IF($A77="","",IFERROR(MATCH($A77,'通知一覧'!$B$5:$B$204,0),"なし"))</f>
        <v/>
      </c>
      <c r="P77" s="31">
        <f>IF(NOT(ISNUMBER($O77)),"",IFERROR(MATCH(INDEX('通知一覧'!$C$5:$C$204,$O77),'支払先'!$B$5:$B$104,0),""))</f>
        <v/>
      </c>
      <c r="Q77" s="31">
        <f>IF(AND($A77&lt;&gt;"",$A77='支払通知書'!$K$2),ROW(),"")</f>
        <v/>
      </c>
    </row>
    <row r="78" ht="18" customHeight="1">
      <c r="A78" s="18" t="n"/>
      <c r="B78" s="24" t="n"/>
      <c r="C78" s="19" t="n"/>
      <c r="D78" s="25" t="n"/>
      <c r="E78" s="18" t="n"/>
      <c r="F78" s="25" t="n"/>
      <c r="G78" s="18" t="n"/>
      <c r="H78" s="18" t="n"/>
      <c r="I78" s="26">
        <f>IF(OR($A78="",$F78=""),"",ROUND(IF($D78="",1,$D78)*$F78,0))</f>
        <v/>
      </c>
      <c r="J78" s="27">
        <f>IF($A78="","",IF($O78="なし","※通知一覧にない通知No",IF($P78="","",INDEX('支払先'!$C$5:$C$104,$P78)&amp;"")))</f>
        <v/>
      </c>
      <c r="K78" s="28">
        <f>IF(NOT(ISNUMBER($O78)),"",IF(ISNUMBER(INDEX('通知一覧'!$F$5:$F$204,$O78)),INDEX('通知一覧'!$F$5:$F$204,$O78),""))</f>
        <v/>
      </c>
      <c r="L78" s="29">
        <f>IF(AND(ISNUMBER($B78),ISNUMBER($K78)),$K78-$B78+1,"")</f>
        <v/>
      </c>
      <c r="M78" s="30">
        <f>IF(OR($L78="",$P78=""),"",IF(INDEX('支払先'!$M$5:$M$104,$P78)="対象外","",IF(AND($L78&gt;60,$K78&gt;=EDATE($B78,2)),"超える","")))</f>
        <v/>
      </c>
      <c r="N78" s="67" t="n"/>
      <c r="O78" s="31">
        <f>IF($A78="","",IFERROR(MATCH($A78,'通知一覧'!$B$5:$B$204,0),"なし"))</f>
        <v/>
      </c>
      <c r="P78" s="31">
        <f>IF(NOT(ISNUMBER($O78)),"",IFERROR(MATCH(INDEX('通知一覧'!$C$5:$C$204,$O78),'支払先'!$B$5:$B$104,0),""))</f>
        <v/>
      </c>
      <c r="Q78" s="31">
        <f>IF(AND($A78&lt;&gt;"",$A78='支払通知書'!$K$2),ROW(),"")</f>
        <v/>
      </c>
    </row>
    <row r="79" ht="18" customHeight="1">
      <c r="A79" s="18" t="n"/>
      <c r="B79" s="24" t="n"/>
      <c r="C79" s="19" t="n"/>
      <c r="D79" s="25" t="n"/>
      <c r="E79" s="18" t="n"/>
      <c r="F79" s="25" t="n"/>
      <c r="G79" s="18" t="n"/>
      <c r="H79" s="18" t="n"/>
      <c r="I79" s="26">
        <f>IF(OR($A79="",$F79=""),"",ROUND(IF($D79="",1,$D79)*$F79,0))</f>
        <v/>
      </c>
      <c r="J79" s="27">
        <f>IF($A79="","",IF($O79="なし","※通知一覧にない通知No",IF($P79="","",INDEX('支払先'!$C$5:$C$104,$P79)&amp;"")))</f>
        <v/>
      </c>
      <c r="K79" s="28">
        <f>IF(NOT(ISNUMBER($O79)),"",IF(ISNUMBER(INDEX('通知一覧'!$F$5:$F$204,$O79)),INDEX('通知一覧'!$F$5:$F$204,$O79),""))</f>
        <v/>
      </c>
      <c r="L79" s="29">
        <f>IF(AND(ISNUMBER($B79),ISNUMBER($K79)),$K79-$B79+1,"")</f>
        <v/>
      </c>
      <c r="M79" s="30">
        <f>IF(OR($L79="",$P79=""),"",IF(INDEX('支払先'!$M$5:$M$104,$P79)="対象外","",IF(AND($L79&gt;60,$K79&gt;=EDATE($B79,2)),"超える","")))</f>
        <v/>
      </c>
      <c r="N79" s="67" t="n"/>
      <c r="O79" s="31">
        <f>IF($A79="","",IFERROR(MATCH($A79,'通知一覧'!$B$5:$B$204,0),"なし"))</f>
        <v/>
      </c>
      <c r="P79" s="31">
        <f>IF(NOT(ISNUMBER($O79)),"",IFERROR(MATCH(INDEX('通知一覧'!$C$5:$C$204,$O79),'支払先'!$B$5:$B$104,0),""))</f>
        <v/>
      </c>
      <c r="Q79" s="31">
        <f>IF(AND($A79&lt;&gt;"",$A79='支払通知書'!$K$2),ROW(),"")</f>
        <v/>
      </c>
    </row>
    <row r="80" ht="18" customHeight="1">
      <c r="A80" s="18" t="n"/>
      <c r="B80" s="24" t="n"/>
      <c r="C80" s="19" t="n"/>
      <c r="D80" s="25" t="n"/>
      <c r="E80" s="18" t="n"/>
      <c r="F80" s="25" t="n"/>
      <c r="G80" s="18" t="n"/>
      <c r="H80" s="18" t="n"/>
      <c r="I80" s="26">
        <f>IF(OR($A80="",$F80=""),"",ROUND(IF($D80="",1,$D80)*$F80,0))</f>
        <v/>
      </c>
      <c r="J80" s="27">
        <f>IF($A80="","",IF($O80="なし","※通知一覧にない通知No",IF($P80="","",INDEX('支払先'!$C$5:$C$104,$P80)&amp;"")))</f>
        <v/>
      </c>
      <c r="K80" s="28">
        <f>IF(NOT(ISNUMBER($O80)),"",IF(ISNUMBER(INDEX('通知一覧'!$F$5:$F$204,$O80)),INDEX('通知一覧'!$F$5:$F$204,$O80),""))</f>
        <v/>
      </c>
      <c r="L80" s="29">
        <f>IF(AND(ISNUMBER($B80),ISNUMBER($K80)),$K80-$B80+1,"")</f>
        <v/>
      </c>
      <c r="M80" s="30">
        <f>IF(OR($L80="",$P80=""),"",IF(INDEX('支払先'!$M$5:$M$104,$P80)="対象外","",IF(AND($L80&gt;60,$K80&gt;=EDATE($B80,2)),"超える","")))</f>
        <v/>
      </c>
      <c r="N80" s="67" t="n"/>
      <c r="O80" s="31">
        <f>IF($A80="","",IFERROR(MATCH($A80,'通知一覧'!$B$5:$B$204,0),"なし"))</f>
        <v/>
      </c>
      <c r="P80" s="31">
        <f>IF(NOT(ISNUMBER($O80)),"",IFERROR(MATCH(INDEX('通知一覧'!$C$5:$C$204,$O80),'支払先'!$B$5:$B$104,0),""))</f>
        <v/>
      </c>
      <c r="Q80" s="31">
        <f>IF(AND($A80&lt;&gt;"",$A80='支払通知書'!$K$2),ROW(),"")</f>
        <v/>
      </c>
    </row>
    <row r="81" ht="18" customHeight="1">
      <c r="A81" s="18" t="n"/>
      <c r="B81" s="24" t="n"/>
      <c r="C81" s="19" t="n"/>
      <c r="D81" s="25" t="n"/>
      <c r="E81" s="18" t="n"/>
      <c r="F81" s="25" t="n"/>
      <c r="G81" s="18" t="n"/>
      <c r="H81" s="18" t="n"/>
      <c r="I81" s="26">
        <f>IF(OR($A81="",$F81=""),"",ROUND(IF($D81="",1,$D81)*$F81,0))</f>
        <v/>
      </c>
      <c r="J81" s="27">
        <f>IF($A81="","",IF($O81="なし","※通知一覧にない通知No",IF($P81="","",INDEX('支払先'!$C$5:$C$104,$P81)&amp;"")))</f>
        <v/>
      </c>
      <c r="K81" s="28">
        <f>IF(NOT(ISNUMBER($O81)),"",IF(ISNUMBER(INDEX('通知一覧'!$F$5:$F$204,$O81)),INDEX('通知一覧'!$F$5:$F$204,$O81),""))</f>
        <v/>
      </c>
      <c r="L81" s="29">
        <f>IF(AND(ISNUMBER($B81),ISNUMBER($K81)),$K81-$B81+1,"")</f>
        <v/>
      </c>
      <c r="M81" s="30">
        <f>IF(OR($L81="",$P81=""),"",IF(INDEX('支払先'!$M$5:$M$104,$P81)="対象外","",IF(AND($L81&gt;60,$K81&gt;=EDATE($B81,2)),"超える","")))</f>
        <v/>
      </c>
      <c r="N81" s="67" t="n"/>
      <c r="O81" s="31">
        <f>IF($A81="","",IFERROR(MATCH($A81,'通知一覧'!$B$5:$B$204,0),"なし"))</f>
        <v/>
      </c>
      <c r="P81" s="31">
        <f>IF(NOT(ISNUMBER($O81)),"",IFERROR(MATCH(INDEX('通知一覧'!$C$5:$C$204,$O81),'支払先'!$B$5:$B$104,0),""))</f>
        <v/>
      </c>
      <c r="Q81" s="31">
        <f>IF(AND($A81&lt;&gt;"",$A81='支払通知書'!$K$2),ROW(),"")</f>
        <v/>
      </c>
    </row>
    <row r="82" ht="18" customHeight="1">
      <c r="A82" s="18" t="n"/>
      <c r="B82" s="24" t="n"/>
      <c r="C82" s="19" t="n"/>
      <c r="D82" s="25" t="n"/>
      <c r="E82" s="18" t="n"/>
      <c r="F82" s="25" t="n"/>
      <c r="G82" s="18" t="n"/>
      <c r="H82" s="18" t="n"/>
      <c r="I82" s="26">
        <f>IF(OR($A82="",$F82=""),"",ROUND(IF($D82="",1,$D82)*$F82,0))</f>
        <v/>
      </c>
      <c r="J82" s="27">
        <f>IF($A82="","",IF($O82="なし","※通知一覧にない通知No",IF($P82="","",INDEX('支払先'!$C$5:$C$104,$P82)&amp;"")))</f>
        <v/>
      </c>
      <c r="K82" s="28">
        <f>IF(NOT(ISNUMBER($O82)),"",IF(ISNUMBER(INDEX('通知一覧'!$F$5:$F$204,$O82)),INDEX('通知一覧'!$F$5:$F$204,$O82),""))</f>
        <v/>
      </c>
      <c r="L82" s="29">
        <f>IF(AND(ISNUMBER($B82),ISNUMBER($K82)),$K82-$B82+1,"")</f>
        <v/>
      </c>
      <c r="M82" s="30">
        <f>IF(OR($L82="",$P82=""),"",IF(INDEX('支払先'!$M$5:$M$104,$P82)="対象外","",IF(AND($L82&gt;60,$K82&gt;=EDATE($B82,2)),"超える","")))</f>
        <v/>
      </c>
      <c r="N82" s="67" t="n"/>
      <c r="O82" s="31">
        <f>IF($A82="","",IFERROR(MATCH($A82,'通知一覧'!$B$5:$B$204,0),"なし"))</f>
        <v/>
      </c>
      <c r="P82" s="31">
        <f>IF(NOT(ISNUMBER($O82)),"",IFERROR(MATCH(INDEX('通知一覧'!$C$5:$C$204,$O82),'支払先'!$B$5:$B$104,0),""))</f>
        <v/>
      </c>
      <c r="Q82" s="31">
        <f>IF(AND($A82&lt;&gt;"",$A82='支払通知書'!$K$2),ROW(),"")</f>
        <v/>
      </c>
    </row>
    <row r="83" ht="18" customHeight="1">
      <c r="A83" s="18" t="n"/>
      <c r="B83" s="24" t="n"/>
      <c r="C83" s="19" t="n"/>
      <c r="D83" s="25" t="n"/>
      <c r="E83" s="18" t="n"/>
      <c r="F83" s="25" t="n"/>
      <c r="G83" s="18" t="n"/>
      <c r="H83" s="18" t="n"/>
      <c r="I83" s="26">
        <f>IF(OR($A83="",$F83=""),"",ROUND(IF($D83="",1,$D83)*$F83,0))</f>
        <v/>
      </c>
      <c r="J83" s="27">
        <f>IF($A83="","",IF($O83="なし","※通知一覧にない通知No",IF($P83="","",INDEX('支払先'!$C$5:$C$104,$P83)&amp;"")))</f>
        <v/>
      </c>
      <c r="K83" s="28">
        <f>IF(NOT(ISNUMBER($O83)),"",IF(ISNUMBER(INDEX('通知一覧'!$F$5:$F$204,$O83)),INDEX('通知一覧'!$F$5:$F$204,$O83),""))</f>
        <v/>
      </c>
      <c r="L83" s="29">
        <f>IF(AND(ISNUMBER($B83),ISNUMBER($K83)),$K83-$B83+1,"")</f>
        <v/>
      </c>
      <c r="M83" s="30">
        <f>IF(OR($L83="",$P83=""),"",IF(INDEX('支払先'!$M$5:$M$104,$P83)="対象外","",IF(AND($L83&gt;60,$K83&gt;=EDATE($B83,2)),"超える","")))</f>
        <v/>
      </c>
      <c r="N83" s="67" t="n"/>
      <c r="O83" s="31">
        <f>IF($A83="","",IFERROR(MATCH($A83,'通知一覧'!$B$5:$B$204,0),"なし"))</f>
        <v/>
      </c>
      <c r="P83" s="31">
        <f>IF(NOT(ISNUMBER($O83)),"",IFERROR(MATCH(INDEX('通知一覧'!$C$5:$C$204,$O83),'支払先'!$B$5:$B$104,0),""))</f>
        <v/>
      </c>
      <c r="Q83" s="31">
        <f>IF(AND($A83&lt;&gt;"",$A83='支払通知書'!$K$2),ROW(),"")</f>
        <v/>
      </c>
    </row>
    <row r="84" ht="18" customHeight="1">
      <c r="A84" s="18" t="n"/>
      <c r="B84" s="24" t="n"/>
      <c r="C84" s="19" t="n"/>
      <c r="D84" s="25" t="n"/>
      <c r="E84" s="18" t="n"/>
      <c r="F84" s="25" t="n"/>
      <c r="G84" s="18" t="n"/>
      <c r="H84" s="18" t="n"/>
      <c r="I84" s="26">
        <f>IF(OR($A84="",$F84=""),"",ROUND(IF($D84="",1,$D84)*$F84,0))</f>
        <v/>
      </c>
      <c r="J84" s="27">
        <f>IF($A84="","",IF($O84="なし","※通知一覧にない通知No",IF($P84="","",INDEX('支払先'!$C$5:$C$104,$P84)&amp;"")))</f>
        <v/>
      </c>
      <c r="K84" s="28">
        <f>IF(NOT(ISNUMBER($O84)),"",IF(ISNUMBER(INDEX('通知一覧'!$F$5:$F$204,$O84)),INDEX('通知一覧'!$F$5:$F$204,$O84),""))</f>
        <v/>
      </c>
      <c r="L84" s="29">
        <f>IF(AND(ISNUMBER($B84),ISNUMBER($K84)),$K84-$B84+1,"")</f>
        <v/>
      </c>
      <c r="M84" s="30">
        <f>IF(OR($L84="",$P84=""),"",IF(INDEX('支払先'!$M$5:$M$104,$P84)="対象外","",IF(AND($L84&gt;60,$K84&gt;=EDATE($B84,2)),"超える","")))</f>
        <v/>
      </c>
      <c r="N84" s="67" t="n"/>
      <c r="O84" s="31">
        <f>IF($A84="","",IFERROR(MATCH($A84,'通知一覧'!$B$5:$B$204,0),"なし"))</f>
        <v/>
      </c>
      <c r="P84" s="31">
        <f>IF(NOT(ISNUMBER($O84)),"",IFERROR(MATCH(INDEX('通知一覧'!$C$5:$C$204,$O84),'支払先'!$B$5:$B$104,0),""))</f>
        <v/>
      </c>
      <c r="Q84" s="31">
        <f>IF(AND($A84&lt;&gt;"",$A84='支払通知書'!$K$2),ROW(),"")</f>
        <v/>
      </c>
    </row>
    <row r="85" ht="18" customHeight="1">
      <c r="A85" s="18" t="n"/>
      <c r="B85" s="24" t="n"/>
      <c r="C85" s="19" t="n"/>
      <c r="D85" s="25" t="n"/>
      <c r="E85" s="18" t="n"/>
      <c r="F85" s="25" t="n"/>
      <c r="G85" s="18" t="n"/>
      <c r="H85" s="18" t="n"/>
      <c r="I85" s="26">
        <f>IF(OR($A85="",$F85=""),"",ROUND(IF($D85="",1,$D85)*$F85,0))</f>
        <v/>
      </c>
      <c r="J85" s="27">
        <f>IF($A85="","",IF($O85="なし","※通知一覧にない通知No",IF($P85="","",INDEX('支払先'!$C$5:$C$104,$P85)&amp;"")))</f>
        <v/>
      </c>
      <c r="K85" s="28">
        <f>IF(NOT(ISNUMBER($O85)),"",IF(ISNUMBER(INDEX('通知一覧'!$F$5:$F$204,$O85)),INDEX('通知一覧'!$F$5:$F$204,$O85),""))</f>
        <v/>
      </c>
      <c r="L85" s="29">
        <f>IF(AND(ISNUMBER($B85),ISNUMBER($K85)),$K85-$B85+1,"")</f>
        <v/>
      </c>
      <c r="M85" s="30">
        <f>IF(OR($L85="",$P85=""),"",IF(INDEX('支払先'!$M$5:$M$104,$P85)="対象外","",IF(AND($L85&gt;60,$K85&gt;=EDATE($B85,2)),"超える","")))</f>
        <v/>
      </c>
      <c r="N85" s="67" t="n"/>
      <c r="O85" s="31">
        <f>IF($A85="","",IFERROR(MATCH($A85,'通知一覧'!$B$5:$B$204,0),"なし"))</f>
        <v/>
      </c>
      <c r="P85" s="31">
        <f>IF(NOT(ISNUMBER($O85)),"",IFERROR(MATCH(INDEX('通知一覧'!$C$5:$C$204,$O85),'支払先'!$B$5:$B$104,0),""))</f>
        <v/>
      </c>
      <c r="Q85" s="31">
        <f>IF(AND($A85&lt;&gt;"",$A85='支払通知書'!$K$2),ROW(),"")</f>
        <v/>
      </c>
    </row>
    <row r="86" ht="18" customHeight="1">
      <c r="A86" s="18" t="n"/>
      <c r="B86" s="24" t="n"/>
      <c r="C86" s="19" t="n"/>
      <c r="D86" s="25" t="n"/>
      <c r="E86" s="18" t="n"/>
      <c r="F86" s="25" t="n"/>
      <c r="G86" s="18" t="n"/>
      <c r="H86" s="18" t="n"/>
      <c r="I86" s="26">
        <f>IF(OR($A86="",$F86=""),"",ROUND(IF($D86="",1,$D86)*$F86,0))</f>
        <v/>
      </c>
      <c r="J86" s="27">
        <f>IF($A86="","",IF($O86="なし","※通知一覧にない通知No",IF($P86="","",INDEX('支払先'!$C$5:$C$104,$P86)&amp;"")))</f>
        <v/>
      </c>
      <c r="K86" s="28">
        <f>IF(NOT(ISNUMBER($O86)),"",IF(ISNUMBER(INDEX('通知一覧'!$F$5:$F$204,$O86)),INDEX('通知一覧'!$F$5:$F$204,$O86),""))</f>
        <v/>
      </c>
      <c r="L86" s="29">
        <f>IF(AND(ISNUMBER($B86),ISNUMBER($K86)),$K86-$B86+1,"")</f>
        <v/>
      </c>
      <c r="M86" s="30">
        <f>IF(OR($L86="",$P86=""),"",IF(INDEX('支払先'!$M$5:$M$104,$P86)="対象外","",IF(AND($L86&gt;60,$K86&gt;=EDATE($B86,2)),"超える","")))</f>
        <v/>
      </c>
      <c r="N86" s="67" t="n"/>
      <c r="O86" s="31">
        <f>IF($A86="","",IFERROR(MATCH($A86,'通知一覧'!$B$5:$B$204,0),"なし"))</f>
        <v/>
      </c>
      <c r="P86" s="31">
        <f>IF(NOT(ISNUMBER($O86)),"",IFERROR(MATCH(INDEX('通知一覧'!$C$5:$C$204,$O86),'支払先'!$B$5:$B$104,0),""))</f>
        <v/>
      </c>
      <c r="Q86" s="31">
        <f>IF(AND($A86&lt;&gt;"",$A86='支払通知書'!$K$2),ROW(),"")</f>
        <v/>
      </c>
    </row>
    <row r="87" ht="18" customHeight="1">
      <c r="A87" s="18" t="n"/>
      <c r="B87" s="24" t="n"/>
      <c r="C87" s="19" t="n"/>
      <c r="D87" s="25" t="n"/>
      <c r="E87" s="18" t="n"/>
      <c r="F87" s="25" t="n"/>
      <c r="G87" s="18" t="n"/>
      <c r="H87" s="18" t="n"/>
      <c r="I87" s="26">
        <f>IF(OR($A87="",$F87=""),"",ROUND(IF($D87="",1,$D87)*$F87,0))</f>
        <v/>
      </c>
      <c r="J87" s="27">
        <f>IF($A87="","",IF($O87="なし","※通知一覧にない通知No",IF($P87="","",INDEX('支払先'!$C$5:$C$104,$P87)&amp;"")))</f>
        <v/>
      </c>
      <c r="K87" s="28">
        <f>IF(NOT(ISNUMBER($O87)),"",IF(ISNUMBER(INDEX('通知一覧'!$F$5:$F$204,$O87)),INDEX('通知一覧'!$F$5:$F$204,$O87),""))</f>
        <v/>
      </c>
      <c r="L87" s="29">
        <f>IF(AND(ISNUMBER($B87),ISNUMBER($K87)),$K87-$B87+1,"")</f>
        <v/>
      </c>
      <c r="M87" s="30">
        <f>IF(OR($L87="",$P87=""),"",IF(INDEX('支払先'!$M$5:$M$104,$P87)="対象外","",IF(AND($L87&gt;60,$K87&gt;=EDATE($B87,2)),"超える","")))</f>
        <v/>
      </c>
      <c r="N87" s="67" t="n"/>
      <c r="O87" s="31">
        <f>IF($A87="","",IFERROR(MATCH($A87,'通知一覧'!$B$5:$B$204,0),"なし"))</f>
        <v/>
      </c>
      <c r="P87" s="31">
        <f>IF(NOT(ISNUMBER($O87)),"",IFERROR(MATCH(INDEX('通知一覧'!$C$5:$C$204,$O87),'支払先'!$B$5:$B$104,0),""))</f>
        <v/>
      </c>
      <c r="Q87" s="31">
        <f>IF(AND($A87&lt;&gt;"",$A87='支払通知書'!$K$2),ROW(),"")</f>
        <v/>
      </c>
    </row>
    <row r="88" ht="18" customHeight="1">
      <c r="A88" s="18" t="n"/>
      <c r="B88" s="24" t="n"/>
      <c r="C88" s="19" t="n"/>
      <c r="D88" s="25" t="n"/>
      <c r="E88" s="18" t="n"/>
      <c r="F88" s="25" t="n"/>
      <c r="G88" s="18" t="n"/>
      <c r="H88" s="18" t="n"/>
      <c r="I88" s="26">
        <f>IF(OR($A88="",$F88=""),"",ROUND(IF($D88="",1,$D88)*$F88,0))</f>
        <v/>
      </c>
      <c r="J88" s="27">
        <f>IF($A88="","",IF($O88="なし","※通知一覧にない通知No",IF($P88="","",INDEX('支払先'!$C$5:$C$104,$P88)&amp;"")))</f>
        <v/>
      </c>
      <c r="K88" s="28">
        <f>IF(NOT(ISNUMBER($O88)),"",IF(ISNUMBER(INDEX('通知一覧'!$F$5:$F$204,$O88)),INDEX('通知一覧'!$F$5:$F$204,$O88),""))</f>
        <v/>
      </c>
      <c r="L88" s="29">
        <f>IF(AND(ISNUMBER($B88),ISNUMBER($K88)),$K88-$B88+1,"")</f>
        <v/>
      </c>
      <c r="M88" s="30">
        <f>IF(OR($L88="",$P88=""),"",IF(INDEX('支払先'!$M$5:$M$104,$P88)="対象外","",IF(AND($L88&gt;60,$K88&gt;=EDATE($B88,2)),"超える","")))</f>
        <v/>
      </c>
      <c r="N88" s="67" t="n"/>
      <c r="O88" s="31">
        <f>IF($A88="","",IFERROR(MATCH($A88,'通知一覧'!$B$5:$B$204,0),"なし"))</f>
        <v/>
      </c>
      <c r="P88" s="31">
        <f>IF(NOT(ISNUMBER($O88)),"",IFERROR(MATCH(INDEX('通知一覧'!$C$5:$C$204,$O88),'支払先'!$B$5:$B$104,0),""))</f>
        <v/>
      </c>
      <c r="Q88" s="31">
        <f>IF(AND($A88&lt;&gt;"",$A88='支払通知書'!$K$2),ROW(),"")</f>
        <v/>
      </c>
    </row>
    <row r="89" ht="18" customHeight="1">
      <c r="A89" s="18" t="n"/>
      <c r="B89" s="24" t="n"/>
      <c r="C89" s="19" t="n"/>
      <c r="D89" s="25" t="n"/>
      <c r="E89" s="18" t="n"/>
      <c r="F89" s="25" t="n"/>
      <c r="G89" s="18" t="n"/>
      <c r="H89" s="18" t="n"/>
      <c r="I89" s="26">
        <f>IF(OR($A89="",$F89=""),"",ROUND(IF($D89="",1,$D89)*$F89,0))</f>
        <v/>
      </c>
      <c r="J89" s="27">
        <f>IF($A89="","",IF($O89="なし","※通知一覧にない通知No",IF($P89="","",INDEX('支払先'!$C$5:$C$104,$P89)&amp;"")))</f>
        <v/>
      </c>
      <c r="K89" s="28">
        <f>IF(NOT(ISNUMBER($O89)),"",IF(ISNUMBER(INDEX('通知一覧'!$F$5:$F$204,$O89)),INDEX('通知一覧'!$F$5:$F$204,$O89),""))</f>
        <v/>
      </c>
      <c r="L89" s="29">
        <f>IF(AND(ISNUMBER($B89),ISNUMBER($K89)),$K89-$B89+1,"")</f>
        <v/>
      </c>
      <c r="M89" s="30">
        <f>IF(OR($L89="",$P89=""),"",IF(INDEX('支払先'!$M$5:$M$104,$P89)="対象外","",IF(AND($L89&gt;60,$K89&gt;=EDATE($B89,2)),"超える","")))</f>
        <v/>
      </c>
      <c r="N89" s="67" t="n"/>
      <c r="O89" s="31">
        <f>IF($A89="","",IFERROR(MATCH($A89,'通知一覧'!$B$5:$B$204,0),"なし"))</f>
        <v/>
      </c>
      <c r="P89" s="31">
        <f>IF(NOT(ISNUMBER($O89)),"",IFERROR(MATCH(INDEX('通知一覧'!$C$5:$C$204,$O89),'支払先'!$B$5:$B$104,0),""))</f>
        <v/>
      </c>
      <c r="Q89" s="31">
        <f>IF(AND($A89&lt;&gt;"",$A89='支払通知書'!$K$2),ROW(),"")</f>
        <v/>
      </c>
    </row>
    <row r="90" ht="18" customHeight="1">
      <c r="A90" s="18" t="n"/>
      <c r="B90" s="24" t="n"/>
      <c r="C90" s="19" t="n"/>
      <c r="D90" s="25" t="n"/>
      <c r="E90" s="18" t="n"/>
      <c r="F90" s="25" t="n"/>
      <c r="G90" s="18" t="n"/>
      <c r="H90" s="18" t="n"/>
      <c r="I90" s="26">
        <f>IF(OR($A90="",$F90=""),"",ROUND(IF($D90="",1,$D90)*$F90,0))</f>
        <v/>
      </c>
      <c r="J90" s="27">
        <f>IF($A90="","",IF($O90="なし","※通知一覧にない通知No",IF($P90="","",INDEX('支払先'!$C$5:$C$104,$P90)&amp;"")))</f>
        <v/>
      </c>
      <c r="K90" s="28">
        <f>IF(NOT(ISNUMBER($O90)),"",IF(ISNUMBER(INDEX('通知一覧'!$F$5:$F$204,$O90)),INDEX('通知一覧'!$F$5:$F$204,$O90),""))</f>
        <v/>
      </c>
      <c r="L90" s="29">
        <f>IF(AND(ISNUMBER($B90),ISNUMBER($K90)),$K90-$B90+1,"")</f>
        <v/>
      </c>
      <c r="M90" s="30">
        <f>IF(OR($L90="",$P90=""),"",IF(INDEX('支払先'!$M$5:$M$104,$P90)="対象外","",IF(AND($L90&gt;60,$K90&gt;=EDATE($B90,2)),"超える","")))</f>
        <v/>
      </c>
      <c r="N90" s="67" t="n"/>
      <c r="O90" s="31">
        <f>IF($A90="","",IFERROR(MATCH($A90,'通知一覧'!$B$5:$B$204,0),"なし"))</f>
        <v/>
      </c>
      <c r="P90" s="31">
        <f>IF(NOT(ISNUMBER($O90)),"",IFERROR(MATCH(INDEX('通知一覧'!$C$5:$C$204,$O90),'支払先'!$B$5:$B$104,0),""))</f>
        <v/>
      </c>
      <c r="Q90" s="31">
        <f>IF(AND($A90&lt;&gt;"",$A90='支払通知書'!$K$2),ROW(),"")</f>
        <v/>
      </c>
    </row>
    <row r="91" ht="18" customHeight="1">
      <c r="A91" s="18" t="n"/>
      <c r="B91" s="24" t="n"/>
      <c r="C91" s="19" t="n"/>
      <c r="D91" s="25" t="n"/>
      <c r="E91" s="18" t="n"/>
      <c r="F91" s="25" t="n"/>
      <c r="G91" s="18" t="n"/>
      <c r="H91" s="18" t="n"/>
      <c r="I91" s="26">
        <f>IF(OR($A91="",$F91=""),"",ROUND(IF($D91="",1,$D91)*$F91,0))</f>
        <v/>
      </c>
      <c r="J91" s="27">
        <f>IF($A91="","",IF($O91="なし","※通知一覧にない通知No",IF($P91="","",INDEX('支払先'!$C$5:$C$104,$P91)&amp;"")))</f>
        <v/>
      </c>
      <c r="K91" s="28">
        <f>IF(NOT(ISNUMBER($O91)),"",IF(ISNUMBER(INDEX('通知一覧'!$F$5:$F$204,$O91)),INDEX('通知一覧'!$F$5:$F$204,$O91),""))</f>
        <v/>
      </c>
      <c r="L91" s="29">
        <f>IF(AND(ISNUMBER($B91),ISNUMBER($K91)),$K91-$B91+1,"")</f>
        <v/>
      </c>
      <c r="M91" s="30">
        <f>IF(OR($L91="",$P91=""),"",IF(INDEX('支払先'!$M$5:$M$104,$P91)="対象外","",IF(AND($L91&gt;60,$K91&gt;=EDATE($B91,2)),"超える","")))</f>
        <v/>
      </c>
      <c r="N91" s="67" t="n"/>
      <c r="O91" s="31">
        <f>IF($A91="","",IFERROR(MATCH($A91,'通知一覧'!$B$5:$B$204,0),"なし"))</f>
        <v/>
      </c>
      <c r="P91" s="31">
        <f>IF(NOT(ISNUMBER($O91)),"",IFERROR(MATCH(INDEX('通知一覧'!$C$5:$C$204,$O91),'支払先'!$B$5:$B$104,0),""))</f>
        <v/>
      </c>
      <c r="Q91" s="31">
        <f>IF(AND($A91&lt;&gt;"",$A91='支払通知書'!$K$2),ROW(),"")</f>
        <v/>
      </c>
    </row>
    <row r="92" ht="18" customHeight="1">
      <c r="A92" s="18" t="n"/>
      <c r="B92" s="24" t="n"/>
      <c r="C92" s="19" t="n"/>
      <c r="D92" s="25" t="n"/>
      <c r="E92" s="18" t="n"/>
      <c r="F92" s="25" t="n"/>
      <c r="G92" s="18" t="n"/>
      <c r="H92" s="18" t="n"/>
      <c r="I92" s="26">
        <f>IF(OR($A92="",$F92=""),"",ROUND(IF($D92="",1,$D92)*$F92,0))</f>
        <v/>
      </c>
      <c r="J92" s="27">
        <f>IF($A92="","",IF($O92="なし","※通知一覧にない通知No",IF($P92="","",INDEX('支払先'!$C$5:$C$104,$P92)&amp;"")))</f>
        <v/>
      </c>
      <c r="K92" s="28">
        <f>IF(NOT(ISNUMBER($O92)),"",IF(ISNUMBER(INDEX('通知一覧'!$F$5:$F$204,$O92)),INDEX('通知一覧'!$F$5:$F$204,$O92),""))</f>
        <v/>
      </c>
      <c r="L92" s="29">
        <f>IF(AND(ISNUMBER($B92),ISNUMBER($K92)),$K92-$B92+1,"")</f>
        <v/>
      </c>
      <c r="M92" s="30">
        <f>IF(OR($L92="",$P92=""),"",IF(INDEX('支払先'!$M$5:$M$104,$P92)="対象外","",IF(AND($L92&gt;60,$K92&gt;=EDATE($B92,2)),"超える","")))</f>
        <v/>
      </c>
      <c r="N92" s="67" t="n"/>
      <c r="O92" s="31">
        <f>IF($A92="","",IFERROR(MATCH($A92,'通知一覧'!$B$5:$B$204,0),"なし"))</f>
        <v/>
      </c>
      <c r="P92" s="31">
        <f>IF(NOT(ISNUMBER($O92)),"",IFERROR(MATCH(INDEX('通知一覧'!$C$5:$C$204,$O92),'支払先'!$B$5:$B$104,0),""))</f>
        <v/>
      </c>
      <c r="Q92" s="31">
        <f>IF(AND($A92&lt;&gt;"",$A92='支払通知書'!$K$2),ROW(),"")</f>
        <v/>
      </c>
    </row>
    <row r="93" ht="18" customHeight="1">
      <c r="A93" s="18" t="n"/>
      <c r="B93" s="24" t="n"/>
      <c r="C93" s="19" t="n"/>
      <c r="D93" s="25" t="n"/>
      <c r="E93" s="18" t="n"/>
      <c r="F93" s="25" t="n"/>
      <c r="G93" s="18" t="n"/>
      <c r="H93" s="18" t="n"/>
      <c r="I93" s="26">
        <f>IF(OR($A93="",$F93=""),"",ROUND(IF($D93="",1,$D93)*$F93,0))</f>
        <v/>
      </c>
      <c r="J93" s="27">
        <f>IF($A93="","",IF($O93="なし","※通知一覧にない通知No",IF($P93="","",INDEX('支払先'!$C$5:$C$104,$P93)&amp;"")))</f>
        <v/>
      </c>
      <c r="K93" s="28">
        <f>IF(NOT(ISNUMBER($O93)),"",IF(ISNUMBER(INDEX('通知一覧'!$F$5:$F$204,$O93)),INDEX('通知一覧'!$F$5:$F$204,$O93),""))</f>
        <v/>
      </c>
      <c r="L93" s="29">
        <f>IF(AND(ISNUMBER($B93),ISNUMBER($K93)),$K93-$B93+1,"")</f>
        <v/>
      </c>
      <c r="M93" s="30">
        <f>IF(OR($L93="",$P93=""),"",IF(INDEX('支払先'!$M$5:$M$104,$P93)="対象外","",IF(AND($L93&gt;60,$K93&gt;=EDATE($B93,2)),"超える","")))</f>
        <v/>
      </c>
      <c r="N93" s="67" t="n"/>
      <c r="O93" s="31">
        <f>IF($A93="","",IFERROR(MATCH($A93,'通知一覧'!$B$5:$B$204,0),"なし"))</f>
        <v/>
      </c>
      <c r="P93" s="31">
        <f>IF(NOT(ISNUMBER($O93)),"",IFERROR(MATCH(INDEX('通知一覧'!$C$5:$C$204,$O93),'支払先'!$B$5:$B$104,0),""))</f>
        <v/>
      </c>
      <c r="Q93" s="31">
        <f>IF(AND($A93&lt;&gt;"",$A93='支払通知書'!$K$2),ROW(),"")</f>
        <v/>
      </c>
    </row>
    <row r="94" ht="18" customHeight="1">
      <c r="A94" s="18" t="n"/>
      <c r="B94" s="24" t="n"/>
      <c r="C94" s="19" t="n"/>
      <c r="D94" s="25" t="n"/>
      <c r="E94" s="18" t="n"/>
      <c r="F94" s="25" t="n"/>
      <c r="G94" s="18" t="n"/>
      <c r="H94" s="18" t="n"/>
      <c r="I94" s="26">
        <f>IF(OR($A94="",$F94=""),"",ROUND(IF($D94="",1,$D94)*$F94,0))</f>
        <v/>
      </c>
      <c r="J94" s="27">
        <f>IF($A94="","",IF($O94="なし","※通知一覧にない通知No",IF($P94="","",INDEX('支払先'!$C$5:$C$104,$P94)&amp;"")))</f>
        <v/>
      </c>
      <c r="K94" s="28">
        <f>IF(NOT(ISNUMBER($O94)),"",IF(ISNUMBER(INDEX('通知一覧'!$F$5:$F$204,$O94)),INDEX('通知一覧'!$F$5:$F$204,$O94),""))</f>
        <v/>
      </c>
      <c r="L94" s="29">
        <f>IF(AND(ISNUMBER($B94),ISNUMBER($K94)),$K94-$B94+1,"")</f>
        <v/>
      </c>
      <c r="M94" s="30">
        <f>IF(OR($L94="",$P94=""),"",IF(INDEX('支払先'!$M$5:$M$104,$P94)="対象外","",IF(AND($L94&gt;60,$K94&gt;=EDATE($B94,2)),"超える","")))</f>
        <v/>
      </c>
      <c r="N94" s="67" t="n"/>
      <c r="O94" s="31">
        <f>IF($A94="","",IFERROR(MATCH($A94,'通知一覧'!$B$5:$B$204,0),"なし"))</f>
        <v/>
      </c>
      <c r="P94" s="31">
        <f>IF(NOT(ISNUMBER($O94)),"",IFERROR(MATCH(INDEX('通知一覧'!$C$5:$C$204,$O94),'支払先'!$B$5:$B$104,0),""))</f>
        <v/>
      </c>
      <c r="Q94" s="31">
        <f>IF(AND($A94&lt;&gt;"",$A94='支払通知書'!$K$2),ROW(),"")</f>
        <v/>
      </c>
    </row>
    <row r="95" ht="18" customHeight="1">
      <c r="A95" s="18" t="n"/>
      <c r="B95" s="24" t="n"/>
      <c r="C95" s="19" t="n"/>
      <c r="D95" s="25" t="n"/>
      <c r="E95" s="18" t="n"/>
      <c r="F95" s="25" t="n"/>
      <c r="G95" s="18" t="n"/>
      <c r="H95" s="18" t="n"/>
      <c r="I95" s="26">
        <f>IF(OR($A95="",$F95=""),"",ROUND(IF($D95="",1,$D95)*$F95,0))</f>
        <v/>
      </c>
      <c r="J95" s="27">
        <f>IF($A95="","",IF($O95="なし","※通知一覧にない通知No",IF($P95="","",INDEX('支払先'!$C$5:$C$104,$P95)&amp;"")))</f>
        <v/>
      </c>
      <c r="K95" s="28">
        <f>IF(NOT(ISNUMBER($O95)),"",IF(ISNUMBER(INDEX('通知一覧'!$F$5:$F$204,$O95)),INDEX('通知一覧'!$F$5:$F$204,$O95),""))</f>
        <v/>
      </c>
      <c r="L95" s="29">
        <f>IF(AND(ISNUMBER($B95),ISNUMBER($K95)),$K95-$B95+1,"")</f>
        <v/>
      </c>
      <c r="M95" s="30">
        <f>IF(OR($L95="",$P95=""),"",IF(INDEX('支払先'!$M$5:$M$104,$P95)="対象外","",IF(AND($L95&gt;60,$K95&gt;=EDATE($B95,2)),"超える","")))</f>
        <v/>
      </c>
      <c r="N95" s="67" t="n"/>
      <c r="O95" s="31">
        <f>IF($A95="","",IFERROR(MATCH($A95,'通知一覧'!$B$5:$B$204,0),"なし"))</f>
        <v/>
      </c>
      <c r="P95" s="31">
        <f>IF(NOT(ISNUMBER($O95)),"",IFERROR(MATCH(INDEX('通知一覧'!$C$5:$C$204,$O95),'支払先'!$B$5:$B$104,0),""))</f>
        <v/>
      </c>
      <c r="Q95" s="31">
        <f>IF(AND($A95&lt;&gt;"",$A95='支払通知書'!$K$2),ROW(),"")</f>
        <v/>
      </c>
    </row>
    <row r="96" ht="18" customHeight="1">
      <c r="A96" s="18" t="n"/>
      <c r="B96" s="24" t="n"/>
      <c r="C96" s="19" t="n"/>
      <c r="D96" s="25" t="n"/>
      <c r="E96" s="18" t="n"/>
      <c r="F96" s="25" t="n"/>
      <c r="G96" s="18" t="n"/>
      <c r="H96" s="18" t="n"/>
      <c r="I96" s="26">
        <f>IF(OR($A96="",$F96=""),"",ROUND(IF($D96="",1,$D96)*$F96,0))</f>
        <v/>
      </c>
      <c r="J96" s="27">
        <f>IF($A96="","",IF($O96="なし","※通知一覧にない通知No",IF($P96="","",INDEX('支払先'!$C$5:$C$104,$P96)&amp;"")))</f>
        <v/>
      </c>
      <c r="K96" s="28">
        <f>IF(NOT(ISNUMBER($O96)),"",IF(ISNUMBER(INDEX('通知一覧'!$F$5:$F$204,$O96)),INDEX('通知一覧'!$F$5:$F$204,$O96),""))</f>
        <v/>
      </c>
      <c r="L96" s="29">
        <f>IF(AND(ISNUMBER($B96),ISNUMBER($K96)),$K96-$B96+1,"")</f>
        <v/>
      </c>
      <c r="M96" s="30">
        <f>IF(OR($L96="",$P96=""),"",IF(INDEX('支払先'!$M$5:$M$104,$P96)="対象外","",IF(AND($L96&gt;60,$K96&gt;=EDATE($B96,2)),"超える","")))</f>
        <v/>
      </c>
      <c r="N96" s="67" t="n"/>
      <c r="O96" s="31">
        <f>IF($A96="","",IFERROR(MATCH($A96,'通知一覧'!$B$5:$B$204,0),"なし"))</f>
        <v/>
      </c>
      <c r="P96" s="31">
        <f>IF(NOT(ISNUMBER($O96)),"",IFERROR(MATCH(INDEX('通知一覧'!$C$5:$C$204,$O96),'支払先'!$B$5:$B$104,0),""))</f>
        <v/>
      </c>
      <c r="Q96" s="31">
        <f>IF(AND($A96&lt;&gt;"",$A96='支払通知書'!$K$2),ROW(),"")</f>
        <v/>
      </c>
    </row>
    <row r="97" ht="18" customHeight="1">
      <c r="A97" s="18" t="n"/>
      <c r="B97" s="24" t="n"/>
      <c r="C97" s="19" t="n"/>
      <c r="D97" s="25" t="n"/>
      <c r="E97" s="18" t="n"/>
      <c r="F97" s="25" t="n"/>
      <c r="G97" s="18" t="n"/>
      <c r="H97" s="18" t="n"/>
      <c r="I97" s="26">
        <f>IF(OR($A97="",$F97=""),"",ROUND(IF($D97="",1,$D97)*$F97,0))</f>
        <v/>
      </c>
      <c r="J97" s="27">
        <f>IF($A97="","",IF($O97="なし","※通知一覧にない通知No",IF($P97="","",INDEX('支払先'!$C$5:$C$104,$P97)&amp;"")))</f>
        <v/>
      </c>
      <c r="K97" s="28">
        <f>IF(NOT(ISNUMBER($O97)),"",IF(ISNUMBER(INDEX('通知一覧'!$F$5:$F$204,$O97)),INDEX('通知一覧'!$F$5:$F$204,$O97),""))</f>
        <v/>
      </c>
      <c r="L97" s="29">
        <f>IF(AND(ISNUMBER($B97),ISNUMBER($K97)),$K97-$B97+1,"")</f>
        <v/>
      </c>
      <c r="M97" s="30">
        <f>IF(OR($L97="",$P97=""),"",IF(INDEX('支払先'!$M$5:$M$104,$P97)="対象外","",IF(AND($L97&gt;60,$K97&gt;=EDATE($B97,2)),"超える","")))</f>
        <v/>
      </c>
      <c r="N97" s="67" t="n"/>
      <c r="O97" s="31">
        <f>IF($A97="","",IFERROR(MATCH($A97,'通知一覧'!$B$5:$B$204,0),"なし"))</f>
        <v/>
      </c>
      <c r="P97" s="31">
        <f>IF(NOT(ISNUMBER($O97)),"",IFERROR(MATCH(INDEX('通知一覧'!$C$5:$C$204,$O97),'支払先'!$B$5:$B$104,0),""))</f>
        <v/>
      </c>
      <c r="Q97" s="31">
        <f>IF(AND($A97&lt;&gt;"",$A97='支払通知書'!$K$2),ROW(),"")</f>
        <v/>
      </c>
    </row>
    <row r="98" ht="18" customHeight="1">
      <c r="A98" s="18" t="n"/>
      <c r="B98" s="24" t="n"/>
      <c r="C98" s="19" t="n"/>
      <c r="D98" s="25" t="n"/>
      <c r="E98" s="18" t="n"/>
      <c r="F98" s="25" t="n"/>
      <c r="G98" s="18" t="n"/>
      <c r="H98" s="18" t="n"/>
      <c r="I98" s="26">
        <f>IF(OR($A98="",$F98=""),"",ROUND(IF($D98="",1,$D98)*$F98,0))</f>
        <v/>
      </c>
      <c r="J98" s="27">
        <f>IF($A98="","",IF($O98="なし","※通知一覧にない通知No",IF($P98="","",INDEX('支払先'!$C$5:$C$104,$P98)&amp;"")))</f>
        <v/>
      </c>
      <c r="K98" s="28">
        <f>IF(NOT(ISNUMBER($O98)),"",IF(ISNUMBER(INDEX('通知一覧'!$F$5:$F$204,$O98)),INDEX('通知一覧'!$F$5:$F$204,$O98),""))</f>
        <v/>
      </c>
      <c r="L98" s="29">
        <f>IF(AND(ISNUMBER($B98),ISNUMBER($K98)),$K98-$B98+1,"")</f>
        <v/>
      </c>
      <c r="M98" s="30">
        <f>IF(OR($L98="",$P98=""),"",IF(INDEX('支払先'!$M$5:$M$104,$P98)="対象外","",IF(AND($L98&gt;60,$K98&gt;=EDATE($B98,2)),"超える","")))</f>
        <v/>
      </c>
      <c r="N98" s="67" t="n"/>
      <c r="O98" s="31">
        <f>IF($A98="","",IFERROR(MATCH($A98,'通知一覧'!$B$5:$B$204,0),"なし"))</f>
        <v/>
      </c>
      <c r="P98" s="31">
        <f>IF(NOT(ISNUMBER($O98)),"",IFERROR(MATCH(INDEX('通知一覧'!$C$5:$C$204,$O98),'支払先'!$B$5:$B$104,0),""))</f>
        <v/>
      </c>
      <c r="Q98" s="31">
        <f>IF(AND($A98&lt;&gt;"",$A98='支払通知書'!$K$2),ROW(),"")</f>
        <v/>
      </c>
    </row>
    <row r="99" ht="18" customHeight="1">
      <c r="A99" s="18" t="n"/>
      <c r="B99" s="24" t="n"/>
      <c r="C99" s="19" t="n"/>
      <c r="D99" s="25" t="n"/>
      <c r="E99" s="18" t="n"/>
      <c r="F99" s="25" t="n"/>
      <c r="G99" s="18" t="n"/>
      <c r="H99" s="18" t="n"/>
      <c r="I99" s="26">
        <f>IF(OR($A99="",$F99=""),"",ROUND(IF($D99="",1,$D99)*$F99,0))</f>
        <v/>
      </c>
      <c r="J99" s="27">
        <f>IF($A99="","",IF($O99="なし","※通知一覧にない通知No",IF($P99="","",INDEX('支払先'!$C$5:$C$104,$P99)&amp;"")))</f>
        <v/>
      </c>
      <c r="K99" s="28">
        <f>IF(NOT(ISNUMBER($O99)),"",IF(ISNUMBER(INDEX('通知一覧'!$F$5:$F$204,$O99)),INDEX('通知一覧'!$F$5:$F$204,$O99),""))</f>
        <v/>
      </c>
      <c r="L99" s="29">
        <f>IF(AND(ISNUMBER($B99),ISNUMBER($K99)),$K99-$B99+1,"")</f>
        <v/>
      </c>
      <c r="M99" s="30">
        <f>IF(OR($L99="",$P99=""),"",IF(INDEX('支払先'!$M$5:$M$104,$P99)="対象外","",IF(AND($L99&gt;60,$K99&gt;=EDATE($B99,2)),"超える","")))</f>
        <v/>
      </c>
      <c r="N99" s="67" t="n"/>
      <c r="O99" s="31">
        <f>IF($A99="","",IFERROR(MATCH($A99,'通知一覧'!$B$5:$B$204,0),"なし"))</f>
        <v/>
      </c>
      <c r="P99" s="31">
        <f>IF(NOT(ISNUMBER($O99)),"",IFERROR(MATCH(INDEX('通知一覧'!$C$5:$C$204,$O99),'支払先'!$B$5:$B$104,0),""))</f>
        <v/>
      </c>
      <c r="Q99" s="31">
        <f>IF(AND($A99&lt;&gt;"",$A99='支払通知書'!$K$2),ROW(),"")</f>
        <v/>
      </c>
    </row>
    <row r="100" ht="18" customHeight="1">
      <c r="A100" s="18" t="n"/>
      <c r="B100" s="24" t="n"/>
      <c r="C100" s="19" t="n"/>
      <c r="D100" s="25" t="n"/>
      <c r="E100" s="18" t="n"/>
      <c r="F100" s="25" t="n"/>
      <c r="G100" s="18" t="n"/>
      <c r="H100" s="18" t="n"/>
      <c r="I100" s="26">
        <f>IF(OR($A100="",$F100=""),"",ROUND(IF($D100="",1,$D100)*$F100,0))</f>
        <v/>
      </c>
      <c r="J100" s="27">
        <f>IF($A100="","",IF($O100="なし","※通知一覧にない通知No",IF($P100="","",INDEX('支払先'!$C$5:$C$104,$P100)&amp;"")))</f>
        <v/>
      </c>
      <c r="K100" s="28">
        <f>IF(NOT(ISNUMBER($O100)),"",IF(ISNUMBER(INDEX('通知一覧'!$F$5:$F$204,$O100)),INDEX('通知一覧'!$F$5:$F$204,$O100),""))</f>
        <v/>
      </c>
      <c r="L100" s="29">
        <f>IF(AND(ISNUMBER($B100),ISNUMBER($K100)),$K100-$B100+1,"")</f>
        <v/>
      </c>
      <c r="M100" s="30">
        <f>IF(OR($L100="",$P100=""),"",IF(INDEX('支払先'!$M$5:$M$104,$P100)="対象外","",IF(AND($L100&gt;60,$K100&gt;=EDATE($B100,2)),"超える","")))</f>
        <v/>
      </c>
      <c r="N100" s="67" t="n"/>
      <c r="O100" s="31">
        <f>IF($A100="","",IFERROR(MATCH($A100,'通知一覧'!$B$5:$B$204,0),"なし"))</f>
        <v/>
      </c>
      <c r="P100" s="31">
        <f>IF(NOT(ISNUMBER($O100)),"",IFERROR(MATCH(INDEX('通知一覧'!$C$5:$C$204,$O100),'支払先'!$B$5:$B$104,0),""))</f>
        <v/>
      </c>
      <c r="Q100" s="31">
        <f>IF(AND($A100&lt;&gt;"",$A100='支払通知書'!$K$2),ROW(),"")</f>
        <v/>
      </c>
    </row>
    <row r="101" ht="18" customHeight="1">
      <c r="A101" s="18" t="n"/>
      <c r="B101" s="24" t="n"/>
      <c r="C101" s="19" t="n"/>
      <c r="D101" s="25" t="n"/>
      <c r="E101" s="18" t="n"/>
      <c r="F101" s="25" t="n"/>
      <c r="G101" s="18" t="n"/>
      <c r="H101" s="18" t="n"/>
      <c r="I101" s="26">
        <f>IF(OR($A101="",$F101=""),"",ROUND(IF($D101="",1,$D101)*$F101,0))</f>
        <v/>
      </c>
      <c r="J101" s="27">
        <f>IF($A101="","",IF($O101="なし","※通知一覧にない通知No",IF($P101="","",INDEX('支払先'!$C$5:$C$104,$P101)&amp;"")))</f>
        <v/>
      </c>
      <c r="K101" s="28">
        <f>IF(NOT(ISNUMBER($O101)),"",IF(ISNUMBER(INDEX('通知一覧'!$F$5:$F$204,$O101)),INDEX('通知一覧'!$F$5:$F$204,$O101),""))</f>
        <v/>
      </c>
      <c r="L101" s="29">
        <f>IF(AND(ISNUMBER($B101),ISNUMBER($K101)),$K101-$B101+1,"")</f>
        <v/>
      </c>
      <c r="M101" s="30">
        <f>IF(OR($L101="",$P101=""),"",IF(INDEX('支払先'!$M$5:$M$104,$P101)="対象外","",IF(AND($L101&gt;60,$K101&gt;=EDATE($B101,2)),"超える","")))</f>
        <v/>
      </c>
      <c r="N101" s="67" t="n"/>
      <c r="O101" s="31">
        <f>IF($A101="","",IFERROR(MATCH($A101,'通知一覧'!$B$5:$B$204,0),"なし"))</f>
        <v/>
      </c>
      <c r="P101" s="31">
        <f>IF(NOT(ISNUMBER($O101)),"",IFERROR(MATCH(INDEX('通知一覧'!$C$5:$C$204,$O101),'支払先'!$B$5:$B$104,0),""))</f>
        <v/>
      </c>
      <c r="Q101" s="31">
        <f>IF(AND($A101&lt;&gt;"",$A101='支払通知書'!$K$2),ROW(),"")</f>
        <v/>
      </c>
    </row>
    <row r="102" ht="18" customHeight="1">
      <c r="A102" s="18" t="n"/>
      <c r="B102" s="24" t="n"/>
      <c r="C102" s="19" t="n"/>
      <c r="D102" s="25" t="n"/>
      <c r="E102" s="18" t="n"/>
      <c r="F102" s="25" t="n"/>
      <c r="G102" s="18" t="n"/>
      <c r="H102" s="18" t="n"/>
      <c r="I102" s="26">
        <f>IF(OR($A102="",$F102=""),"",ROUND(IF($D102="",1,$D102)*$F102,0))</f>
        <v/>
      </c>
      <c r="J102" s="27">
        <f>IF($A102="","",IF($O102="なし","※通知一覧にない通知No",IF($P102="","",INDEX('支払先'!$C$5:$C$104,$P102)&amp;"")))</f>
        <v/>
      </c>
      <c r="K102" s="28">
        <f>IF(NOT(ISNUMBER($O102)),"",IF(ISNUMBER(INDEX('通知一覧'!$F$5:$F$204,$O102)),INDEX('通知一覧'!$F$5:$F$204,$O102),""))</f>
        <v/>
      </c>
      <c r="L102" s="29">
        <f>IF(AND(ISNUMBER($B102),ISNUMBER($K102)),$K102-$B102+1,"")</f>
        <v/>
      </c>
      <c r="M102" s="30">
        <f>IF(OR($L102="",$P102=""),"",IF(INDEX('支払先'!$M$5:$M$104,$P102)="対象外","",IF(AND($L102&gt;60,$K102&gt;=EDATE($B102,2)),"超える","")))</f>
        <v/>
      </c>
      <c r="N102" s="67" t="n"/>
      <c r="O102" s="31">
        <f>IF($A102="","",IFERROR(MATCH($A102,'通知一覧'!$B$5:$B$204,0),"なし"))</f>
        <v/>
      </c>
      <c r="P102" s="31">
        <f>IF(NOT(ISNUMBER($O102)),"",IFERROR(MATCH(INDEX('通知一覧'!$C$5:$C$204,$O102),'支払先'!$B$5:$B$104,0),""))</f>
        <v/>
      </c>
      <c r="Q102" s="31">
        <f>IF(AND($A102&lt;&gt;"",$A102='支払通知書'!$K$2),ROW(),"")</f>
        <v/>
      </c>
    </row>
    <row r="103" ht="18" customHeight="1">
      <c r="A103" s="18" t="n"/>
      <c r="B103" s="24" t="n"/>
      <c r="C103" s="19" t="n"/>
      <c r="D103" s="25" t="n"/>
      <c r="E103" s="18" t="n"/>
      <c r="F103" s="25" t="n"/>
      <c r="G103" s="18" t="n"/>
      <c r="H103" s="18" t="n"/>
      <c r="I103" s="26">
        <f>IF(OR($A103="",$F103=""),"",ROUND(IF($D103="",1,$D103)*$F103,0))</f>
        <v/>
      </c>
      <c r="J103" s="27">
        <f>IF($A103="","",IF($O103="なし","※通知一覧にない通知No",IF($P103="","",INDEX('支払先'!$C$5:$C$104,$P103)&amp;"")))</f>
        <v/>
      </c>
      <c r="K103" s="28">
        <f>IF(NOT(ISNUMBER($O103)),"",IF(ISNUMBER(INDEX('通知一覧'!$F$5:$F$204,$O103)),INDEX('通知一覧'!$F$5:$F$204,$O103),""))</f>
        <v/>
      </c>
      <c r="L103" s="29">
        <f>IF(AND(ISNUMBER($B103),ISNUMBER($K103)),$K103-$B103+1,"")</f>
        <v/>
      </c>
      <c r="M103" s="30">
        <f>IF(OR($L103="",$P103=""),"",IF(INDEX('支払先'!$M$5:$M$104,$P103)="対象外","",IF(AND($L103&gt;60,$K103&gt;=EDATE($B103,2)),"超える","")))</f>
        <v/>
      </c>
      <c r="N103" s="67" t="n"/>
      <c r="O103" s="31">
        <f>IF($A103="","",IFERROR(MATCH($A103,'通知一覧'!$B$5:$B$204,0),"なし"))</f>
        <v/>
      </c>
      <c r="P103" s="31">
        <f>IF(NOT(ISNUMBER($O103)),"",IFERROR(MATCH(INDEX('通知一覧'!$C$5:$C$204,$O103),'支払先'!$B$5:$B$104,0),""))</f>
        <v/>
      </c>
      <c r="Q103" s="31">
        <f>IF(AND($A103&lt;&gt;"",$A103='支払通知書'!$K$2),ROW(),"")</f>
        <v/>
      </c>
    </row>
    <row r="104" ht="18" customHeight="1">
      <c r="A104" s="18" t="n"/>
      <c r="B104" s="24" t="n"/>
      <c r="C104" s="19" t="n"/>
      <c r="D104" s="25" t="n"/>
      <c r="E104" s="18" t="n"/>
      <c r="F104" s="25" t="n"/>
      <c r="G104" s="18" t="n"/>
      <c r="H104" s="18" t="n"/>
      <c r="I104" s="26">
        <f>IF(OR($A104="",$F104=""),"",ROUND(IF($D104="",1,$D104)*$F104,0))</f>
        <v/>
      </c>
      <c r="J104" s="27">
        <f>IF($A104="","",IF($O104="なし","※通知一覧にない通知No",IF($P104="","",INDEX('支払先'!$C$5:$C$104,$P104)&amp;"")))</f>
        <v/>
      </c>
      <c r="K104" s="28">
        <f>IF(NOT(ISNUMBER($O104)),"",IF(ISNUMBER(INDEX('通知一覧'!$F$5:$F$204,$O104)),INDEX('通知一覧'!$F$5:$F$204,$O104),""))</f>
        <v/>
      </c>
      <c r="L104" s="29">
        <f>IF(AND(ISNUMBER($B104),ISNUMBER($K104)),$K104-$B104+1,"")</f>
        <v/>
      </c>
      <c r="M104" s="30">
        <f>IF(OR($L104="",$P104=""),"",IF(INDEX('支払先'!$M$5:$M$104,$P104)="対象外","",IF(AND($L104&gt;60,$K104&gt;=EDATE($B104,2)),"超える","")))</f>
        <v/>
      </c>
      <c r="N104" s="67" t="n"/>
      <c r="O104" s="31">
        <f>IF($A104="","",IFERROR(MATCH($A104,'通知一覧'!$B$5:$B$204,0),"なし"))</f>
        <v/>
      </c>
      <c r="P104" s="31">
        <f>IF(NOT(ISNUMBER($O104)),"",IFERROR(MATCH(INDEX('通知一覧'!$C$5:$C$204,$O104),'支払先'!$B$5:$B$104,0),""))</f>
        <v/>
      </c>
      <c r="Q104" s="31">
        <f>IF(AND($A104&lt;&gt;"",$A104='支払通知書'!$K$2),ROW(),"")</f>
        <v/>
      </c>
    </row>
    <row r="105" ht="18" customHeight="1">
      <c r="A105" s="18" t="n"/>
      <c r="B105" s="24" t="n"/>
      <c r="C105" s="19" t="n"/>
      <c r="D105" s="25" t="n"/>
      <c r="E105" s="18" t="n"/>
      <c r="F105" s="25" t="n"/>
      <c r="G105" s="18" t="n"/>
      <c r="H105" s="18" t="n"/>
      <c r="I105" s="26">
        <f>IF(OR($A105="",$F105=""),"",ROUND(IF($D105="",1,$D105)*$F105,0))</f>
        <v/>
      </c>
      <c r="J105" s="27">
        <f>IF($A105="","",IF($O105="なし","※通知一覧にない通知No",IF($P105="","",INDEX('支払先'!$C$5:$C$104,$P105)&amp;"")))</f>
        <v/>
      </c>
      <c r="K105" s="28">
        <f>IF(NOT(ISNUMBER($O105)),"",IF(ISNUMBER(INDEX('通知一覧'!$F$5:$F$204,$O105)),INDEX('通知一覧'!$F$5:$F$204,$O105),""))</f>
        <v/>
      </c>
      <c r="L105" s="29">
        <f>IF(AND(ISNUMBER($B105),ISNUMBER($K105)),$K105-$B105+1,"")</f>
        <v/>
      </c>
      <c r="M105" s="30">
        <f>IF(OR($L105="",$P105=""),"",IF(INDEX('支払先'!$M$5:$M$104,$P105)="対象外","",IF(AND($L105&gt;60,$K105&gt;=EDATE($B105,2)),"超える","")))</f>
        <v/>
      </c>
      <c r="N105" s="67" t="n"/>
      <c r="O105" s="31">
        <f>IF($A105="","",IFERROR(MATCH($A105,'通知一覧'!$B$5:$B$204,0),"なし"))</f>
        <v/>
      </c>
      <c r="P105" s="31">
        <f>IF(NOT(ISNUMBER($O105)),"",IFERROR(MATCH(INDEX('通知一覧'!$C$5:$C$204,$O105),'支払先'!$B$5:$B$104,0),""))</f>
        <v/>
      </c>
      <c r="Q105" s="31">
        <f>IF(AND($A105&lt;&gt;"",$A105='支払通知書'!$K$2),ROW(),"")</f>
        <v/>
      </c>
    </row>
    <row r="106" ht="18" customHeight="1">
      <c r="A106" s="18" t="n"/>
      <c r="B106" s="24" t="n"/>
      <c r="C106" s="19" t="n"/>
      <c r="D106" s="25" t="n"/>
      <c r="E106" s="18" t="n"/>
      <c r="F106" s="25" t="n"/>
      <c r="G106" s="18" t="n"/>
      <c r="H106" s="18" t="n"/>
      <c r="I106" s="26">
        <f>IF(OR($A106="",$F106=""),"",ROUND(IF($D106="",1,$D106)*$F106,0))</f>
        <v/>
      </c>
      <c r="J106" s="27">
        <f>IF($A106="","",IF($O106="なし","※通知一覧にない通知No",IF($P106="","",INDEX('支払先'!$C$5:$C$104,$P106)&amp;"")))</f>
        <v/>
      </c>
      <c r="K106" s="28">
        <f>IF(NOT(ISNUMBER($O106)),"",IF(ISNUMBER(INDEX('通知一覧'!$F$5:$F$204,$O106)),INDEX('通知一覧'!$F$5:$F$204,$O106),""))</f>
        <v/>
      </c>
      <c r="L106" s="29">
        <f>IF(AND(ISNUMBER($B106),ISNUMBER($K106)),$K106-$B106+1,"")</f>
        <v/>
      </c>
      <c r="M106" s="30">
        <f>IF(OR($L106="",$P106=""),"",IF(INDEX('支払先'!$M$5:$M$104,$P106)="対象外","",IF(AND($L106&gt;60,$K106&gt;=EDATE($B106,2)),"超える","")))</f>
        <v/>
      </c>
      <c r="N106" s="67" t="n"/>
      <c r="O106" s="31">
        <f>IF($A106="","",IFERROR(MATCH($A106,'通知一覧'!$B$5:$B$204,0),"なし"))</f>
        <v/>
      </c>
      <c r="P106" s="31">
        <f>IF(NOT(ISNUMBER($O106)),"",IFERROR(MATCH(INDEX('通知一覧'!$C$5:$C$204,$O106),'支払先'!$B$5:$B$104,0),""))</f>
        <v/>
      </c>
      <c r="Q106" s="31">
        <f>IF(AND($A106&lt;&gt;"",$A106='支払通知書'!$K$2),ROW(),"")</f>
        <v/>
      </c>
    </row>
    <row r="107" ht="18" customHeight="1">
      <c r="A107" s="18" t="n"/>
      <c r="B107" s="24" t="n"/>
      <c r="C107" s="19" t="n"/>
      <c r="D107" s="25" t="n"/>
      <c r="E107" s="18" t="n"/>
      <c r="F107" s="25" t="n"/>
      <c r="G107" s="18" t="n"/>
      <c r="H107" s="18" t="n"/>
      <c r="I107" s="26">
        <f>IF(OR($A107="",$F107=""),"",ROUND(IF($D107="",1,$D107)*$F107,0))</f>
        <v/>
      </c>
      <c r="J107" s="27">
        <f>IF($A107="","",IF($O107="なし","※通知一覧にない通知No",IF($P107="","",INDEX('支払先'!$C$5:$C$104,$P107)&amp;"")))</f>
        <v/>
      </c>
      <c r="K107" s="28">
        <f>IF(NOT(ISNUMBER($O107)),"",IF(ISNUMBER(INDEX('通知一覧'!$F$5:$F$204,$O107)),INDEX('通知一覧'!$F$5:$F$204,$O107),""))</f>
        <v/>
      </c>
      <c r="L107" s="29">
        <f>IF(AND(ISNUMBER($B107),ISNUMBER($K107)),$K107-$B107+1,"")</f>
        <v/>
      </c>
      <c r="M107" s="30">
        <f>IF(OR($L107="",$P107=""),"",IF(INDEX('支払先'!$M$5:$M$104,$P107)="対象外","",IF(AND($L107&gt;60,$K107&gt;=EDATE($B107,2)),"超える","")))</f>
        <v/>
      </c>
      <c r="N107" s="67" t="n"/>
      <c r="O107" s="31">
        <f>IF($A107="","",IFERROR(MATCH($A107,'通知一覧'!$B$5:$B$204,0),"なし"))</f>
        <v/>
      </c>
      <c r="P107" s="31">
        <f>IF(NOT(ISNUMBER($O107)),"",IFERROR(MATCH(INDEX('通知一覧'!$C$5:$C$204,$O107),'支払先'!$B$5:$B$104,0),""))</f>
        <v/>
      </c>
      <c r="Q107" s="31">
        <f>IF(AND($A107&lt;&gt;"",$A107='支払通知書'!$K$2),ROW(),"")</f>
        <v/>
      </c>
    </row>
    <row r="108" ht="18" customHeight="1">
      <c r="A108" s="18" t="n"/>
      <c r="B108" s="24" t="n"/>
      <c r="C108" s="19" t="n"/>
      <c r="D108" s="25" t="n"/>
      <c r="E108" s="18" t="n"/>
      <c r="F108" s="25" t="n"/>
      <c r="G108" s="18" t="n"/>
      <c r="H108" s="18" t="n"/>
      <c r="I108" s="26">
        <f>IF(OR($A108="",$F108=""),"",ROUND(IF($D108="",1,$D108)*$F108,0))</f>
        <v/>
      </c>
      <c r="J108" s="27">
        <f>IF($A108="","",IF($O108="なし","※通知一覧にない通知No",IF($P108="","",INDEX('支払先'!$C$5:$C$104,$P108)&amp;"")))</f>
        <v/>
      </c>
      <c r="K108" s="28">
        <f>IF(NOT(ISNUMBER($O108)),"",IF(ISNUMBER(INDEX('通知一覧'!$F$5:$F$204,$O108)),INDEX('通知一覧'!$F$5:$F$204,$O108),""))</f>
        <v/>
      </c>
      <c r="L108" s="29">
        <f>IF(AND(ISNUMBER($B108),ISNUMBER($K108)),$K108-$B108+1,"")</f>
        <v/>
      </c>
      <c r="M108" s="30">
        <f>IF(OR($L108="",$P108=""),"",IF(INDEX('支払先'!$M$5:$M$104,$P108)="対象外","",IF(AND($L108&gt;60,$K108&gt;=EDATE($B108,2)),"超える","")))</f>
        <v/>
      </c>
      <c r="N108" s="67" t="n"/>
      <c r="O108" s="31">
        <f>IF($A108="","",IFERROR(MATCH($A108,'通知一覧'!$B$5:$B$204,0),"なし"))</f>
        <v/>
      </c>
      <c r="P108" s="31">
        <f>IF(NOT(ISNUMBER($O108)),"",IFERROR(MATCH(INDEX('通知一覧'!$C$5:$C$204,$O108),'支払先'!$B$5:$B$104,0),""))</f>
        <v/>
      </c>
      <c r="Q108" s="31">
        <f>IF(AND($A108&lt;&gt;"",$A108='支払通知書'!$K$2),ROW(),"")</f>
        <v/>
      </c>
    </row>
    <row r="109" ht="18" customHeight="1">
      <c r="A109" s="18" t="n"/>
      <c r="B109" s="24" t="n"/>
      <c r="C109" s="19" t="n"/>
      <c r="D109" s="25" t="n"/>
      <c r="E109" s="18" t="n"/>
      <c r="F109" s="25" t="n"/>
      <c r="G109" s="18" t="n"/>
      <c r="H109" s="18" t="n"/>
      <c r="I109" s="26">
        <f>IF(OR($A109="",$F109=""),"",ROUND(IF($D109="",1,$D109)*$F109,0))</f>
        <v/>
      </c>
      <c r="J109" s="27">
        <f>IF($A109="","",IF($O109="なし","※通知一覧にない通知No",IF($P109="","",INDEX('支払先'!$C$5:$C$104,$P109)&amp;"")))</f>
        <v/>
      </c>
      <c r="K109" s="28">
        <f>IF(NOT(ISNUMBER($O109)),"",IF(ISNUMBER(INDEX('通知一覧'!$F$5:$F$204,$O109)),INDEX('通知一覧'!$F$5:$F$204,$O109),""))</f>
        <v/>
      </c>
      <c r="L109" s="29">
        <f>IF(AND(ISNUMBER($B109),ISNUMBER($K109)),$K109-$B109+1,"")</f>
        <v/>
      </c>
      <c r="M109" s="30">
        <f>IF(OR($L109="",$P109=""),"",IF(INDEX('支払先'!$M$5:$M$104,$P109)="対象外","",IF(AND($L109&gt;60,$K109&gt;=EDATE($B109,2)),"超える","")))</f>
        <v/>
      </c>
      <c r="N109" s="67" t="n"/>
      <c r="O109" s="31">
        <f>IF($A109="","",IFERROR(MATCH($A109,'通知一覧'!$B$5:$B$204,0),"なし"))</f>
        <v/>
      </c>
      <c r="P109" s="31">
        <f>IF(NOT(ISNUMBER($O109)),"",IFERROR(MATCH(INDEX('通知一覧'!$C$5:$C$204,$O109),'支払先'!$B$5:$B$104,0),""))</f>
        <v/>
      </c>
      <c r="Q109" s="31">
        <f>IF(AND($A109&lt;&gt;"",$A109='支払通知書'!$K$2),ROW(),"")</f>
        <v/>
      </c>
    </row>
    <row r="110" ht="18" customHeight="1">
      <c r="A110" s="18" t="n"/>
      <c r="B110" s="24" t="n"/>
      <c r="C110" s="19" t="n"/>
      <c r="D110" s="25" t="n"/>
      <c r="E110" s="18" t="n"/>
      <c r="F110" s="25" t="n"/>
      <c r="G110" s="18" t="n"/>
      <c r="H110" s="18" t="n"/>
      <c r="I110" s="26">
        <f>IF(OR($A110="",$F110=""),"",ROUND(IF($D110="",1,$D110)*$F110,0))</f>
        <v/>
      </c>
      <c r="J110" s="27">
        <f>IF($A110="","",IF($O110="なし","※通知一覧にない通知No",IF($P110="","",INDEX('支払先'!$C$5:$C$104,$P110)&amp;"")))</f>
        <v/>
      </c>
      <c r="K110" s="28">
        <f>IF(NOT(ISNUMBER($O110)),"",IF(ISNUMBER(INDEX('通知一覧'!$F$5:$F$204,$O110)),INDEX('通知一覧'!$F$5:$F$204,$O110),""))</f>
        <v/>
      </c>
      <c r="L110" s="29">
        <f>IF(AND(ISNUMBER($B110),ISNUMBER($K110)),$K110-$B110+1,"")</f>
        <v/>
      </c>
      <c r="M110" s="30">
        <f>IF(OR($L110="",$P110=""),"",IF(INDEX('支払先'!$M$5:$M$104,$P110)="対象外","",IF(AND($L110&gt;60,$K110&gt;=EDATE($B110,2)),"超える","")))</f>
        <v/>
      </c>
      <c r="N110" s="67" t="n"/>
      <c r="O110" s="31">
        <f>IF($A110="","",IFERROR(MATCH($A110,'通知一覧'!$B$5:$B$204,0),"なし"))</f>
        <v/>
      </c>
      <c r="P110" s="31">
        <f>IF(NOT(ISNUMBER($O110)),"",IFERROR(MATCH(INDEX('通知一覧'!$C$5:$C$204,$O110),'支払先'!$B$5:$B$104,0),""))</f>
        <v/>
      </c>
      <c r="Q110" s="31">
        <f>IF(AND($A110&lt;&gt;"",$A110='支払通知書'!$K$2),ROW(),"")</f>
        <v/>
      </c>
    </row>
    <row r="111" ht="18" customHeight="1">
      <c r="A111" s="18" t="n"/>
      <c r="B111" s="24" t="n"/>
      <c r="C111" s="19" t="n"/>
      <c r="D111" s="25" t="n"/>
      <c r="E111" s="18" t="n"/>
      <c r="F111" s="25" t="n"/>
      <c r="G111" s="18" t="n"/>
      <c r="H111" s="18" t="n"/>
      <c r="I111" s="26">
        <f>IF(OR($A111="",$F111=""),"",ROUND(IF($D111="",1,$D111)*$F111,0))</f>
        <v/>
      </c>
      <c r="J111" s="27">
        <f>IF($A111="","",IF($O111="なし","※通知一覧にない通知No",IF($P111="","",INDEX('支払先'!$C$5:$C$104,$P111)&amp;"")))</f>
        <v/>
      </c>
      <c r="K111" s="28">
        <f>IF(NOT(ISNUMBER($O111)),"",IF(ISNUMBER(INDEX('通知一覧'!$F$5:$F$204,$O111)),INDEX('通知一覧'!$F$5:$F$204,$O111),""))</f>
        <v/>
      </c>
      <c r="L111" s="29">
        <f>IF(AND(ISNUMBER($B111),ISNUMBER($K111)),$K111-$B111+1,"")</f>
        <v/>
      </c>
      <c r="M111" s="30">
        <f>IF(OR($L111="",$P111=""),"",IF(INDEX('支払先'!$M$5:$M$104,$P111)="対象外","",IF(AND($L111&gt;60,$K111&gt;=EDATE($B111,2)),"超える","")))</f>
        <v/>
      </c>
      <c r="N111" s="67" t="n"/>
      <c r="O111" s="31">
        <f>IF($A111="","",IFERROR(MATCH($A111,'通知一覧'!$B$5:$B$204,0),"なし"))</f>
        <v/>
      </c>
      <c r="P111" s="31">
        <f>IF(NOT(ISNUMBER($O111)),"",IFERROR(MATCH(INDEX('通知一覧'!$C$5:$C$204,$O111),'支払先'!$B$5:$B$104,0),""))</f>
        <v/>
      </c>
      <c r="Q111" s="31">
        <f>IF(AND($A111&lt;&gt;"",$A111='支払通知書'!$K$2),ROW(),"")</f>
        <v/>
      </c>
    </row>
    <row r="112" ht="18" customHeight="1">
      <c r="A112" s="18" t="n"/>
      <c r="B112" s="24" t="n"/>
      <c r="C112" s="19" t="n"/>
      <c r="D112" s="25" t="n"/>
      <c r="E112" s="18" t="n"/>
      <c r="F112" s="25" t="n"/>
      <c r="G112" s="18" t="n"/>
      <c r="H112" s="18" t="n"/>
      <c r="I112" s="26">
        <f>IF(OR($A112="",$F112=""),"",ROUND(IF($D112="",1,$D112)*$F112,0))</f>
        <v/>
      </c>
      <c r="J112" s="27">
        <f>IF($A112="","",IF($O112="なし","※通知一覧にない通知No",IF($P112="","",INDEX('支払先'!$C$5:$C$104,$P112)&amp;"")))</f>
        <v/>
      </c>
      <c r="K112" s="28">
        <f>IF(NOT(ISNUMBER($O112)),"",IF(ISNUMBER(INDEX('通知一覧'!$F$5:$F$204,$O112)),INDEX('通知一覧'!$F$5:$F$204,$O112),""))</f>
        <v/>
      </c>
      <c r="L112" s="29">
        <f>IF(AND(ISNUMBER($B112),ISNUMBER($K112)),$K112-$B112+1,"")</f>
        <v/>
      </c>
      <c r="M112" s="30">
        <f>IF(OR($L112="",$P112=""),"",IF(INDEX('支払先'!$M$5:$M$104,$P112)="対象外","",IF(AND($L112&gt;60,$K112&gt;=EDATE($B112,2)),"超える","")))</f>
        <v/>
      </c>
      <c r="N112" s="67" t="n"/>
      <c r="O112" s="31">
        <f>IF($A112="","",IFERROR(MATCH($A112,'通知一覧'!$B$5:$B$204,0),"なし"))</f>
        <v/>
      </c>
      <c r="P112" s="31">
        <f>IF(NOT(ISNUMBER($O112)),"",IFERROR(MATCH(INDEX('通知一覧'!$C$5:$C$204,$O112),'支払先'!$B$5:$B$104,0),""))</f>
        <v/>
      </c>
      <c r="Q112" s="31">
        <f>IF(AND($A112&lt;&gt;"",$A112='支払通知書'!$K$2),ROW(),"")</f>
        <v/>
      </c>
    </row>
    <row r="113" ht="18" customHeight="1">
      <c r="A113" s="18" t="n"/>
      <c r="B113" s="24" t="n"/>
      <c r="C113" s="19" t="n"/>
      <c r="D113" s="25" t="n"/>
      <c r="E113" s="18" t="n"/>
      <c r="F113" s="25" t="n"/>
      <c r="G113" s="18" t="n"/>
      <c r="H113" s="18" t="n"/>
      <c r="I113" s="26">
        <f>IF(OR($A113="",$F113=""),"",ROUND(IF($D113="",1,$D113)*$F113,0))</f>
        <v/>
      </c>
      <c r="J113" s="27">
        <f>IF($A113="","",IF($O113="なし","※通知一覧にない通知No",IF($P113="","",INDEX('支払先'!$C$5:$C$104,$P113)&amp;"")))</f>
        <v/>
      </c>
      <c r="K113" s="28">
        <f>IF(NOT(ISNUMBER($O113)),"",IF(ISNUMBER(INDEX('通知一覧'!$F$5:$F$204,$O113)),INDEX('通知一覧'!$F$5:$F$204,$O113),""))</f>
        <v/>
      </c>
      <c r="L113" s="29">
        <f>IF(AND(ISNUMBER($B113),ISNUMBER($K113)),$K113-$B113+1,"")</f>
        <v/>
      </c>
      <c r="M113" s="30">
        <f>IF(OR($L113="",$P113=""),"",IF(INDEX('支払先'!$M$5:$M$104,$P113)="対象外","",IF(AND($L113&gt;60,$K113&gt;=EDATE($B113,2)),"超える","")))</f>
        <v/>
      </c>
      <c r="N113" s="67" t="n"/>
      <c r="O113" s="31">
        <f>IF($A113="","",IFERROR(MATCH($A113,'通知一覧'!$B$5:$B$204,0),"なし"))</f>
        <v/>
      </c>
      <c r="P113" s="31">
        <f>IF(NOT(ISNUMBER($O113)),"",IFERROR(MATCH(INDEX('通知一覧'!$C$5:$C$204,$O113),'支払先'!$B$5:$B$104,0),""))</f>
        <v/>
      </c>
      <c r="Q113" s="31">
        <f>IF(AND($A113&lt;&gt;"",$A113='支払通知書'!$K$2),ROW(),"")</f>
        <v/>
      </c>
    </row>
    <row r="114" ht="18" customHeight="1">
      <c r="A114" s="18" t="n"/>
      <c r="B114" s="24" t="n"/>
      <c r="C114" s="19" t="n"/>
      <c r="D114" s="25" t="n"/>
      <c r="E114" s="18" t="n"/>
      <c r="F114" s="25" t="n"/>
      <c r="G114" s="18" t="n"/>
      <c r="H114" s="18" t="n"/>
      <c r="I114" s="26">
        <f>IF(OR($A114="",$F114=""),"",ROUND(IF($D114="",1,$D114)*$F114,0))</f>
        <v/>
      </c>
      <c r="J114" s="27">
        <f>IF($A114="","",IF($O114="なし","※通知一覧にない通知No",IF($P114="","",INDEX('支払先'!$C$5:$C$104,$P114)&amp;"")))</f>
        <v/>
      </c>
      <c r="K114" s="28">
        <f>IF(NOT(ISNUMBER($O114)),"",IF(ISNUMBER(INDEX('通知一覧'!$F$5:$F$204,$O114)),INDEX('通知一覧'!$F$5:$F$204,$O114),""))</f>
        <v/>
      </c>
      <c r="L114" s="29">
        <f>IF(AND(ISNUMBER($B114),ISNUMBER($K114)),$K114-$B114+1,"")</f>
        <v/>
      </c>
      <c r="M114" s="30">
        <f>IF(OR($L114="",$P114=""),"",IF(INDEX('支払先'!$M$5:$M$104,$P114)="対象外","",IF(AND($L114&gt;60,$K114&gt;=EDATE($B114,2)),"超える","")))</f>
        <v/>
      </c>
      <c r="N114" s="67" t="n"/>
      <c r="O114" s="31">
        <f>IF($A114="","",IFERROR(MATCH($A114,'通知一覧'!$B$5:$B$204,0),"なし"))</f>
        <v/>
      </c>
      <c r="P114" s="31">
        <f>IF(NOT(ISNUMBER($O114)),"",IFERROR(MATCH(INDEX('通知一覧'!$C$5:$C$204,$O114),'支払先'!$B$5:$B$104,0),""))</f>
        <v/>
      </c>
      <c r="Q114" s="31">
        <f>IF(AND($A114&lt;&gt;"",$A114='支払通知書'!$K$2),ROW(),"")</f>
        <v/>
      </c>
    </row>
    <row r="115" ht="18" customHeight="1">
      <c r="A115" s="18" t="n"/>
      <c r="B115" s="24" t="n"/>
      <c r="C115" s="19" t="n"/>
      <c r="D115" s="25" t="n"/>
      <c r="E115" s="18" t="n"/>
      <c r="F115" s="25" t="n"/>
      <c r="G115" s="18" t="n"/>
      <c r="H115" s="18" t="n"/>
      <c r="I115" s="26">
        <f>IF(OR($A115="",$F115=""),"",ROUND(IF($D115="",1,$D115)*$F115,0))</f>
        <v/>
      </c>
      <c r="J115" s="27">
        <f>IF($A115="","",IF($O115="なし","※通知一覧にない通知No",IF($P115="","",INDEX('支払先'!$C$5:$C$104,$P115)&amp;"")))</f>
        <v/>
      </c>
      <c r="K115" s="28">
        <f>IF(NOT(ISNUMBER($O115)),"",IF(ISNUMBER(INDEX('通知一覧'!$F$5:$F$204,$O115)),INDEX('通知一覧'!$F$5:$F$204,$O115),""))</f>
        <v/>
      </c>
      <c r="L115" s="29">
        <f>IF(AND(ISNUMBER($B115),ISNUMBER($K115)),$K115-$B115+1,"")</f>
        <v/>
      </c>
      <c r="M115" s="30">
        <f>IF(OR($L115="",$P115=""),"",IF(INDEX('支払先'!$M$5:$M$104,$P115)="対象外","",IF(AND($L115&gt;60,$K115&gt;=EDATE($B115,2)),"超える","")))</f>
        <v/>
      </c>
      <c r="N115" s="67" t="n"/>
      <c r="O115" s="31">
        <f>IF($A115="","",IFERROR(MATCH($A115,'通知一覧'!$B$5:$B$204,0),"なし"))</f>
        <v/>
      </c>
      <c r="P115" s="31">
        <f>IF(NOT(ISNUMBER($O115)),"",IFERROR(MATCH(INDEX('通知一覧'!$C$5:$C$204,$O115),'支払先'!$B$5:$B$104,0),""))</f>
        <v/>
      </c>
      <c r="Q115" s="31">
        <f>IF(AND($A115&lt;&gt;"",$A115='支払通知書'!$K$2),ROW(),"")</f>
        <v/>
      </c>
    </row>
    <row r="116" ht="18" customHeight="1">
      <c r="A116" s="18" t="n"/>
      <c r="B116" s="24" t="n"/>
      <c r="C116" s="19" t="n"/>
      <c r="D116" s="25" t="n"/>
      <c r="E116" s="18" t="n"/>
      <c r="F116" s="25" t="n"/>
      <c r="G116" s="18" t="n"/>
      <c r="H116" s="18" t="n"/>
      <c r="I116" s="26">
        <f>IF(OR($A116="",$F116=""),"",ROUND(IF($D116="",1,$D116)*$F116,0))</f>
        <v/>
      </c>
      <c r="J116" s="27">
        <f>IF($A116="","",IF($O116="なし","※通知一覧にない通知No",IF($P116="","",INDEX('支払先'!$C$5:$C$104,$P116)&amp;"")))</f>
        <v/>
      </c>
      <c r="K116" s="28">
        <f>IF(NOT(ISNUMBER($O116)),"",IF(ISNUMBER(INDEX('通知一覧'!$F$5:$F$204,$O116)),INDEX('通知一覧'!$F$5:$F$204,$O116),""))</f>
        <v/>
      </c>
      <c r="L116" s="29">
        <f>IF(AND(ISNUMBER($B116),ISNUMBER($K116)),$K116-$B116+1,"")</f>
        <v/>
      </c>
      <c r="M116" s="30">
        <f>IF(OR($L116="",$P116=""),"",IF(INDEX('支払先'!$M$5:$M$104,$P116)="対象外","",IF(AND($L116&gt;60,$K116&gt;=EDATE($B116,2)),"超える","")))</f>
        <v/>
      </c>
      <c r="N116" s="67" t="n"/>
      <c r="O116" s="31">
        <f>IF($A116="","",IFERROR(MATCH($A116,'通知一覧'!$B$5:$B$204,0),"なし"))</f>
        <v/>
      </c>
      <c r="P116" s="31">
        <f>IF(NOT(ISNUMBER($O116)),"",IFERROR(MATCH(INDEX('通知一覧'!$C$5:$C$204,$O116),'支払先'!$B$5:$B$104,0),""))</f>
        <v/>
      </c>
      <c r="Q116" s="31">
        <f>IF(AND($A116&lt;&gt;"",$A116='支払通知書'!$K$2),ROW(),"")</f>
        <v/>
      </c>
    </row>
    <row r="117" ht="18" customHeight="1">
      <c r="A117" s="18" t="n"/>
      <c r="B117" s="24" t="n"/>
      <c r="C117" s="19" t="n"/>
      <c r="D117" s="25" t="n"/>
      <c r="E117" s="18" t="n"/>
      <c r="F117" s="25" t="n"/>
      <c r="G117" s="18" t="n"/>
      <c r="H117" s="18" t="n"/>
      <c r="I117" s="26">
        <f>IF(OR($A117="",$F117=""),"",ROUND(IF($D117="",1,$D117)*$F117,0))</f>
        <v/>
      </c>
      <c r="J117" s="27">
        <f>IF($A117="","",IF($O117="なし","※通知一覧にない通知No",IF($P117="","",INDEX('支払先'!$C$5:$C$104,$P117)&amp;"")))</f>
        <v/>
      </c>
      <c r="K117" s="28">
        <f>IF(NOT(ISNUMBER($O117)),"",IF(ISNUMBER(INDEX('通知一覧'!$F$5:$F$204,$O117)),INDEX('通知一覧'!$F$5:$F$204,$O117),""))</f>
        <v/>
      </c>
      <c r="L117" s="29">
        <f>IF(AND(ISNUMBER($B117),ISNUMBER($K117)),$K117-$B117+1,"")</f>
        <v/>
      </c>
      <c r="M117" s="30">
        <f>IF(OR($L117="",$P117=""),"",IF(INDEX('支払先'!$M$5:$M$104,$P117)="対象外","",IF(AND($L117&gt;60,$K117&gt;=EDATE($B117,2)),"超える","")))</f>
        <v/>
      </c>
      <c r="N117" s="67" t="n"/>
      <c r="O117" s="31">
        <f>IF($A117="","",IFERROR(MATCH($A117,'通知一覧'!$B$5:$B$204,0),"なし"))</f>
        <v/>
      </c>
      <c r="P117" s="31">
        <f>IF(NOT(ISNUMBER($O117)),"",IFERROR(MATCH(INDEX('通知一覧'!$C$5:$C$204,$O117),'支払先'!$B$5:$B$104,0),""))</f>
        <v/>
      </c>
      <c r="Q117" s="31">
        <f>IF(AND($A117&lt;&gt;"",$A117='支払通知書'!$K$2),ROW(),"")</f>
        <v/>
      </c>
    </row>
    <row r="118" ht="18" customHeight="1">
      <c r="A118" s="18" t="n"/>
      <c r="B118" s="24" t="n"/>
      <c r="C118" s="19" t="n"/>
      <c r="D118" s="25" t="n"/>
      <c r="E118" s="18" t="n"/>
      <c r="F118" s="25" t="n"/>
      <c r="G118" s="18" t="n"/>
      <c r="H118" s="18" t="n"/>
      <c r="I118" s="26">
        <f>IF(OR($A118="",$F118=""),"",ROUND(IF($D118="",1,$D118)*$F118,0))</f>
        <v/>
      </c>
      <c r="J118" s="27">
        <f>IF($A118="","",IF($O118="なし","※通知一覧にない通知No",IF($P118="","",INDEX('支払先'!$C$5:$C$104,$P118)&amp;"")))</f>
        <v/>
      </c>
      <c r="K118" s="28">
        <f>IF(NOT(ISNUMBER($O118)),"",IF(ISNUMBER(INDEX('通知一覧'!$F$5:$F$204,$O118)),INDEX('通知一覧'!$F$5:$F$204,$O118),""))</f>
        <v/>
      </c>
      <c r="L118" s="29">
        <f>IF(AND(ISNUMBER($B118),ISNUMBER($K118)),$K118-$B118+1,"")</f>
        <v/>
      </c>
      <c r="M118" s="30">
        <f>IF(OR($L118="",$P118=""),"",IF(INDEX('支払先'!$M$5:$M$104,$P118)="対象外","",IF(AND($L118&gt;60,$K118&gt;=EDATE($B118,2)),"超える","")))</f>
        <v/>
      </c>
      <c r="N118" s="67" t="n"/>
      <c r="O118" s="31">
        <f>IF($A118="","",IFERROR(MATCH($A118,'通知一覧'!$B$5:$B$204,0),"なし"))</f>
        <v/>
      </c>
      <c r="P118" s="31">
        <f>IF(NOT(ISNUMBER($O118)),"",IFERROR(MATCH(INDEX('通知一覧'!$C$5:$C$204,$O118),'支払先'!$B$5:$B$104,0),""))</f>
        <v/>
      </c>
      <c r="Q118" s="31">
        <f>IF(AND($A118&lt;&gt;"",$A118='支払通知書'!$K$2),ROW(),"")</f>
        <v/>
      </c>
    </row>
    <row r="119" ht="18" customHeight="1">
      <c r="A119" s="18" t="n"/>
      <c r="B119" s="24" t="n"/>
      <c r="C119" s="19" t="n"/>
      <c r="D119" s="25" t="n"/>
      <c r="E119" s="18" t="n"/>
      <c r="F119" s="25" t="n"/>
      <c r="G119" s="18" t="n"/>
      <c r="H119" s="18" t="n"/>
      <c r="I119" s="26">
        <f>IF(OR($A119="",$F119=""),"",ROUND(IF($D119="",1,$D119)*$F119,0))</f>
        <v/>
      </c>
      <c r="J119" s="27">
        <f>IF($A119="","",IF($O119="なし","※通知一覧にない通知No",IF($P119="","",INDEX('支払先'!$C$5:$C$104,$P119)&amp;"")))</f>
        <v/>
      </c>
      <c r="K119" s="28">
        <f>IF(NOT(ISNUMBER($O119)),"",IF(ISNUMBER(INDEX('通知一覧'!$F$5:$F$204,$O119)),INDEX('通知一覧'!$F$5:$F$204,$O119),""))</f>
        <v/>
      </c>
      <c r="L119" s="29">
        <f>IF(AND(ISNUMBER($B119),ISNUMBER($K119)),$K119-$B119+1,"")</f>
        <v/>
      </c>
      <c r="M119" s="30">
        <f>IF(OR($L119="",$P119=""),"",IF(INDEX('支払先'!$M$5:$M$104,$P119)="対象外","",IF(AND($L119&gt;60,$K119&gt;=EDATE($B119,2)),"超える","")))</f>
        <v/>
      </c>
      <c r="N119" s="67" t="n"/>
      <c r="O119" s="31">
        <f>IF($A119="","",IFERROR(MATCH($A119,'通知一覧'!$B$5:$B$204,0),"なし"))</f>
        <v/>
      </c>
      <c r="P119" s="31">
        <f>IF(NOT(ISNUMBER($O119)),"",IFERROR(MATCH(INDEX('通知一覧'!$C$5:$C$204,$O119),'支払先'!$B$5:$B$104,0),""))</f>
        <v/>
      </c>
      <c r="Q119" s="31">
        <f>IF(AND($A119&lt;&gt;"",$A119='支払通知書'!$K$2),ROW(),"")</f>
        <v/>
      </c>
    </row>
    <row r="120" ht="18" customHeight="1">
      <c r="A120" s="18" t="n"/>
      <c r="B120" s="24" t="n"/>
      <c r="C120" s="19" t="n"/>
      <c r="D120" s="25" t="n"/>
      <c r="E120" s="18" t="n"/>
      <c r="F120" s="25" t="n"/>
      <c r="G120" s="18" t="n"/>
      <c r="H120" s="18" t="n"/>
      <c r="I120" s="26">
        <f>IF(OR($A120="",$F120=""),"",ROUND(IF($D120="",1,$D120)*$F120,0))</f>
        <v/>
      </c>
      <c r="J120" s="27">
        <f>IF($A120="","",IF($O120="なし","※通知一覧にない通知No",IF($P120="","",INDEX('支払先'!$C$5:$C$104,$P120)&amp;"")))</f>
        <v/>
      </c>
      <c r="K120" s="28">
        <f>IF(NOT(ISNUMBER($O120)),"",IF(ISNUMBER(INDEX('通知一覧'!$F$5:$F$204,$O120)),INDEX('通知一覧'!$F$5:$F$204,$O120),""))</f>
        <v/>
      </c>
      <c r="L120" s="29">
        <f>IF(AND(ISNUMBER($B120),ISNUMBER($K120)),$K120-$B120+1,"")</f>
        <v/>
      </c>
      <c r="M120" s="30">
        <f>IF(OR($L120="",$P120=""),"",IF(INDEX('支払先'!$M$5:$M$104,$P120)="対象外","",IF(AND($L120&gt;60,$K120&gt;=EDATE($B120,2)),"超える","")))</f>
        <v/>
      </c>
      <c r="N120" s="67" t="n"/>
      <c r="O120" s="31">
        <f>IF($A120="","",IFERROR(MATCH($A120,'通知一覧'!$B$5:$B$204,0),"なし"))</f>
        <v/>
      </c>
      <c r="P120" s="31">
        <f>IF(NOT(ISNUMBER($O120)),"",IFERROR(MATCH(INDEX('通知一覧'!$C$5:$C$204,$O120),'支払先'!$B$5:$B$104,0),""))</f>
        <v/>
      </c>
      <c r="Q120" s="31">
        <f>IF(AND($A120&lt;&gt;"",$A120='支払通知書'!$K$2),ROW(),"")</f>
        <v/>
      </c>
    </row>
    <row r="121" ht="18" customHeight="1">
      <c r="A121" s="18" t="n"/>
      <c r="B121" s="24" t="n"/>
      <c r="C121" s="19" t="n"/>
      <c r="D121" s="25" t="n"/>
      <c r="E121" s="18" t="n"/>
      <c r="F121" s="25" t="n"/>
      <c r="G121" s="18" t="n"/>
      <c r="H121" s="18" t="n"/>
      <c r="I121" s="26">
        <f>IF(OR($A121="",$F121=""),"",ROUND(IF($D121="",1,$D121)*$F121,0))</f>
        <v/>
      </c>
      <c r="J121" s="27">
        <f>IF($A121="","",IF($O121="なし","※通知一覧にない通知No",IF($P121="","",INDEX('支払先'!$C$5:$C$104,$P121)&amp;"")))</f>
        <v/>
      </c>
      <c r="K121" s="28">
        <f>IF(NOT(ISNUMBER($O121)),"",IF(ISNUMBER(INDEX('通知一覧'!$F$5:$F$204,$O121)),INDEX('通知一覧'!$F$5:$F$204,$O121),""))</f>
        <v/>
      </c>
      <c r="L121" s="29">
        <f>IF(AND(ISNUMBER($B121),ISNUMBER($K121)),$K121-$B121+1,"")</f>
        <v/>
      </c>
      <c r="M121" s="30">
        <f>IF(OR($L121="",$P121=""),"",IF(INDEX('支払先'!$M$5:$M$104,$P121)="対象外","",IF(AND($L121&gt;60,$K121&gt;=EDATE($B121,2)),"超える","")))</f>
        <v/>
      </c>
      <c r="N121" s="67" t="n"/>
      <c r="O121" s="31">
        <f>IF($A121="","",IFERROR(MATCH($A121,'通知一覧'!$B$5:$B$204,0),"なし"))</f>
        <v/>
      </c>
      <c r="P121" s="31">
        <f>IF(NOT(ISNUMBER($O121)),"",IFERROR(MATCH(INDEX('通知一覧'!$C$5:$C$204,$O121),'支払先'!$B$5:$B$104,0),""))</f>
        <v/>
      </c>
      <c r="Q121" s="31">
        <f>IF(AND($A121&lt;&gt;"",$A121='支払通知書'!$K$2),ROW(),"")</f>
        <v/>
      </c>
    </row>
    <row r="122" ht="18" customHeight="1">
      <c r="A122" s="18" t="n"/>
      <c r="B122" s="24" t="n"/>
      <c r="C122" s="19" t="n"/>
      <c r="D122" s="25" t="n"/>
      <c r="E122" s="18" t="n"/>
      <c r="F122" s="25" t="n"/>
      <c r="G122" s="18" t="n"/>
      <c r="H122" s="18" t="n"/>
      <c r="I122" s="26">
        <f>IF(OR($A122="",$F122=""),"",ROUND(IF($D122="",1,$D122)*$F122,0))</f>
        <v/>
      </c>
      <c r="J122" s="27">
        <f>IF($A122="","",IF($O122="なし","※通知一覧にない通知No",IF($P122="","",INDEX('支払先'!$C$5:$C$104,$P122)&amp;"")))</f>
        <v/>
      </c>
      <c r="K122" s="28">
        <f>IF(NOT(ISNUMBER($O122)),"",IF(ISNUMBER(INDEX('通知一覧'!$F$5:$F$204,$O122)),INDEX('通知一覧'!$F$5:$F$204,$O122),""))</f>
        <v/>
      </c>
      <c r="L122" s="29">
        <f>IF(AND(ISNUMBER($B122),ISNUMBER($K122)),$K122-$B122+1,"")</f>
        <v/>
      </c>
      <c r="M122" s="30">
        <f>IF(OR($L122="",$P122=""),"",IF(INDEX('支払先'!$M$5:$M$104,$P122)="対象外","",IF(AND($L122&gt;60,$K122&gt;=EDATE($B122,2)),"超える","")))</f>
        <v/>
      </c>
      <c r="N122" s="67" t="n"/>
      <c r="O122" s="31">
        <f>IF($A122="","",IFERROR(MATCH($A122,'通知一覧'!$B$5:$B$204,0),"なし"))</f>
        <v/>
      </c>
      <c r="P122" s="31">
        <f>IF(NOT(ISNUMBER($O122)),"",IFERROR(MATCH(INDEX('通知一覧'!$C$5:$C$204,$O122),'支払先'!$B$5:$B$104,0),""))</f>
        <v/>
      </c>
      <c r="Q122" s="31">
        <f>IF(AND($A122&lt;&gt;"",$A122='支払通知書'!$K$2),ROW(),"")</f>
        <v/>
      </c>
    </row>
    <row r="123" ht="18" customHeight="1">
      <c r="A123" s="18" t="n"/>
      <c r="B123" s="24" t="n"/>
      <c r="C123" s="19" t="n"/>
      <c r="D123" s="25" t="n"/>
      <c r="E123" s="18" t="n"/>
      <c r="F123" s="25" t="n"/>
      <c r="G123" s="18" t="n"/>
      <c r="H123" s="18" t="n"/>
      <c r="I123" s="26">
        <f>IF(OR($A123="",$F123=""),"",ROUND(IF($D123="",1,$D123)*$F123,0))</f>
        <v/>
      </c>
      <c r="J123" s="27">
        <f>IF($A123="","",IF($O123="なし","※通知一覧にない通知No",IF($P123="","",INDEX('支払先'!$C$5:$C$104,$P123)&amp;"")))</f>
        <v/>
      </c>
      <c r="K123" s="28">
        <f>IF(NOT(ISNUMBER($O123)),"",IF(ISNUMBER(INDEX('通知一覧'!$F$5:$F$204,$O123)),INDEX('通知一覧'!$F$5:$F$204,$O123),""))</f>
        <v/>
      </c>
      <c r="L123" s="29">
        <f>IF(AND(ISNUMBER($B123),ISNUMBER($K123)),$K123-$B123+1,"")</f>
        <v/>
      </c>
      <c r="M123" s="30">
        <f>IF(OR($L123="",$P123=""),"",IF(INDEX('支払先'!$M$5:$M$104,$P123)="対象外","",IF(AND($L123&gt;60,$K123&gt;=EDATE($B123,2)),"超える","")))</f>
        <v/>
      </c>
      <c r="N123" s="67" t="n"/>
      <c r="O123" s="31">
        <f>IF($A123="","",IFERROR(MATCH($A123,'通知一覧'!$B$5:$B$204,0),"なし"))</f>
        <v/>
      </c>
      <c r="P123" s="31">
        <f>IF(NOT(ISNUMBER($O123)),"",IFERROR(MATCH(INDEX('通知一覧'!$C$5:$C$204,$O123),'支払先'!$B$5:$B$104,0),""))</f>
        <v/>
      </c>
      <c r="Q123" s="31">
        <f>IF(AND($A123&lt;&gt;"",$A123='支払通知書'!$K$2),ROW(),"")</f>
        <v/>
      </c>
    </row>
    <row r="124" ht="18" customHeight="1">
      <c r="A124" s="18" t="n"/>
      <c r="B124" s="24" t="n"/>
      <c r="C124" s="19" t="n"/>
      <c r="D124" s="25" t="n"/>
      <c r="E124" s="18" t="n"/>
      <c r="F124" s="25" t="n"/>
      <c r="G124" s="18" t="n"/>
      <c r="H124" s="18" t="n"/>
      <c r="I124" s="26">
        <f>IF(OR($A124="",$F124=""),"",ROUND(IF($D124="",1,$D124)*$F124,0))</f>
        <v/>
      </c>
      <c r="J124" s="27">
        <f>IF($A124="","",IF($O124="なし","※通知一覧にない通知No",IF($P124="","",INDEX('支払先'!$C$5:$C$104,$P124)&amp;"")))</f>
        <v/>
      </c>
      <c r="K124" s="28">
        <f>IF(NOT(ISNUMBER($O124)),"",IF(ISNUMBER(INDEX('通知一覧'!$F$5:$F$204,$O124)),INDEX('通知一覧'!$F$5:$F$204,$O124),""))</f>
        <v/>
      </c>
      <c r="L124" s="29">
        <f>IF(AND(ISNUMBER($B124),ISNUMBER($K124)),$K124-$B124+1,"")</f>
        <v/>
      </c>
      <c r="M124" s="30">
        <f>IF(OR($L124="",$P124=""),"",IF(INDEX('支払先'!$M$5:$M$104,$P124)="対象外","",IF(AND($L124&gt;60,$K124&gt;=EDATE($B124,2)),"超える","")))</f>
        <v/>
      </c>
      <c r="N124" s="67" t="n"/>
      <c r="O124" s="31">
        <f>IF($A124="","",IFERROR(MATCH($A124,'通知一覧'!$B$5:$B$204,0),"なし"))</f>
        <v/>
      </c>
      <c r="P124" s="31">
        <f>IF(NOT(ISNUMBER($O124)),"",IFERROR(MATCH(INDEX('通知一覧'!$C$5:$C$204,$O124),'支払先'!$B$5:$B$104,0),""))</f>
        <v/>
      </c>
      <c r="Q124" s="31">
        <f>IF(AND($A124&lt;&gt;"",$A124='支払通知書'!$K$2),ROW(),"")</f>
        <v/>
      </c>
    </row>
    <row r="125" ht="18" customHeight="1">
      <c r="A125" s="18" t="n"/>
      <c r="B125" s="24" t="n"/>
      <c r="C125" s="19" t="n"/>
      <c r="D125" s="25" t="n"/>
      <c r="E125" s="18" t="n"/>
      <c r="F125" s="25" t="n"/>
      <c r="G125" s="18" t="n"/>
      <c r="H125" s="18" t="n"/>
      <c r="I125" s="26">
        <f>IF(OR($A125="",$F125=""),"",ROUND(IF($D125="",1,$D125)*$F125,0))</f>
        <v/>
      </c>
      <c r="J125" s="27">
        <f>IF($A125="","",IF($O125="なし","※通知一覧にない通知No",IF($P125="","",INDEX('支払先'!$C$5:$C$104,$P125)&amp;"")))</f>
        <v/>
      </c>
      <c r="K125" s="28">
        <f>IF(NOT(ISNUMBER($O125)),"",IF(ISNUMBER(INDEX('通知一覧'!$F$5:$F$204,$O125)),INDEX('通知一覧'!$F$5:$F$204,$O125),""))</f>
        <v/>
      </c>
      <c r="L125" s="29">
        <f>IF(AND(ISNUMBER($B125),ISNUMBER($K125)),$K125-$B125+1,"")</f>
        <v/>
      </c>
      <c r="M125" s="30">
        <f>IF(OR($L125="",$P125=""),"",IF(INDEX('支払先'!$M$5:$M$104,$P125)="対象外","",IF(AND($L125&gt;60,$K125&gt;=EDATE($B125,2)),"超える","")))</f>
        <v/>
      </c>
      <c r="N125" s="67" t="n"/>
      <c r="O125" s="31">
        <f>IF($A125="","",IFERROR(MATCH($A125,'通知一覧'!$B$5:$B$204,0),"なし"))</f>
        <v/>
      </c>
      <c r="P125" s="31">
        <f>IF(NOT(ISNUMBER($O125)),"",IFERROR(MATCH(INDEX('通知一覧'!$C$5:$C$204,$O125),'支払先'!$B$5:$B$104,0),""))</f>
        <v/>
      </c>
      <c r="Q125" s="31">
        <f>IF(AND($A125&lt;&gt;"",$A125='支払通知書'!$K$2),ROW(),"")</f>
        <v/>
      </c>
    </row>
    <row r="126" ht="18" customHeight="1">
      <c r="A126" s="18" t="n"/>
      <c r="B126" s="24" t="n"/>
      <c r="C126" s="19" t="n"/>
      <c r="D126" s="25" t="n"/>
      <c r="E126" s="18" t="n"/>
      <c r="F126" s="25" t="n"/>
      <c r="G126" s="18" t="n"/>
      <c r="H126" s="18" t="n"/>
      <c r="I126" s="26">
        <f>IF(OR($A126="",$F126=""),"",ROUND(IF($D126="",1,$D126)*$F126,0))</f>
        <v/>
      </c>
      <c r="J126" s="27">
        <f>IF($A126="","",IF($O126="なし","※通知一覧にない通知No",IF($P126="","",INDEX('支払先'!$C$5:$C$104,$P126)&amp;"")))</f>
        <v/>
      </c>
      <c r="K126" s="28">
        <f>IF(NOT(ISNUMBER($O126)),"",IF(ISNUMBER(INDEX('通知一覧'!$F$5:$F$204,$O126)),INDEX('通知一覧'!$F$5:$F$204,$O126),""))</f>
        <v/>
      </c>
      <c r="L126" s="29">
        <f>IF(AND(ISNUMBER($B126),ISNUMBER($K126)),$K126-$B126+1,"")</f>
        <v/>
      </c>
      <c r="M126" s="30">
        <f>IF(OR($L126="",$P126=""),"",IF(INDEX('支払先'!$M$5:$M$104,$P126)="対象外","",IF(AND($L126&gt;60,$K126&gt;=EDATE($B126,2)),"超える","")))</f>
        <v/>
      </c>
      <c r="N126" s="67" t="n"/>
      <c r="O126" s="31">
        <f>IF($A126="","",IFERROR(MATCH($A126,'通知一覧'!$B$5:$B$204,0),"なし"))</f>
        <v/>
      </c>
      <c r="P126" s="31">
        <f>IF(NOT(ISNUMBER($O126)),"",IFERROR(MATCH(INDEX('通知一覧'!$C$5:$C$204,$O126),'支払先'!$B$5:$B$104,0),""))</f>
        <v/>
      </c>
      <c r="Q126" s="31">
        <f>IF(AND($A126&lt;&gt;"",$A126='支払通知書'!$K$2),ROW(),"")</f>
        <v/>
      </c>
    </row>
    <row r="127" ht="18" customHeight="1">
      <c r="A127" s="18" t="n"/>
      <c r="B127" s="24" t="n"/>
      <c r="C127" s="19" t="n"/>
      <c r="D127" s="25" t="n"/>
      <c r="E127" s="18" t="n"/>
      <c r="F127" s="25" t="n"/>
      <c r="G127" s="18" t="n"/>
      <c r="H127" s="18" t="n"/>
      <c r="I127" s="26">
        <f>IF(OR($A127="",$F127=""),"",ROUND(IF($D127="",1,$D127)*$F127,0))</f>
        <v/>
      </c>
      <c r="J127" s="27">
        <f>IF($A127="","",IF($O127="なし","※通知一覧にない通知No",IF($P127="","",INDEX('支払先'!$C$5:$C$104,$P127)&amp;"")))</f>
        <v/>
      </c>
      <c r="K127" s="28">
        <f>IF(NOT(ISNUMBER($O127)),"",IF(ISNUMBER(INDEX('通知一覧'!$F$5:$F$204,$O127)),INDEX('通知一覧'!$F$5:$F$204,$O127),""))</f>
        <v/>
      </c>
      <c r="L127" s="29">
        <f>IF(AND(ISNUMBER($B127),ISNUMBER($K127)),$K127-$B127+1,"")</f>
        <v/>
      </c>
      <c r="M127" s="30">
        <f>IF(OR($L127="",$P127=""),"",IF(INDEX('支払先'!$M$5:$M$104,$P127)="対象外","",IF(AND($L127&gt;60,$K127&gt;=EDATE($B127,2)),"超える","")))</f>
        <v/>
      </c>
      <c r="N127" s="67" t="n"/>
      <c r="O127" s="31">
        <f>IF($A127="","",IFERROR(MATCH($A127,'通知一覧'!$B$5:$B$204,0),"なし"))</f>
        <v/>
      </c>
      <c r="P127" s="31">
        <f>IF(NOT(ISNUMBER($O127)),"",IFERROR(MATCH(INDEX('通知一覧'!$C$5:$C$204,$O127),'支払先'!$B$5:$B$104,0),""))</f>
        <v/>
      </c>
      <c r="Q127" s="31">
        <f>IF(AND($A127&lt;&gt;"",$A127='支払通知書'!$K$2),ROW(),"")</f>
        <v/>
      </c>
    </row>
    <row r="128" ht="18" customHeight="1">
      <c r="A128" s="18" t="n"/>
      <c r="B128" s="24" t="n"/>
      <c r="C128" s="19" t="n"/>
      <c r="D128" s="25" t="n"/>
      <c r="E128" s="18" t="n"/>
      <c r="F128" s="25" t="n"/>
      <c r="G128" s="18" t="n"/>
      <c r="H128" s="18" t="n"/>
      <c r="I128" s="26">
        <f>IF(OR($A128="",$F128=""),"",ROUND(IF($D128="",1,$D128)*$F128,0))</f>
        <v/>
      </c>
      <c r="J128" s="27">
        <f>IF($A128="","",IF($O128="なし","※通知一覧にない通知No",IF($P128="","",INDEX('支払先'!$C$5:$C$104,$P128)&amp;"")))</f>
        <v/>
      </c>
      <c r="K128" s="28">
        <f>IF(NOT(ISNUMBER($O128)),"",IF(ISNUMBER(INDEX('通知一覧'!$F$5:$F$204,$O128)),INDEX('通知一覧'!$F$5:$F$204,$O128),""))</f>
        <v/>
      </c>
      <c r="L128" s="29">
        <f>IF(AND(ISNUMBER($B128),ISNUMBER($K128)),$K128-$B128+1,"")</f>
        <v/>
      </c>
      <c r="M128" s="30">
        <f>IF(OR($L128="",$P128=""),"",IF(INDEX('支払先'!$M$5:$M$104,$P128)="対象外","",IF(AND($L128&gt;60,$K128&gt;=EDATE($B128,2)),"超える","")))</f>
        <v/>
      </c>
      <c r="N128" s="67" t="n"/>
      <c r="O128" s="31">
        <f>IF($A128="","",IFERROR(MATCH($A128,'通知一覧'!$B$5:$B$204,0),"なし"))</f>
        <v/>
      </c>
      <c r="P128" s="31">
        <f>IF(NOT(ISNUMBER($O128)),"",IFERROR(MATCH(INDEX('通知一覧'!$C$5:$C$204,$O128),'支払先'!$B$5:$B$104,0),""))</f>
        <v/>
      </c>
      <c r="Q128" s="31">
        <f>IF(AND($A128&lt;&gt;"",$A128='支払通知書'!$K$2),ROW(),"")</f>
        <v/>
      </c>
    </row>
    <row r="129" ht="18" customHeight="1">
      <c r="A129" s="18" t="n"/>
      <c r="B129" s="24" t="n"/>
      <c r="C129" s="19" t="n"/>
      <c r="D129" s="25" t="n"/>
      <c r="E129" s="18" t="n"/>
      <c r="F129" s="25" t="n"/>
      <c r="G129" s="18" t="n"/>
      <c r="H129" s="18" t="n"/>
      <c r="I129" s="26">
        <f>IF(OR($A129="",$F129=""),"",ROUND(IF($D129="",1,$D129)*$F129,0))</f>
        <v/>
      </c>
      <c r="J129" s="27">
        <f>IF($A129="","",IF($O129="なし","※通知一覧にない通知No",IF($P129="","",INDEX('支払先'!$C$5:$C$104,$P129)&amp;"")))</f>
        <v/>
      </c>
      <c r="K129" s="28">
        <f>IF(NOT(ISNUMBER($O129)),"",IF(ISNUMBER(INDEX('通知一覧'!$F$5:$F$204,$O129)),INDEX('通知一覧'!$F$5:$F$204,$O129),""))</f>
        <v/>
      </c>
      <c r="L129" s="29">
        <f>IF(AND(ISNUMBER($B129),ISNUMBER($K129)),$K129-$B129+1,"")</f>
        <v/>
      </c>
      <c r="M129" s="30">
        <f>IF(OR($L129="",$P129=""),"",IF(INDEX('支払先'!$M$5:$M$104,$P129)="対象外","",IF(AND($L129&gt;60,$K129&gt;=EDATE($B129,2)),"超える","")))</f>
        <v/>
      </c>
      <c r="N129" s="67" t="n"/>
      <c r="O129" s="31">
        <f>IF($A129="","",IFERROR(MATCH($A129,'通知一覧'!$B$5:$B$204,0),"なし"))</f>
        <v/>
      </c>
      <c r="P129" s="31">
        <f>IF(NOT(ISNUMBER($O129)),"",IFERROR(MATCH(INDEX('通知一覧'!$C$5:$C$204,$O129),'支払先'!$B$5:$B$104,0),""))</f>
        <v/>
      </c>
      <c r="Q129" s="31">
        <f>IF(AND($A129&lt;&gt;"",$A129='支払通知書'!$K$2),ROW(),"")</f>
        <v/>
      </c>
    </row>
    <row r="130" ht="18" customHeight="1">
      <c r="A130" s="18" t="n"/>
      <c r="B130" s="24" t="n"/>
      <c r="C130" s="19" t="n"/>
      <c r="D130" s="25" t="n"/>
      <c r="E130" s="18" t="n"/>
      <c r="F130" s="25" t="n"/>
      <c r="G130" s="18" t="n"/>
      <c r="H130" s="18" t="n"/>
      <c r="I130" s="26">
        <f>IF(OR($A130="",$F130=""),"",ROUND(IF($D130="",1,$D130)*$F130,0))</f>
        <v/>
      </c>
      <c r="J130" s="27">
        <f>IF($A130="","",IF($O130="なし","※通知一覧にない通知No",IF($P130="","",INDEX('支払先'!$C$5:$C$104,$P130)&amp;"")))</f>
        <v/>
      </c>
      <c r="K130" s="28">
        <f>IF(NOT(ISNUMBER($O130)),"",IF(ISNUMBER(INDEX('通知一覧'!$F$5:$F$204,$O130)),INDEX('通知一覧'!$F$5:$F$204,$O130),""))</f>
        <v/>
      </c>
      <c r="L130" s="29">
        <f>IF(AND(ISNUMBER($B130),ISNUMBER($K130)),$K130-$B130+1,"")</f>
        <v/>
      </c>
      <c r="M130" s="30">
        <f>IF(OR($L130="",$P130=""),"",IF(INDEX('支払先'!$M$5:$M$104,$P130)="対象外","",IF(AND($L130&gt;60,$K130&gt;=EDATE($B130,2)),"超える","")))</f>
        <v/>
      </c>
      <c r="N130" s="67" t="n"/>
      <c r="O130" s="31">
        <f>IF($A130="","",IFERROR(MATCH($A130,'通知一覧'!$B$5:$B$204,0),"なし"))</f>
        <v/>
      </c>
      <c r="P130" s="31">
        <f>IF(NOT(ISNUMBER($O130)),"",IFERROR(MATCH(INDEX('通知一覧'!$C$5:$C$204,$O130),'支払先'!$B$5:$B$104,0),""))</f>
        <v/>
      </c>
      <c r="Q130" s="31">
        <f>IF(AND($A130&lt;&gt;"",$A130='支払通知書'!$K$2),ROW(),"")</f>
        <v/>
      </c>
    </row>
    <row r="131" ht="18" customHeight="1">
      <c r="A131" s="18" t="n"/>
      <c r="B131" s="24" t="n"/>
      <c r="C131" s="19" t="n"/>
      <c r="D131" s="25" t="n"/>
      <c r="E131" s="18" t="n"/>
      <c r="F131" s="25" t="n"/>
      <c r="G131" s="18" t="n"/>
      <c r="H131" s="18" t="n"/>
      <c r="I131" s="26">
        <f>IF(OR($A131="",$F131=""),"",ROUND(IF($D131="",1,$D131)*$F131,0))</f>
        <v/>
      </c>
      <c r="J131" s="27">
        <f>IF($A131="","",IF($O131="なし","※通知一覧にない通知No",IF($P131="","",INDEX('支払先'!$C$5:$C$104,$P131)&amp;"")))</f>
        <v/>
      </c>
      <c r="K131" s="28">
        <f>IF(NOT(ISNUMBER($O131)),"",IF(ISNUMBER(INDEX('通知一覧'!$F$5:$F$204,$O131)),INDEX('通知一覧'!$F$5:$F$204,$O131),""))</f>
        <v/>
      </c>
      <c r="L131" s="29">
        <f>IF(AND(ISNUMBER($B131),ISNUMBER($K131)),$K131-$B131+1,"")</f>
        <v/>
      </c>
      <c r="M131" s="30">
        <f>IF(OR($L131="",$P131=""),"",IF(INDEX('支払先'!$M$5:$M$104,$P131)="対象外","",IF(AND($L131&gt;60,$K131&gt;=EDATE($B131,2)),"超える","")))</f>
        <v/>
      </c>
      <c r="N131" s="67" t="n"/>
      <c r="O131" s="31">
        <f>IF($A131="","",IFERROR(MATCH($A131,'通知一覧'!$B$5:$B$204,0),"なし"))</f>
        <v/>
      </c>
      <c r="P131" s="31">
        <f>IF(NOT(ISNUMBER($O131)),"",IFERROR(MATCH(INDEX('通知一覧'!$C$5:$C$204,$O131),'支払先'!$B$5:$B$104,0),""))</f>
        <v/>
      </c>
      <c r="Q131" s="31">
        <f>IF(AND($A131&lt;&gt;"",$A131='支払通知書'!$K$2),ROW(),"")</f>
        <v/>
      </c>
    </row>
    <row r="132" ht="18" customHeight="1">
      <c r="A132" s="18" t="n"/>
      <c r="B132" s="24" t="n"/>
      <c r="C132" s="19" t="n"/>
      <c r="D132" s="25" t="n"/>
      <c r="E132" s="18" t="n"/>
      <c r="F132" s="25" t="n"/>
      <c r="G132" s="18" t="n"/>
      <c r="H132" s="18" t="n"/>
      <c r="I132" s="26">
        <f>IF(OR($A132="",$F132=""),"",ROUND(IF($D132="",1,$D132)*$F132,0))</f>
        <v/>
      </c>
      <c r="J132" s="27">
        <f>IF($A132="","",IF($O132="なし","※通知一覧にない通知No",IF($P132="","",INDEX('支払先'!$C$5:$C$104,$P132)&amp;"")))</f>
        <v/>
      </c>
      <c r="K132" s="28">
        <f>IF(NOT(ISNUMBER($O132)),"",IF(ISNUMBER(INDEX('通知一覧'!$F$5:$F$204,$O132)),INDEX('通知一覧'!$F$5:$F$204,$O132),""))</f>
        <v/>
      </c>
      <c r="L132" s="29">
        <f>IF(AND(ISNUMBER($B132),ISNUMBER($K132)),$K132-$B132+1,"")</f>
        <v/>
      </c>
      <c r="M132" s="30">
        <f>IF(OR($L132="",$P132=""),"",IF(INDEX('支払先'!$M$5:$M$104,$P132)="対象外","",IF(AND($L132&gt;60,$K132&gt;=EDATE($B132,2)),"超える","")))</f>
        <v/>
      </c>
      <c r="N132" s="67" t="n"/>
      <c r="O132" s="31">
        <f>IF($A132="","",IFERROR(MATCH($A132,'通知一覧'!$B$5:$B$204,0),"なし"))</f>
        <v/>
      </c>
      <c r="P132" s="31">
        <f>IF(NOT(ISNUMBER($O132)),"",IFERROR(MATCH(INDEX('通知一覧'!$C$5:$C$204,$O132),'支払先'!$B$5:$B$104,0),""))</f>
        <v/>
      </c>
      <c r="Q132" s="31">
        <f>IF(AND($A132&lt;&gt;"",$A132='支払通知書'!$K$2),ROW(),"")</f>
        <v/>
      </c>
    </row>
    <row r="133" ht="18" customHeight="1">
      <c r="A133" s="18" t="n"/>
      <c r="B133" s="24" t="n"/>
      <c r="C133" s="19" t="n"/>
      <c r="D133" s="25" t="n"/>
      <c r="E133" s="18" t="n"/>
      <c r="F133" s="25" t="n"/>
      <c r="G133" s="18" t="n"/>
      <c r="H133" s="18" t="n"/>
      <c r="I133" s="26">
        <f>IF(OR($A133="",$F133=""),"",ROUND(IF($D133="",1,$D133)*$F133,0))</f>
        <v/>
      </c>
      <c r="J133" s="27">
        <f>IF($A133="","",IF($O133="なし","※通知一覧にない通知No",IF($P133="","",INDEX('支払先'!$C$5:$C$104,$P133)&amp;"")))</f>
        <v/>
      </c>
      <c r="K133" s="28">
        <f>IF(NOT(ISNUMBER($O133)),"",IF(ISNUMBER(INDEX('通知一覧'!$F$5:$F$204,$O133)),INDEX('通知一覧'!$F$5:$F$204,$O133),""))</f>
        <v/>
      </c>
      <c r="L133" s="29">
        <f>IF(AND(ISNUMBER($B133),ISNUMBER($K133)),$K133-$B133+1,"")</f>
        <v/>
      </c>
      <c r="M133" s="30">
        <f>IF(OR($L133="",$P133=""),"",IF(INDEX('支払先'!$M$5:$M$104,$P133)="対象外","",IF(AND($L133&gt;60,$K133&gt;=EDATE($B133,2)),"超える","")))</f>
        <v/>
      </c>
      <c r="N133" s="67" t="n"/>
      <c r="O133" s="31">
        <f>IF($A133="","",IFERROR(MATCH($A133,'通知一覧'!$B$5:$B$204,0),"なし"))</f>
        <v/>
      </c>
      <c r="P133" s="31">
        <f>IF(NOT(ISNUMBER($O133)),"",IFERROR(MATCH(INDEX('通知一覧'!$C$5:$C$204,$O133),'支払先'!$B$5:$B$104,0),""))</f>
        <v/>
      </c>
      <c r="Q133" s="31">
        <f>IF(AND($A133&lt;&gt;"",$A133='支払通知書'!$K$2),ROW(),"")</f>
        <v/>
      </c>
    </row>
    <row r="134" ht="18" customHeight="1">
      <c r="A134" s="18" t="n"/>
      <c r="B134" s="24" t="n"/>
      <c r="C134" s="19" t="n"/>
      <c r="D134" s="25" t="n"/>
      <c r="E134" s="18" t="n"/>
      <c r="F134" s="25" t="n"/>
      <c r="G134" s="18" t="n"/>
      <c r="H134" s="18" t="n"/>
      <c r="I134" s="26">
        <f>IF(OR($A134="",$F134=""),"",ROUND(IF($D134="",1,$D134)*$F134,0))</f>
        <v/>
      </c>
      <c r="J134" s="27">
        <f>IF($A134="","",IF($O134="なし","※通知一覧にない通知No",IF($P134="","",INDEX('支払先'!$C$5:$C$104,$P134)&amp;"")))</f>
        <v/>
      </c>
      <c r="K134" s="28">
        <f>IF(NOT(ISNUMBER($O134)),"",IF(ISNUMBER(INDEX('通知一覧'!$F$5:$F$204,$O134)),INDEX('通知一覧'!$F$5:$F$204,$O134),""))</f>
        <v/>
      </c>
      <c r="L134" s="29">
        <f>IF(AND(ISNUMBER($B134),ISNUMBER($K134)),$K134-$B134+1,"")</f>
        <v/>
      </c>
      <c r="M134" s="30">
        <f>IF(OR($L134="",$P134=""),"",IF(INDEX('支払先'!$M$5:$M$104,$P134)="対象外","",IF(AND($L134&gt;60,$K134&gt;=EDATE($B134,2)),"超える","")))</f>
        <v/>
      </c>
      <c r="N134" s="67" t="n"/>
      <c r="O134" s="31">
        <f>IF($A134="","",IFERROR(MATCH($A134,'通知一覧'!$B$5:$B$204,0),"なし"))</f>
        <v/>
      </c>
      <c r="P134" s="31">
        <f>IF(NOT(ISNUMBER($O134)),"",IFERROR(MATCH(INDEX('通知一覧'!$C$5:$C$204,$O134),'支払先'!$B$5:$B$104,0),""))</f>
        <v/>
      </c>
      <c r="Q134" s="31">
        <f>IF(AND($A134&lt;&gt;"",$A134='支払通知書'!$K$2),ROW(),"")</f>
        <v/>
      </c>
    </row>
    <row r="135" ht="18" customHeight="1">
      <c r="A135" s="18" t="n"/>
      <c r="B135" s="24" t="n"/>
      <c r="C135" s="19" t="n"/>
      <c r="D135" s="25" t="n"/>
      <c r="E135" s="18" t="n"/>
      <c r="F135" s="25" t="n"/>
      <c r="G135" s="18" t="n"/>
      <c r="H135" s="18" t="n"/>
      <c r="I135" s="26">
        <f>IF(OR($A135="",$F135=""),"",ROUND(IF($D135="",1,$D135)*$F135,0))</f>
        <v/>
      </c>
      <c r="J135" s="27">
        <f>IF($A135="","",IF($O135="なし","※通知一覧にない通知No",IF($P135="","",INDEX('支払先'!$C$5:$C$104,$P135)&amp;"")))</f>
        <v/>
      </c>
      <c r="K135" s="28">
        <f>IF(NOT(ISNUMBER($O135)),"",IF(ISNUMBER(INDEX('通知一覧'!$F$5:$F$204,$O135)),INDEX('通知一覧'!$F$5:$F$204,$O135),""))</f>
        <v/>
      </c>
      <c r="L135" s="29">
        <f>IF(AND(ISNUMBER($B135),ISNUMBER($K135)),$K135-$B135+1,"")</f>
        <v/>
      </c>
      <c r="M135" s="30">
        <f>IF(OR($L135="",$P135=""),"",IF(INDEX('支払先'!$M$5:$M$104,$P135)="対象外","",IF(AND($L135&gt;60,$K135&gt;=EDATE($B135,2)),"超える","")))</f>
        <v/>
      </c>
      <c r="N135" s="67" t="n"/>
      <c r="O135" s="31">
        <f>IF($A135="","",IFERROR(MATCH($A135,'通知一覧'!$B$5:$B$204,0),"なし"))</f>
        <v/>
      </c>
      <c r="P135" s="31">
        <f>IF(NOT(ISNUMBER($O135)),"",IFERROR(MATCH(INDEX('通知一覧'!$C$5:$C$204,$O135),'支払先'!$B$5:$B$104,0),""))</f>
        <v/>
      </c>
      <c r="Q135" s="31">
        <f>IF(AND($A135&lt;&gt;"",$A135='支払通知書'!$K$2),ROW(),"")</f>
        <v/>
      </c>
    </row>
    <row r="136" ht="18" customHeight="1">
      <c r="A136" s="18" t="n"/>
      <c r="B136" s="24" t="n"/>
      <c r="C136" s="19" t="n"/>
      <c r="D136" s="25" t="n"/>
      <c r="E136" s="18" t="n"/>
      <c r="F136" s="25" t="n"/>
      <c r="G136" s="18" t="n"/>
      <c r="H136" s="18" t="n"/>
      <c r="I136" s="26">
        <f>IF(OR($A136="",$F136=""),"",ROUND(IF($D136="",1,$D136)*$F136,0))</f>
        <v/>
      </c>
      <c r="J136" s="27">
        <f>IF($A136="","",IF($O136="なし","※通知一覧にない通知No",IF($P136="","",INDEX('支払先'!$C$5:$C$104,$P136)&amp;"")))</f>
        <v/>
      </c>
      <c r="K136" s="28">
        <f>IF(NOT(ISNUMBER($O136)),"",IF(ISNUMBER(INDEX('通知一覧'!$F$5:$F$204,$O136)),INDEX('通知一覧'!$F$5:$F$204,$O136),""))</f>
        <v/>
      </c>
      <c r="L136" s="29">
        <f>IF(AND(ISNUMBER($B136),ISNUMBER($K136)),$K136-$B136+1,"")</f>
        <v/>
      </c>
      <c r="M136" s="30">
        <f>IF(OR($L136="",$P136=""),"",IF(INDEX('支払先'!$M$5:$M$104,$P136)="対象外","",IF(AND($L136&gt;60,$K136&gt;=EDATE($B136,2)),"超える","")))</f>
        <v/>
      </c>
      <c r="N136" s="67" t="n"/>
      <c r="O136" s="31">
        <f>IF($A136="","",IFERROR(MATCH($A136,'通知一覧'!$B$5:$B$204,0),"なし"))</f>
        <v/>
      </c>
      <c r="P136" s="31">
        <f>IF(NOT(ISNUMBER($O136)),"",IFERROR(MATCH(INDEX('通知一覧'!$C$5:$C$204,$O136),'支払先'!$B$5:$B$104,0),""))</f>
        <v/>
      </c>
      <c r="Q136" s="31">
        <f>IF(AND($A136&lt;&gt;"",$A136='支払通知書'!$K$2),ROW(),"")</f>
        <v/>
      </c>
    </row>
    <row r="137" ht="18" customHeight="1">
      <c r="A137" s="18" t="n"/>
      <c r="B137" s="24" t="n"/>
      <c r="C137" s="19" t="n"/>
      <c r="D137" s="25" t="n"/>
      <c r="E137" s="18" t="n"/>
      <c r="F137" s="25" t="n"/>
      <c r="G137" s="18" t="n"/>
      <c r="H137" s="18" t="n"/>
      <c r="I137" s="26">
        <f>IF(OR($A137="",$F137=""),"",ROUND(IF($D137="",1,$D137)*$F137,0))</f>
        <v/>
      </c>
      <c r="J137" s="27">
        <f>IF($A137="","",IF($O137="なし","※通知一覧にない通知No",IF($P137="","",INDEX('支払先'!$C$5:$C$104,$P137)&amp;"")))</f>
        <v/>
      </c>
      <c r="K137" s="28">
        <f>IF(NOT(ISNUMBER($O137)),"",IF(ISNUMBER(INDEX('通知一覧'!$F$5:$F$204,$O137)),INDEX('通知一覧'!$F$5:$F$204,$O137),""))</f>
        <v/>
      </c>
      <c r="L137" s="29">
        <f>IF(AND(ISNUMBER($B137),ISNUMBER($K137)),$K137-$B137+1,"")</f>
        <v/>
      </c>
      <c r="M137" s="30">
        <f>IF(OR($L137="",$P137=""),"",IF(INDEX('支払先'!$M$5:$M$104,$P137)="対象外","",IF(AND($L137&gt;60,$K137&gt;=EDATE($B137,2)),"超える","")))</f>
        <v/>
      </c>
      <c r="N137" s="67" t="n"/>
      <c r="O137" s="31">
        <f>IF($A137="","",IFERROR(MATCH($A137,'通知一覧'!$B$5:$B$204,0),"なし"))</f>
        <v/>
      </c>
      <c r="P137" s="31">
        <f>IF(NOT(ISNUMBER($O137)),"",IFERROR(MATCH(INDEX('通知一覧'!$C$5:$C$204,$O137),'支払先'!$B$5:$B$104,0),""))</f>
        <v/>
      </c>
      <c r="Q137" s="31">
        <f>IF(AND($A137&lt;&gt;"",$A137='支払通知書'!$K$2),ROW(),"")</f>
        <v/>
      </c>
    </row>
    <row r="138" ht="18" customHeight="1">
      <c r="A138" s="18" t="n"/>
      <c r="B138" s="24" t="n"/>
      <c r="C138" s="19" t="n"/>
      <c r="D138" s="25" t="n"/>
      <c r="E138" s="18" t="n"/>
      <c r="F138" s="25" t="n"/>
      <c r="G138" s="18" t="n"/>
      <c r="H138" s="18" t="n"/>
      <c r="I138" s="26">
        <f>IF(OR($A138="",$F138=""),"",ROUND(IF($D138="",1,$D138)*$F138,0))</f>
        <v/>
      </c>
      <c r="J138" s="27">
        <f>IF($A138="","",IF($O138="なし","※通知一覧にない通知No",IF($P138="","",INDEX('支払先'!$C$5:$C$104,$P138)&amp;"")))</f>
        <v/>
      </c>
      <c r="K138" s="28">
        <f>IF(NOT(ISNUMBER($O138)),"",IF(ISNUMBER(INDEX('通知一覧'!$F$5:$F$204,$O138)),INDEX('通知一覧'!$F$5:$F$204,$O138),""))</f>
        <v/>
      </c>
      <c r="L138" s="29">
        <f>IF(AND(ISNUMBER($B138),ISNUMBER($K138)),$K138-$B138+1,"")</f>
        <v/>
      </c>
      <c r="M138" s="30">
        <f>IF(OR($L138="",$P138=""),"",IF(INDEX('支払先'!$M$5:$M$104,$P138)="対象外","",IF(AND($L138&gt;60,$K138&gt;=EDATE($B138,2)),"超える","")))</f>
        <v/>
      </c>
      <c r="N138" s="67" t="n"/>
      <c r="O138" s="31">
        <f>IF($A138="","",IFERROR(MATCH($A138,'通知一覧'!$B$5:$B$204,0),"なし"))</f>
        <v/>
      </c>
      <c r="P138" s="31">
        <f>IF(NOT(ISNUMBER($O138)),"",IFERROR(MATCH(INDEX('通知一覧'!$C$5:$C$204,$O138),'支払先'!$B$5:$B$104,0),""))</f>
        <v/>
      </c>
      <c r="Q138" s="31">
        <f>IF(AND($A138&lt;&gt;"",$A138='支払通知書'!$K$2),ROW(),"")</f>
        <v/>
      </c>
    </row>
    <row r="139" ht="18" customHeight="1">
      <c r="A139" s="18" t="n"/>
      <c r="B139" s="24" t="n"/>
      <c r="C139" s="19" t="n"/>
      <c r="D139" s="25" t="n"/>
      <c r="E139" s="18" t="n"/>
      <c r="F139" s="25" t="n"/>
      <c r="G139" s="18" t="n"/>
      <c r="H139" s="18" t="n"/>
      <c r="I139" s="26">
        <f>IF(OR($A139="",$F139=""),"",ROUND(IF($D139="",1,$D139)*$F139,0))</f>
        <v/>
      </c>
      <c r="J139" s="27">
        <f>IF($A139="","",IF($O139="なし","※通知一覧にない通知No",IF($P139="","",INDEX('支払先'!$C$5:$C$104,$P139)&amp;"")))</f>
        <v/>
      </c>
      <c r="K139" s="28">
        <f>IF(NOT(ISNUMBER($O139)),"",IF(ISNUMBER(INDEX('通知一覧'!$F$5:$F$204,$O139)),INDEX('通知一覧'!$F$5:$F$204,$O139),""))</f>
        <v/>
      </c>
      <c r="L139" s="29">
        <f>IF(AND(ISNUMBER($B139),ISNUMBER($K139)),$K139-$B139+1,"")</f>
        <v/>
      </c>
      <c r="M139" s="30">
        <f>IF(OR($L139="",$P139=""),"",IF(INDEX('支払先'!$M$5:$M$104,$P139)="対象外","",IF(AND($L139&gt;60,$K139&gt;=EDATE($B139,2)),"超える","")))</f>
        <v/>
      </c>
      <c r="N139" s="67" t="n"/>
      <c r="O139" s="31">
        <f>IF($A139="","",IFERROR(MATCH($A139,'通知一覧'!$B$5:$B$204,0),"なし"))</f>
        <v/>
      </c>
      <c r="P139" s="31">
        <f>IF(NOT(ISNUMBER($O139)),"",IFERROR(MATCH(INDEX('通知一覧'!$C$5:$C$204,$O139),'支払先'!$B$5:$B$104,0),""))</f>
        <v/>
      </c>
      <c r="Q139" s="31">
        <f>IF(AND($A139&lt;&gt;"",$A139='支払通知書'!$K$2),ROW(),"")</f>
        <v/>
      </c>
    </row>
    <row r="140" ht="18" customHeight="1">
      <c r="A140" s="18" t="n"/>
      <c r="B140" s="24" t="n"/>
      <c r="C140" s="19" t="n"/>
      <c r="D140" s="25" t="n"/>
      <c r="E140" s="18" t="n"/>
      <c r="F140" s="25" t="n"/>
      <c r="G140" s="18" t="n"/>
      <c r="H140" s="18" t="n"/>
      <c r="I140" s="26">
        <f>IF(OR($A140="",$F140=""),"",ROUND(IF($D140="",1,$D140)*$F140,0))</f>
        <v/>
      </c>
      <c r="J140" s="27">
        <f>IF($A140="","",IF($O140="なし","※通知一覧にない通知No",IF($P140="","",INDEX('支払先'!$C$5:$C$104,$P140)&amp;"")))</f>
        <v/>
      </c>
      <c r="K140" s="28">
        <f>IF(NOT(ISNUMBER($O140)),"",IF(ISNUMBER(INDEX('通知一覧'!$F$5:$F$204,$O140)),INDEX('通知一覧'!$F$5:$F$204,$O140),""))</f>
        <v/>
      </c>
      <c r="L140" s="29">
        <f>IF(AND(ISNUMBER($B140),ISNUMBER($K140)),$K140-$B140+1,"")</f>
        <v/>
      </c>
      <c r="M140" s="30">
        <f>IF(OR($L140="",$P140=""),"",IF(INDEX('支払先'!$M$5:$M$104,$P140)="対象外","",IF(AND($L140&gt;60,$K140&gt;=EDATE($B140,2)),"超える","")))</f>
        <v/>
      </c>
      <c r="N140" s="67" t="n"/>
      <c r="O140" s="31">
        <f>IF($A140="","",IFERROR(MATCH($A140,'通知一覧'!$B$5:$B$204,0),"なし"))</f>
        <v/>
      </c>
      <c r="P140" s="31">
        <f>IF(NOT(ISNUMBER($O140)),"",IFERROR(MATCH(INDEX('通知一覧'!$C$5:$C$204,$O140),'支払先'!$B$5:$B$104,0),""))</f>
        <v/>
      </c>
      <c r="Q140" s="31">
        <f>IF(AND($A140&lt;&gt;"",$A140='支払通知書'!$K$2),ROW(),"")</f>
        <v/>
      </c>
    </row>
    <row r="141" ht="18" customHeight="1">
      <c r="A141" s="18" t="n"/>
      <c r="B141" s="24" t="n"/>
      <c r="C141" s="19" t="n"/>
      <c r="D141" s="25" t="n"/>
      <c r="E141" s="18" t="n"/>
      <c r="F141" s="25" t="n"/>
      <c r="G141" s="18" t="n"/>
      <c r="H141" s="18" t="n"/>
      <c r="I141" s="26">
        <f>IF(OR($A141="",$F141=""),"",ROUND(IF($D141="",1,$D141)*$F141,0))</f>
        <v/>
      </c>
      <c r="J141" s="27">
        <f>IF($A141="","",IF($O141="なし","※通知一覧にない通知No",IF($P141="","",INDEX('支払先'!$C$5:$C$104,$P141)&amp;"")))</f>
        <v/>
      </c>
      <c r="K141" s="28">
        <f>IF(NOT(ISNUMBER($O141)),"",IF(ISNUMBER(INDEX('通知一覧'!$F$5:$F$204,$O141)),INDEX('通知一覧'!$F$5:$F$204,$O141),""))</f>
        <v/>
      </c>
      <c r="L141" s="29">
        <f>IF(AND(ISNUMBER($B141),ISNUMBER($K141)),$K141-$B141+1,"")</f>
        <v/>
      </c>
      <c r="M141" s="30">
        <f>IF(OR($L141="",$P141=""),"",IF(INDEX('支払先'!$M$5:$M$104,$P141)="対象外","",IF(AND($L141&gt;60,$K141&gt;=EDATE($B141,2)),"超える","")))</f>
        <v/>
      </c>
      <c r="N141" s="67" t="n"/>
      <c r="O141" s="31">
        <f>IF($A141="","",IFERROR(MATCH($A141,'通知一覧'!$B$5:$B$204,0),"なし"))</f>
        <v/>
      </c>
      <c r="P141" s="31">
        <f>IF(NOT(ISNUMBER($O141)),"",IFERROR(MATCH(INDEX('通知一覧'!$C$5:$C$204,$O141),'支払先'!$B$5:$B$104,0),""))</f>
        <v/>
      </c>
      <c r="Q141" s="31">
        <f>IF(AND($A141&lt;&gt;"",$A141='支払通知書'!$K$2),ROW(),"")</f>
        <v/>
      </c>
    </row>
    <row r="142" ht="18" customHeight="1">
      <c r="A142" s="18" t="n"/>
      <c r="B142" s="24" t="n"/>
      <c r="C142" s="19" t="n"/>
      <c r="D142" s="25" t="n"/>
      <c r="E142" s="18" t="n"/>
      <c r="F142" s="25" t="n"/>
      <c r="G142" s="18" t="n"/>
      <c r="H142" s="18" t="n"/>
      <c r="I142" s="26">
        <f>IF(OR($A142="",$F142=""),"",ROUND(IF($D142="",1,$D142)*$F142,0))</f>
        <v/>
      </c>
      <c r="J142" s="27">
        <f>IF($A142="","",IF($O142="なし","※通知一覧にない通知No",IF($P142="","",INDEX('支払先'!$C$5:$C$104,$P142)&amp;"")))</f>
        <v/>
      </c>
      <c r="K142" s="28">
        <f>IF(NOT(ISNUMBER($O142)),"",IF(ISNUMBER(INDEX('通知一覧'!$F$5:$F$204,$O142)),INDEX('通知一覧'!$F$5:$F$204,$O142),""))</f>
        <v/>
      </c>
      <c r="L142" s="29">
        <f>IF(AND(ISNUMBER($B142),ISNUMBER($K142)),$K142-$B142+1,"")</f>
        <v/>
      </c>
      <c r="M142" s="30">
        <f>IF(OR($L142="",$P142=""),"",IF(INDEX('支払先'!$M$5:$M$104,$P142)="対象外","",IF(AND($L142&gt;60,$K142&gt;=EDATE($B142,2)),"超える","")))</f>
        <v/>
      </c>
      <c r="N142" s="67" t="n"/>
      <c r="O142" s="31">
        <f>IF($A142="","",IFERROR(MATCH($A142,'通知一覧'!$B$5:$B$204,0),"なし"))</f>
        <v/>
      </c>
      <c r="P142" s="31">
        <f>IF(NOT(ISNUMBER($O142)),"",IFERROR(MATCH(INDEX('通知一覧'!$C$5:$C$204,$O142),'支払先'!$B$5:$B$104,0),""))</f>
        <v/>
      </c>
      <c r="Q142" s="31">
        <f>IF(AND($A142&lt;&gt;"",$A142='支払通知書'!$K$2),ROW(),"")</f>
        <v/>
      </c>
    </row>
    <row r="143" ht="18" customHeight="1">
      <c r="A143" s="18" t="n"/>
      <c r="B143" s="24" t="n"/>
      <c r="C143" s="19" t="n"/>
      <c r="D143" s="25" t="n"/>
      <c r="E143" s="18" t="n"/>
      <c r="F143" s="25" t="n"/>
      <c r="G143" s="18" t="n"/>
      <c r="H143" s="18" t="n"/>
      <c r="I143" s="26">
        <f>IF(OR($A143="",$F143=""),"",ROUND(IF($D143="",1,$D143)*$F143,0))</f>
        <v/>
      </c>
      <c r="J143" s="27">
        <f>IF($A143="","",IF($O143="なし","※通知一覧にない通知No",IF($P143="","",INDEX('支払先'!$C$5:$C$104,$P143)&amp;"")))</f>
        <v/>
      </c>
      <c r="K143" s="28">
        <f>IF(NOT(ISNUMBER($O143)),"",IF(ISNUMBER(INDEX('通知一覧'!$F$5:$F$204,$O143)),INDEX('通知一覧'!$F$5:$F$204,$O143),""))</f>
        <v/>
      </c>
      <c r="L143" s="29">
        <f>IF(AND(ISNUMBER($B143),ISNUMBER($K143)),$K143-$B143+1,"")</f>
        <v/>
      </c>
      <c r="M143" s="30">
        <f>IF(OR($L143="",$P143=""),"",IF(INDEX('支払先'!$M$5:$M$104,$P143)="対象外","",IF(AND($L143&gt;60,$K143&gt;=EDATE($B143,2)),"超える","")))</f>
        <v/>
      </c>
      <c r="N143" s="67" t="n"/>
      <c r="O143" s="31">
        <f>IF($A143="","",IFERROR(MATCH($A143,'通知一覧'!$B$5:$B$204,0),"なし"))</f>
        <v/>
      </c>
      <c r="P143" s="31">
        <f>IF(NOT(ISNUMBER($O143)),"",IFERROR(MATCH(INDEX('通知一覧'!$C$5:$C$204,$O143),'支払先'!$B$5:$B$104,0),""))</f>
        <v/>
      </c>
      <c r="Q143" s="31">
        <f>IF(AND($A143&lt;&gt;"",$A143='支払通知書'!$K$2),ROW(),"")</f>
        <v/>
      </c>
    </row>
    <row r="144" ht="18" customHeight="1">
      <c r="A144" s="18" t="n"/>
      <c r="B144" s="24" t="n"/>
      <c r="C144" s="19" t="n"/>
      <c r="D144" s="25" t="n"/>
      <c r="E144" s="18" t="n"/>
      <c r="F144" s="25" t="n"/>
      <c r="G144" s="18" t="n"/>
      <c r="H144" s="18" t="n"/>
      <c r="I144" s="26">
        <f>IF(OR($A144="",$F144=""),"",ROUND(IF($D144="",1,$D144)*$F144,0))</f>
        <v/>
      </c>
      <c r="J144" s="27">
        <f>IF($A144="","",IF($O144="なし","※通知一覧にない通知No",IF($P144="","",INDEX('支払先'!$C$5:$C$104,$P144)&amp;"")))</f>
        <v/>
      </c>
      <c r="K144" s="28">
        <f>IF(NOT(ISNUMBER($O144)),"",IF(ISNUMBER(INDEX('通知一覧'!$F$5:$F$204,$O144)),INDEX('通知一覧'!$F$5:$F$204,$O144),""))</f>
        <v/>
      </c>
      <c r="L144" s="29">
        <f>IF(AND(ISNUMBER($B144),ISNUMBER($K144)),$K144-$B144+1,"")</f>
        <v/>
      </c>
      <c r="M144" s="30">
        <f>IF(OR($L144="",$P144=""),"",IF(INDEX('支払先'!$M$5:$M$104,$P144)="対象外","",IF(AND($L144&gt;60,$K144&gt;=EDATE($B144,2)),"超える","")))</f>
        <v/>
      </c>
      <c r="N144" s="67" t="n"/>
      <c r="O144" s="31">
        <f>IF($A144="","",IFERROR(MATCH($A144,'通知一覧'!$B$5:$B$204,0),"なし"))</f>
        <v/>
      </c>
      <c r="P144" s="31">
        <f>IF(NOT(ISNUMBER($O144)),"",IFERROR(MATCH(INDEX('通知一覧'!$C$5:$C$204,$O144),'支払先'!$B$5:$B$104,0),""))</f>
        <v/>
      </c>
      <c r="Q144" s="31">
        <f>IF(AND($A144&lt;&gt;"",$A144='支払通知書'!$K$2),ROW(),"")</f>
        <v/>
      </c>
    </row>
    <row r="145" ht="18" customHeight="1">
      <c r="A145" s="18" t="n"/>
      <c r="B145" s="24" t="n"/>
      <c r="C145" s="19" t="n"/>
      <c r="D145" s="25" t="n"/>
      <c r="E145" s="18" t="n"/>
      <c r="F145" s="25" t="n"/>
      <c r="G145" s="18" t="n"/>
      <c r="H145" s="18" t="n"/>
      <c r="I145" s="26">
        <f>IF(OR($A145="",$F145=""),"",ROUND(IF($D145="",1,$D145)*$F145,0))</f>
        <v/>
      </c>
      <c r="J145" s="27">
        <f>IF($A145="","",IF($O145="なし","※通知一覧にない通知No",IF($P145="","",INDEX('支払先'!$C$5:$C$104,$P145)&amp;"")))</f>
        <v/>
      </c>
      <c r="K145" s="28">
        <f>IF(NOT(ISNUMBER($O145)),"",IF(ISNUMBER(INDEX('通知一覧'!$F$5:$F$204,$O145)),INDEX('通知一覧'!$F$5:$F$204,$O145),""))</f>
        <v/>
      </c>
      <c r="L145" s="29">
        <f>IF(AND(ISNUMBER($B145),ISNUMBER($K145)),$K145-$B145+1,"")</f>
        <v/>
      </c>
      <c r="M145" s="30">
        <f>IF(OR($L145="",$P145=""),"",IF(INDEX('支払先'!$M$5:$M$104,$P145)="対象外","",IF(AND($L145&gt;60,$K145&gt;=EDATE($B145,2)),"超える","")))</f>
        <v/>
      </c>
      <c r="N145" s="67" t="n"/>
      <c r="O145" s="31">
        <f>IF($A145="","",IFERROR(MATCH($A145,'通知一覧'!$B$5:$B$204,0),"なし"))</f>
        <v/>
      </c>
      <c r="P145" s="31">
        <f>IF(NOT(ISNUMBER($O145)),"",IFERROR(MATCH(INDEX('通知一覧'!$C$5:$C$204,$O145),'支払先'!$B$5:$B$104,0),""))</f>
        <v/>
      </c>
      <c r="Q145" s="31">
        <f>IF(AND($A145&lt;&gt;"",$A145='支払通知書'!$K$2),ROW(),"")</f>
        <v/>
      </c>
    </row>
    <row r="146" ht="18" customHeight="1">
      <c r="A146" s="18" t="n"/>
      <c r="B146" s="24" t="n"/>
      <c r="C146" s="19" t="n"/>
      <c r="D146" s="25" t="n"/>
      <c r="E146" s="18" t="n"/>
      <c r="F146" s="25" t="n"/>
      <c r="G146" s="18" t="n"/>
      <c r="H146" s="18" t="n"/>
      <c r="I146" s="26">
        <f>IF(OR($A146="",$F146=""),"",ROUND(IF($D146="",1,$D146)*$F146,0))</f>
        <v/>
      </c>
      <c r="J146" s="27">
        <f>IF($A146="","",IF($O146="なし","※通知一覧にない通知No",IF($P146="","",INDEX('支払先'!$C$5:$C$104,$P146)&amp;"")))</f>
        <v/>
      </c>
      <c r="K146" s="28">
        <f>IF(NOT(ISNUMBER($O146)),"",IF(ISNUMBER(INDEX('通知一覧'!$F$5:$F$204,$O146)),INDEX('通知一覧'!$F$5:$F$204,$O146),""))</f>
        <v/>
      </c>
      <c r="L146" s="29">
        <f>IF(AND(ISNUMBER($B146),ISNUMBER($K146)),$K146-$B146+1,"")</f>
        <v/>
      </c>
      <c r="M146" s="30">
        <f>IF(OR($L146="",$P146=""),"",IF(INDEX('支払先'!$M$5:$M$104,$P146)="対象外","",IF(AND($L146&gt;60,$K146&gt;=EDATE($B146,2)),"超える","")))</f>
        <v/>
      </c>
      <c r="N146" s="67" t="n"/>
      <c r="O146" s="31">
        <f>IF($A146="","",IFERROR(MATCH($A146,'通知一覧'!$B$5:$B$204,0),"なし"))</f>
        <v/>
      </c>
      <c r="P146" s="31">
        <f>IF(NOT(ISNUMBER($O146)),"",IFERROR(MATCH(INDEX('通知一覧'!$C$5:$C$204,$O146),'支払先'!$B$5:$B$104,0),""))</f>
        <v/>
      </c>
      <c r="Q146" s="31">
        <f>IF(AND($A146&lt;&gt;"",$A146='支払通知書'!$K$2),ROW(),"")</f>
        <v/>
      </c>
    </row>
    <row r="147" ht="18" customHeight="1">
      <c r="A147" s="18" t="n"/>
      <c r="B147" s="24" t="n"/>
      <c r="C147" s="19" t="n"/>
      <c r="D147" s="25" t="n"/>
      <c r="E147" s="18" t="n"/>
      <c r="F147" s="25" t="n"/>
      <c r="G147" s="18" t="n"/>
      <c r="H147" s="18" t="n"/>
      <c r="I147" s="26">
        <f>IF(OR($A147="",$F147=""),"",ROUND(IF($D147="",1,$D147)*$F147,0))</f>
        <v/>
      </c>
      <c r="J147" s="27">
        <f>IF($A147="","",IF($O147="なし","※通知一覧にない通知No",IF($P147="","",INDEX('支払先'!$C$5:$C$104,$P147)&amp;"")))</f>
        <v/>
      </c>
      <c r="K147" s="28">
        <f>IF(NOT(ISNUMBER($O147)),"",IF(ISNUMBER(INDEX('通知一覧'!$F$5:$F$204,$O147)),INDEX('通知一覧'!$F$5:$F$204,$O147),""))</f>
        <v/>
      </c>
      <c r="L147" s="29">
        <f>IF(AND(ISNUMBER($B147),ISNUMBER($K147)),$K147-$B147+1,"")</f>
        <v/>
      </c>
      <c r="M147" s="30">
        <f>IF(OR($L147="",$P147=""),"",IF(INDEX('支払先'!$M$5:$M$104,$P147)="対象外","",IF(AND($L147&gt;60,$K147&gt;=EDATE($B147,2)),"超える","")))</f>
        <v/>
      </c>
      <c r="N147" s="67" t="n"/>
      <c r="O147" s="31">
        <f>IF($A147="","",IFERROR(MATCH($A147,'通知一覧'!$B$5:$B$204,0),"なし"))</f>
        <v/>
      </c>
      <c r="P147" s="31">
        <f>IF(NOT(ISNUMBER($O147)),"",IFERROR(MATCH(INDEX('通知一覧'!$C$5:$C$204,$O147),'支払先'!$B$5:$B$104,0),""))</f>
        <v/>
      </c>
      <c r="Q147" s="31">
        <f>IF(AND($A147&lt;&gt;"",$A147='支払通知書'!$K$2),ROW(),"")</f>
        <v/>
      </c>
    </row>
    <row r="148" ht="18" customHeight="1">
      <c r="A148" s="18" t="n"/>
      <c r="B148" s="24" t="n"/>
      <c r="C148" s="19" t="n"/>
      <c r="D148" s="25" t="n"/>
      <c r="E148" s="18" t="n"/>
      <c r="F148" s="25" t="n"/>
      <c r="G148" s="18" t="n"/>
      <c r="H148" s="18" t="n"/>
      <c r="I148" s="26">
        <f>IF(OR($A148="",$F148=""),"",ROUND(IF($D148="",1,$D148)*$F148,0))</f>
        <v/>
      </c>
      <c r="J148" s="27">
        <f>IF($A148="","",IF($O148="なし","※通知一覧にない通知No",IF($P148="","",INDEX('支払先'!$C$5:$C$104,$P148)&amp;"")))</f>
        <v/>
      </c>
      <c r="K148" s="28">
        <f>IF(NOT(ISNUMBER($O148)),"",IF(ISNUMBER(INDEX('通知一覧'!$F$5:$F$204,$O148)),INDEX('通知一覧'!$F$5:$F$204,$O148),""))</f>
        <v/>
      </c>
      <c r="L148" s="29">
        <f>IF(AND(ISNUMBER($B148),ISNUMBER($K148)),$K148-$B148+1,"")</f>
        <v/>
      </c>
      <c r="M148" s="30">
        <f>IF(OR($L148="",$P148=""),"",IF(INDEX('支払先'!$M$5:$M$104,$P148)="対象外","",IF(AND($L148&gt;60,$K148&gt;=EDATE($B148,2)),"超える","")))</f>
        <v/>
      </c>
      <c r="N148" s="67" t="n"/>
      <c r="O148" s="31">
        <f>IF($A148="","",IFERROR(MATCH($A148,'通知一覧'!$B$5:$B$204,0),"なし"))</f>
        <v/>
      </c>
      <c r="P148" s="31">
        <f>IF(NOT(ISNUMBER($O148)),"",IFERROR(MATCH(INDEX('通知一覧'!$C$5:$C$204,$O148),'支払先'!$B$5:$B$104,0),""))</f>
        <v/>
      </c>
      <c r="Q148" s="31">
        <f>IF(AND($A148&lt;&gt;"",$A148='支払通知書'!$K$2),ROW(),"")</f>
        <v/>
      </c>
    </row>
    <row r="149" ht="18" customHeight="1">
      <c r="A149" s="18" t="n"/>
      <c r="B149" s="24" t="n"/>
      <c r="C149" s="19" t="n"/>
      <c r="D149" s="25" t="n"/>
      <c r="E149" s="18" t="n"/>
      <c r="F149" s="25" t="n"/>
      <c r="G149" s="18" t="n"/>
      <c r="H149" s="18" t="n"/>
      <c r="I149" s="26">
        <f>IF(OR($A149="",$F149=""),"",ROUND(IF($D149="",1,$D149)*$F149,0))</f>
        <v/>
      </c>
      <c r="J149" s="27">
        <f>IF($A149="","",IF($O149="なし","※通知一覧にない通知No",IF($P149="","",INDEX('支払先'!$C$5:$C$104,$P149)&amp;"")))</f>
        <v/>
      </c>
      <c r="K149" s="28">
        <f>IF(NOT(ISNUMBER($O149)),"",IF(ISNUMBER(INDEX('通知一覧'!$F$5:$F$204,$O149)),INDEX('通知一覧'!$F$5:$F$204,$O149),""))</f>
        <v/>
      </c>
      <c r="L149" s="29">
        <f>IF(AND(ISNUMBER($B149),ISNUMBER($K149)),$K149-$B149+1,"")</f>
        <v/>
      </c>
      <c r="M149" s="30">
        <f>IF(OR($L149="",$P149=""),"",IF(INDEX('支払先'!$M$5:$M$104,$P149)="対象外","",IF(AND($L149&gt;60,$K149&gt;=EDATE($B149,2)),"超える","")))</f>
        <v/>
      </c>
      <c r="N149" s="67" t="n"/>
      <c r="O149" s="31">
        <f>IF($A149="","",IFERROR(MATCH($A149,'通知一覧'!$B$5:$B$204,0),"なし"))</f>
        <v/>
      </c>
      <c r="P149" s="31">
        <f>IF(NOT(ISNUMBER($O149)),"",IFERROR(MATCH(INDEX('通知一覧'!$C$5:$C$204,$O149),'支払先'!$B$5:$B$104,0),""))</f>
        <v/>
      </c>
      <c r="Q149" s="31">
        <f>IF(AND($A149&lt;&gt;"",$A149='支払通知書'!$K$2),ROW(),"")</f>
        <v/>
      </c>
    </row>
    <row r="150" ht="18" customHeight="1">
      <c r="A150" s="18" t="n"/>
      <c r="B150" s="24" t="n"/>
      <c r="C150" s="19" t="n"/>
      <c r="D150" s="25" t="n"/>
      <c r="E150" s="18" t="n"/>
      <c r="F150" s="25" t="n"/>
      <c r="G150" s="18" t="n"/>
      <c r="H150" s="18" t="n"/>
      <c r="I150" s="26">
        <f>IF(OR($A150="",$F150=""),"",ROUND(IF($D150="",1,$D150)*$F150,0))</f>
        <v/>
      </c>
      <c r="J150" s="27">
        <f>IF($A150="","",IF($O150="なし","※通知一覧にない通知No",IF($P150="","",INDEX('支払先'!$C$5:$C$104,$P150)&amp;"")))</f>
        <v/>
      </c>
      <c r="K150" s="28">
        <f>IF(NOT(ISNUMBER($O150)),"",IF(ISNUMBER(INDEX('通知一覧'!$F$5:$F$204,$O150)),INDEX('通知一覧'!$F$5:$F$204,$O150),""))</f>
        <v/>
      </c>
      <c r="L150" s="29">
        <f>IF(AND(ISNUMBER($B150),ISNUMBER($K150)),$K150-$B150+1,"")</f>
        <v/>
      </c>
      <c r="M150" s="30">
        <f>IF(OR($L150="",$P150=""),"",IF(INDEX('支払先'!$M$5:$M$104,$P150)="対象外","",IF(AND($L150&gt;60,$K150&gt;=EDATE($B150,2)),"超える","")))</f>
        <v/>
      </c>
      <c r="N150" s="67" t="n"/>
      <c r="O150" s="31">
        <f>IF($A150="","",IFERROR(MATCH($A150,'通知一覧'!$B$5:$B$204,0),"なし"))</f>
        <v/>
      </c>
      <c r="P150" s="31">
        <f>IF(NOT(ISNUMBER($O150)),"",IFERROR(MATCH(INDEX('通知一覧'!$C$5:$C$204,$O150),'支払先'!$B$5:$B$104,0),""))</f>
        <v/>
      </c>
      <c r="Q150" s="31">
        <f>IF(AND($A150&lt;&gt;"",$A150='支払通知書'!$K$2),ROW(),"")</f>
        <v/>
      </c>
    </row>
    <row r="151" ht="18" customHeight="1">
      <c r="A151" s="18" t="n"/>
      <c r="B151" s="24" t="n"/>
      <c r="C151" s="19" t="n"/>
      <c r="D151" s="25" t="n"/>
      <c r="E151" s="18" t="n"/>
      <c r="F151" s="25" t="n"/>
      <c r="G151" s="18" t="n"/>
      <c r="H151" s="18" t="n"/>
      <c r="I151" s="26">
        <f>IF(OR($A151="",$F151=""),"",ROUND(IF($D151="",1,$D151)*$F151,0))</f>
        <v/>
      </c>
      <c r="J151" s="27">
        <f>IF($A151="","",IF($O151="なし","※通知一覧にない通知No",IF($P151="","",INDEX('支払先'!$C$5:$C$104,$P151)&amp;"")))</f>
        <v/>
      </c>
      <c r="K151" s="28">
        <f>IF(NOT(ISNUMBER($O151)),"",IF(ISNUMBER(INDEX('通知一覧'!$F$5:$F$204,$O151)),INDEX('通知一覧'!$F$5:$F$204,$O151),""))</f>
        <v/>
      </c>
      <c r="L151" s="29">
        <f>IF(AND(ISNUMBER($B151),ISNUMBER($K151)),$K151-$B151+1,"")</f>
        <v/>
      </c>
      <c r="M151" s="30">
        <f>IF(OR($L151="",$P151=""),"",IF(INDEX('支払先'!$M$5:$M$104,$P151)="対象外","",IF(AND($L151&gt;60,$K151&gt;=EDATE($B151,2)),"超える","")))</f>
        <v/>
      </c>
      <c r="N151" s="67" t="n"/>
      <c r="O151" s="31">
        <f>IF($A151="","",IFERROR(MATCH($A151,'通知一覧'!$B$5:$B$204,0),"なし"))</f>
        <v/>
      </c>
      <c r="P151" s="31">
        <f>IF(NOT(ISNUMBER($O151)),"",IFERROR(MATCH(INDEX('通知一覧'!$C$5:$C$204,$O151),'支払先'!$B$5:$B$104,0),""))</f>
        <v/>
      </c>
      <c r="Q151" s="31">
        <f>IF(AND($A151&lt;&gt;"",$A151='支払通知書'!$K$2),ROW(),"")</f>
        <v/>
      </c>
    </row>
    <row r="152" ht="18" customHeight="1">
      <c r="A152" s="18" t="n"/>
      <c r="B152" s="24" t="n"/>
      <c r="C152" s="19" t="n"/>
      <c r="D152" s="25" t="n"/>
      <c r="E152" s="18" t="n"/>
      <c r="F152" s="25" t="n"/>
      <c r="G152" s="18" t="n"/>
      <c r="H152" s="18" t="n"/>
      <c r="I152" s="26">
        <f>IF(OR($A152="",$F152=""),"",ROUND(IF($D152="",1,$D152)*$F152,0))</f>
        <v/>
      </c>
      <c r="J152" s="27">
        <f>IF($A152="","",IF($O152="なし","※通知一覧にない通知No",IF($P152="","",INDEX('支払先'!$C$5:$C$104,$P152)&amp;"")))</f>
        <v/>
      </c>
      <c r="K152" s="28">
        <f>IF(NOT(ISNUMBER($O152)),"",IF(ISNUMBER(INDEX('通知一覧'!$F$5:$F$204,$O152)),INDEX('通知一覧'!$F$5:$F$204,$O152),""))</f>
        <v/>
      </c>
      <c r="L152" s="29">
        <f>IF(AND(ISNUMBER($B152),ISNUMBER($K152)),$K152-$B152+1,"")</f>
        <v/>
      </c>
      <c r="M152" s="30">
        <f>IF(OR($L152="",$P152=""),"",IF(INDEX('支払先'!$M$5:$M$104,$P152)="対象外","",IF(AND($L152&gt;60,$K152&gt;=EDATE($B152,2)),"超える","")))</f>
        <v/>
      </c>
      <c r="N152" s="67" t="n"/>
      <c r="O152" s="31">
        <f>IF($A152="","",IFERROR(MATCH($A152,'通知一覧'!$B$5:$B$204,0),"なし"))</f>
        <v/>
      </c>
      <c r="P152" s="31">
        <f>IF(NOT(ISNUMBER($O152)),"",IFERROR(MATCH(INDEX('通知一覧'!$C$5:$C$204,$O152),'支払先'!$B$5:$B$104,0),""))</f>
        <v/>
      </c>
      <c r="Q152" s="31">
        <f>IF(AND($A152&lt;&gt;"",$A152='支払通知書'!$K$2),ROW(),"")</f>
        <v/>
      </c>
    </row>
    <row r="153" ht="18" customHeight="1">
      <c r="A153" s="18" t="n"/>
      <c r="B153" s="24" t="n"/>
      <c r="C153" s="19" t="n"/>
      <c r="D153" s="25" t="n"/>
      <c r="E153" s="18" t="n"/>
      <c r="F153" s="25" t="n"/>
      <c r="G153" s="18" t="n"/>
      <c r="H153" s="18" t="n"/>
      <c r="I153" s="26">
        <f>IF(OR($A153="",$F153=""),"",ROUND(IF($D153="",1,$D153)*$F153,0))</f>
        <v/>
      </c>
      <c r="J153" s="27">
        <f>IF($A153="","",IF($O153="なし","※通知一覧にない通知No",IF($P153="","",INDEX('支払先'!$C$5:$C$104,$P153)&amp;"")))</f>
        <v/>
      </c>
      <c r="K153" s="28">
        <f>IF(NOT(ISNUMBER($O153)),"",IF(ISNUMBER(INDEX('通知一覧'!$F$5:$F$204,$O153)),INDEX('通知一覧'!$F$5:$F$204,$O153),""))</f>
        <v/>
      </c>
      <c r="L153" s="29">
        <f>IF(AND(ISNUMBER($B153),ISNUMBER($K153)),$K153-$B153+1,"")</f>
        <v/>
      </c>
      <c r="M153" s="30">
        <f>IF(OR($L153="",$P153=""),"",IF(INDEX('支払先'!$M$5:$M$104,$P153)="対象外","",IF(AND($L153&gt;60,$K153&gt;=EDATE($B153,2)),"超える","")))</f>
        <v/>
      </c>
      <c r="N153" s="67" t="n"/>
      <c r="O153" s="31">
        <f>IF($A153="","",IFERROR(MATCH($A153,'通知一覧'!$B$5:$B$204,0),"なし"))</f>
        <v/>
      </c>
      <c r="P153" s="31">
        <f>IF(NOT(ISNUMBER($O153)),"",IFERROR(MATCH(INDEX('通知一覧'!$C$5:$C$204,$O153),'支払先'!$B$5:$B$104,0),""))</f>
        <v/>
      </c>
      <c r="Q153" s="31">
        <f>IF(AND($A153&lt;&gt;"",$A153='支払通知書'!$K$2),ROW(),"")</f>
        <v/>
      </c>
    </row>
    <row r="154" ht="18" customHeight="1">
      <c r="A154" s="18" t="n"/>
      <c r="B154" s="24" t="n"/>
      <c r="C154" s="19" t="n"/>
      <c r="D154" s="25" t="n"/>
      <c r="E154" s="18" t="n"/>
      <c r="F154" s="25" t="n"/>
      <c r="G154" s="18" t="n"/>
      <c r="H154" s="18" t="n"/>
      <c r="I154" s="26">
        <f>IF(OR($A154="",$F154=""),"",ROUND(IF($D154="",1,$D154)*$F154,0))</f>
        <v/>
      </c>
      <c r="J154" s="27">
        <f>IF($A154="","",IF($O154="なし","※通知一覧にない通知No",IF($P154="","",INDEX('支払先'!$C$5:$C$104,$P154)&amp;"")))</f>
        <v/>
      </c>
      <c r="K154" s="28">
        <f>IF(NOT(ISNUMBER($O154)),"",IF(ISNUMBER(INDEX('通知一覧'!$F$5:$F$204,$O154)),INDEX('通知一覧'!$F$5:$F$204,$O154),""))</f>
        <v/>
      </c>
      <c r="L154" s="29">
        <f>IF(AND(ISNUMBER($B154),ISNUMBER($K154)),$K154-$B154+1,"")</f>
        <v/>
      </c>
      <c r="M154" s="30">
        <f>IF(OR($L154="",$P154=""),"",IF(INDEX('支払先'!$M$5:$M$104,$P154)="対象外","",IF(AND($L154&gt;60,$K154&gt;=EDATE($B154,2)),"超える","")))</f>
        <v/>
      </c>
      <c r="N154" s="67" t="n"/>
      <c r="O154" s="31">
        <f>IF($A154="","",IFERROR(MATCH($A154,'通知一覧'!$B$5:$B$204,0),"なし"))</f>
        <v/>
      </c>
      <c r="P154" s="31">
        <f>IF(NOT(ISNUMBER($O154)),"",IFERROR(MATCH(INDEX('通知一覧'!$C$5:$C$204,$O154),'支払先'!$B$5:$B$104,0),""))</f>
        <v/>
      </c>
      <c r="Q154" s="31">
        <f>IF(AND($A154&lt;&gt;"",$A154='支払通知書'!$K$2),ROW(),"")</f>
        <v/>
      </c>
    </row>
    <row r="155" ht="18" customHeight="1">
      <c r="A155" s="18" t="n"/>
      <c r="B155" s="24" t="n"/>
      <c r="C155" s="19" t="n"/>
      <c r="D155" s="25" t="n"/>
      <c r="E155" s="18" t="n"/>
      <c r="F155" s="25" t="n"/>
      <c r="G155" s="18" t="n"/>
      <c r="H155" s="18" t="n"/>
      <c r="I155" s="26">
        <f>IF(OR($A155="",$F155=""),"",ROUND(IF($D155="",1,$D155)*$F155,0))</f>
        <v/>
      </c>
      <c r="J155" s="27">
        <f>IF($A155="","",IF($O155="なし","※通知一覧にない通知No",IF($P155="","",INDEX('支払先'!$C$5:$C$104,$P155)&amp;"")))</f>
        <v/>
      </c>
      <c r="K155" s="28">
        <f>IF(NOT(ISNUMBER($O155)),"",IF(ISNUMBER(INDEX('通知一覧'!$F$5:$F$204,$O155)),INDEX('通知一覧'!$F$5:$F$204,$O155),""))</f>
        <v/>
      </c>
      <c r="L155" s="29">
        <f>IF(AND(ISNUMBER($B155),ISNUMBER($K155)),$K155-$B155+1,"")</f>
        <v/>
      </c>
      <c r="M155" s="30">
        <f>IF(OR($L155="",$P155=""),"",IF(INDEX('支払先'!$M$5:$M$104,$P155)="対象外","",IF(AND($L155&gt;60,$K155&gt;=EDATE($B155,2)),"超える","")))</f>
        <v/>
      </c>
      <c r="N155" s="67" t="n"/>
      <c r="O155" s="31">
        <f>IF($A155="","",IFERROR(MATCH($A155,'通知一覧'!$B$5:$B$204,0),"なし"))</f>
        <v/>
      </c>
      <c r="P155" s="31">
        <f>IF(NOT(ISNUMBER($O155)),"",IFERROR(MATCH(INDEX('通知一覧'!$C$5:$C$204,$O155),'支払先'!$B$5:$B$104,0),""))</f>
        <v/>
      </c>
      <c r="Q155" s="31">
        <f>IF(AND($A155&lt;&gt;"",$A155='支払通知書'!$K$2),ROW(),"")</f>
        <v/>
      </c>
    </row>
    <row r="156" ht="18" customHeight="1">
      <c r="A156" s="18" t="n"/>
      <c r="B156" s="24" t="n"/>
      <c r="C156" s="19" t="n"/>
      <c r="D156" s="25" t="n"/>
      <c r="E156" s="18" t="n"/>
      <c r="F156" s="25" t="n"/>
      <c r="G156" s="18" t="n"/>
      <c r="H156" s="18" t="n"/>
      <c r="I156" s="26">
        <f>IF(OR($A156="",$F156=""),"",ROUND(IF($D156="",1,$D156)*$F156,0))</f>
        <v/>
      </c>
      <c r="J156" s="27">
        <f>IF($A156="","",IF($O156="なし","※通知一覧にない通知No",IF($P156="","",INDEX('支払先'!$C$5:$C$104,$P156)&amp;"")))</f>
        <v/>
      </c>
      <c r="K156" s="28">
        <f>IF(NOT(ISNUMBER($O156)),"",IF(ISNUMBER(INDEX('通知一覧'!$F$5:$F$204,$O156)),INDEX('通知一覧'!$F$5:$F$204,$O156),""))</f>
        <v/>
      </c>
      <c r="L156" s="29">
        <f>IF(AND(ISNUMBER($B156),ISNUMBER($K156)),$K156-$B156+1,"")</f>
        <v/>
      </c>
      <c r="M156" s="30">
        <f>IF(OR($L156="",$P156=""),"",IF(INDEX('支払先'!$M$5:$M$104,$P156)="対象外","",IF(AND($L156&gt;60,$K156&gt;=EDATE($B156,2)),"超える","")))</f>
        <v/>
      </c>
      <c r="N156" s="67" t="n"/>
      <c r="O156" s="31">
        <f>IF($A156="","",IFERROR(MATCH($A156,'通知一覧'!$B$5:$B$204,0),"なし"))</f>
        <v/>
      </c>
      <c r="P156" s="31">
        <f>IF(NOT(ISNUMBER($O156)),"",IFERROR(MATCH(INDEX('通知一覧'!$C$5:$C$204,$O156),'支払先'!$B$5:$B$104,0),""))</f>
        <v/>
      </c>
      <c r="Q156" s="31">
        <f>IF(AND($A156&lt;&gt;"",$A156='支払通知書'!$K$2),ROW(),"")</f>
        <v/>
      </c>
    </row>
    <row r="157" ht="18" customHeight="1">
      <c r="A157" s="18" t="n"/>
      <c r="B157" s="24" t="n"/>
      <c r="C157" s="19" t="n"/>
      <c r="D157" s="25" t="n"/>
      <c r="E157" s="18" t="n"/>
      <c r="F157" s="25" t="n"/>
      <c r="G157" s="18" t="n"/>
      <c r="H157" s="18" t="n"/>
      <c r="I157" s="26">
        <f>IF(OR($A157="",$F157=""),"",ROUND(IF($D157="",1,$D157)*$F157,0))</f>
        <v/>
      </c>
      <c r="J157" s="27">
        <f>IF($A157="","",IF($O157="なし","※通知一覧にない通知No",IF($P157="","",INDEX('支払先'!$C$5:$C$104,$P157)&amp;"")))</f>
        <v/>
      </c>
      <c r="K157" s="28">
        <f>IF(NOT(ISNUMBER($O157)),"",IF(ISNUMBER(INDEX('通知一覧'!$F$5:$F$204,$O157)),INDEX('通知一覧'!$F$5:$F$204,$O157),""))</f>
        <v/>
      </c>
      <c r="L157" s="29">
        <f>IF(AND(ISNUMBER($B157),ISNUMBER($K157)),$K157-$B157+1,"")</f>
        <v/>
      </c>
      <c r="M157" s="30">
        <f>IF(OR($L157="",$P157=""),"",IF(INDEX('支払先'!$M$5:$M$104,$P157)="対象外","",IF(AND($L157&gt;60,$K157&gt;=EDATE($B157,2)),"超える","")))</f>
        <v/>
      </c>
      <c r="N157" s="67" t="n"/>
      <c r="O157" s="31">
        <f>IF($A157="","",IFERROR(MATCH($A157,'通知一覧'!$B$5:$B$204,0),"なし"))</f>
        <v/>
      </c>
      <c r="P157" s="31">
        <f>IF(NOT(ISNUMBER($O157)),"",IFERROR(MATCH(INDEX('通知一覧'!$C$5:$C$204,$O157),'支払先'!$B$5:$B$104,0),""))</f>
        <v/>
      </c>
      <c r="Q157" s="31">
        <f>IF(AND($A157&lt;&gt;"",$A157='支払通知書'!$K$2),ROW(),"")</f>
        <v/>
      </c>
    </row>
    <row r="158" ht="18" customHeight="1">
      <c r="A158" s="18" t="n"/>
      <c r="B158" s="24" t="n"/>
      <c r="C158" s="19" t="n"/>
      <c r="D158" s="25" t="n"/>
      <c r="E158" s="18" t="n"/>
      <c r="F158" s="25" t="n"/>
      <c r="G158" s="18" t="n"/>
      <c r="H158" s="18" t="n"/>
      <c r="I158" s="26">
        <f>IF(OR($A158="",$F158=""),"",ROUND(IF($D158="",1,$D158)*$F158,0))</f>
        <v/>
      </c>
      <c r="J158" s="27">
        <f>IF($A158="","",IF($O158="なし","※通知一覧にない通知No",IF($P158="","",INDEX('支払先'!$C$5:$C$104,$P158)&amp;"")))</f>
        <v/>
      </c>
      <c r="K158" s="28">
        <f>IF(NOT(ISNUMBER($O158)),"",IF(ISNUMBER(INDEX('通知一覧'!$F$5:$F$204,$O158)),INDEX('通知一覧'!$F$5:$F$204,$O158),""))</f>
        <v/>
      </c>
      <c r="L158" s="29">
        <f>IF(AND(ISNUMBER($B158),ISNUMBER($K158)),$K158-$B158+1,"")</f>
        <v/>
      </c>
      <c r="M158" s="30">
        <f>IF(OR($L158="",$P158=""),"",IF(INDEX('支払先'!$M$5:$M$104,$P158)="対象外","",IF(AND($L158&gt;60,$K158&gt;=EDATE($B158,2)),"超える","")))</f>
        <v/>
      </c>
      <c r="N158" s="67" t="n"/>
      <c r="O158" s="31">
        <f>IF($A158="","",IFERROR(MATCH($A158,'通知一覧'!$B$5:$B$204,0),"なし"))</f>
        <v/>
      </c>
      <c r="P158" s="31">
        <f>IF(NOT(ISNUMBER($O158)),"",IFERROR(MATCH(INDEX('通知一覧'!$C$5:$C$204,$O158),'支払先'!$B$5:$B$104,0),""))</f>
        <v/>
      </c>
      <c r="Q158" s="31">
        <f>IF(AND($A158&lt;&gt;"",$A158='支払通知書'!$K$2),ROW(),"")</f>
        <v/>
      </c>
    </row>
    <row r="159" ht="18" customHeight="1">
      <c r="A159" s="18" t="n"/>
      <c r="B159" s="24" t="n"/>
      <c r="C159" s="19" t="n"/>
      <c r="D159" s="25" t="n"/>
      <c r="E159" s="18" t="n"/>
      <c r="F159" s="25" t="n"/>
      <c r="G159" s="18" t="n"/>
      <c r="H159" s="18" t="n"/>
      <c r="I159" s="26">
        <f>IF(OR($A159="",$F159=""),"",ROUND(IF($D159="",1,$D159)*$F159,0))</f>
        <v/>
      </c>
      <c r="J159" s="27">
        <f>IF($A159="","",IF($O159="なし","※通知一覧にない通知No",IF($P159="","",INDEX('支払先'!$C$5:$C$104,$P159)&amp;"")))</f>
        <v/>
      </c>
      <c r="K159" s="28">
        <f>IF(NOT(ISNUMBER($O159)),"",IF(ISNUMBER(INDEX('通知一覧'!$F$5:$F$204,$O159)),INDEX('通知一覧'!$F$5:$F$204,$O159),""))</f>
        <v/>
      </c>
      <c r="L159" s="29">
        <f>IF(AND(ISNUMBER($B159),ISNUMBER($K159)),$K159-$B159+1,"")</f>
        <v/>
      </c>
      <c r="M159" s="30">
        <f>IF(OR($L159="",$P159=""),"",IF(INDEX('支払先'!$M$5:$M$104,$P159)="対象外","",IF(AND($L159&gt;60,$K159&gt;=EDATE($B159,2)),"超える","")))</f>
        <v/>
      </c>
      <c r="N159" s="67" t="n"/>
      <c r="O159" s="31">
        <f>IF($A159="","",IFERROR(MATCH($A159,'通知一覧'!$B$5:$B$204,0),"なし"))</f>
        <v/>
      </c>
      <c r="P159" s="31">
        <f>IF(NOT(ISNUMBER($O159)),"",IFERROR(MATCH(INDEX('通知一覧'!$C$5:$C$204,$O159),'支払先'!$B$5:$B$104,0),""))</f>
        <v/>
      </c>
      <c r="Q159" s="31">
        <f>IF(AND($A159&lt;&gt;"",$A159='支払通知書'!$K$2),ROW(),"")</f>
        <v/>
      </c>
    </row>
    <row r="160" ht="18" customHeight="1">
      <c r="A160" s="18" t="n"/>
      <c r="B160" s="24" t="n"/>
      <c r="C160" s="19" t="n"/>
      <c r="D160" s="25" t="n"/>
      <c r="E160" s="18" t="n"/>
      <c r="F160" s="25" t="n"/>
      <c r="G160" s="18" t="n"/>
      <c r="H160" s="18" t="n"/>
      <c r="I160" s="26">
        <f>IF(OR($A160="",$F160=""),"",ROUND(IF($D160="",1,$D160)*$F160,0))</f>
        <v/>
      </c>
      <c r="J160" s="27">
        <f>IF($A160="","",IF($O160="なし","※通知一覧にない通知No",IF($P160="","",INDEX('支払先'!$C$5:$C$104,$P160)&amp;"")))</f>
        <v/>
      </c>
      <c r="K160" s="28">
        <f>IF(NOT(ISNUMBER($O160)),"",IF(ISNUMBER(INDEX('通知一覧'!$F$5:$F$204,$O160)),INDEX('通知一覧'!$F$5:$F$204,$O160),""))</f>
        <v/>
      </c>
      <c r="L160" s="29">
        <f>IF(AND(ISNUMBER($B160),ISNUMBER($K160)),$K160-$B160+1,"")</f>
        <v/>
      </c>
      <c r="M160" s="30">
        <f>IF(OR($L160="",$P160=""),"",IF(INDEX('支払先'!$M$5:$M$104,$P160)="対象外","",IF(AND($L160&gt;60,$K160&gt;=EDATE($B160,2)),"超える","")))</f>
        <v/>
      </c>
      <c r="N160" s="67" t="n"/>
      <c r="O160" s="31">
        <f>IF($A160="","",IFERROR(MATCH($A160,'通知一覧'!$B$5:$B$204,0),"なし"))</f>
        <v/>
      </c>
      <c r="P160" s="31">
        <f>IF(NOT(ISNUMBER($O160)),"",IFERROR(MATCH(INDEX('通知一覧'!$C$5:$C$204,$O160),'支払先'!$B$5:$B$104,0),""))</f>
        <v/>
      </c>
      <c r="Q160" s="31">
        <f>IF(AND($A160&lt;&gt;"",$A160='支払通知書'!$K$2),ROW(),"")</f>
        <v/>
      </c>
    </row>
    <row r="161" ht="18" customHeight="1">
      <c r="A161" s="18" t="n"/>
      <c r="B161" s="24" t="n"/>
      <c r="C161" s="19" t="n"/>
      <c r="D161" s="25" t="n"/>
      <c r="E161" s="18" t="n"/>
      <c r="F161" s="25" t="n"/>
      <c r="G161" s="18" t="n"/>
      <c r="H161" s="18" t="n"/>
      <c r="I161" s="26">
        <f>IF(OR($A161="",$F161=""),"",ROUND(IF($D161="",1,$D161)*$F161,0))</f>
        <v/>
      </c>
      <c r="J161" s="27">
        <f>IF($A161="","",IF($O161="なし","※通知一覧にない通知No",IF($P161="","",INDEX('支払先'!$C$5:$C$104,$P161)&amp;"")))</f>
        <v/>
      </c>
      <c r="K161" s="28">
        <f>IF(NOT(ISNUMBER($O161)),"",IF(ISNUMBER(INDEX('通知一覧'!$F$5:$F$204,$O161)),INDEX('通知一覧'!$F$5:$F$204,$O161),""))</f>
        <v/>
      </c>
      <c r="L161" s="29">
        <f>IF(AND(ISNUMBER($B161),ISNUMBER($K161)),$K161-$B161+1,"")</f>
        <v/>
      </c>
      <c r="M161" s="30">
        <f>IF(OR($L161="",$P161=""),"",IF(INDEX('支払先'!$M$5:$M$104,$P161)="対象外","",IF(AND($L161&gt;60,$K161&gt;=EDATE($B161,2)),"超える","")))</f>
        <v/>
      </c>
      <c r="N161" s="67" t="n"/>
      <c r="O161" s="31">
        <f>IF($A161="","",IFERROR(MATCH($A161,'通知一覧'!$B$5:$B$204,0),"なし"))</f>
        <v/>
      </c>
      <c r="P161" s="31">
        <f>IF(NOT(ISNUMBER($O161)),"",IFERROR(MATCH(INDEX('通知一覧'!$C$5:$C$204,$O161),'支払先'!$B$5:$B$104,0),""))</f>
        <v/>
      </c>
      <c r="Q161" s="31">
        <f>IF(AND($A161&lt;&gt;"",$A161='支払通知書'!$K$2),ROW(),"")</f>
        <v/>
      </c>
    </row>
    <row r="162" ht="18" customHeight="1">
      <c r="A162" s="18" t="n"/>
      <c r="B162" s="24" t="n"/>
      <c r="C162" s="19" t="n"/>
      <c r="D162" s="25" t="n"/>
      <c r="E162" s="18" t="n"/>
      <c r="F162" s="25" t="n"/>
      <c r="G162" s="18" t="n"/>
      <c r="H162" s="18" t="n"/>
      <c r="I162" s="26">
        <f>IF(OR($A162="",$F162=""),"",ROUND(IF($D162="",1,$D162)*$F162,0))</f>
        <v/>
      </c>
      <c r="J162" s="27">
        <f>IF($A162="","",IF($O162="なし","※通知一覧にない通知No",IF($P162="","",INDEX('支払先'!$C$5:$C$104,$P162)&amp;"")))</f>
        <v/>
      </c>
      <c r="K162" s="28">
        <f>IF(NOT(ISNUMBER($O162)),"",IF(ISNUMBER(INDEX('通知一覧'!$F$5:$F$204,$O162)),INDEX('通知一覧'!$F$5:$F$204,$O162),""))</f>
        <v/>
      </c>
      <c r="L162" s="29">
        <f>IF(AND(ISNUMBER($B162),ISNUMBER($K162)),$K162-$B162+1,"")</f>
        <v/>
      </c>
      <c r="M162" s="30">
        <f>IF(OR($L162="",$P162=""),"",IF(INDEX('支払先'!$M$5:$M$104,$P162)="対象外","",IF(AND($L162&gt;60,$K162&gt;=EDATE($B162,2)),"超える","")))</f>
        <v/>
      </c>
      <c r="N162" s="67" t="n"/>
      <c r="O162" s="31">
        <f>IF($A162="","",IFERROR(MATCH($A162,'通知一覧'!$B$5:$B$204,0),"なし"))</f>
        <v/>
      </c>
      <c r="P162" s="31">
        <f>IF(NOT(ISNUMBER($O162)),"",IFERROR(MATCH(INDEX('通知一覧'!$C$5:$C$204,$O162),'支払先'!$B$5:$B$104,0),""))</f>
        <v/>
      </c>
      <c r="Q162" s="31">
        <f>IF(AND($A162&lt;&gt;"",$A162='支払通知書'!$K$2),ROW(),"")</f>
        <v/>
      </c>
    </row>
    <row r="163" ht="18" customHeight="1">
      <c r="A163" s="18" t="n"/>
      <c r="B163" s="24" t="n"/>
      <c r="C163" s="19" t="n"/>
      <c r="D163" s="25" t="n"/>
      <c r="E163" s="18" t="n"/>
      <c r="F163" s="25" t="n"/>
      <c r="G163" s="18" t="n"/>
      <c r="H163" s="18" t="n"/>
      <c r="I163" s="26">
        <f>IF(OR($A163="",$F163=""),"",ROUND(IF($D163="",1,$D163)*$F163,0))</f>
        <v/>
      </c>
      <c r="J163" s="27">
        <f>IF($A163="","",IF($O163="なし","※通知一覧にない通知No",IF($P163="","",INDEX('支払先'!$C$5:$C$104,$P163)&amp;"")))</f>
        <v/>
      </c>
      <c r="K163" s="28">
        <f>IF(NOT(ISNUMBER($O163)),"",IF(ISNUMBER(INDEX('通知一覧'!$F$5:$F$204,$O163)),INDEX('通知一覧'!$F$5:$F$204,$O163),""))</f>
        <v/>
      </c>
      <c r="L163" s="29">
        <f>IF(AND(ISNUMBER($B163),ISNUMBER($K163)),$K163-$B163+1,"")</f>
        <v/>
      </c>
      <c r="M163" s="30">
        <f>IF(OR($L163="",$P163=""),"",IF(INDEX('支払先'!$M$5:$M$104,$P163)="対象外","",IF(AND($L163&gt;60,$K163&gt;=EDATE($B163,2)),"超える","")))</f>
        <v/>
      </c>
      <c r="N163" s="67" t="n"/>
      <c r="O163" s="31">
        <f>IF($A163="","",IFERROR(MATCH($A163,'通知一覧'!$B$5:$B$204,0),"なし"))</f>
        <v/>
      </c>
      <c r="P163" s="31">
        <f>IF(NOT(ISNUMBER($O163)),"",IFERROR(MATCH(INDEX('通知一覧'!$C$5:$C$204,$O163),'支払先'!$B$5:$B$104,0),""))</f>
        <v/>
      </c>
      <c r="Q163" s="31">
        <f>IF(AND($A163&lt;&gt;"",$A163='支払通知書'!$K$2),ROW(),"")</f>
        <v/>
      </c>
    </row>
    <row r="164" ht="18" customHeight="1">
      <c r="A164" s="18" t="n"/>
      <c r="B164" s="24" t="n"/>
      <c r="C164" s="19" t="n"/>
      <c r="D164" s="25" t="n"/>
      <c r="E164" s="18" t="n"/>
      <c r="F164" s="25" t="n"/>
      <c r="G164" s="18" t="n"/>
      <c r="H164" s="18" t="n"/>
      <c r="I164" s="26">
        <f>IF(OR($A164="",$F164=""),"",ROUND(IF($D164="",1,$D164)*$F164,0))</f>
        <v/>
      </c>
      <c r="J164" s="27">
        <f>IF($A164="","",IF($O164="なし","※通知一覧にない通知No",IF($P164="","",INDEX('支払先'!$C$5:$C$104,$P164)&amp;"")))</f>
        <v/>
      </c>
      <c r="K164" s="28">
        <f>IF(NOT(ISNUMBER($O164)),"",IF(ISNUMBER(INDEX('通知一覧'!$F$5:$F$204,$O164)),INDEX('通知一覧'!$F$5:$F$204,$O164),""))</f>
        <v/>
      </c>
      <c r="L164" s="29">
        <f>IF(AND(ISNUMBER($B164),ISNUMBER($K164)),$K164-$B164+1,"")</f>
        <v/>
      </c>
      <c r="M164" s="30">
        <f>IF(OR($L164="",$P164=""),"",IF(INDEX('支払先'!$M$5:$M$104,$P164)="対象外","",IF(AND($L164&gt;60,$K164&gt;=EDATE($B164,2)),"超える","")))</f>
        <v/>
      </c>
      <c r="N164" s="67" t="n"/>
      <c r="O164" s="31">
        <f>IF($A164="","",IFERROR(MATCH($A164,'通知一覧'!$B$5:$B$204,0),"なし"))</f>
        <v/>
      </c>
      <c r="P164" s="31">
        <f>IF(NOT(ISNUMBER($O164)),"",IFERROR(MATCH(INDEX('通知一覧'!$C$5:$C$204,$O164),'支払先'!$B$5:$B$104,0),""))</f>
        <v/>
      </c>
      <c r="Q164" s="31">
        <f>IF(AND($A164&lt;&gt;"",$A164='支払通知書'!$K$2),ROW(),"")</f>
        <v/>
      </c>
    </row>
    <row r="165" ht="18" customHeight="1">
      <c r="A165" s="18" t="n"/>
      <c r="B165" s="24" t="n"/>
      <c r="C165" s="19" t="n"/>
      <c r="D165" s="25" t="n"/>
      <c r="E165" s="18" t="n"/>
      <c r="F165" s="25" t="n"/>
      <c r="G165" s="18" t="n"/>
      <c r="H165" s="18" t="n"/>
      <c r="I165" s="26">
        <f>IF(OR($A165="",$F165=""),"",ROUND(IF($D165="",1,$D165)*$F165,0))</f>
        <v/>
      </c>
      <c r="J165" s="27">
        <f>IF($A165="","",IF($O165="なし","※通知一覧にない通知No",IF($P165="","",INDEX('支払先'!$C$5:$C$104,$P165)&amp;"")))</f>
        <v/>
      </c>
      <c r="K165" s="28">
        <f>IF(NOT(ISNUMBER($O165)),"",IF(ISNUMBER(INDEX('通知一覧'!$F$5:$F$204,$O165)),INDEX('通知一覧'!$F$5:$F$204,$O165),""))</f>
        <v/>
      </c>
      <c r="L165" s="29">
        <f>IF(AND(ISNUMBER($B165),ISNUMBER($K165)),$K165-$B165+1,"")</f>
        <v/>
      </c>
      <c r="M165" s="30">
        <f>IF(OR($L165="",$P165=""),"",IF(INDEX('支払先'!$M$5:$M$104,$P165)="対象外","",IF(AND($L165&gt;60,$K165&gt;=EDATE($B165,2)),"超える","")))</f>
        <v/>
      </c>
      <c r="N165" s="67" t="n"/>
      <c r="O165" s="31">
        <f>IF($A165="","",IFERROR(MATCH($A165,'通知一覧'!$B$5:$B$204,0),"なし"))</f>
        <v/>
      </c>
      <c r="P165" s="31">
        <f>IF(NOT(ISNUMBER($O165)),"",IFERROR(MATCH(INDEX('通知一覧'!$C$5:$C$204,$O165),'支払先'!$B$5:$B$104,0),""))</f>
        <v/>
      </c>
      <c r="Q165" s="31">
        <f>IF(AND($A165&lt;&gt;"",$A165='支払通知書'!$K$2),ROW(),"")</f>
        <v/>
      </c>
    </row>
    <row r="166" ht="18" customHeight="1">
      <c r="A166" s="18" t="n"/>
      <c r="B166" s="24" t="n"/>
      <c r="C166" s="19" t="n"/>
      <c r="D166" s="25" t="n"/>
      <c r="E166" s="18" t="n"/>
      <c r="F166" s="25" t="n"/>
      <c r="G166" s="18" t="n"/>
      <c r="H166" s="18" t="n"/>
      <c r="I166" s="26">
        <f>IF(OR($A166="",$F166=""),"",ROUND(IF($D166="",1,$D166)*$F166,0))</f>
        <v/>
      </c>
      <c r="J166" s="27">
        <f>IF($A166="","",IF($O166="なし","※通知一覧にない通知No",IF($P166="","",INDEX('支払先'!$C$5:$C$104,$P166)&amp;"")))</f>
        <v/>
      </c>
      <c r="K166" s="28">
        <f>IF(NOT(ISNUMBER($O166)),"",IF(ISNUMBER(INDEX('通知一覧'!$F$5:$F$204,$O166)),INDEX('通知一覧'!$F$5:$F$204,$O166),""))</f>
        <v/>
      </c>
      <c r="L166" s="29">
        <f>IF(AND(ISNUMBER($B166),ISNUMBER($K166)),$K166-$B166+1,"")</f>
        <v/>
      </c>
      <c r="M166" s="30">
        <f>IF(OR($L166="",$P166=""),"",IF(INDEX('支払先'!$M$5:$M$104,$P166)="対象外","",IF(AND($L166&gt;60,$K166&gt;=EDATE($B166,2)),"超える","")))</f>
        <v/>
      </c>
      <c r="N166" s="67" t="n"/>
      <c r="O166" s="31">
        <f>IF($A166="","",IFERROR(MATCH($A166,'通知一覧'!$B$5:$B$204,0),"なし"))</f>
        <v/>
      </c>
      <c r="P166" s="31">
        <f>IF(NOT(ISNUMBER($O166)),"",IFERROR(MATCH(INDEX('通知一覧'!$C$5:$C$204,$O166),'支払先'!$B$5:$B$104,0),""))</f>
        <v/>
      </c>
      <c r="Q166" s="31">
        <f>IF(AND($A166&lt;&gt;"",$A166='支払通知書'!$K$2),ROW(),"")</f>
        <v/>
      </c>
    </row>
    <row r="167" ht="18" customHeight="1">
      <c r="A167" s="18" t="n"/>
      <c r="B167" s="24" t="n"/>
      <c r="C167" s="19" t="n"/>
      <c r="D167" s="25" t="n"/>
      <c r="E167" s="18" t="n"/>
      <c r="F167" s="25" t="n"/>
      <c r="G167" s="18" t="n"/>
      <c r="H167" s="18" t="n"/>
      <c r="I167" s="26">
        <f>IF(OR($A167="",$F167=""),"",ROUND(IF($D167="",1,$D167)*$F167,0))</f>
        <v/>
      </c>
      <c r="J167" s="27">
        <f>IF($A167="","",IF($O167="なし","※通知一覧にない通知No",IF($P167="","",INDEX('支払先'!$C$5:$C$104,$P167)&amp;"")))</f>
        <v/>
      </c>
      <c r="K167" s="28">
        <f>IF(NOT(ISNUMBER($O167)),"",IF(ISNUMBER(INDEX('通知一覧'!$F$5:$F$204,$O167)),INDEX('通知一覧'!$F$5:$F$204,$O167),""))</f>
        <v/>
      </c>
      <c r="L167" s="29">
        <f>IF(AND(ISNUMBER($B167),ISNUMBER($K167)),$K167-$B167+1,"")</f>
        <v/>
      </c>
      <c r="M167" s="30">
        <f>IF(OR($L167="",$P167=""),"",IF(INDEX('支払先'!$M$5:$M$104,$P167)="対象外","",IF(AND($L167&gt;60,$K167&gt;=EDATE($B167,2)),"超える","")))</f>
        <v/>
      </c>
      <c r="N167" s="67" t="n"/>
      <c r="O167" s="31">
        <f>IF($A167="","",IFERROR(MATCH($A167,'通知一覧'!$B$5:$B$204,0),"なし"))</f>
        <v/>
      </c>
      <c r="P167" s="31">
        <f>IF(NOT(ISNUMBER($O167)),"",IFERROR(MATCH(INDEX('通知一覧'!$C$5:$C$204,$O167),'支払先'!$B$5:$B$104,0),""))</f>
        <v/>
      </c>
      <c r="Q167" s="31">
        <f>IF(AND($A167&lt;&gt;"",$A167='支払通知書'!$K$2),ROW(),"")</f>
        <v/>
      </c>
    </row>
    <row r="168" ht="18" customHeight="1">
      <c r="A168" s="18" t="n"/>
      <c r="B168" s="24" t="n"/>
      <c r="C168" s="19" t="n"/>
      <c r="D168" s="25" t="n"/>
      <c r="E168" s="18" t="n"/>
      <c r="F168" s="25" t="n"/>
      <c r="G168" s="18" t="n"/>
      <c r="H168" s="18" t="n"/>
      <c r="I168" s="26">
        <f>IF(OR($A168="",$F168=""),"",ROUND(IF($D168="",1,$D168)*$F168,0))</f>
        <v/>
      </c>
      <c r="J168" s="27">
        <f>IF($A168="","",IF($O168="なし","※通知一覧にない通知No",IF($P168="","",INDEX('支払先'!$C$5:$C$104,$P168)&amp;"")))</f>
        <v/>
      </c>
      <c r="K168" s="28">
        <f>IF(NOT(ISNUMBER($O168)),"",IF(ISNUMBER(INDEX('通知一覧'!$F$5:$F$204,$O168)),INDEX('通知一覧'!$F$5:$F$204,$O168),""))</f>
        <v/>
      </c>
      <c r="L168" s="29">
        <f>IF(AND(ISNUMBER($B168),ISNUMBER($K168)),$K168-$B168+1,"")</f>
        <v/>
      </c>
      <c r="M168" s="30">
        <f>IF(OR($L168="",$P168=""),"",IF(INDEX('支払先'!$M$5:$M$104,$P168)="対象外","",IF(AND($L168&gt;60,$K168&gt;=EDATE($B168,2)),"超える","")))</f>
        <v/>
      </c>
      <c r="N168" s="67" t="n"/>
      <c r="O168" s="31">
        <f>IF($A168="","",IFERROR(MATCH($A168,'通知一覧'!$B$5:$B$204,0),"なし"))</f>
        <v/>
      </c>
      <c r="P168" s="31">
        <f>IF(NOT(ISNUMBER($O168)),"",IFERROR(MATCH(INDEX('通知一覧'!$C$5:$C$204,$O168),'支払先'!$B$5:$B$104,0),""))</f>
        <v/>
      </c>
      <c r="Q168" s="31">
        <f>IF(AND($A168&lt;&gt;"",$A168='支払通知書'!$K$2),ROW(),"")</f>
        <v/>
      </c>
    </row>
    <row r="169" ht="18" customHeight="1">
      <c r="A169" s="18" t="n"/>
      <c r="B169" s="24" t="n"/>
      <c r="C169" s="19" t="n"/>
      <c r="D169" s="25" t="n"/>
      <c r="E169" s="18" t="n"/>
      <c r="F169" s="25" t="n"/>
      <c r="G169" s="18" t="n"/>
      <c r="H169" s="18" t="n"/>
      <c r="I169" s="26">
        <f>IF(OR($A169="",$F169=""),"",ROUND(IF($D169="",1,$D169)*$F169,0))</f>
        <v/>
      </c>
      <c r="J169" s="27">
        <f>IF($A169="","",IF($O169="なし","※通知一覧にない通知No",IF($P169="","",INDEX('支払先'!$C$5:$C$104,$P169)&amp;"")))</f>
        <v/>
      </c>
      <c r="K169" s="28">
        <f>IF(NOT(ISNUMBER($O169)),"",IF(ISNUMBER(INDEX('通知一覧'!$F$5:$F$204,$O169)),INDEX('通知一覧'!$F$5:$F$204,$O169),""))</f>
        <v/>
      </c>
      <c r="L169" s="29">
        <f>IF(AND(ISNUMBER($B169),ISNUMBER($K169)),$K169-$B169+1,"")</f>
        <v/>
      </c>
      <c r="M169" s="30">
        <f>IF(OR($L169="",$P169=""),"",IF(INDEX('支払先'!$M$5:$M$104,$P169)="対象外","",IF(AND($L169&gt;60,$K169&gt;=EDATE($B169,2)),"超える","")))</f>
        <v/>
      </c>
      <c r="N169" s="67" t="n"/>
      <c r="O169" s="31">
        <f>IF($A169="","",IFERROR(MATCH($A169,'通知一覧'!$B$5:$B$204,0),"なし"))</f>
        <v/>
      </c>
      <c r="P169" s="31">
        <f>IF(NOT(ISNUMBER($O169)),"",IFERROR(MATCH(INDEX('通知一覧'!$C$5:$C$204,$O169),'支払先'!$B$5:$B$104,0),""))</f>
        <v/>
      </c>
      <c r="Q169" s="31">
        <f>IF(AND($A169&lt;&gt;"",$A169='支払通知書'!$K$2),ROW(),"")</f>
        <v/>
      </c>
    </row>
    <row r="170" ht="18" customHeight="1">
      <c r="A170" s="18" t="n"/>
      <c r="B170" s="24" t="n"/>
      <c r="C170" s="19" t="n"/>
      <c r="D170" s="25" t="n"/>
      <c r="E170" s="18" t="n"/>
      <c r="F170" s="25" t="n"/>
      <c r="G170" s="18" t="n"/>
      <c r="H170" s="18" t="n"/>
      <c r="I170" s="26">
        <f>IF(OR($A170="",$F170=""),"",ROUND(IF($D170="",1,$D170)*$F170,0))</f>
        <v/>
      </c>
      <c r="J170" s="27">
        <f>IF($A170="","",IF($O170="なし","※通知一覧にない通知No",IF($P170="","",INDEX('支払先'!$C$5:$C$104,$P170)&amp;"")))</f>
        <v/>
      </c>
      <c r="K170" s="28">
        <f>IF(NOT(ISNUMBER($O170)),"",IF(ISNUMBER(INDEX('通知一覧'!$F$5:$F$204,$O170)),INDEX('通知一覧'!$F$5:$F$204,$O170),""))</f>
        <v/>
      </c>
      <c r="L170" s="29">
        <f>IF(AND(ISNUMBER($B170),ISNUMBER($K170)),$K170-$B170+1,"")</f>
        <v/>
      </c>
      <c r="M170" s="30">
        <f>IF(OR($L170="",$P170=""),"",IF(INDEX('支払先'!$M$5:$M$104,$P170)="対象外","",IF(AND($L170&gt;60,$K170&gt;=EDATE($B170,2)),"超える","")))</f>
        <v/>
      </c>
      <c r="N170" s="67" t="n"/>
      <c r="O170" s="31">
        <f>IF($A170="","",IFERROR(MATCH($A170,'通知一覧'!$B$5:$B$204,0),"なし"))</f>
        <v/>
      </c>
      <c r="P170" s="31">
        <f>IF(NOT(ISNUMBER($O170)),"",IFERROR(MATCH(INDEX('通知一覧'!$C$5:$C$204,$O170),'支払先'!$B$5:$B$104,0),""))</f>
        <v/>
      </c>
      <c r="Q170" s="31">
        <f>IF(AND($A170&lt;&gt;"",$A170='支払通知書'!$K$2),ROW(),"")</f>
        <v/>
      </c>
    </row>
    <row r="171" ht="18" customHeight="1">
      <c r="A171" s="18" t="n"/>
      <c r="B171" s="24" t="n"/>
      <c r="C171" s="19" t="n"/>
      <c r="D171" s="25" t="n"/>
      <c r="E171" s="18" t="n"/>
      <c r="F171" s="25" t="n"/>
      <c r="G171" s="18" t="n"/>
      <c r="H171" s="18" t="n"/>
      <c r="I171" s="26">
        <f>IF(OR($A171="",$F171=""),"",ROUND(IF($D171="",1,$D171)*$F171,0))</f>
        <v/>
      </c>
      <c r="J171" s="27">
        <f>IF($A171="","",IF($O171="なし","※通知一覧にない通知No",IF($P171="","",INDEX('支払先'!$C$5:$C$104,$P171)&amp;"")))</f>
        <v/>
      </c>
      <c r="K171" s="28">
        <f>IF(NOT(ISNUMBER($O171)),"",IF(ISNUMBER(INDEX('通知一覧'!$F$5:$F$204,$O171)),INDEX('通知一覧'!$F$5:$F$204,$O171),""))</f>
        <v/>
      </c>
      <c r="L171" s="29">
        <f>IF(AND(ISNUMBER($B171),ISNUMBER($K171)),$K171-$B171+1,"")</f>
        <v/>
      </c>
      <c r="M171" s="30">
        <f>IF(OR($L171="",$P171=""),"",IF(INDEX('支払先'!$M$5:$M$104,$P171)="対象外","",IF(AND($L171&gt;60,$K171&gt;=EDATE($B171,2)),"超える","")))</f>
        <v/>
      </c>
      <c r="N171" s="67" t="n"/>
      <c r="O171" s="31">
        <f>IF($A171="","",IFERROR(MATCH($A171,'通知一覧'!$B$5:$B$204,0),"なし"))</f>
        <v/>
      </c>
      <c r="P171" s="31">
        <f>IF(NOT(ISNUMBER($O171)),"",IFERROR(MATCH(INDEX('通知一覧'!$C$5:$C$204,$O171),'支払先'!$B$5:$B$104,0),""))</f>
        <v/>
      </c>
      <c r="Q171" s="31">
        <f>IF(AND($A171&lt;&gt;"",$A171='支払通知書'!$K$2),ROW(),"")</f>
        <v/>
      </c>
    </row>
    <row r="172" ht="18" customHeight="1">
      <c r="A172" s="18" t="n"/>
      <c r="B172" s="24" t="n"/>
      <c r="C172" s="19" t="n"/>
      <c r="D172" s="25" t="n"/>
      <c r="E172" s="18" t="n"/>
      <c r="F172" s="25" t="n"/>
      <c r="G172" s="18" t="n"/>
      <c r="H172" s="18" t="n"/>
      <c r="I172" s="26">
        <f>IF(OR($A172="",$F172=""),"",ROUND(IF($D172="",1,$D172)*$F172,0))</f>
        <v/>
      </c>
      <c r="J172" s="27">
        <f>IF($A172="","",IF($O172="なし","※通知一覧にない通知No",IF($P172="","",INDEX('支払先'!$C$5:$C$104,$P172)&amp;"")))</f>
        <v/>
      </c>
      <c r="K172" s="28">
        <f>IF(NOT(ISNUMBER($O172)),"",IF(ISNUMBER(INDEX('通知一覧'!$F$5:$F$204,$O172)),INDEX('通知一覧'!$F$5:$F$204,$O172),""))</f>
        <v/>
      </c>
      <c r="L172" s="29">
        <f>IF(AND(ISNUMBER($B172),ISNUMBER($K172)),$K172-$B172+1,"")</f>
        <v/>
      </c>
      <c r="M172" s="30">
        <f>IF(OR($L172="",$P172=""),"",IF(INDEX('支払先'!$M$5:$M$104,$P172)="対象外","",IF(AND($L172&gt;60,$K172&gt;=EDATE($B172,2)),"超える","")))</f>
        <v/>
      </c>
      <c r="N172" s="67" t="n"/>
      <c r="O172" s="31">
        <f>IF($A172="","",IFERROR(MATCH($A172,'通知一覧'!$B$5:$B$204,0),"なし"))</f>
        <v/>
      </c>
      <c r="P172" s="31">
        <f>IF(NOT(ISNUMBER($O172)),"",IFERROR(MATCH(INDEX('通知一覧'!$C$5:$C$204,$O172),'支払先'!$B$5:$B$104,0),""))</f>
        <v/>
      </c>
      <c r="Q172" s="31">
        <f>IF(AND($A172&lt;&gt;"",$A172='支払通知書'!$K$2),ROW(),"")</f>
        <v/>
      </c>
    </row>
    <row r="173" ht="18" customHeight="1">
      <c r="A173" s="18" t="n"/>
      <c r="B173" s="24" t="n"/>
      <c r="C173" s="19" t="n"/>
      <c r="D173" s="25" t="n"/>
      <c r="E173" s="18" t="n"/>
      <c r="F173" s="25" t="n"/>
      <c r="G173" s="18" t="n"/>
      <c r="H173" s="18" t="n"/>
      <c r="I173" s="26">
        <f>IF(OR($A173="",$F173=""),"",ROUND(IF($D173="",1,$D173)*$F173,0))</f>
        <v/>
      </c>
      <c r="J173" s="27">
        <f>IF($A173="","",IF($O173="なし","※通知一覧にない通知No",IF($P173="","",INDEX('支払先'!$C$5:$C$104,$P173)&amp;"")))</f>
        <v/>
      </c>
      <c r="K173" s="28">
        <f>IF(NOT(ISNUMBER($O173)),"",IF(ISNUMBER(INDEX('通知一覧'!$F$5:$F$204,$O173)),INDEX('通知一覧'!$F$5:$F$204,$O173),""))</f>
        <v/>
      </c>
      <c r="L173" s="29">
        <f>IF(AND(ISNUMBER($B173),ISNUMBER($K173)),$K173-$B173+1,"")</f>
        <v/>
      </c>
      <c r="M173" s="30">
        <f>IF(OR($L173="",$P173=""),"",IF(INDEX('支払先'!$M$5:$M$104,$P173)="対象外","",IF(AND($L173&gt;60,$K173&gt;=EDATE($B173,2)),"超える","")))</f>
        <v/>
      </c>
      <c r="N173" s="67" t="n"/>
      <c r="O173" s="31">
        <f>IF($A173="","",IFERROR(MATCH($A173,'通知一覧'!$B$5:$B$204,0),"なし"))</f>
        <v/>
      </c>
      <c r="P173" s="31">
        <f>IF(NOT(ISNUMBER($O173)),"",IFERROR(MATCH(INDEX('通知一覧'!$C$5:$C$204,$O173),'支払先'!$B$5:$B$104,0),""))</f>
        <v/>
      </c>
      <c r="Q173" s="31">
        <f>IF(AND($A173&lt;&gt;"",$A173='支払通知書'!$K$2),ROW(),"")</f>
        <v/>
      </c>
    </row>
    <row r="174" ht="18" customHeight="1">
      <c r="A174" s="18" t="n"/>
      <c r="B174" s="24" t="n"/>
      <c r="C174" s="19" t="n"/>
      <c r="D174" s="25" t="n"/>
      <c r="E174" s="18" t="n"/>
      <c r="F174" s="25" t="n"/>
      <c r="G174" s="18" t="n"/>
      <c r="H174" s="18" t="n"/>
      <c r="I174" s="26">
        <f>IF(OR($A174="",$F174=""),"",ROUND(IF($D174="",1,$D174)*$F174,0))</f>
        <v/>
      </c>
      <c r="J174" s="27">
        <f>IF($A174="","",IF($O174="なし","※通知一覧にない通知No",IF($P174="","",INDEX('支払先'!$C$5:$C$104,$P174)&amp;"")))</f>
        <v/>
      </c>
      <c r="K174" s="28">
        <f>IF(NOT(ISNUMBER($O174)),"",IF(ISNUMBER(INDEX('通知一覧'!$F$5:$F$204,$O174)),INDEX('通知一覧'!$F$5:$F$204,$O174),""))</f>
        <v/>
      </c>
      <c r="L174" s="29">
        <f>IF(AND(ISNUMBER($B174),ISNUMBER($K174)),$K174-$B174+1,"")</f>
        <v/>
      </c>
      <c r="M174" s="30">
        <f>IF(OR($L174="",$P174=""),"",IF(INDEX('支払先'!$M$5:$M$104,$P174)="対象外","",IF(AND($L174&gt;60,$K174&gt;=EDATE($B174,2)),"超える","")))</f>
        <v/>
      </c>
      <c r="N174" s="67" t="n"/>
      <c r="O174" s="31">
        <f>IF($A174="","",IFERROR(MATCH($A174,'通知一覧'!$B$5:$B$204,0),"なし"))</f>
        <v/>
      </c>
      <c r="P174" s="31">
        <f>IF(NOT(ISNUMBER($O174)),"",IFERROR(MATCH(INDEX('通知一覧'!$C$5:$C$204,$O174),'支払先'!$B$5:$B$104,0),""))</f>
        <v/>
      </c>
      <c r="Q174" s="31">
        <f>IF(AND($A174&lt;&gt;"",$A174='支払通知書'!$K$2),ROW(),"")</f>
        <v/>
      </c>
    </row>
    <row r="175" ht="18" customHeight="1">
      <c r="A175" s="18" t="n"/>
      <c r="B175" s="24" t="n"/>
      <c r="C175" s="19" t="n"/>
      <c r="D175" s="25" t="n"/>
      <c r="E175" s="18" t="n"/>
      <c r="F175" s="25" t="n"/>
      <c r="G175" s="18" t="n"/>
      <c r="H175" s="18" t="n"/>
      <c r="I175" s="26">
        <f>IF(OR($A175="",$F175=""),"",ROUND(IF($D175="",1,$D175)*$F175,0))</f>
        <v/>
      </c>
      <c r="J175" s="27">
        <f>IF($A175="","",IF($O175="なし","※通知一覧にない通知No",IF($P175="","",INDEX('支払先'!$C$5:$C$104,$P175)&amp;"")))</f>
        <v/>
      </c>
      <c r="K175" s="28">
        <f>IF(NOT(ISNUMBER($O175)),"",IF(ISNUMBER(INDEX('通知一覧'!$F$5:$F$204,$O175)),INDEX('通知一覧'!$F$5:$F$204,$O175),""))</f>
        <v/>
      </c>
      <c r="L175" s="29">
        <f>IF(AND(ISNUMBER($B175),ISNUMBER($K175)),$K175-$B175+1,"")</f>
        <v/>
      </c>
      <c r="M175" s="30">
        <f>IF(OR($L175="",$P175=""),"",IF(INDEX('支払先'!$M$5:$M$104,$P175)="対象外","",IF(AND($L175&gt;60,$K175&gt;=EDATE($B175,2)),"超える","")))</f>
        <v/>
      </c>
      <c r="N175" s="67" t="n"/>
      <c r="O175" s="31">
        <f>IF($A175="","",IFERROR(MATCH($A175,'通知一覧'!$B$5:$B$204,0),"なし"))</f>
        <v/>
      </c>
      <c r="P175" s="31">
        <f>IF(NOT(ISNUMBER($O175)),"",IFERROR(MATCH(INDEX('通知一覧'!$C$5:$C$204,$O175),'支払先'!$B$5:$B$104,0),""))</f>
        <v/>
      </c>
      <c r="Q175" s="31">
        <f>IF(AND($A175&lt;&gt;"",$A175='支払通知書'!$K$2),ROW(),"")</f>
        <v/>
      </c>
    </row>
    <row r="176" ht="18" customHeight="1">
      <c r="A176" s="18" t="n"/>
      <c r="B176" s="24" t="n"/>
      <c r="C176" s="19" t="n"/>
      <c r="D176" s="25" t="n"/>
      <c r="E176" s="18" t="n"/>
      <c r="F176" s="25" t="n"/>
      <c r="G176" s="18" t="n"/>
      <c r="H176" s="18" t="n"/>
      <c r="I176" s="26">
        <f>IF(OR($A176="",$F176=""),"",ROUND(IF($D176="",1,$D176)*$F176,0))</f>
        <v/>
      </c>
      <c r="J176" s="27">
        <f>IF($A176="","",IF($O176="なし","※通知一覧にない通知No",IF($P176="","",INDEX('支払先'!$C$5:$C$104,$P176)&amp;"")))</f>
        <v/>
      </c>
      <c r="K176" s="28">
        <f>IF(NOT(ISNUMBER($O176)),"",IF(ISNUMBER(INDEX('通知一覧'!$F$5:$F$204,$O176)),INDEX('通知一覧'!$F$5:$F$204,$O176),""))</f>
        <v/>
      </c>
      <c r="L176" s="29">
        <f>IF(AND(ISNUMBER($B176),ISNUMBER($K176)),$K176-$B176+1,"")</f>
        <v/>
      </c>
      <c r="M176" s="30">
        <f>IF(OR($L176="",$P176=""),"",IF(INDEX('支払先'!$M$5:$M$104,$P176)="対象外","",IF(AND($L176&gt;60,$K176&gt;=EDATE($B176,2)),"超える","")))</f>
        <v/>
      </c>
      <c r="N176" s="67" t="n"/>
      <c r="O176" s="31">
        <f>IF($A176="","",IFERROR(MATCH($A176,'通知一覧'!$B$5:$B$204,0),"なし"))</f>
        <v/>
      </c>
      <c r="P176" s="31">
        <f>IF(NOT(ISNUMBER($O176)),"",IFERROR(MATCH(INDEX('通知一覧'!$C$5:$C$204,$O176),'支払先'!$B$5:$B$104,0),""))</f>
        <v/>
      </c>
      <c r="Q176" s="31">
        <f>IF(AND($A176&lt;&gt;"",$A176='支払通知書'!$K$2),ROW(),"")</f>
        <v/>
      </c>
    </row>
    <row r="177" ht="18" customHeight="1">
      <c r="A177" s="18" t="n"/>
      <c r="B177" s="24" t="n"/>
      <c r="C177" s="19" t="n"/>
      <c r="D177" s="25" t="n"/>
      <c r="E177" s="18" t="n"/>
      <c r="F177" s="25" t="n"/>
      <c r="G177" s="18" t="n"/>
      <c r="H177" s="18" t="n"/>
      <c r="I177" s="26">
        <f>IF(OR($A177="",$F177=""),"",ROUND(IF($D177="",1,$D177)*$F177,0))</f>
        <v/>
      </c>
      <c r="J177" s="27">
        <f>IF($A177="","",IF($O177="なし","※通知一覧にない通知No",IF($P177="","",INDEX('支払先'!$C$5:$C$104,$P177)&amp;"")))</f>
        <v/>
      </c>
      <c r="K177" s="28">
        <f>IF(NOT(ISNUMBER($O177)),"",IF(ISNUMBER(INDEX('通知一覧'!$F$5:$F$204,$O177)),INDEX('通知一覧'!$F$5:$F$204,$O177),""))</f>
        <v/>
      </c>
      <c r="L177" s="29">
        <f>IF(AND(ISNUMBER($B177),ISNUMBER($K177)),$K177-$B177+1,"")</f>
        <v/>
      </c>
      <c r="M177" s="30">
        <f>IF(OR($L177="",$P177=""),"",IF(INDEX('支払先'!$M$5:$M$104,$P177)="対象外","",IF(AND($L177&gt;60,$K177&gt;=EDATE($B177,2)),"超える","")))</f>
        <v/>
      </c>
      <c r="N177" s="67" t="n"/>
      <c r="O177" s="31">
        <f>IF($A177="","",IFERROR(MATCH($A177,'通知一覧'!$B$5:$B$204,0),"なし"))</f>
        <v/>
      </c>
      <c r="P177" s="31">
        <f>IF(NOT(ISNUMBER($O177)),"",IFERROR(MATCH(INDEX('通知一覧'!$C$5:$C$204,$O177),'支払先'!$B$5:$B$104,0),""))</f>
        <v/>
      </c>
      <c r="Q177" s="31">
        <f>IF(AND($A177&lt;&gt;"",$A177='支払通知書'!$K$2),ROW(),"")</f>
        <v/>
      </c>
    </row>
    <row r="178" ht="18" customHeight="1">
      <c r="A178" s="18" t="n"/>
      <c r="B178" s="24" t="n"/>
      <c r="C178" s="19" t="n"/>
      <c r="D178" s="25" t="n"/>
      <c r="E178" s="18" t="n"/>
      <c r="F178" s="25" t="n"/>
      <c r="G178" s="18" t="n"/>
      <c r="H178" s="18" t="n"/>
      <c r="I178" s="26">
        <f>IF(OR($A178="",$F178=""),"",ROUND(IF($D178="",1,$D178)*$F178,0))</f>
        <v/>
      </c>
      <c r="J178" s="27">
        <f>IF($A178="","",IF($O178="なし","※通知一覧にない通知No",IF($P178="","",INDEX('支払先'!$C$5:$C$104,$P178)&amp;"")))</f>
        <v/>
      </c>
      <c r="K178" s="28">
        <f>IF(NOT(ISNUMBER($O178)),"",IF(ISNUMBER(INDEX('通知一覧'!$F$5:$F$204,$O178)),INDEX('通知一覧'!$F$5:$F$204,$O178),""))</f>
        <v/>
      </c>
      <c r="L178" s="29">
        <f>IF(AND(ISNUMBER($B178),ISNUMBER($K178)),$K178-$B178+1,"")</f>
        <v/>
      </c>
      <c r="M178" s="30">
        <f>IF(OR($L178="",$P178=""),"",IF(INDEX('支払先'!$M$5:$M$104,$P178)="対象外","",IF(AND($L178&gt;60,$K178&gt;=EDATE($B178,2)),"超える","")))</f>
        <v/>
      </c>
      <c r="N178" s="67" t="n"/>
      <c r="O178" s="31">
        <f>IF($A178="","",IFERROR(MATCH($A178,'通知一覧'!$B$5:$B$204,0),"なし"))</f>
        <v/>
      </c>
      <c r="P178" s="31">
        <f>IF(NOT(ISNUMBER($O178)),"",IFERROR(MATCH(INDEX('通知一覧'!$C$5:$C$204,$O178),'支払先'!$B$5:$B$104,0),""))</f>
        <v/>
      </c>
      <c r="Q178" s="31">
        <f>IF(AND($A178&lt;&gt;"",$A178='支払通知書'!$K$2),ROW(),"")</f>
        <v/>
      </c>
    </row>
    <row r="179" ht="18" customHeight="1">
      <c r="A179" s="18" t="n"/>
      <c r="B179" s="24" t="n"/>
      <c r="C179" s="19" t="n"/>
      <c r="D179" s="25" t="n"/>
      <c r="E179" s="18" t="n"/>
      <c r="F179" s="25" t="n"/>
      <c r="G179" s="18" t="n"/>
      <c r="H179" s="18" t="n"/>
      <c r="I179" s="26">
        <f>IF(OR($A179="",$F179=""),"",ROUND(IF($D179="",1,$D179)*$F179,0))</f>
        <v/>
      </c>
      <c r="J179" s="27">
        <f>IF($A179="","",IF($O179="なし","※通知一覧にない通知No",IF($P179="","",INDEX('支払先'!$C$5:$C$104,$P179)&amp;"")))</f>
        <v/>
      </c>
      <c r="K179" s="28">
        <f>IF(NOT(ISNUMBER($O179)),"",IF(ISNUMBER(INDEX('通知一覧'!$F$5:$F$204,$O179)),INDEX('通知一覧'!$F$5:$F$204,$O179),""))</f>
        <v/>
      </c>
      <c r="L179" s="29">
        <f>IF(AND(ISNUMBER($B179),ISNUMBER($K179)),$K179-$B179+1,"")</f>
        <v/>
      </c>
      <c r="M179" s="30">
        <f>IF(OR($L179="",$P179=""),"",IF(INDEX('支払先'!$M$5:$M$104,$P179)="対象外","",IF(AND($L179&gt;60,$K179&gt;=EDATE($B179,2)),"超える","")))</f>
        <v/>
      </c>
      <c r="N179" s="67" t="n"/>
      <c r="O179" s="31">
        <f>IF($A179="","",IFERROR(MATCH($A179,'通知一覧'!$B$5:$B$204,0),"なし"))</f>
        <v/>
      </c>
      <c r="P179" s="31">
        <f>IF(NOT(ISNUMBER($O179)),"",IFERROR(MATCH(INDEX('通知一覧'!$C$5:$C$204,$O179),'支払先'!$B$5:$B$104,0),""))</f>
        <v/>
      </c>
      <c r="Q179" s="31">
        <f>IF(AND($A179&lt;&gt;"",$A179='支払通知書'!$K$2),ROW(),"")</f>
        <v/>
      </c>
    </row>
    <row r="180" ht="18" customHeight="1">
      <c r="A180" s="18" t="n"/>
      <c r="B180" s="24" t="n"/>
      <c r="C180" s="19" t="n"/>
      <c r="D180" s="25" t="n"/>
      <c r="E180" s="18" t="n"/>
      <c r="F180" s="25" t="n"/>
      <c r="G180" s="18" t="n"/>
      <c r="H180" s="18" t="n"/>
      <c r="I180" s="26">
        <f>IF(OR($A180="",$F180=""),"",ROUND(IF($D180="",1,$D180)*$F180,0))</f>
        <v/>
      </c>
      <c r="J180" s="27">
        <f>IF($A180="","",IF($O180="なし","※通知一覧にない通知No",IF($P180="","",INDEX('支払先'!$C$5:$C$104,$P180)&amp;"")))</f>
        <v/>
      </c>
      <c r="K180" s="28">
        <f>IF(NOT(ISNUMBER($O180)),"",IF(ISNUMBER(INDEX('通知一覧'!$F$5:$F$204,$O180)),INDEX('通知一覧'!$F$5:$F$204,$O180),""))</f>
        <v/>
      </c>
      <c r="L180" s="29">
        <f>IF(AND(ISNUMBER($B180),ISNUMBER($K180)),$K180-$B180+1,"")</f>
        <v/>
      </c>
      <c r="M180" s="30">
        <f>IF(OR($L180="",$P180=""),"",IF(INDEX('支払先'!$M$5:$M$104,$P180)="対象外","",IF(AND($L180&gt;60,$K180&gt;=EDATE($B180,2)),"超える","")))</f>
        <v/>
      </c>
      <c r="N180" s="67" t="n"/>
      <c r="O180" s="31">
        <f>IF($A180="","",IFERROR(MATCH($A180,'通知一覧'!$B$5:$B$204,0),"なし"))</f>
        <v/>
      </c>
      <c r="P180" s="31">
        <f>IF(NOT(ISNUMBER($O180)),"",IFERROR(MATCH(INDEX('通知一覧'!$C$5:$C$204,$O180),'支払先'!$B$5:$B$104,0),""))</f>
        <v/>
      </c>
      <c r="Q180" s="31">
        <f>IF(AND($A180&lt;&gt;"",$A180='支払通知書'!$K$2),ROW(),"")</f>
        <v/>
      </c>
    </row>
    <row r="181" ht="18" customHeight="1">
      <c r="A181" s="18" t="n"/>
      <c r="B181" s="24" t="n"/>
      <c r="C181" s="19" t="n"/>
      <c r="D181" s="25" t="n"/>
      <c r="E181" s="18" t="n"/>
      <c r="F181" s="25" t="n"/>
      <c r="G181" s="18" t="n"/>
      <c r="H181" s="18" t="n"/>
      <c r="I181" s="26">
        <f>IF(OR($A181="",$F181=""),"",ROUND(IF($D181="",1,$D181)*$F181,0))</f>
        <v/>
      </c>
      <c r="J181" s="27">
        <f>IF($A181="","",IF($O181="なし","※通知一覧にない通知No",IF($P181="","",INDEX('支払先'!$C$5:$C$104,$P181)&amp;"")))</f>
        <v/>
      </c>
      <c r="K181" s="28">
        <f>IF(NOT(ISNUMBER($O181)),"",IF(ISNUMBER(INDEX('通知一覧'!$F$5:$F$204,$O181)),INDEX('通知一覧'!$F$5:$F$204,$O181),""))</f>
        <v/>
      </c>
      <c r="L181" s="29">
        <f>IF(AND(ISNUMBER($B181),ISNUMBER($K181)),$K181-$B181+1,"")</f>
        <v/>
      </c>
      <c r="M181" s="30">
        <f>IF(OR($L181="",$P181=""),"",IF(INDEX('支払先'!$M$5:$M$104,$P181)="対象外","",IF(AND($L181&gt;60,$K181&gt;=EDATE($B181,2)),"超える","")))</f>
        <v/>
      </c>
      <c r="N181" s="67" t="n"/>
      <c r="O181" s="31">
        <f>IF($A181="","",IFERROR(MATCH($A181,'通知一覧'!$B$5:$B$204,0),"なし"))</f>
        <v/>
      </c>
      <c r="P181" s="31">
        <f>IF(NOT(ISNUMBER($O181)),"",IFERROR(MATCH(INDEX('通知一覧'!$C$5:$C$204,$O181),'支払先'!$B$5:$B$104,0),""))</f>
        <v/>
      </c>
      <c r="Q181" s="31">
        <f>IF(AND($A181&lt;&gt;"",$A181='支払通知書'!$K$2),ROW(),"")</f>
        <v/>
      </c>
    </row>
    <row r="182" ht="18" customHeight="1">
      <c r="A182" s="18" t="n"/>
      <c r="B182" s="24" t="n"/>
      <c r="C182" s="19" t="n"/>
      <c r="D182" s="25" t="n"/>
      <c r="E182" s="18" t="n"/>
      <c r="F182" s="25" t="n"/>
      <c r="G182" s="18" t="n"/>
      <c r="H182" s="18" t="n"/>
      <c r="I182" s="26">
        <f>IF(OR($A182="",$F182=""),"",ROUND(IF($D182="",1,$D182)*$F182,0))</f>
        <v/>
      </c>
      <c r="J182" s="27">
        <f>IF($A182="","",IF($O182="なし","※通知一覧にない通知No",IF($P182="","",INDEX('支払先'!$C$5:$C$104,$P182)&amp;"")))</f>
        <v/>
      </c>
      <c r="K182" s="28">
        <f>IF(NOT(ISNUMBER($O182)),"",IF(ISNUMBER(INDEX('通知一覧'!$F$5:$F$204,$O182)),INDEX('通知一覧'!$F$5:$F$204,$O182),""))</f>
        <v/>
      </c>
      <c r="L182" s="29">
        <f>IF(AND(ISNUMBER($B182),ISNUMBER($K182)),$K182-$B182+1,"")</f>
        <v/>
      </c>
      <c r="M182" s="30">
        <f>IF(OR($L182="",$P182=""),"",IF(INDEX('支払先'!$M$5:$M$104,$P182)="対象外","",IF(AND($L182&gt;60,$K182&gt;=EDATE($B182,2)),"超える","")))</f>
        <v/>
      </c>
      <c r="N182" s="67" t="n"/>
      <c r="O182" s="31">
        <f>IF($A182="","",IFERROR(MATCH($A182,'通知一覧'!$B$5:$B$204,0),"なし"))</f>
        <v/>
      </c>
      <c r="P182" s="31">
        <f>IF(NOT(ISNUMBER($O182)),"",IFERROR(MATCH(INDEX('通知一覧'!$C$5:$C$204,$O182),'支払先'!$B$5:$B$104,0),""))</f>
        <v/>
      </c>
      <c r="Q182" s="31">
        <f>IF(AND($A182&lt;&gt;"",$A182='支払通知書'!$K$2),ROW(),"")</f>
        <v/>
      </c>
    </row>
    <row r="183" ht="18" customHeight="1">
      <c r="A183" s="18" t="n"/>
      <c r="B183" s="24" t="n"/>
      <c r="C183" s="19" t="n"/>
      <c r="D183" s="25" t="n"/>
      <c r="E183" s="18" t="n"/>
      <c r="F183" s="25" t="n"/>
      <c r="G183" s="18" t="n"/>
      <c r="H183" s="18" t="n"/>
      <c r="I183" s="26">
        <f>IF(OR($A183="",$F183=""),"",ROUND(IF($D183="",1,$D183)*$F183,0))</f>
        <v/>
      </c>
      <c r="J183" s="27">
        <f>IF($A183="","",IF($O183="なし","※通知一覧にない通知No",IF($P183="","",INDEX('支払先'!$C$5:$C$104,$P183)&amp;"")))</f>
        <v/>
      </c>
      <c r="K183" s="28">
        <f>IF(NOT(ISNUMBER($O183)),"",IF(ISNUMBER(INDEX('通知一覧'!$F$5:$F$204,$O183)),INDEX('通知一覧'!$F$5:$F$204,$O183),""))</f>
        <v/>
      </c>
      <c r="L183" s="29">
        <f>IF(AND(ISNUMBER($B183),ISNUMBER($K183)),$K183-$B183+1,"")</f>
        <v/>
      </c>
      <c r="M183" s="30">
        <f>IF(OR($L183="",$P183=""),"",IF(INDEX('支払先'!$M$5:$M$104,$P183)="対象外","",IF(AND($L183&gt;60,$K183&gt;=EDATE($B183,2)),"超える","")))</f>
        <v/>
      </c>
      <c r="N183" s="67" t="n"/>
      <c r="O183" s="31">
        <f>IF($A183="","",IFERROR(MATCH($A183,'通知一覧'!$B$5:$B$204,0),"なし"))</f>
        <v/>
      </c>
      <c r="P183" s="31">
        <f>IF(NOT(ISNUMBER($O183)),"",IFERROR(MATCH(INDEX('通知一覧'!$C$5:$C$204,$O183),'支払先'!$B$5:$B$104,0),""))</f>
        <v/>
      </c>
      <c r="Q183" s="31">
        <f>IF(AND($A183&lt;&gt;"",$A183='支払通知書'!$K$2),ROW(),"")</f>
        <v/>
      </c>
    </row>
    <row r="184" ht="18" customHeight="1">
      <c r="A184" s="18" t="n"/>
      <c r="B184" s="24" t="n"/>
      <c r="C184" s="19" t="n"/>
      <c r="D184" s="25" t="n"/>
      <c r="E184" s="18" t="n"/>
      <c r="F184" s="25" t="n"/>
      <c r="G184" s="18" t="n"/>
      <c r="H184" s="18" t="n"/>
      <c r="I184" s="26">
        <f>IF(OR($A184="",$F184=""),"",ROUND(IF($D184="",1,$D184)*$F184,0))</f>
        <v/>
      </c>
      <c r="J184" s="27">
        <f>IF($A184="","",IF($O184="なし","※通知一覧にない通知No",IF($P184="","",INDEX('支払先'!$C$5:$C$104,$P184)&amp;"")))</f>
        <v/>
      </c>
      <c r="K184" s="28">
        <f>IF(NOT(ISNUMBER($O184)),"",IF(ISNUMBER(INDEX('通知一覧'!$F$5:$F$204,$O184)),INDEX('通知一覧'!$F$5:$F$204,$O184),""))</f>
        <v/>
      </c>
      <c r="L184" s="29">
        <f>IF(AND(ISNUMBER($B184),ISNUMBER($K184)),$K184-$B184+1,"")</f>
        <v/>
      </c>
      <c r="M184" s="30">
        <f>IF(OR($L184="",$P184=""),"",IF(INDEX('支払先'!$M$5:$M$104,$P184)="対象外","",IF(AND($L184&gt;60,$K184&gt;=EDATE($B184,2)),"超える","")))</f>
        <v/>
      </c>
      <c r="N184" s="67" t="n"/>
      <c r="O184" s="31">
        <f>IF($A184="","",IFERROR(MATCH($A184,'通知一覧'!$B$5:$B$204,0),"なし"))</f>
        <v/>
      </c>
      <c r="P184" s="31">
        <f>IF(NOT(ISNUMBER($O184)),"",IFERROR(MATCH(INDEX('通知一覧'!$C$5:$C$204,$O184),'支払先'!$B$5:$B$104,0),""))</f>
        <v/>
      </c>
      <c r="Q184" s="31">
        <f>IF(AND($A184&lt;&gt;"",$A184='支払通知書'!$K$2),ROW(),"")</f>
        <v/>
      </c>
    </row>
    <row r="185" ht="18" customHeight="1">
      <c r="A185" s="18" t="n"/>
      <c r="B185" s="24" t="n"/>
      <c r="C185" s="19" t="n"/>
      <c r="D185" s="25" t="n"/>
      <c r="E185" s="18" t="n"/>
      <c r="F185" s="25" t="n"/>
      <c r="G185" s="18" t="n"/>
      <c r="H185" s="18" t="n"/>
      <c r="I185" s="26">
        <f>IF(OR($A185="",$F185=""),"",ROUND(IF($D185="",1,$D185)*$F185,0))</f>
        <v/>
      </c>
      <c r="J185" s="27">
        <f>IF($A185="","",IF($O185="なし","※通知一覧にない通知No",IF($P185="","",INDEX('支払先'!$C$5:$C$104,$P185)&amp;"")))</f>
        <v/>
      </c>
      <c r="K185" s="28">
        <f>IF(NOT(ISNUMBER($O185)),"",IF(ISNUMBER(INDEX('通知一覧'!$F$5:$F$204,$O185)),INDEX('通知一覧'!$F$5:$F$204,$O185),""))</f>
        <v/>
      </c>
      <c r="L185" s="29">
        <f>IF(AND(ISNUMBER($B185),ISNUMBER($K185)),$K185-$B185+1,"")</f>
        <v/>
      </c>
      <c r="M185" s="30">
        <f>IF(OR($L185="",$P185=""),"",IF(INDEX('支払先'!$M$5:$M$104,$P185)="対象外","",IF(AND($L185&gt;60,$K185&gt;=EDATE($B185,2)),"超える","")))</f>
        <v/>
      </c>
      <c r="N185" s="67" t="n"/>
      <c r="O185" s="31">
        <f>IF($A185="","",IFERROR(MATCH($A185,'通知一覧'!$B$5:$B$204,0),"なし"))</f>
        <v/>
      </c>
      <c r="P185" s="31">
        <f>IF(NOT(ISNUMBER($O185)),"",IFERROR(MATCH(INDEX('通知一覧'!$C$5:$C$204,$O185),'支払先'!$B$5:$B$104,0),""))</f>
        <v/>
      </c>
      <c r="Q185" s="31">
        <f>IF(AND($A185&lt;&gt;"",$A185='支払通知書'!$K$2),ROW(),"")</f>
        <v/>
      </c>
    </row>
    <row r="186" ht="18" customHeight="1">
      <c r="A186" s="18" t="n"/>
      <c r="B186" s="24" t="n"/>
      <c r="C186" s="19" t="n"/>
      <c r="D186" s="25" t="n"/>
      <c r="E186" s="18" t="n"/>
      <c r="F186" s="25" t="n"/>
      <c r="G186" s="18" t="n"/>
      <c r="H186" s="18" t="n"/>
      <c r="I186" s="26">
        <f>IF(OR($A186="",$F186=""),"",ROUND(IF($D186="",1,$D186)*$F186,0))</f>
        <v/>
      </c>
      <c r="J186" s="27">
        <f>IF($A186="","",IF($O186="なし","※通知一覧にない通知No",IF($P186="","",INDEX('支払先'!$C$5:$C$104,$P186)&amp;"")))</f>
        <v/>
      </c>
      <c r="K186" s="28">
        <f>IF(NOT(ISNUMBER($O186)),"",IF(ISNUMBER(INDEX('通知一覧'!$F$5:$F$204,$O186)),INDEX('通知一覧'!$F$5:$F$204,$O186),""))</f>
        <v/>
      </c>
      <c r="L186" s="29">
        <f>IF(AND(ISNUMBER($B186),ISNUMBER($K186)),$K186-$B186+1,"")</f>
        <v/>
      </c>
      <c r="M186" s="30">
        <f>IF(OR($L186="",$P186=""),"",IF(INDEX('支払先'!$M$5:$M$104,$P186)="対象外","",IF(AND($L186&gt;60,$K186&gt;=EDATE($B186,2)),"超える","")))</f>
        <v/>
      </c>
      <c r="N186" s="67" t="n"/>
      <c r="O186" s="31">
        <f>IF($A186="","",IFERROR(MATCH($A186,'通知一覧'!$B$5:$B$204,0),"なし"))</f>
        <v/>
      </c>
      <c r="P186" s="31">
        <f>IF(NOT(ISNUMBER($O186)),"",IFERROR(MATCH(INDEX('通知一覧'!$C$5:$C$204,$O186),'支払先'!$B$5:$B$104,0),""))</f>
        <v/>
      </c>
      <c r="Q186" s="31">
        <f>IF(AND($A186&lt;&gt;"",$A186='支払通知書'!$K$2),ROW(),"")</f>
        <v/>
      </c>
    </row>
    <row r="187" ht="18" customHeight="1">
      <c r="A187" s="18" t="n"/>
      <c r="B187" s="24" t="n"/>
      <c r="C187" s="19" t="n"/>
      <c r="D187" s="25" t="n"/>
      <c r="E187" s="18" t="n"/>
      <c r="F187" s="25" t="n"/>
      <c r="G187" s="18" t="n"/>
      <c r="H187" s="18" t="n"/>
      <c r="I187" s="26">
        <f>IF(OR($A187="",$F187=""),"",ROUND(IF($D187="",1,$D187)*$F187,0))</f>
        <v/>
      </c>
      <c r="J187" s="27">
        <f>IF($A187="","",IF($O187="なし","※通知一覧にない通知No",IF($P187="","",INDEX('支払先'!$C$5:$C$104,$P187)&amp;"")))</f>
        <v/>
      </c>
      <c r="K187" s="28">
        <f>IF(NOT(ISNUMBER($O187)),"",IF(ISNUMBER(INDEX('通知一覧'!$F$5:$F$204,$O187)),INDEX('通知一覧'!$F$5:$F$204,$O187),""))</f>
        <v/>
      </c>
      <c r="L187" s="29">
        <f>IF(AND(ISNUMBER($B187),ISNUMBER($K187)),$K187-$B187+1,"")</f>
        <v/>
      </c>
      <c r="M187" s="30">
        <f>IF(OR($L187="",$P187=""),"",IF(INDEX('支払先'!$M$5:$M$104,$P187)="対象外","",IF(AND($L187&gt;60,$K187&gt;=EDATE($B187,2)),"超える","")))</f>
        <v/>
      </c>
      <c r="N187" s="67" t="n"/>
      <c r="O187" s="31">
        <f>IF($A187="","",IFERROR(MATCH($A187,'通知一覧'!$B$5:$B$204,0),"なし"))</f>
        <v/>
      </c>
      <c r="P187" s="31">
        <f>IF(NOT(ISNUMBER($O187)),"",IFERROR(MATCH(INDEX('通知一覧'!$C$5:$C$204,$O187),'支払先'!$B$5:$B$104,0),""))</f>
        <v/>
      </c>
      <c r="Q187" s="31">
        <f>IF(AND($A187&lt;&gt;"",$A187='支払通知書'!$K$2),ROW(),"")</f>
        <v/>
      </c>
    </row>
    <row r="188" ht="18" customHeight="1">
      <c r="A188" s="18" t="n"/>
      <c r="B188" s="24" t="n"/>
      <c r="C188" s="19" t="n"/>
      <c r="D188" s="25" t="n"/>
      <c r="E188" s="18" t="n"/>
      <c r="F188" s="25" t="n"/>
      <c r="G188" s="18" t="n"/>
      <c r="H188" s="18" t="n"/>
      <c r="I188" s="26">
        <f>IF(OR($A188="",$F188=""),"",ROUND(IF($D188="",1,$D188)*$F188,0))</f>
        <v/>
      </c>
      <c r="J188" s="27">
        <f>IF($A188="","",IF($O188="なし","※通知一覧にない通知No",IF($P188="","",INDEX('支払先'!$C$5:$C$104,$P188)&amp;"")))</f>
        <v/>
      </c>
      <c r="K188" s="28">
        <f>IF(NOT(ISNUMBER($O188)),"",IF(ISNUMBER(INDEX('通知一覧'!$F$5:$F$204,$O188)),INDEX('通知一覧'!$F$5:$F$204,$O188),""))</f>
        <v/>
      </c>
      <c r="L188" s="29">
        <f>IF(AND(ISNUMBER($B188),ISNUMBER($K188)),$K188-$B188+1,"")</f>
        <v/>
      </c>
      <c r="M188" s="30">
        <f>IF(OR($L188="",$P188=""),"",IF(INDEX('支払先'!$M$5:$M$104,$P188)="対象外","",IF(AND($L188&gt;60,$K188&gt;=EDATE($B188,2)),"超える","")))</f>
        <v/>
      </c>
      <c r="N188" s="67" t="n"/>
      <c r="O188" s="31">
        <f>IF($A188="","",IFERROR(MATCH($A188,'通知一覧'!$B$5:$B$204,0),"なし"))</f>
        <v/>
      </c>
      <c r="P188" s="31">
        <f>IF(NOT(ISNUMBER($O188)),"",IFERROR(MATCH(INDEX('通知一覧'!$C$5:$C$204,$O188),'支払先'!$B$5:$B$104,0),""))</f>
        <v/>
      </c>
      <c r="Q188" s="31">
        <f>IF(AND($A188&lt;&gt;"",$A188='支払通知書'!$K$2),ROW(),"")</f>
        <v/>
      </c>
    </row>
    <row r="189" ht="18" customHeight="1">
      <c r="A189" s="18" t="n"/>
      <c r="B189" s="24" t="n"/>
      <c r="C189" s="19" t="n"/>
      <c r="D189" s="25" t="n"/>
      <c r="E189" s="18" t="n"/>
      <c r="F189" s="25" t="n"/>
      <c r="G189" s="18" t="n"/>
      <c r="H189" s="18" t="n"/>
      <c r="I189" s="26">
        <f>IF(OR($A189="",$F189=""),"",ROUND(IF($D189="",1,$D189)*$F189,0))</f>
        <v/>
      </c>
      <c r="J189" s="27">
        <f>IF($A189="","",IF($O189="なし","※通知一覧にない通知No",IF($P189="","",INDEX('支払先'!$C$5:$C$104,$P189)&amp;"")))</f>
        <v/>
      </c>
      <c r="K189" s="28">
        <f>IF(NOT(ISNUMBER($O189)),"",IF(ISNUMBER(INDEX('通知一覧'!$F$5:$F$204,$O189)),INDEX('通知一覧'!$F$5:$F$204,$O189),""))</f>
        <v/>
      </c>
      <c r="L189" s="29">
        <f>IF(AND(ISNUMBER($B189),ISNUMBER($K189)),$K189-$B189+1,"")</f>
        <v/>
      </c>
      <c r="M189" s="30">
        <f>IF(OR($L189="",$P189=""),"",IF(INDEX('支払先'!$M$5:$M$104,$P189)="対象外","",IF(AND($L189&gt;60,$K189&gt;=EDATE($B189,2)),"超える","")))</f>
        <v/>
      </c>
      <c r="N189" s="67" t="n"/>
      <c r="O189" s="31">
        <f>IF($A189="","",IFERROR(MATCH($A189,'通知一覧'!$B$5:$B$204,0),"なし"))</f>
        <v/>
      </c>
      <c r="P189" s="31">
        <f>IF(NOT(ISNUMBER($O189)),"",IFERROR(MATCH(INDEX('通知一覧'!$C$5:$C$204,$O189),'支払先'!$B$5:$B$104,0),""))</f>
        <v/>
      </c>
      <c r="Q189" s="31">
        <f>IF(AND($A189&lt;&gt;"",$A189='支払通知書'!$K$2),ROW(),"")</f>
        <v/>
      </c>
    </row>
    <row r="190" ht="18" customHeight="1">
      <c r="A190" s="18" t="n"/>
      <c r="B190" s="24" t="n"/>
      <c r="C190" s="19" t="n"/>
      <c r="D190" s="25" t="n"/>
      <c r="E190" s="18" t="n"/>
      <c r="F190" s="25" t="n"/>
      <c r="G190" s="18" t="n"/>
      <c r="H190" s="18" t="n"/>
      <c r="I190" s="26">
        <f>IF(OR($A190="",$F190=""),"",ROUND(IF($D190="",1,$D190)*$F190,0))</f>
        <v/>
      </c>
      <c r="J190" s="27">
        <f>IF($A190="","",IF($O190="なし","※通知一覧にない通知No",IF($P190="","",INDEX('支払先'!$C$5:$C$104,$P190)&amp;"")))</f>
        <v/>
      </c>
      <c r="K190" s="28">
        <f>IF(NOT(ISNUMBER($O190)),"",IF(ISNUMBER(INDEX('通知一覧'!$F$5:$F$204,$O190)),INDEX('通知一覧'!$F$5:$F$204,$O190),""))</f>
        <v/>
      </c>
      <c r="L190" s="29">
        <f>IF(AND(ISNUMBER($B190),ISNUMBER($K190)),$K190-$B190+1,"")</f>
        <v/>
      </c>
      <c r="M190" s="30">
        <f>IF(OR($L190="",$P190=""),"",IF(INDEX('支払先'!$M$5:$M$104,$P190)="対象外","",IF(AND($L190&gt;60,$K190&gt;=EDATE($B190,2)),"超える","")))</f>
        <v/>
      </c>
      <c r="N190" s="67" t="n"/>
      <c r="O190" s="31">
        <f>IF($A190="","",IFERROR(MATCH($A190,'通知一覧'!$B$5:$B$204,0),"なし"))</f>
        <v/>
      </c>
      <c r="P190" s="31">
        <f>IF(NOT(ISNUMBER($O190)),"",IFERROR(MATCH(INDEX('通知一覧'!$C$5:$C$204,$O190),'支払先'!$B$5:$B$104,0),""))</f>
        <v/>
      </c>
      <c r="Q190" s="31">
        <f>IF(AND($A190&lt;&gt;"",$A190='支払通知書'!$K$2),ROW(),"")</f>
        <v/>
      </c>
    </row>
    <row r="191" ht="18" customHeight="1">
      <c r="A191" s="18" t="n"/>
      <c r="B191" s="24" t="n"/>
      <c r="C191" s="19" t="n"/>
      <c r="D191" s="25" t="n"/>
      <c r="E191" s="18" t="n"/>
      <c r="F191" s="25" t="n"/>
      <c r="G191" s="18" t="n"/>
      <c r="H191" s="18" t="n"/>
      <c r="I191" s="26">
        <f>IF(OR($A191="",$F191=""),"",ROUND(IF($D191="",1,$D191)*$F191,0))</f>
        <v/>
      </c>
      <c r="J191" s="27">
        <f>IF($A191="","",IF($O191="なし","※通知一覧にない通知No",IF($P191="","",INDEX('支払先'!$C$5:$C$104,$P191)&amp;"")))</f>
        <v/>
      </c>
      <c r="K191" s="28">
        <f>IF(NOT(ISNUMBER($O191)),"",IF(ISNUMBER(INDEX('通知一覧'!$F$5:$F$204,$O191)),INDEX('通知一覧'!$F$5:$F$204,$O191),""))</f>
        <v/>
      </c>
      <c r="L191" s="29">
        <f>IF(AND(ISNUMBER($B191),ISNUMBER($K191)),$K191-$B191+1,"")</f>
        <v/>
      </c>
      <c r="M191" s="30">
        <f>IF(OR($L191="",$P191=""),"",IF(INDEX('支払先'!$M$5:$M$104,$P191)="対象外","",IF(AND($L191&gt;60,$K191&gt;=EDATE($B191,2)),"超える","")))</f>
        <v/>
      </c>
      <c r="N191" s="67" t="n"/>
      <c r="O191" s="31">
        <f>IF($A191="","",IFERROR(MATCH($A191,'通知一覧'!$B$5:$B$204,0),"なし"))</f>
        <v/>
      </c>
      <c r="P191" s="31">
        <f>IF(NOT(ISNUMBER($O191)),"",IFERROR(MATCH(INDEX('通知一覧'!$C$5:$C$204,$O191),'支払先'!$B$5:$B$104,0),""))</f>
        <v/>
      </c>
      <c r="Q191" s="31">
        <f>IF(AND($A191&lt;&gt;"",$A191='支払通知書'!$K$2),ROW(),"")</f>
        <v/>
      </c>
    </row>
    <row r="192" ht="18" customHeight="1">
      <c r="A192" s="18" t="n"/>
      <c r="B192" s="24" t="n"/>
      <c r="C192" s="19" t="n"/>
      <c r="D192" s="25" t="n"/>
      <c r="E192" s="18" t="n"/>
      <c r="F192" s="25" t="n"/>
      <c r="G192" s="18" t="n"/>
      <c r="H192" s="18" t="n"/>
      <c r="I192" s="26">
        <f>IF(OR($A192="",$F192=""),"",ROUND(IF($D192="",1,$D192)*$F192,0))</f>
        <v/>
      </c>
      <c r="J192" s="27">
        <f>IF($A192="","",IF($O192="なし","※通知一覧にない通知No",IF($P192="","",INDEX('支払先'!$C$5:$C$104,$P192)&amp;"")))</f>
        <v/>
      </c>
      <c r="K192" s="28">
        <f>IF(NOT(ISNUMBER($O192)),"",IF(ISNUMBER(INDEX('通知一覧'!$F$5:$F$204,$O192)),INDEX('通知一覧'!$F$5:$F$204,$O192),""))</f>
        <v/>
      </c>
      <c r="L192" s="29">
        <f>IF(AND(ISNUMBER($B192),ISNUMBER($K192)),$K192-$B192+1,"")</f>
        <v/>
      </c>
      <c r="M192" s="30">
        <f>IF(OR($L192="",$P192=""),"",IF(INDEX('支払先'!$M$5:$M$104,$P192)="対象外","",IF(AND($L192&gt;60,$K192&gt;=EDATE($B192,2)),"超える","")))</f>
        <v/>
      </c>
      <c r="N192" s="67" t="n"/>
      <c r="O192" s="31">
        <f>IF($A192="","",IFERROR(MATCH($A192,'通知一覧'!$B$5:$B$204,0),"なし"))</f>
        <v/>
      </c>
      <c r="P192" s="31">
        <f>IF(NOT(ISNUMBER($O192)),"",IFERROR(MATCH(INDEX('通知一覧'!$C$5:$C$204,$O192),'支払先'!$B$5:$B$104,0),""))</f>
        <v/>
      </c>
      <c r="Q192" s="31">
        <f>IF(AND($A192&lt;&gt;"",$A192='支払通知書'!$K$2),ROW(),"")</f>
        <v/>
      </c>
    </row>
    <row r="193" ht="18" customHeight="1">
      <c r="A193" s="18" t="n"/>
      <c r="B193" s="24" t="n"/>
      <c r="C193" s="19" t="n"/>
      <c r="D193" s="25" t="n"/>
      <c r="E193" s="18" t="n"/>
      <c r="F193" s="25" t="n"/>
      <c r="G193" s="18" t="n"/>
      <c r="H193" s="18" t="n"/>
      <c r="I193" s="26">
        <f>IF(OR($A193="",$F193=""),"",ROUND(IF($D193="",1,$D193)*$F193,0))</f>
        <v/>
      </c>
      <c r="J193" s="27">
        <f>IF($A193="","",IF($O193="なし","※通知一覧にない通知No",IF($P193="","",INDEX('支払先'!$C$5:$C$104,$P193)&amp;"")))</f>
        <v/>
      </c>
      <c r="K193" s="28">
        <f>IF(NOT(ISNUMBER($O193)),"",IF(ISNUMBER(INDEX('通知一覧'!$F$5:$F$204,$O193)),INDEX('通知一覧'!$F$5:$F$204,$O193),""))</f>
        <v/>
      </c>
      <c r="L193" s="29">
        <f>IF(AND(ISNUMBER($B193),ISNUMBER($K193)),$K193-$B193+1,"")</f>
        <v/>
      </c>
      <c r="M193" s="30">
        <f>IF(OR($L193="",$P193=""),"",IF(INDEX('支払先'!$M$5:$M$104,$P193)="対象外","",IF(AND($L193&gt;60,$K193&gt;=EDATE($B193,2)),"超える","")))</f>
        <v/>
      </c>
      <c r="N193" s="67" t="n"/>
      <c r="O193" s="31">
        <f>IF($A193="","",IFERROR(MATCH($A193,'通知一覧'!$B$5:$B$204,0),"なし"))</f>
        <v/>
      </c>
      <c r="P193" s="31">
        <f>IF(NOT(ISNUMBER($O193)),"",IFERROR(MATCH(INDEX('通知一覧'!$C$5:$C$204,$O193),'支払先'!$B$5:$B$104,0),""))</f>
        <v/>
      </c>
      <c r="Q193" s="31">
        <f>IF(AND($A193&lt;&gt;"",$A193='支払通知書'!$K$2),ROW(),"")</f>
        <v/>
      </c>
    </row>
    <row r="194" ht="18" customHeight="1">
      <c r="A194" s="18" t="n"/>
      <c r="B194" s="24" t="n"/>
      <c r="C194" s="19" t="n"/>
      <c r="D194" s="25" t="n"/>
      <c r="E194" s="18" t="n"/>
      <c r="F194" s="25" t="n"/>
      <c r="G194" s="18" t="n"/>
      <c r="H194" s="18" t="n"/>
      <c r="I194" s="26">
        <f>IF(OR($A194="",$F194=""),"",ROUND(IF($D194="",1,$D194)*$F194,0))</f>
        <v/>
      </c>
      <c r="J194" s="27">
        <f>IF($A194="","",IF($O194="なし","※通知一覧にない通知No",IF($P194="","",INDEX('支払先'!$C$5:$C$104,$P194)&amp;"")))</f>
        <v/>
      </c>
      <c r="K194" s="28">
        <f>IF(NOT(ISNUMBER($O194)),"",IF(ISNUMBER(INDEX('通知一覧'!$F$5:$F$204,$O194)),INDEX('通知一覧'!$F$5:$F$204,$O194),""))</f>
        <v/>
      </c>
      <c r="L194" s="29">
        <f>IF(AND(ISNUMBER($B194),ISNUMBER($K194)),$K194-$B194+1,"")</f>
        <v/>
      </c>
      <c r="M194" s="30">
        <f>IF(OR($L194="",$P194=""),"",IF(INDEX('支払先'!$M$5:$M$104,$P194)="対象外","",IF(AND($L194&gt;60,$K194&gt;=EDATE($B194,2)),"超える","")))</f>
        <v/>
      </c>
      <c r="N194" s="67" t="n"/>
      <c r="O194" s="31">
        <f>IF($A194="","",IFERROR(MATCH($A194,'通知一覧'!$B$5:$B$204,0),"なし"))</f>
        <v/>
      </c>
      <c r="P194" s="31">
        <f>IF(NOT(ISNUMBER($O194)),"",IFERROR(MATCH(INDEX('通知一覧'!$C$5:$C$204,$O194),'支払先'!$B$5:$B$104,0),""))</f>
        <v/>
      </c>
      <c r="Q194" s="31">
        <f>IF(AND($A194&lt;&gt;"",$A194='支払通知書'!$K$2),ROW(),"")</f>
        <v/>
      </c>
    </row>
    <row r="195" ht="18" customHeight="1">
      <c r="A195" s="18" t="n"/>
      <c r="B195" s="24" t="n"/>
      <c r="C195" s="19" t="n"/>
      <c r="D195" s="25" t="n"/>
      <c r="E195" s="18" t="n"/>
      <c r="F195" s="25" t="n"/>
      <c r="G195" s="18" t="n"/>
      <c r="H195" s="18" t="n"/>
      <c r="I195" s="26">
        <f>IF(OR($A195="",$F195=""),"",ROUND(IF($D195="",1,$D195)*$F195,0))</f>
        <v/>
      </c>
      <c r="J195" s="27">
        <f>IF($A195="","",IF($O195="なし","※通知一覧にない通知No",IF($P195="","",INDEX('支払先'!$C$5:$C$104,$P195)&amp;"")))</f>
        <v/>
      </c>
      <c r="K195" s="28">
        <f>IF(NOT(ISNUMBER($O195)),"",IF(ISNUMBER(INDEX('通知一覧'!$F$5:$F$204,$O195)),INDEX('通知一覧'!$F$5:$F$204,$O195),""))</f>
        <v/>
      </c>
      <c r="L195" s="29">
        <f>IF(AND(ISNUMBER($B195),ISNUMBER($K195)),$K195-$B195+1,"")</f>
        <v/>
      </c>
      <c r="M195" s="30">
        <f>IF(OR($L195="",$P195=""),"",IF(INDEX('支払先'!$M$5:$M$104,$P195)="対象外","",IF(AND($L195&gt;60,$K195&gt;=EDATE($B195,2)),"超える","")))</f>
        <v/>
      </c>
      <c r="N195" s="67" t="n"/>
      <c r="O195" s="31">
        <f>IF($A195="","",IFERROR(MATCH($A195,'通知一覧'!$B$5:$B$204,0),"なし"))</f>
        <v/>
      </c>
      <c r="P195" s="31">
        <f>IF(NOT(ISNUMBER($O195)),"",IFERROR(MATCH(INDEX('通知一覧'!$C$5:$C$204,$O195),'支払先'!$B$5:$B$104,0),""))</f>
        <v/>
      </c>
      <c r="Q195" s="31">
        <f>IF(AND($A195&lt;&gt;"",$A195='支払通知書'!$K$2),ROW(),"")</f>
        <v/>
      </c>
    </row>
    <row r="196" ht="18" customHeight="1">
      <c r="A196" s="18" t="n"/>
      <c r="B196" s="24" t="n"/>
      <c r="C196" s="19" t="n"/>
      <c r="D196" s="25" t="n"/>
      <c r="E196" s="18" t="n"/>
      <c r="F196" s="25" t="n"/>
      <c r="G196" s="18" t="n"/>
      <c r="H196" s="18" t="n"/>
      <c r="I196" s="26">
        <f>IF(OR($A196="",$F196=""),"",ROUND(IF($D196="",1,$D196)*$F196,0))</f>
        <v/>
      </c>
      <c r="J196" s="27">
        <f>IF($A196="","",IF($O196="なし","※通知一覧にない通知No",IF($P196="","",INDEX('支払先'!$C$5:$C$104,$P196)&amp;"")))</f>
        <v/>
      </c>
      <c r="K196" s="28">
        <f>IF(NOT(ISNUMBER($O196)),"",IF(ISNUMBER(INDEX('通知一覧'!$F$5:$F$204,$O196)),INDEX('通知一覧'!$F$5:$F$204,$O196),""))</f>
        <v/>
      </c>
      <c r="L196" s="29">
        <f>IF(AND(ISNUMBER($B196),ISNUMBER($K196)),$K196-$B196+1,"")</f>
        <v/>
      </c>
      <c r="M196" s="30">
        <f>IF(OR($L196="",$P196=""),"",IF(INDEX('支払先'!$M$5:$M$104,$P196)="対象外","",IF(AND($L196&gt;60,$K196&gt;=EDATE($B196,2)),"超える","")))</f>
        <v/>
      </c>
      <c r="N196" s="67" t="n"/>
      <c r="O196" s="31">
        <f>IF($A196="","",IFERROR(MATCH($A196,'通知一覧'!$B$5:$B$204,0),"なし"))</f>
        <v/>
      </c>
      <c r="P196" s="31">
        <f>IF(NOT(ISNUMBER($O196)),"",IFERROR(MATCH(INDEX('通知一覧'!$C$5:$C$204,$O196),'支払先'!$B$5:$B$104,0),""))</f>
        <v/>
      </c>
      <c r="Q196" s="31">
        <f>IF(AND($A196&lt;&gt;"",$A196='支払通知書'!$K$2),ROW(),"")</f>
        <v/>
      </c>
    </row>
    <row r="197" ht="18" customHeight="1">
      <c r="A197" s="18" t="n"/>
      <c r="B197" s="24" t="n"/>
      <c r="C197" s="19" t="n"/>
      <c r="D197" s="25" t="n"/>
      <c r="E197" s="18" t="n"/>
      <c r="F197" s="25" t="n"/>
      <c r="G197" s="18" t="n"/>
      <c r="H197" s="18" t="n"/>
      <c r="I197" s="26">
        <f>IF(OR($A197="",$F197=""),"",ROUND(IF($D197="",1,$D197)*$F197,0))</f>
        <v/>
      </c>
      <c r="J197" s="27">
        <f>IF($A197="","",IF($O197="なし","※通知一覧にない通知No",IF($P197="","",INDEX('支払先'!$C$5:$C$104,$P197)&amp;"")))</f>
        <v/>
      </c>
      <c r="K197" s="28">
        <f>IF(NOT(ISNUMBER($O197)),"",IF(ISNUMBER(INDEX('通知一覧'!$F$5:$F$204,$O197)),INDEX('通知一覧'!$F$5:$F$204,$O197),""))</f>
        <v/>
      </c>
      <c r="L197" s="29">
        <f>IF(AND(ISNUMBER($B197),ISNUMBER($K197)),$K197-$B197+1,"")</f>
        <v/>
      </c>
      <c r="M197" s="30">
        <f>IF(OR($L197="",$P197=""),"",IF(INDEX('支払先'!$M$5:$M$104,$P197)="対象外","",IF(AND($L197&gt;60,$K197&gt;=EDATE($B197,2)),"超える","")))</f>
        <v/>
      </c>
      <c r="N197" s="67" t="n"/>
      <c r="O197" s="31">
        <f>IF($A197="","",IFERROR(MATCH($A197,'通知一覧'!$B$5:$B$204,0),"なし"))</f>
        <v/>
      </c>
      <c r="P197" s="31">
        <f>IF(NOT(ISNUMBER($O197)),"",IFERROR(MATCH(INDEX('通知一覧'!$C$5:$C$204,$O197),'支払先'!$B$5:$B$104,0),""))</f>
        <v/>
      </c>
      <c r="Q197" s="31">
        <f>IF(AND($A197&lt;&gt;"",$A197='支払通知書'!$K$2),ROW(),"")</f>
        <v/>
      </c>
    </row>
    <row r="198" ht="18" customHeight="1">
      <c r="A198" s="18" t="n"/>
      <c r="B198" s="24" t="n"/>
      <c r="C198" s="19" t="n"/>
      <c r="D198" s="25" t="n"/>
      <c r="E198" s="18" t="n"/>
      <c r="F198" s="25" t="n"/>
      <c r="G198" s="18" t="n"/>
      <c r="H198" s="18" t="n"/>
      <c r="I198" s="26">
        <f>IF(OR($A198="",$F198=""),"",ROUND(IF($D198="",1,$D198)*$F198,0))</f>
        <v/>
      </c>
      <c r="J198" s="27">
        <f>IF($A198="","",IF($O198="なし","※通知一覧にない通知No",IF($P198="","",INDEX('支払先'!$C$5:$C$104,$P198)&amp;"")))</f>
        <v/>
      </c>
      <c r="K198" s="28">
        <f>IF(NOT(ISNUMBER($O198)),"",IF(ISNUMBER(INDEX('通知一覧'!$F$5:$F$204,$O198)),INDEX('通知一覧'!$F$5:$F$204,$O198),""))</f>
        <v/>
      </c>
      <c r="L198" s="29">
        <f>IF(AND(ISNUMBER($B198),ISNUMBER($K198)),$K198-$B198+1,"")</f>
        <v/>
      </c>
      <c r="M198" s="30">
        <f>IF(OR($L198="",$P198=""),"",IF(INDEX('支払先'!$M$5:$M$104,$P198)="対象外","",IF(AND($L198&gt;60,$K198&gt;=EDATE($B198,2)),"超える","")))</f>
        <v/>
      </c>
      <c r="N198" s="67" t="n"/>
      <c r="O198" s="31">
        <f>IF($A198="","",IFERROR(MATCH($A198,'通知一覧'!$B$5:$B$204,0),"なし"))</f>
        <v/>
      </c>
      <c r="P198" s="31">
        <f>IF(NOT(ISNUMBER($O198)),"",IFERROR(MATCH(INDEX('通知一覧'!$C$5:$C$204,$O198),'支払先'!$B$5:$B$104,0),""))</f>
        <v/>
      </c>
      <c r="Q198" s="31">
        <f>IF(AND($A198&lt;&gt;"",$A198='支払通知書'!$K$2),ROW(),"")</f>
        <v/>
      </c>
    </row>
    <row r="199" ht="18" customHeight="1">
      <c r="A199" s="18" t="n"/>
      <c r="B199" s="24" t="n"/>
      <c r="C199" s="19" t="n"/>
      <c r="D199" s="25" t="n"/>
      <c r="E199" s="18" t="n"/>
      <c r="F199" s="25" t="n"/>
      <c r="G199" s="18" t="n"/>
      <c r="H199" s="18" t="n"/>
      <c r="I199" s="26">
        <f>IF(OR($A199="",$F199=""),"",ROUND(IF($D199="",1,$D199)*$F199,0))</f>
        <v/>
      </c>
      <c r="J199" s="27">
        <f>IF($A199="","",IF($O199="なし","※通知一覧にない通知No",IF($P199="","",INDEX('支払先'!$C$5:$C$104,$P199)&amp;"")))</f>
        <v/>
      </c>
      <c r="K199" s="28">
        <f>IF(NOT(ISNUMBER($O199)),"",IF(ISNUMBER(INDEX('通知一覧'!$F$5:$F$204,$O199)),INDEX('通知一覧'!$F$5:$F$204,$O199),""))</f>
        <v/>
      </c>
      <c r="L199" s="29">
        <f>IF(AND(ISNUMBER($B199),ISNUMBER($K199)),$K199-$B199+1,"")</f>
        <v/>
      </c>
      <c r="M199" s="30">
        <f>IF(OR($L199="",$P199=""),"",IF(INDEX('支払先'!$M$5:$M$104,$P199)="対象外","",IF(AND($L199&gt;60,$K199&gt;=EDATE($B199,2)),"超える","")))</f>
        <v/>
      </c>
      <c r="N199" s="67" t="n"/>
      <c r="O199" s="31">
        <f>IF($A199="","",IFERROR(MATCH($A199,'通知一覧'!$B$5:$B$204,0),"なし"))</f>
        <v/>
      </c>
      <c r="P199" s="31">
        <f>IF(NOT(ISNUMBER($O199)),"",IFERROR(MATCH(INDEX('通知一覧'!$C$5:$C$204,$O199),'支払先'!$B$5:$B$104,0),""))</f>
        <v/>
      </c>
      <c r="Q199" s="31">
        <f>IF(AND($A199&lt;&gt;"",$A199='支払通知書'!$K$2),ROW(),"")</f>
        <v/>
      </c>
    </row>
    <row r="200" ht="18" customHeight="1">
      <c r="A200" s="18" t="n"/>
      <c r="B200" s="24" t="n"/>
      <c r="C200" s="19" t="n"/>
      <c r="D200" s="25" t="n"/>
      <c r="E200" s="18" t="n"/>
      <c r="F200" s="25" t="n"/>
      <c r="G200" s="18" t="n"/>
      <c r="H200" s="18" t="n"/>
      <c r="I200" s="26">
        <f>IF(OR($A200="",$F200=""),"",ROUND(IF($D200="",1,$D200)*$F200,0))</f>
        <v/>
      </c>
      <c r="J200" s="27">
        <f>IF($A200="","",IF($O200="なし","※通知一覧にない通知No",IF($P200="","",INDEX('支払先'!$C$5:$C$104,$P200)&amp;"")))</f>
        <v/>
      </c>
      <c r="K200" s="28">
        <f>IF(NOT(ISNUMBER($O200)),"",IF(ISNUMBER(INDEX('通知一覧'!$F$5:$F$204,$O200)),INDEX('通知一覧'!$F$5:$F$204,$O200),""))</f>
        <v/>
      </c>
      <c r="L200" s="29">
        <f>IF(AND(ISNUMBER($B200),ISNUMBER($K200)),$K200-$B200+1,"")</f>
        <v/>
      </c>
      <c r="M200" s="30">
        <f>IF(OR($L200="",$P200=""),"",IF(INDEX('支払先'!$M$5:$M$104,$P200)="対象外","",IF(AND($L200&gt;60,$K200&gt;=EDATE($B200,2)),"超える","")))</f>
        <v/>
      </c>
      <c r="N200" s="67" t="n"/>
      <c r="O200" s="31">
        <f>IF($A200="","",IFERROR(MATCH($A200,'通知一覧'!$B$5:$B$204,0),"なし"))</f>
        <v/>
      </c>
      <c r="P200" s="31">
        <f>IF(NOT(ISNUMBER($O200)),"",IFERROR(MATCH(INDEX('通知一覧'!$C$5:$C$204,$O200),'支払先'!$B$5:$B$104,0),""))</f>
        <v/>
      </c>
      <c r="Q200" s="31">
        <f>IF(AND($A200&lt;&gt;"",$A200='支払通知書'!$K$2),ROW(),"")</f>
        <v/>
      </c>
    </row>
    <row r="201" ht="18" customHeight="1">
      <c r="A201" s="18" t="n"/>
      <c r="B201" s="24" t="n"/>
      <c r="C201" s="19" t="n"/>
      <c r="D201" s="25" t="n"/>
      <c r="E201" s="18" t="n"/>
      <c r="F201" s="25" t="n"/>
      <c r="G201" s="18" t="n"/>
      <c r="H201" s="18" t="n"/>
      <c r="I201" s="26">
        <f>IF(OR($A201="",$F201=""),"",ROUND(IF($D201="",1,$D201)*$F201,0))</f>
        <v/>
      </c>
      <c r="J201" s="27">
        <f>IF($A201="","",IF($O201="なし","※通知一覧にない通知No",IF($P201="","",INDEX('支払先'!$C$5:$C$104,$P201)&amp;"")))</f>
        <v/>
      </c>
      <c r="K201" s="28">
        <f>IF(NOT(ISNUMBER($O201)),"",IF(ISNUMBER(INDEX('通知一覧'!$F$5:$F$204,$O201)),INDEX('通知一覧'!$F$5:$F$204,$O201),""))</f>
        <v/>
      </c>
      <c r="L201" s="29">
        <f>IF(AND(ISNUMBER($B201),ISNUMBER($K201)),$K201-$B201+1,"")</f>
        <v/>
      </c>
      <c r="M201" s="30">
        <f>IF(OR($L201="",$P201=""),"",IF(INDEX('支払先'!$M$5:$M$104,$P201)="対象外","",IF(AND($L201&gt;60,$K201&gt;=EDATE($B201,2)),"超える","")))</f>
        <v/>
      </c>
      <c r="N201" s="67" t="n"/>
      <c r="O201" s="31">
        <f>IF($A201="","",IFERROR(MATCH($A201,'通知一覧'!$B$5:$B$204,0),"なし"))</f>
        <v/>
      </c>
      <c r="P201" s="31">
        <f>IF(NOT(ISNUMBER($O201)),"",IFERROR(MATCH(INDEX('通知一覧'!$C$5:$C$204,$O201),'支払先'!$B$5:$B$104,0),""))</f>
        <v/>
      </c>
      <c r="Q201" s="31">
        <f>IF(AND($A201&lt;&gt;"",$A201='支払通知書'!$K$2),ROW(),"")</f>
        <v/>
      </c>
    </row>
    <row r="202" ht="18" customHeight="1">
      <c r="A202" s="18" t="n"/>
      <c r="B202" s="24" t="n"/>
      <c r="C202" s="19" t="n"/>
      <c r="D202" s="25" t="n"/>
      <c r="E202" s="18" t="n"/>
      <c r="F202" s="25" t="n"/>
      <c r="G202" s="18" t="n"/>
      <c r="H202" s="18" t="n"/>
      <c r="I202" s="26">
        <f>IF(OR($A202="",$F202=""),"",ROUND(IF($D202="",1,$D202)*$F202,0))</f>
        <v/>
      </c>
      <c r="J202" s="27">
        <f>IF($A202="","",IF($O202="なし","※通知一覧にない通知No",IF($P202="","",INDEX('支払先'!$C$5:$C$104,$P202)&amp;"")))</f>
        <v/>
      </c>
      <c r="K202" s="28">
        <f>IF(NOT(ISNUMBER($O202)),"",IF(ISNUMBER(INDEX('通知一覧'!$F$5:$F$204,$O202)),INDEX('通知一覧'!$F$5:$F$204,$O202),""))</f>
        <v/>
      </c>
      <c r="L202" s="29">
        <f>IF(AND(ISNUMBER($B202),ISNUMBER($K202)),$K202-$B202+1,"")</f>
        <v/>
      </c>
      <c r="M202" s="30">
        <f>IF(OR($L202="",$P202=""),"",IF(INDEX('支払先'!$M$5:$M$104,$P202)="対象外","",IF(AND($L202&gt;60,$K202&gt;=EDATE($B202,2)),"超える","")))</f>
        <v/>
      </c>
      <c r="N202" s="67" t="n"/>
      <c r="O202" s="31">
        <f>IF($A202="","",IFERROR(MATCH($A202,'通知一覧'!$B$5:$B$204,0),"なし"))</f>
        <v/>
      </c>
      <c r="P202" s="31">
        <f>IF(NOT(ISNUMBER($O202)),"",IFERROR(MATCH(INDEX('通知一覧'!$C$5:$C$204,$O202),'支払先'!$B$5:$B$104,0),""))</f>
        <v/>
      </c>
      <c r="Q202" s="31">
        <f>IF(AND($A202&lt;&gt;"",$A202='支払通知書'!$K$2),ROW(),"")</f>
        <v/>
      </c>
    </row>
    <row r="203" ht="18" customHeight="1">
      <c r="A203" s="18" t="n"/>
      <c r="B203" s="24" t="n"/>
      <c r="C203" s="19" t="n"/>
      <c r="D203" s="25" t="n"/>
      <c r="E203" s="18" t="n"/>
      <c r="F203" s="25" t="n"/>
      <c r="G203" s="18" t="n"/>
      <c r="H203" s="18" t="n"/>
      <c r="I203" s="26">
        <f>IF(OR($A203="",$F203=""),"",ROUND(IF($D203="",1,$D203)*$F203,0))</f>
        <v/>
      </c>
      <c r="J203" s="27">
        <f>IF($A203="","",IF($O203="なし","※通知一覧にない通知No",IF($P203="","",INDEX('支払先'!$C$5:$C$104,$P203)&amp;"")))</f>
        <v/>
      </c>
      <c r="K203" s="28">
        <f>IF(NOT(ISNUMBER($O203)),"",IF(ISNUMBER(INDEX('通知一覧'!$F$5:$F$204,$O203)),INDEX('通知一覧'!$F$5:$F$204,$O203),""))</f>
        <v/>
      </c>
      <c r="L203" s="29">
        <f>IF(AND(ISNUMBER($B203),ISNUMBER($K203)),$K203-$B203+1,"")</f>
        <v/>
      </c>
      <c r="M203" s="30">
        <f>IF(OR($L203="",$P203=""),"",IF(INDEX('支払先'!$M$5:$M$104,$P203)="対象外","",IF(AND($L203&gt;60,$K203&gt;=EDATE($B203,2)),"超える","")))</f>
        <v/>
      </c>
      <c r="N203" s="67" t="n"/>
      <c r="O203" s="31">
        <f>IF($A203="","",IFERROR(MATCH($A203,'通知一覧'!$B$5:$B$204,0),"なし"))</f>
        <v/>
      </c>
      <c r="P203" s="31">
        <f>IF(NOT(ISNUMBER($O203)),"",IFERROR(MATCH(INDEX('通知一覧'!$C$5:$C$204,$O203),'支払先'!$B$5:$B$104,0),""))</f>
        <v/>
      </c>
      <c r="Q203" s="31">
        <f>IF(AND($A203&lt;&gt;"",$A203='支払通知書'!$K$2),ROW(),"")</f>
        <v/>
      </c>
    </row>
    <row r="204" ht="18" customHeight="1">
      <c r="A204" s="18" t="n"/>
      <c r="B204" s="24" t="n"/>
      <c r="C204" s="19" t="n"/>
      <c r="D204" s="25" t="n"/>
      <c r="E204" s="18" t="n"/>
      <c r="F204" s="25" t="n"/>
      <c r="G204" s="18" t="n"/>
      <c r="H204" s="18" t="n"/>
      <c r="I204" s="26">
        <f>IF(OR($A204="",$F204=""),"",ROUND(IF($D204="",1,$D204)*$F204,0))</f>
        <v/>
      </c>
      <c r="J204" s="27">
        <f>IF($A204="","",IF($O204="なし","※通知一覧にない通知No",IF($P204="","",INDEX('支払先'!$C$5:$C$104,$P204)&amp;"")))</f>
        <v/>
      </c>
      <c r="K204" s="28">
        <f>IF(NOT(ISNUMBER($O204)),"",IF(ISNUMBER(INDEX('通知一覧'!$F$5:$F$204,$O204)),INDEX('通知一覧'!$F$5:$F$204,$O204),""))</f>
        <v/>
      </c>
      <c r="L204" s="29">
        <f>IF(AND(ISNUMBER($B204),ISNUMBER($K204)),$K204-$B204+1,"")</f>
        <v/>
      </c>
      <c r="M204" s="30">
        <f>IF(OR($L204="",$P204=""),"",IF(INDEX('支払先'!$M$5:$M$104,$P204)="対象外","",IF(AND($L204&gt;60,$K204&gt;=EDATE($B204,2)),"超える","")))</f>
        <v/>
      </c>
      <c r="N204" s="67" t="n"/>
      <c r="O204" s="31">
        <f>IF($A204="","",IFERROR(MATCH($A204,'通知一覧'!$B$5:$B$204,0),"なし"))</f>
        <v/>
      </c>
      <c r="P204" s="31">
        <f>IF(NOT(ISNUMBER($O204)),"",IFERROR(MATCH(INDEX('通知一覧'!$C$5:$C$204,$O204),'支払先'!$B$5:$B$104,0),""))</f>
        <v/>
      </c>
      <c r="Q204" s="31">
        <f>IF(AND($A204&lt;&gt;"",$A204='支払通知書'!$K$2),ROW(),"")</f>
        <v/>
      </c>
    </row>
    <row r="205" ht="18" customHeight="1">
      <c r="A205" s="18" t="n"/>
      <c r="B205" s="24" t="n"/>
      <c r="C205" s="19" t="n"/>
      <c r="D205" s="25" t="n"/>
      <c r="E205" s="18" t="n"/>
      <c r="F205" s="25" t="n"/>
      <c r="G205" s="18" t="n"/>
      <c r="H205" s="18" t="n"/>
      <c r="I205" s="26">
        <f>IF(OR($A205="",$F205=""),"",ROUND(IF($D205="",1,$D205)*$F205,0))</f>
        <v/>
      </c>
      <c r="J205" s="27">
        <f>IF($A205="","",IF($O205="なし","※通知一覧にない通知No",IF($P205="","",INDEX('支払先'!$C$5:$C$104,$P205)&amp;"")))</f>
        <v/>
      </c>
      <c r="K205" s="28">
        <f>IF(NOT(ISNUMBER($O205)),"",IF(ISNUMBER(INDEX('通知一覧'!$F$5:$F$204,$O205)),INDEX('通知一覧'!$F$5:$F$204,$O205),""))</f>
        <v/>
      </c>
      <c r="L205" s="29">
        <f>IF(AND(ISNUMBER($B205),ISNUMBER($K205)),$K205-$B205+1,"")</f>
        <v/>
      </c>
      <c r="M205" s="30">
        <f>IF(OR($L205="",$P205=""),"",IF(INDEX('支払先'!$M$5:$M$104,$P205)="対象外","",IF(AND($L205&gt;60,$K205&gt;=EDATE($B205,2)),"超える","")))</f>
        <v/>
      </c>
      <c r="N205" s="67" t="n"/>
      <c r="O205" s="31">
        <f>IF($A205="","",IFERROR(MATCH($A205,'通知一覧'!$B$5:$B$204,0),"なし"))</f>
        <v/>
      </c>
      <c r="P205" s="31">
        <f>IF(NOT(ISNUMBER($O205)),"",IFERROR(MATCH(INDEX('通知一覧'!$C$5:$C$204,$O205),'支払先'!$B$5:$B$104,0),""))</f>
        <v/>
      </c>
      <c r="Q205" s="31">
        <f>IF(AND($A205&lt;&gt;"",$A205='支払通知書'!$K$2),ROW(),"")</f>
        <v/>
      </c>
    </row>
    <row r="206" ht="18" customHeight="1">
      <c r="A206" s="18" t="n"/>
      <c r="B206" s="24" t="n"/>
      <c r="C206" s="19" t="n"/>
      <c r="D206" s="25" t="n"/>
      <c r="E206" s="18" t="n"/>
      <c r="F206" s="25" t="n"/>
      <c r="G206" s="18" t="n"/>
      <c r="H206" s="18" t="n"/>
      <c r="I206" s="26">
        <f>IF(OR($A206="",$F206=""),"",ROUND(IF($D206="",1,$D206)*$F206,0))</f>
        <v/>
      </c>
      <c r="J206" s="27">
        <f>IF($A206="","",IF($O206="なし","※通知一覧にない通知No",IF($P206="","",INDEX('支払先'!$C$5:$C$104,$P206)&amp;"")))</f>
        <v/>
      </c>
      <c r="K206" s="28">
        <f>IF(NOT(ISNUMBER($O206)),"",IF(ISNUMBER(INDEX('通知一覧'!$F$5:$F$204,$O206)),INDEX('通知一覧'!$F$5:$F$204,$O206),""))</f>
        <v/>
      </c>
      <c r="L206" s="29">
        <f>IF(AND(ISNUMBER($B206),ISNUMBER($K206)),$K206-$B206+1,"")</f>
        <v/>
      </c>
      <c r="M206" s="30">
        <f>IF(OR($L206="",$P206=""),"",IF(INDEX('支払先'!$M$5:$M$104,$P206)="対象外","",IF(AND($L206&gt;60,$K206&gt;=EDATE($B206,2)),"超える","")))</f>
        <v/>
      </c>
      <c r="N206" s="67" t="n"/>
      <c r="O206" s="31">
        <f>IF($A206="","",IFERROR(MATCH($A206,'通知一覧'!$B$5:$B$204,0),"なし"))</f>
        <v/>
      </c>
      <c r="P206" s="31">
        <f>IF(NOT(ISNUMBER($O206)),"",IFERROR(MATCH(INDEX('通知一覧'!$C$5:$C$204,$O206),'支払先'!$B$5:$B$104,0),""))</f>
        <v/>
      </c>
      <c r="Q206" s="31">
        <f>IF(AND($A206&lt;&gt;"",$A206='支払通知書'!$K$2),ROW(),"")</f>
        <v/>
      </c>
    </row>
    <row r="207" ht="18" customHeight="1">
      <c r="A207" s="18" t="n"/>
      <c r="B207" s="24" t="n"/>
      <c r="C207" s="19" t="n"/>
      <c r="D207" s="25" t="n"/>
      <c r="E207" s="18" t="n"/>
      <c r="F207" s="25" t="n"/>
      <c r="G207" s="18" t="n"/>
      <c r="H207" s="18" t="n"/>
      <c r="I207" s="26">
        <f>IF(OR($A207="",$F207=""),"",ROUND(IF($D207="",1,$D207)*$F207,0))</f>
        <v/>
      </c>
      <c r="J207" s="27">
        <f>IF($A207="","",IF($O207="なし","※通知一覧にない通知No",IF($P207="","",INDEX('支払先'!$C$5:$C$104,$P207)&amp;"")))</f>
        <v/>
      </c>
      <c r="K207" s="28">
        <f>IF(NOT(ISNUMBER($O207)),"",IF(ISNUMBER(INDEX('通知一覧'!$F$5:$F$204,$O207)),INDEX('通知一覧'!$F$5:$F$204,$O207),""))</f>
        <v/>
      </c>
      <c r="L207" s="29">
        <f>IF(AND(ISNUMBER($B207),ISNUMBER($K207)),$K207-$B207+1,"")</f>
        <v/>
      </c>
      <c r="M207" s="30">
        <f>IF(OR($L207="",$P207=""),"",IF(INDEX('支払先'!$M$5:$M$104,$P207)="対象外","",IF(AND($L207&gt;60,$K207&gt;=EDATE($B207,2)),"超える","")))</f>
        <v/>
      </c>
      <c r="N207" s="67" t="n"/>
      <c r="O207" s="31">
        <f>IF($A207="","",IFERROR(MATCH($A207,'通知一覧'!$B$5:$B$204,0),"なし"))</f>
        <v/>
      </c>
      <c r="P207" s="31">
        <f>IF(NOT(ISNUMBER($O207)),"",IFERROR(MATCH(INDEX('通知一覧'!$C$5:$C$204,$O207),'支払先'!$B$5:$B$104,0),""))</f>
        <v/>
      </c>
      <c r="Q207" s="31">
        <f>IF(AND($A207&lt;&gt;"",$A207='支払通知書'!$K$2),ROW(),"")</f>
        <v/>
      </c>
    </row>
    <row r="208" ht="18" customHeight="1">
      <c r="A208" s="18" t="n"/>
      <c r="B208" s="24" t="n"/>
      <c r="C208" s="19" t="n"/>
      <c r="D208" s="25" t="n"/>
      <c r="E208" s="18" t="n"/>
      <c r="F208" s="25" t="n"/>
      <c r="G208" s="18" t="n"/>
      <c r="H208" s="18" t="n"/>
      <c r="I208" s="26">
        <f>IF(OR($A208="",$F208=""),"",ROUND(IF($D208="",1,$D208)*$F208,0))</f>
        <v/>
      </c>
      <c r="J208" s="27">
        <f>IF($A208="","",IF($O208="なし","※通知一覧にない通知No",IF($P208="","",INDEX('支払先'!$C$5:$C$104,$P208)&amp;"")))</f>
        <v/>
      </c>
      <c r="K208" s="28">
        <f>IF(NOT(ISNUMBER($O208)),"",IF(ISNUMBER(INDEX('通知一覧'!$F$5:$F$204,$O208)),INDEX('通知一覧'!$F$5:$F$204,$O208),""))</f>
        <v/>
      </c>
      <c r="L208" s="29">
        <f>IF(AND(ISNUMBER($B208),ISNUMBER($K208)),$K208-$B208+1,"")</f>
        <v/>
      </c>
      <c r="M208" s="30">
        <f>IF(OR($L208="",$P208=""),"",IF(INDEX('支払先'!$M$5:$M$104,$P208)="対象外","",IF(AND($L208&gt;60,$K208&gt;=EDATE($B208,2)),"超える","")))</f>
        <v/>
      </c>
      <c r="N208" s="67" t="n"/>
      <c r="O208" s="31">
        <f>IF($A208="","",IFERROR(MATCH($A208,'通知一覧'!$B$5:$B$204,0),"なし"))</f>
        <v/>
      </c>
      <c r="P208" s="31">
        <f>IF(NOT(ISNUMBER($O208)),"",IFERROR(MATCH(INDEX('通知一覧'!$C$5:$C$204,$O208),'支払先'!$B$5:$B$104,0),""))</f>
        <v/>
      </c>
      <c r="Q208" s="31">
        <f>IF(AND($A208&lt;&gt;"",$A208='支払通知書'!$K$2),ROW(),"")</f>
        <v/>
      </c>
    </row>
    <row r="209" ht="18" customHeight="1">
      <c r="A209" s="18" t="n"/>
      <c r="B209" s="24" t="n"/>
      <c r="C209" s="19" t="n"/>
      <c r="D209" s="25" t="n"/>
      <c r="E209" s="18" t="n"/>
      <c r="F209" s="25" t="n"/>
      <c r="G209" s="18" t="n"/>
      <c r="H209" s="18" t="n"/>
      <c r="I209" s="26">
        <f>IF(OR($A209="",$F209=""),"",ROUND(IF($D209="",1,$D209)*$F209,0))</f>
        <v/>
      </c>
      <c r="J209" s="27">
        <f>IF($A209="","",IF($O209="なし","※通知一覧にない通知No",IF($P209="","",INDEX('支払先'!$C$5:$C$104,$P209)&amp;"")))</f>
        <v/>
      </c>
      <c r="K209" s="28">
        <f>IF(NOT(ISNUMBER($O209)),"",IF(ISNUMBER(INDEX('通知一覧'!$F$5:$F$204,$O209)),INDEX('通知一覧'!$F$5:$F$204,$O209),""))</f>
        <v/>
      </c>
      <c r="L209" s="29">
        <f>IF(AND(ISNUMBER($B209),ISNUMBER($K209)),$K209-$B209+1,"")</f>
        <v/>
      </c>
      <c r="M209" s="30">
        <f>IF(OR($L209="",$P209=""),"",IF(INDEX('支払先'!$M$5:$M$104,$P209)="対象外","",IF(AND($L209&gt;60,$K209&gt;=EDATE($B209,2)),"超える","")))</f>
        <v/>
      </c>
      <c r="N209" s="67" t="n"/>
      <c r="O209" s="31">
        <f>IF($A209="","",IFERROR(MATCH($A209,'通知一覧'!$B$5:$B$204,0),"なし"))</f>
        <v/>
      </c>
      <c r="P209" s="31">
        <f>IF(NOT(ISNUMBER($O209)),"",IFERROR(MATCH(INDEX('通知一覧'!$C$5:$C$204,$O209),'支払先'!$B$5:$B$104,0),""))</f>
        <v/>
      </c>
      <c r="Q209" s="31">
        <f>IF(AND($A209&lt;&gt;"",$A209='支払通知書'!$K$2),ROW(),"")</f>
        <v/>
      </c>
    </row>
    <row r="210" ht="18" customHeight="1">
      <c r="A210" s="18" t="n"/>
      <c r="B210" s="24" t="n"/>
      <c r="C210" s="19" t="n"/>
      <c r="D210" s="25" t="n"/>
      <c r="E210" s="18" t="n"/>
      <c r="F210" s="25" t="n"/>
      <c r="G210" s="18" t="n"/>
      <c r="H210" s="18" t="n"/>
      <c r="I210" s="26">
        <f>IF(OR($A210="",$F210=""),"",ROUND(IF($D210="",1,$D210)*$F210,0))</f>
        <v/>
      </c>
      <c r="J210" s="27">
        <f>IF($A210="","",IF($O210="なし","※通知一覧にない通知No",IF($P210="","",INDEX('支払先'!$C$5:$C$104,$P210)&amp;"")))</f>
        <v/>
      </c>
      <c r="K210" s="28">
        <f>IF(NOT(ISNUMBER($O210)),"",IF(ISNUMBER(INDEX('通知一覧'!$F$5:$F$204,$O210)),INDEX('通知一覧'!$F$5:$F$204,$O210),""))</f>
        <v/>
      </c>
      <c r="L210" s="29">
        <f>IF(AND(ISNUMBER($B210),ISNUMBER($K210)),$K210-$B210+1,"")</f>
        <v/>
      </c>
      <c r="M210" s="30">
        <f>IF(OR($L210="",$P210=""),"",IF(INDEX('支払先'!$M$5:$M$104,$P210)="対象外","",IF(AND($L210&gt;60,$K210&gt;=EDATE($B210,2)),"超える","")))</f>
        <v/>
      </c>
      <c r="N210" s="67" t="n"/>
      <c r="O210" s="31">
        <f>IF($A210="","",IFERROR(MATCH($A210,'通知一覧'!$B$5:$B$204,0),"なし"))</f>
        <v/>
      </c>
      <c r="P210" s="31">
        <f>IF(NOT(ISNUMBER($O210)),"",IFERROR(MATCH(INDEX('通知一覧'!$C$5:$C$204,$O210),'支払先'!$B$5:$B$104,0),""))</f>
        <v/>
      </c>
      <c r="Q210" s="31">
        <f>IF(AND($A210&lt;&gt;"",$A210='支払通知書'!$K$2),ROW(),"")</f>
        <v/>
      </c>
    </row>
    <row r="211" ht="18" customHeight="1">
      <c r="A211" s="18" t="n"/>
      <c r="B211" s="24" t="n"/>
      <c r="C211" s="19" t="n"/>
      <c r="D211" s="25" t="n"/>
      <c r="E211" s="18" t="n"/>
      <c r="F211" s="25" t="n"/>
      <c r="G211" s="18" t="n"/>
      <c r="H211" s="18" t="n"/>
      <c r="I211" s="26">
        <f>IF(OR($A211="",$F211=""),"",ROUND(IF($D211="",1,$D211)*$F211,0))</f>
        <v/>
      </c>
      <c r="J211" s="27">
        <f>IF($A211="","",IF($O211="なし","※通知一覧にない通知No",IF($P211="","",INDEX('支払先'!$C$5:$C$104,$P211)&amp;"")))</f>
        <v/>
      </c>
      <c r="K211" s="28">
        <f>IF(NOT(ISNUMBER($O211)),"",IF(ISNUMBER(INDEX('通知一覧'!$F$5:$F$204,$O211)),INDEX('通知一覧'!$F$5:$F$204,$O211),""))</f>
        <v/>
      </c>
      <c r="L211" s="29">
        <f>IF(AND(ISNUMBER($B211),ISNUMBER($K211)),$K211-$B211+1,"")</f>
        <v/>
      </c>
      <c r="M211" s="30">
        <f>IF(OR($L211="",$P211=""),"",IF(INDEX('支払先'!$M$5:$M$104,$P211)="対象外","",IF(AND($L211&gt;60,$K211&gt;=EDATE($B211,2)),"超える","")))</f>
        <v/>
      </c>
      <c r="N211" s="67" t="n"/>
      <c r="O211" s="31">
        <f>IF($A211="","",IFERROR(MATCH($A211,'通知一覧'!$B$5:$B$204,0),"なし"))</f>
        <v/>
      </c>
      <c r="P211" s="31">
        <f>IF(NOT(ISNUMBER($O211)),"",IFERROR(MATCH(INDEX('通知一覧'!$C$5:$C$204,$O211),'支払先'!$B$5:$B$104,0),""))</f>
        <v/>
      </c>
      <c r="Q211" s="31">
        <f>IF(AND($A211&lt;&gt;"",$A211='支払通知書'!$K$2),ROW(),"")</f>
        <v/>
      </c>
    </row>
    <row r="212" ht="18" customHeight="1">
      <c r="A212" s="18" t="n"/>
      <c r="B212" s="24" t="n"/>
      <c r="C212" s="19" t="n"/>
      <c r="D212" s="25" t="n"/>
      <c r="E212" s="18" t="n"/>
      <c r="F212" s="25" t="n"/>
      <c r="G212" s="18" t="n"/>
      <c r="H212" s="18" t="n"/>
      <c r="I212" s="26">
        <f>IF(OR($A212="",$F212=""),"",ROUND(IF($D212="",1,$D212)*$F212,0))</f>
        <v/>
      </c>
      <c r="J212" s="27">
        <f>IF($A212="","",IF($O212="なし","※通知一覧にない通知No",IF($P212="","",INDEX('支払先'!$C$5:$C$104,$P212)&amp;"")))</f>
        <v/>
      </c>
      <c r="K212" s="28">
        <f>IF(NOT(ISNUMBER($O212)),"",IF(ISNUMBER(INDEX('通知一覧'!$F$5:$F$204,$O212)),INDEX('通知一覧'!$F$5:$F$204,$O212),""))</f>
        <v/>
      </c>
      <c r="L212" s="29">
        <f>IF(AND(ISNUMBER($B212),ISNUMBER($K212)),$K212-$B212+1,"")</f>
        <v/>
      </c>
      <c r="M212" s="30">
        <f>IF(OR($L212="",$P212=""),"",IF(INDEX('支払先'!$M$5:$M$104,$P212)="対象外","",IF(AND($L212&gt;60,$K212&gt;=EDATE($B212,2)),"超える","")))</f>
        <v/>
      </c>
      <c r="N212" s="67" t="n"/>
      <c r="O212" s="31">
        <f>IF($A212="","",IFERROR(MATCH($A212,'通知一覧'!$B$5:$B$204,0),"なし"))</f>
        <v/>
      </c>
      <c r="P212" s="31">
        <f>IF(NOT(ISNUMBER($O212)),"",IFERROR(MATCH(INDEX('通知一覧'!$C$5:$C$204,$O212),'支払先'!$B$5:$B$104,0),""))</f>
        <v/>
      </c>
      <c r="Q212" s="31">
        <f>IF(AND($A212&lt;&gt;"",$A212='支払通知書'!$K$2),ROW(),"")</f>
        <v/>
      </c>
    </row>
    <row r="213" ht="18" customHeight="1">
      <c r="A213" s="18" t="n"/>
      <c r="B213" s="24" t="n"/>
      <c r="C213" s="19" t="n"/>
      <c r="D213" s="25" t="n"/>
      <c r="E213" s="18" t="n"/>
      <c r="F213" s="25" t="n"/>
      <c r="G213" s="18" t="n"/>
      <c r="H213" s="18" t="n"/>
      <c r="I213" s="26">
        <f>IF(OR($A213="",$F213=""),"",ROUND(IF($D213="",1,$D213)*$F213,0))</f>
        <v/>
      </c>
      <c r="J213" s="27">
        <f>IF($A213="","",IF($O213="なし","※通知一覧にない通知No",IF($P213="","",INDEX('支払先'!$C$5:$C$104,$P213)&amp;"")))</f>
        <v/>
      </c>
      <c r="K213" s="28">
        <f>IF(NOT(ISNUMBER($O213)),"",IF(ISNUMBER(INDEX('通知一覧'!$F$5:$F$204,$O213)),INDEX('通知一覧'!$F$5:$F$204,$O213),""))</f>
        <v/>
      </c>
      <c r="L213" s="29">
        <f>IF(AND(ISNUMBER($B213),ISNUMBER($K213)),$K213-$B213+1,"")</f>
        <v/>
      </c>
      <c r="M213" s="30">
        <f>IF(OR($L213="",$P213=""),"",IF(INDEX('支払先'!$M$5:$M$104,$P213)="対象外","",IF(AND($L213&gt;60,$K213&gt;=EDATE($B213,2)),"超える","")))</f>
        <v/>
      </c>
      <c r="N213" s="67" t="n"/>
      <c r="O213" s="31">
        <f>IF($A213="","",IFERROR(MATCH($A213,'通知一覧'!$B$5:$B$204,0),"なし"))</f>
        <v/>
      </c>
      <c r="P213" s="31">
        <f>IF(NOT(ISNUMBER($O213)),"",IFERROR(MATCH(INDEX('通知一覧'!$C$5:$C$204,$O213),'支払先'!$B$5:$B$104,0),""))</f>
        <v/>
      </c>
      <c r="Q213" s="31">
        <f>IF(AND($A213&lt;&gt;"",$A213='支払通知書'!$K$2),ROW(),"")</f>
        <v/>
      </c>
    </row>
    <row r="214" ht="18" customHeight="1">
      <c r="A214" s="18" t="n"/>
      <c r="B214" s="24" t="n"/>
      <c r="C214" s="19" t="n"/>
      <c r="D214" s="25" t="n"/>
      <c r="E214" s="18" t="n"/>
      <c r="F214" s="25" t="n"/>
      <c r="G214" s="18" t="n"/>
      <c r="H214" s="18" t="n"/>
      <c r="I214" s="26">
        <f>IF(OR($A214="",$F214=""),"",ROUND(IF($D214="",1,$D214)*$F214,0))</f>
        <v/>
      </c>
      <c r="J214" s="27">
        <f>IF($A214="","",IF($O214="なし","※通知一覧にない通知No",IF($P214="","",INDEX('支払先'!$C$5:$C$104,$P214)&amp;"")))</f>
        <v/>
      </c>
      <c r="K214" s="28">
        <f>IF(NOT(ISNUMBER($O214)),"",IF(ISNUMBER(INDEX('通知一覧'!$F$5:$F$204,$O214)),INDEX('通知一覧'!$F$5:$F$204,$O214),""))</f>
        <v/>
      </c>
      <c r="L214" s="29">
        <f>IF(AND(ISNUMBER($B214),ISNUMBER($K214)),$K214-$B214+1,"")</f>
        <v/>
      </c>
      <c r="M214" s="30">
        <f>IF(OR($L214="",$P214=""),"",IF(INDEX('支払先'!$M$5:$M$104,$P214)="対象外","",IF(AND($L214&gt;60,$K214&gt;=EDATE($B214,2)),"超える","")))</f>
        <v/>
      </c>
      <c r="N214" s="67" t="n"/>
      <c r="O214" s="31">
        <f>IF($A214="","",IFERROR(MATCH($A214,'通知一覧'!$B$5:$B$204,0),"なし"))</f>
        <v/>
      </c>
      <c r="P214" s="31">
        <f>IF(NOT(ISNUMBER($O214)),"",IFERROR(MATCH(INDEX('通知一覧'!$C$5:$C$204,$O214),'支払先'!$B$5:$B$104,0),""))</f>
        <v/>
      </c>
      <c r="Q214" s="31">
        <f>IF(AND($A214&lt;&gt;"",$A214='支払通知書'!$K$2),ROW(),"")</f>
        <v/>
      </c>
    </row>
    <row r="215" ht="18" customHeight="1">
      <c r="A215" s="18" t="n"/>
      <c r="B215" s="24" t="n"/>
      <c r="C215" s="19" t="n"/>
      <c r="D215" s="25" t="n"/>
      <c r="E215" s="18" t="n"/>
      <c r="F215" s="25" t="n"/>
      <c r="G215" s="18" t="n"/>
      <c r="H215" s="18" t="n"/>
      <c r="I215" s="26">
        <f>IF(OR($A215="",$F215=""),"",ROUND(IF($D215="",1,$D215)*$F215,0))</f>
        <v/>
      </c>
      <c r="J215" s="27">
        <f>IF($A215="","",IF($O215="なし","※通知一覧にない通知No",IF($P215="","",INDEX('支払先'!$C$5:$C$104,$P215)&amp;"")))</f>
        <v/>
      </c>
      <c r="K215" s="28">
        <f>IF(NOT(ISNUMBER($O215)),"",IF(ISNUMBER(INDEX('通知一覧'!$F$5:$F$204,$O215)),INDEX('通知一覧'!$F$5:$F$204,$O215),""))</f>
        <v/>
      </c>
      <c r="L215" s="29">
        <f>IF(AND(ISNUMBER($B215),ISNUMBER($K215)),$K215-$B215+1,"")</f>
        <v/>
      </c>
      <c r="M215" s="30">
        <f>IF(OR($L215="",$P215=""),"",IF(INDEX('支払先'!$M$5:$M$104,$P215)="対象外","",IF(AND($L215&gt;60,$K215&gt;=EDATE($B215,2)),"超える","")))</f>
        <v/>
      </c>
      <c r="N215" s="67" t="n"/>
      <c r="O215" s="31">
        <f>IF($A215="","",IFERROR(MATCH($A215,'通知一覧'!$B$5:$B$204,0),"なし"))</f>
        <v/>
      </c>
      <c r="P215" s="31">
        <f>IF(NOT(ISNUMBER($O215)),"",IFERROR(MATCH(INDEX('通知一覧'!$C$5:$C$204,$O215),'支払先'!$B$5:$B$104,0),""))</f>
        <v/>
      </c>
      <c r="Q215" s="31">
        <f>IF(AND($A215&lt;&gt;"",$A215='支払通知書'!$K$2),ROW(),"")</f>
        <v/>
      </c>
    </row>
    <row r="216" ht="18" customHeight="1">
      <c r="A216" s="18" t="n"/>
      <c r="B216" s="24" t="n"/>
      <c r="C216" s="19" t="n"/>
      <c r="D216" s="25" t="n"/>
      <c r="E216" s="18" t="n"/>
      <c r="F216" s="25" t="n"/>
      <c r="G216" s="18" t="n"/>
      <c r="H216" s="18" t="n"/>
      <c r="I216" s="26">
        <f>IF(OR($A216="",$F216=""),"",ROUND(IF($D216="",1,$D216)*$F216,0))</f>
        <v/>
      </c>
      <c r="J216" s="27">
        <f>IF($A216="","",IF($O216="なし","※通知一覧にない通知No",IF($P216="","",INDEX('支払先'!$C$5:$C$104,$P216)&amp;"")))</f>
        <v/>
      </c>
      <c r="K216" s="28">
        <f>IF(NOT(ISNUMBER($O216)),"",IF(ISNUMBER(INDEX('通知一覧'!$F$5:$F$204,$O216)),INDEX('通知一覧'!$F$5:$F$204,$O216),""))</f>
        <v/>
      </c>
      <c r="L216" s="29">
        <f>IF(AND(ISNUMBER($B216),ISNUMBER($K216)),$K216-$B216+1,"")</f>
        <v/>
      </c>
      <c r="M216" s="30">
        <f>IF(OR($L216="",$P216=""),"",IF(INDEX('支払先'!$M$5:$M$104,$P216)="対象外","",IF(AND($L216&gt;60,$K216&gt;=EDATE($B216,2)),"超える","")))</f>
        <v/>
      </c>
      <c r="N216" s="67" t="n"/>
      <c r="O216" s="31">
        <f>IF($A216="","",IFERROR(MATCH($A216,'通知一覧'!$B$5:$B$204,0),"なし"))</f>
        <v/>
      </c>
      <c r="P216" s="31">
        <f>IF(NOT(ISNUMBER($O216)),"",IFERROR(MATCH(INDEX('通知一覧'!$C$5:$C$204,$O216),'支払先'!$B$5:$B$104,0),""))</f>
        <v/>
      </c>
      <c r="Q216" s="31">
        <f>IF(AND($A216&lt;&gt;"",$A216='支払通知書'!$K$2),ROW(),"")</f>
        <v/>
      </c>
    </row>
    <row r="217" ht="18" customHeight="1">
      <c r="A217" s="18" t="n"/>
      <c r="B217" s="24" t="n"/>
      <c r="C217" s="19" t="n"/>
      <c r="D217" s="25" t="n"/>
      <c r="E217" s="18" t="n"/>
      <c r="F217" s="25" t="n"/>
      <c r="G217" s="18" t="n"/>
      <c r="H217" s="18" t="n"/>
      <c r="I217" s="26">
        <f>IF(OR($A217="",$F217=""),"",ROUND(IF($D217="",1,$D217)*$F217,0))</f>
        <v/>
      </c>
      <c r="J217" s="27">
        <f>IF($A217="","",IF($O217="なし","※通知一覧にない通知No",IF($P217="","",INDEX('支払先'!$C$5:$C$104,$P217)&amp;"")))</f>
        <v/>
      </c>
      <c r="K217" s="28">
        <f>IF(NOT(ISNUMBER($O217)),"",IF(ISNUMBER(INDEX('通知一覧'!$F$5:$F$204,$O217)),INDEX('通知一覧'!$F$5:$F$204,$O217),""))</f>
        <v/>
      </c>
      <c r="L217" s="29">
        <f>IF(AND(ISNUMBER($B217),ISNUMBER($K217)),$K217-$B217+1,"")</f>
        <v/>
      </c>
      <c r="M217" s="30">
        <f>IF(OR($L217="",$P217=""),"",IF(INDEX('支払先'!$M$5:$M$104,$P217)="対象外","",IF(AND($L217&gt;60,$K217&gt;=EDATE($B217,2)),"超える","")))</f>
        <v/>
      </c>
      <c r="N217" s="67" t="n"/>
      <c r="O217" s="31">
        <f>IF($A217="","",IFERROR(MATCH($A217,'通知一覧'!$B$5:$B$204,0),"なし"))</f>
        <v/>
      </c>
      <c r="P217" s="31">
        <f>IF(NOT(ISNUMBER($O217)),"",IFERROR(MATCH(INDEX('通知一覧'!$C$5:$C$204,$O217),'支払先'!$B$5:$B$104,0),""))</f>
        <v/>
      </c>
      <c r="Q217" s="31">
        <f>IF(AND($A217&lt;&gt;"",$A217='支払通知書'!$K$2),ROW(),"")</f>
        <v/>
      </c>
    </row>
    <row r="218" ht="18" customHeight="1">
      <c r="A218" s="18" t="n"/>
      <c r="B218" s="24" t="n"/>
      <c r="C218" s="19" t="n"/>
      <c r="D218" s="25" t="n"/>
      <c r="E218" s="18" t="n"/>
      <c r="F218" s="25" t="n"/>
      <c r="G218" s="18" t="n"/>
      <c r="H218" s="18" t="n"/>
      <c r="I218" s="26">
        <f>IF(OR($A218="",$F218=""),"",ROUND(IF($D218="",1,$D218)*$F218,0))</f>
        <v/>
      </c>
      <c r="J218" s="27">
        <f>IF($A218="","",IF($O218="なし","※通知一覧にない通知No",IF($P218="","",INDEX('支払先'!$C$5:$C$104,$P218)&amp;"")))</f>
        <v/>
      </c>
      <c r="K218" s="28">
        <f>IF(NOT(ISNUMBER($O218)),"",IF(ISNUMBER(INDEX('通知一覧'!$F$5:$F$204,$O218)),INDEX('通知一覧'!$F$5:$F$204,$O218),""))</f>
        <v/>
      </c>
      <c r="L218" s="29">
        <f>IF(AND(ISNUMBER($B218),ISNUMBER($K218)),$K218-$B218+1,"")</f>
        <v/>
      </c>
      <c r="M218" s="30">
        <f>IF(OR($L218="",$P218=""),"",IF(INDEX('支払先'!$M$5:$M$104,$P218)="対象外","",IF(AND($L218&gt;60,$K218&gt;=EDATE($B218,2)),"超える","")))</f>
        <v/>
      </c>
      <c r="N218" s="67" t="n"/>
      <c r="O218" s="31">
        <f>IF($A218="","",IFERROR(MATCH($A218,'通知一覧'!$B$5:$B$204,0),"なし"))</f>
        <v/>
      </c>
      <c r="P218" s="31">
        <f>IF(NOT(ISNUMBER($O218)),"",IFERROR(MATCH(INDEX('通知一覧'!$C$5:$C$204,$O218),'支払先'!$B$5:$B$104,0),""))</f>
        <v/>
      </c>
      <c r="Q218" s="31">
        <f>IF(AND($A218&lt;&gt;"",$A218='支払通知書'!$K$2),ROW(),"")</f>
        <v/>
      </c>
    </row>
    <row r="219" ht="18" customHeight="1">
      <c r="A219" s="18" t="n"/>
      <c r="B219" s="24" t="n"/>
      <c r="C219" s="19" t="n"/>
      <c r="D219" s="25" t="n"/>
      <c r="E219" s="18" t="n"/>
      <c r="F219" s="25" t="n"/>
      <c r="G219" s="18" t="n"/>
      <c r="H219" s="18" t="n"/>
      <c r="I219" s="26">
        <f>IF(OR($A219="",$F219=""),"",ROUND(IF($D219="",1,$D219)*$F219,0))</f>
        <v/>
      </c>
      <c r="J219" s="27">
        <f>IF($A219="","",IF($O219="なし","※通知一覧にない通知No",IF($P219="","",INDEX('支払先'!$C$5:$C$104,$P219)&amp;"")))</f>
        <v/>
      </c>
      <c r="K219" s="28">
        <f>IF(NOT(ISNUMBER($O219)),"",IF(ISNUMBER(INDEX('通知一覧'!$F$5:$F$204,$O219)),INDEX('通知一覧'!$F$5:$F$204,$O219),""))</f>
        <v/>
      </c>
      <c r="L219" s="29">
        <f>IF(AND(ISNUMBER($B219),ISNUMBER($K219)),$K219-$B219+1,"")</f>
        <v/>
      </c>
      <c r="M219" s="30">
        <f>IF(OR($L219="",$P219=""),"",IF(INDEX('支払先'!$M$5:$M$104,$P219)="対象外","",IF(AND($L219&gt;60,$K219&gt;=EDATE($B219,2)),"超える","")))</f>
        <v/>
      </c>
      <c r="N219" s="67" t="n"/>
      <c r="O219" s="31">
        <f>IF($A219="","",IFERROR(MATCH($A219,'通知一覧'!$B$5:$B$204,0),"なし"))</f>
        <v/>
      </c>
      <c r="P219" s="31">
        <f>IF(NOT(ISNUMBER($O219)),"",IFERROR(MATCH(INDEX('通知一覧'!$C$5:$C$204,$O219),'支払先'!$B$5:$B$104,0),""))</f>
        <v/>
      </c>
      <c r="Q219" s="31">
        <f>IF(AND($A219&lt;&gt;"",$A219='支払通知書'!$K$2),ROW(),"")</f>
        <v/>
      </c>
    </row>
    <row r="220" ht="18" customHeight="1">
      <c r="A220" s="18" t="n"/>
      <c r="B220" s="24" t="n"/>
      <c r="C220" s="19" t="n"/>
      <c r="D220" s="25" t="n"/>
      <c r="E220" s="18" t="n"/>
      <c r="F220" s="25" t="n"/>
      <c r="G220" s="18" t="n"/>
      <c r="H220" s="18" t="n"/>
      <c r="I220" s="26">
        <f>IF(OR($A220="",$F220=""),"",ROUND(IF($D220="",1,$D220)*$F220,0))</f>
        <v/>
      </c>
      <c r="J220" s="27">
        <f>IF($A220="","",IF($O220="なし","※通知一覧にない通知No",IF($P220="","",INDEX('支払先'!$C$5:$C$104,$P220)&amp;"")))</f>
        <v/>
      </c>
      <c r="K220" s="28">
        <f>IF(NOT(ISNUMBER($O220)),"",IF(ISNUMBER(INDEX('通知一覧'!$F$5:$F$204,$O220)),INDEX('通知一覧'!$F$5:$F$204,$O220),""))</f>
        <v/>
      </c>
      <c r="L220" s="29">
        <f>IF(AND(ISNUMBER($B220),ISNUMBER($K220)),$K220-$B220+1,"")</f>
        <v/>
      </c>
      <c r="M220" s="30">
        <f>IF(OR($L220="",$P220=""),"",IF(INDEX('支払先'!$M$5:$M$104,$P220)="対象外","",IF(AND($L220&gt;60,$K220&gt;=EDATE($B220,2)),"超える","")))</f>
        <v/>
      </c>
      <c r="N220" s="67" t="n"/>
      <c r="O220" s="31">
        <f>IF($A220="","",IFERROR(MATCH($A220,'通知一覧'!$B$5:$B$204,0),"なし"))</f>
        <v/>
      </c>
      <c r="P220" s="31">
        <f>IF(NOT(ISNUMBER($O220)),"",IFERROR(MATCH(INDEX('通知一覧'!$C$5:$C$204,$O220),'支払先'!$B$5:$B$104,0),""))</f>
        <v/>
      </c>
      <c r="Q220" s="31">
        <f>IF(AND($A220&lt;&gt;"",$A220='支払通知書'!$K$2),ROW(),"")</f>
        <v/>
      </c>
    </row>
    <row r="221" ht="18" customHeight="1">
      <c r="A221" s="18" t="n"/>
      <c r="B221" s="24" t="n"/>
      <c r="C221" s="19" t="n"/>
      <c r="D221" s="25" t="n"/>
      <c r="E221" s="18" t="n"/>
      <c r="F221" s="25" t="n"/>
      <c r="G221" s="18" t="n"/>
      <c r="H221" s="18" t="n"/>
      <c r="I221" s="26">
        <f>IF(OR($A221="",$F221=""),"",ROUND(IF($D221="",1,$D221)*$F221,0))</f>
        <v/>
      </c>
      <c r="J221" s="27">
        <f>IF($A221="","",IF($O221="なし","※通知一覧にない通知No",IF($P221="","",INDEX('支払先'!$C$5:$C$104,$P221)&amp;"")))</f>
        <v/>
      </c>
      <c r="K221" s="28">
        <f>IF(NOT(ISNUMBER($O221)),"",IF(ISNUMBER(INDEX('通知一覧'!$F$5:$F$204,$O221)),INDEX('通知一覧'!$F$5:$F$204,$O221),""))</f>
        <v/>
      </c>
      <c r="L221" s="29">
        <f>IF(AND(ISNUMBER($B221),ISNUMBER($K221)),$K221-$B221+1,"")</f>
        <v/>
      </c>
      <c r="M221" s="30">
        <f>IF(OR($L221="",$P221=""),"",IF(INDEX('支払先'!$M$5:$M$104,$P221)="対象外","",IF(AND($L221&gt;60,$K221&gt;=EDATE($B221,2)),"超える","")))</f>
        <v/>
      </c>
      <c r="N221" s="67" t="n"/>
      <c r="O221" s="31">
        <f>IF($A221="","",IFERROR(MATCH($A221,'通知一覧'!$B$5:$B$204,0),"なし"))</f>
        <v/>
      </c>
      <c r="P221" s="31">
        <f>IF(NOT(ISNUMBER($O221)),"",IFERROR(MATCH(INDEX('通知一覧'!$C$5:$C$204,$O221),'支払先'!$B$5:$B$104,0),""))</f>
        <v/>
      </c>
      <c r="Q221" s="31">
        <f>IF(AND($A221&lt;&gt;"",$A221='支払通知書'!$K$2),ROW(),"")</f>
        <v/>
      </c>
    </row>
    <row r="222" ht="18" customHeight="1">
      <c r="A222" s="18" t="n"/>
      <c r="B222" s="24" t="n"/>
      <c r="C222" s="19" t="n"/>
      <c r="D222" s="25" t="n"/>
      <c r="E222" s="18" t="n"/>
      <c r="F222" s="25" t="n"/>
      <c r="G222" s="18" t="n"/>
      <c r="H222" s="18" t="n"/>
      <c r="I222" s="26">
        <f>IF(OR($A222="",$F222=""),"",ROUND(IF($D222="",1,$D222)*$F222,0))</f>
        <v/>
      </c>
      <c r="J222" s="27">
        <f>IF($A222="","",IF($O222="なし","※通知一覧にない通知No",IF($P222="","",INDEX('支払先'!$C$5:$C$104,$P222)&amp;"")))</f>
        <v/>
      </c>
      <c r="K222" s="28">
        <f>IF(NOT(ISNUMBER($O222)),"",IF(ISNUMBER(INDEX('通知一覧'!$F$5:$F$204,$O222)),INDEX('通知一覧'!$F$5:$F$204,$O222),""))</f>
        <v/>
      </c>
      <c r="L222" s="29">
        <f>IF(AND(ISNUMBER($B222),ISNUMBER($K222)),$K222-$B222+1,"")</f>
        <v/>
      </c>
      <c r="M222" s="30">
        <f>IF(OR($L222="",$P222=""),"",IF(INDEX('支払先'!$M$5:$M$104,$P222)="対象外","",IF(AND($L222&gt;60,$K222&gt;=EDATE($B222,2)),"超える","")))</f>
        <v/>
      </c>
      <c r="N222" s="67" t="n"/>
      <c r="O222" s="31">
        <f>IF($A222="","",IFERROR(MATCH($A222,'通知一覧'!$B$5:$B$204,0),"なし"))</f>
        <v/>
      </c>
      <c r="P222" s="31">
        <f>IF(NOT(ISNUMBER($O222)),"",IFERROR(MATCH(INDEX('通知一覧'!$C$5:$C$204,$O222),'支払先'!$B$5:$B$104,0),""))</f>
        <v/>
      </c>
      <c r="Q222" s="31">
        <f>IF(AND($A222&lt;&gt;"",$A222='支払通知書'!$K$2),ROW(),"")</f>
        <v/>
      </c>
    </row>
    <row r="223" ht="18" customHeight="1">
      <c r="A223" s="18" t="n"/>
      <c r="B223" s="24" t="n"/>
      <c r="C223" s="19" t="n"/>
      <c r="D223" s="25" t="n"/>
      <c r="E223" s="18" t="n"/>
      <c r="F223" s="25" t="n"/>
      <c r="G223" s="18" t="n"/>
      <c r="H223" s="18" t="n"/>
      <c r="I223" s="26">
        <f>IF(OR($A223="",$F223=""),"",ROUND(IF($D223="",1,$D223)*$F223,0))</f>
        <v/>
      </c>
      <c r="J223" s="27">
        <f>IF($A223="","",IF($O223="なし","※通知一覧にない通知No",IF($P223="","",INDEX('支払先'!$C$5:$C$104,$P223)&amp;"")))</f>
        <v/>
      </c>
      <c r="K223" s="28">
        <f>IF(NOT(ISNUMBER($O223)),"",IF(ISNUMBER(INDEX('通知一覧'!$F$5:$F$204,$O223)),INDEX('通知一覧'!$F$5:$F$204,$O223),""))</f>
        <v/>
      </c>
      <c r="L223" s="29">
        <f>IF(AND(ISNUMBER($B223),ISNUMBER($K223)),$K223-$B223+1,"")</f>
        <v/>
      </c>
      <c r="M223" s="30">
        <f>IF(OR($L223="",$P223=""),"",IF(INDEX('支払先'!$M$5:$M$104,$P223)="対象外","",IF(AND($L223&gt;60,$K223&gt;=EDATE($B223,2)),"超える","")))</f>
        <v/>
      </c>
      <c r="N223" s="67" t="n"/>
      <c r="O223" s="31">
        <f>IF($A223="","",IFERROR(MATCH($A223,'通知一覧'!$B$5:$B$204,0),"なし"))</f>
        <v/>
      </c>
      <c r="P223" s="31">
        <f>IF(NOT(ISNUMBER($O223)),"",IFERROR(MATCH(INDEX('通知一覧'!$C$5:$C$204,$O223),'支払先'!$B$5:$B$104,0),""))</f>
        <v/>
      </c>
      <c r="Q223" s="31">
        <f>IF(AND($A223&lt;&gt;"",$A223='支払通知書'!$K$2),ROW(),"")</f>
        <v/>
      </c>
    </row>
    <row r="224" ht="18" customHeight="1">
      <c r="A224" s="18" t="n"/>
      <c r="B224" s="24" t="n"/>
      <c r="C224" s="19" t="n"/>
      <c r="D224" s="25" t="n"/>
      <c r="E224" s="18" t="n"/>
      <c r="F224" s="25" t="n"/>
      <c r="G224" s="18" t="n"/>
      <c r="H224" s="18" t="n"/>
      <c r="I224" s="26">
        <f>IF(OR($A224="",$F224=""),"",ROUND(IF($D224="",1,$D224)*$F224,0))</f>
        <v/>
      </c>
      <c r="J224" s="27">
        <f>IF($A224="","",IF($O224="なし","※通知一覧にない通知No",IF($P224="","",INDEX('支払先'!$C$5:$C$104,$P224)&amp;"")))</f>
        <v/>
      </c>
      <c r="K224" s="28">
        <f>IF(NOT(ISNUMBER($O224)),"",IF(ISNUMBER(INDEX('通知一覧'!$F$5:$F$204,$O224)),INDEX('通知一覧'!$F$5:$F$204,$O224),""))</f>
        <v/>
      </c>
      <c r="L224" s="29">
        <f>IF(AND(ISNUMBER($B224),ISNUMBER($K224)),$K224-$B224+1,"")</f>
        <v/>
      </c>
      <c r="M224" s="30">
        <f>IF(OR($L224="",$P224=""),"",IF(INDEX('支払先'!$M$5:$M$104,$P224)="対象外","",IF(AND($L224&gt;60,$K224&gt;=EDATE($B224,2)),"超える","")))</f>
        <v/>
      </c>
      <c r="N224" s="67" t="n"/>
      <c r="O224" s="31">
        <f>IF($A224="","",IFERROR(MATCH($A224,'通知一覧'!$B$5:$B$204,0),"なし"))</f>
        <v/>
      </c>
      <c r="P224" s="31">
        <f>IF(NOT(ISNUMBER($O224)),"",IFERROR(MATCH(INDEX('通知一覧'!$C$5:$C$204,$O224),'支払先'!$B$5:$B$104,0),""))</f>
        <v/>
      </c>
      <c r="Q224" s="31">
        <f>IF(AND($A224&lt;&gt;"",$A224='支払通知書'!$K$2),ROW(),"")</f>
        <v/>
      </c>
    </row>
    <row r="225" ht="18" customHeight="1">
      <c r="A225" s="18" t="n"/>
      <c r="B225" s="24" t="n"/>
      <c r="C225" s="19" t="n"/>
      <c r="D225" s="25" t="n"/>
      <c r="E225" s="18" t="n"/>
      <c r="F225" s="25" t="n"/>
      <c r="G225" s="18" t="n"/>
      <c r="H225" s="18" t="n"/>
      <c r="I225" s="26">
        <f>IF(OR($A225="",$F225=""),"",ROUND(IF($D225="",1,$D225)*$F225,0))</f>
        <v/>
      </c>
      <c r="J225" s="27">
        <f>IF($A225="","",IF($O225="なし","※通知一覧にない通知No",IF($P225="","",INDEX('支払先'!$C$5:$C$104,$P225)&amp;"")))</f>
        <v/>
      </c>
      <c r="K225" s="28">
        <f>IF(NOT(ISNUMBER($O225)),"",IF(ISNUMBER(INDEX('通知一覧'!$F$5:$F$204,$O225)),INDEX('通知一覧'!$F$5:$F$204,$O225),""))</f>
        <v/>
      </c>
      <c r="L225" s="29">
        <f>IF(AND(ISNUMBER($B225),ISNUMBER($K225)),$K225-$B225+1,"")</f>
        <v/>
      </c>
      <c r="M225" s="30">
        <f>IF(OR($L225="",$P225=""),"",IF(INDEX('支払先'!$M$5:$M$104,$P225)="対象外","",IF(AND($L225&gt;60,$K225&gt;=EDATE($B225,2)),"超える","")))</f>
        <v/>
      </c>
      <c r="N225" s="67" t="n"/>
      <c r="O225" s="31">
        <f>IF($A225="","",IFERROR(MATCH($A225,'通知一覧'!$B$5:$B$204,0),"なし"))</f>
        <v/>
      </c>
      <c r="P225" s="31">
        <f>IF(NOT(ISNUMBER($O225)),"",IFERROR(MATCH(INDEX('通知一覧'!$C$5:$C$204,$O225),'支払先'!$B$5:$B$104,0),""))</f>
        <v/>
      </c>
      <c r="Q225" s="31">
        <f>IF(AND($A225&lt;&gt;"",$A225='支払通知書'!$K$2),ROW(),"")</f>
        <v/>
      </c>
    </row>
    <row r="226" ht="18" customHeight="1">
      <c r="A226" s="18" t="n"/>
      <c r="B226" s="24" t="n"/>
      <c r="C226" s="19" t="n"/>
      <c r="D226" s="25" t="n"/>
      <c r="E226" s="18" t="n"/>
      <c r="F226" s="25" t="n"/>
      <c r="G226" s="18" t="n"/>
      <c r="H226" s="18" t="n"/>
      <c r="I226" s="26">
        <f>IF(OR($A226="",$F226=""),"",ROUND(IF($D226="",1,$D226)*$F226,0))</f>
        <v/>
      </c>
      <c r="J226" s="27">
        <f>IF($A226="","",IF($O226="なし","※通知一覧にない通知No",IF($P226="","",INDEX('支払先'!$C$5:$C$104,$P226)&amp;"")))</f>
        <v/>
      </c>
      <c r="K226" s="28">
        <f>IF(NOT(ISNUMBER($O226)),"",IF(ISNUMBER(INDEX('通知一覧'!$F$5:$F$204,$O226)),INDEX('通知一覧'!$F$5:$F$204,$O226),""))</f>
        <v/>
      </c>
      <c r="L226" s="29">
        <f>IF(AND(ISNUMBER($B226),ISNUMBER($K226)),$K226-$B226+1,"")</f>
        <v/>
      </c>
      <c r="M226" s="30">
        <f>IF(OR($L226="",$P226=""),"",IF(INDEX('支払先'!$M$5:$M$104,$P226)="対象外","",IF(AND($L226&gt;60,$K226&gt;=EDATE($B226,2)),"超える","")))</f>
        <v/>
      </c>
      <c r="N226" s="67" t="n"/>
      <c r="O226" s="31">
        <f>IF($A226="","",IFERROR(MATCH($A226,'通知一覧'!$B$5:$B$204,0),"なし"))</f>
        <v/>
      </c>
      <c r="P226" s="31">
        <f>IF(NOT(ISNUMBER($O226)),"",IFERROR(MATCH(INDEX('通知一覧'!$C$5:$C$204,$O226),'支払先'!$B$5:$B$104,0),""))</f>
        <v/>
      </c>
      <c r="Q226" s="31">
        <f>IF(AND($A226&lt;&gt;"",$A226='支払通知書'!$K$2),ROW(),"")</f>
        <v/>
      </c>
    </row>
    <row r="227" ht="18" customHeight="1">
      <c r="A227" s="18" t="n"/>
      <c r="B227" s="24" t="n"/>
      <c r="C227" s="19" t="n"/>
      <c r="D227" s="25" t="n"/>
      <c r="E227" s="18" t="n"/>
      <c r="F227" s="25" t="n"/>
      <c r="G227" s="18" t="n"/>
      <c r="H227" s="18" t="n"/>
      <c r="I227" s="26">
        <f>IF(OR($A227="",$F227=""),"",ROUND(IF($D227="",1,$D227)*$F227,0))</f>
        <v/>
      </c>
      <c r="J227" s="27">
        <f>IF($A227="","",IF($O227="なし","※通知一覧にない通知No",IF($P227="","",INDEX('支払先'!$C$5:$C$104,$P227)&amp;"")))</f>
        <v/>
      </c>
      <c r="K227" s="28">
        <f>IF(NOT(ISNUMBER($O227)),"",IF(ISNUMBER(INDEX('通知一覧'!$F$5:$F$204,$O227)),INDEX('通知一覧'!$F$5:$F$204,$O227),""))</f>
        <v/>
      </c>
      <c r="L227" s="29">
        <f>IF(AND(ISNUMBER($B227),ISNUMBER($K227)),$K227-$B227+1,"")</f>
        <v/>
      </c>
      <c r="M227" s="30">
        <f>IF(OR($L227="",$P227=""),"",IF(INDEX('支払先'!$M$5:$M$104,$P227)="対象外","",IF(AND($L227&gt;60,$K227&gt;=EDATE($B227,2)),"超える","")))</f>
        <v/>
      </c>
      <c r="N227" s="67" t="n"/>
      <c r="O227" s="31">
        <f>IF($A227="","",IFERROR(MATCH($A227,'通知一覧'!$B$5:$B$204,0),"なし"))</f>
        <v/>
      </c>
      <c r="P227" s="31">
        <f>IF(NOT(ISNUMBER($O227)),"",IFERROR(MATCH(INDEX('通知一覧'!$C$5:$C$204,$O227),'支払先'!$B$5:$B$104,0),""))</f>
        <v/>
      </c>
      <c r="Q227" s="31">
        <f>IF(AND($A227&lt;&gt;"",$A227='支払通知書'!$K$2),ROW(),"")</f>
        <v/>
      </c>
    </row>
    <row r="228" ht="18" customHeight="1">
      <c r="A228" s="18" t="n"/>
      <c r="B228" s="24" t="n"/>
      <c r="C228" s="19" t="n"/>
      <c r="D228" s="25" t="n"/>
      <c r="E228" s="18" t="n"/>
      <c r="F228" s="25" t="n"/>
      <c r="G228" s="18" t="n"/>
      <c r="H228" s="18" t="n"/>
      <c r="I228" s="26">
        <f>IF(OR($A228="",$F228=""),"",ROUND(IF($D228="",1,$D228)*$F228,0))</f>
        <v/>
      </c>
      <c r="J228" s="27">
        <f>IF($A228="","",IF($O228="なし","※通知一覧にない通知No",IF($P228="","",INDEX('支払先'!$C$5:$C$104,$P228)&amp;"")))</f>
        <v/>
      </c>
      <c r="K228" s="28">
        <f>IF(NOT(ISNUMBER($O228)),"",IF(ISNUMBER(INDEX('通知一覧'!$F$5:$F$204,$O228)),INDEX('通知一覧'!$F$5:$F$204,$O228),""))</f>
        <v/>
      </c>
      <c r="L228" s="29">
        <f>IF(AND(ISNUMBER($B228),ISNUMBER($K228)),$K228-$B228+1,"")</f>
        <v/>
      </c>
      <c r="M228" s="30">
        <f>IF(OR($L228="",$P228=""),"",IF(INDEX('支払先'!$M$5:$M$104,$P228)="対象外","",IF(AND($L228&gt;60,$K228&gt;=EDATE($B228,2)),"超える","")))</f>
        <v/>
      </c>
      <c r="N228" s="67" t="n"/>
      <c r="O228" s="31">
        <f>IF($A228="","",IFERROR(MATCH($A228,'通知一覧'!$B$5:$B$204,0),"なし"))</f>
        <v/>
      </c>
      <c r="P228" s="31">
        <f>IF(NOT(ISNUMBER($O228)),"",IFERROR(MATCH(INDEX('通知一覧'!$C$5:$C$204,$O228),'支払先'!$B$5:$B$104,0),""))</f>
        <v/>
      </c>
      <c r="Q228" s="31">
        <f>IF(AND($A228&lt;&gt;"",$A228='支払通知書'!$K$2),ROW(),"")</f>
        <v/>
      </c>
    </row>
    <row r="229" ht="18" customHeight="1">
      <c r="A229" s="18" t="n"/>
      <c r="B229" s="24" t="n"/>
      <c r="C229" s="19" t="n"/>
      <c r="D229" s="25" t="n"/>
      <c r="E229" s="18" t="n"/>
      <c r="F229" s="25" t="n"/>
      <c r="G229" s="18" t="n"/>
      <c r="H229" s="18" t="n"/>
      <c r="I229" s="26">
        <f>IF(OR($A229="",$F229=""),"",ROUND(IF($D229="",1,$D229)*$F229,0))</f>
        <v/>
      </c>
      <c r="J229" s="27">
        <f>IF($A229="","",IF($O229="なし","※通知一覧にない通知No",IF($P229="","",INDEX('支払先'!$C$5:$C$104,$P229)&amp;"")))</f>
        <v/>
      </c>
      <c r="K229" s="28">
        <f>IF(NOT(ISNUMBER($O229)),"",IF(ISNUMBER(INDEX('通知一覧'!$F$5:$F$204,$O229)),INDEX('通知一覧'!$F$5:$F$204,$O229),""))</f>
        <v/>
      </c>
      <c r="L229" s="29">
        <f>IF(AND(ISNUMBER($B229),ISNUMBER($K229)),$K229-$B229+1,"")</f>
        <v/>
      </c>
      <c r="M229" s="30">
        <f>IF(OR($L229="",$P229=""),"",IF(INDEX('支払先'!$M$5:$M$104,$P229)="対象外","",IF(AND($L229&gt;60,$K229&gt;=EDATE($B229,2)),"超える","")))</f>
        <v/>
      </c>
      <c r="N229" s="67" t="n"/>
      <c r="O229" s="31">
        <f>IF($A229="","",IFERROR(MATCH($A229,'通知一覧'!$B$5:$B$204,0),"なし"))</f>
        <v/>
      </c>
      <c r="P229" s="31">
        <f>IF(NOT(ISNUMBER($O229)),"",IFERROR(MATCH(INDEX('通知一覧'!$C$5:$C$204,$O229),'支払先'!$B$5:$B$104,0),""))</f>
        <v/>
      </c>
      <c r="Q229" s="31">
        <f>IF(AND($A229&lt;&gt;"",$A229='支払通知書'!$K$2),ROW(),"")</f>
        <v/>
      </c>
    </row>
    <row r="230" ht="18" customHeight="1">
      <c r="A230" s="18" t="n"/>
      <c r="B230" s="24" t="n"/>
      <c r="C230" s="19" t="n"/>
      <c r="D230" s="25" t="n"/>
      <c r="E230" s="18" t="n"/>
      <c r="F230" s="25" t="n"/>
      <c r="G230" s="18" t="n"/>
      <c r="H230" s="18" t="n"/>
      <c r="I230" s="26">
        <f>IF(OR($A230="",$F230=""),"",ROUND(IF($D230="",1,$D230)*$F230,0))</f>
        <v/>
      </c>
      <c r="J230" s="27">
        <f>IF($A230="","",IF($O230="なし","※通知一覧にない通知No",IF($P230="","",INDEX('支払先'!$C$5:$C$104,$P230)&amp;"")))</f>
        <v/>
      </c>
      <c r="K230" s="28">
        <f>IF(NOT(ISNUMBER($O230)),"",IF(ISNUMBER(INDEX('通知一覧'!$F$5:$F$204,$O230)),INDEX('通知一覧'!$F$5:$F$204,$O230),""))</f>
        <v/>
      </c>
      <c r="L230" s="29">
        <f>IF(AND(ISNUMBER($B230),ISNUMBER($K230)),$K230-$B230+1,"")</f>
        <v/>
      </c>
      <c r="M230" s="30">
        <f>IF(OR($L230="",$P230=""),"",IF(INDEX('支払先'!$M$5:$M$104,$P230)="対象外","",IF(AND($L230&gt;60,$K230&gt;=EDATE($B230,2)),"超える","")))</f>
        <v/>
      </c>
      <c r="N230" s="67" t="n"/>
      <c r="O230" s="31">
        <f>IF($A230="","",IFERROR(MATCH($A230,'通知一覧'!$B$5:$B$204,0),"なし"))</f>
        <v/>
      </c>
      <c r="P230" s="31">
        <f>IF(NOT(ISNUMBER($O230)),"",IFERROR(MATCH(INDEX('通知一覧'!$C$5:$C$204,$O230),'支払先'!$B$5:$B$104,0),""))</f>
        <v/>
      </c>
      <c r="Q230" s="31">
        <f>IF(AND($A230&lt;&gt;"",$A230='支払通知書'!$K$2),ROW(),"")</f>
        <v/>
      </c>
    </row>
    <row r="231" ht="18" customHeight="1">
      <c r="A231" s="18" t="n"/>
      <c r="B231" s="24" t="n"/>
      <c r="C231" s="19" t="n"/>
      <c r="D231" s="25" t="n"/>
      <c r="E231" s="18" t="n"/>
      <c r="F231" s="25" t="n"/>
      <c r="G231" s="18" t="n"/>
      <c r="H231" s="18" t="n"/>
      <c r="I231" s="26">
        <f>IF(OR($A231="",$F231=""),"",ROUND(IF($D231="",1,$D231)*$F231,0))</f>
        <v/>
      </c>
      <c r="J231" s="27">
        <f>IF($A231="","",IF($O231="なし","※通知一覧にない通知No",IF($P231="","",INDEX('支払先'!$C$5:$C$104,$P231)&amp;"")))</f>
        <v/>
      </c>
      <c r="K231" s="28">
        <f>IF(NOT(ISNUMBER($O231)),"",IF(ISNUMBER(INDEX('通知一覧'!$F$5:$F$204,$O231)),INDEX('通知一覧'!$F$5:$F$204,$O231),""))</f>
        <v/>
      </c>
      <c r="L231" s="29">
        <f>IF(AND(ISNUMBER($B231),ISNUMBER($K231)),$K231-$B231+1,"")</f>
        <v/>
      </c>
      <c r="M231" s="30">
        <f>IF(OR($L231="",$P231=""),"",IF(INDEX('支払先'!$M$5:$M$104,$P231)="対象外","",IF(AND($L231&gt;60,$K231&gt;=EDATE($B231,2)),"超える","")))</f>
        <v/>
      </c>
      <c r="N231" s="67" t="n"/>
      <c r="O231" s="31">
        <f>IF($A231="","",IFERROR(MATCH($A231,'通知一覧'!$B$5:$B$204,0),"なし"))</f>
        <v/>
      </c>
      <c r="P231" s="31">
        <f>IF(NOT(ISNUMBER($O231)),"",IFERROR(MATCH(INDEX('通知一覧'!$C$5:$C$204,$O231),'支払先'!$B$5:$B$104,0),""))</f>
        <v/>
      </c>
      <c r="Q231" s="31">
        <f>IF(AND($A231&lt;&gt;"",$A231='支払通知書'!$K$2),ROW(),"")</f>
        <v/>
      </c>
    </row>
    <row r="232" ht="18" customHeight="1">
      <c r="A232" s="18" t="n"/>
      <c r="B232" s="24" t="n"/>
      <c r="C232" s="19" t="n"/>
      <c r="D232" s="25" t="n"/>
      <c r="E232" s="18" t="n"/>
      <c r="F232" s="25" t="n"/>
      <c r="G232" s="18" t="n"/>
      <c r="H232" s="18" t="n"/>
      <c r="I232" s="26">
        <f>IF(OR($A232="",$F232=""),"",ROUND(IF($D232="",1,$D232)*$F232,0))</f>
        <v/>
      </c>
      <c r="J232" s="27">
        <f>IF($A232="","",IF($O232="なし","※通知一覧にない通知No",IF($P232="","",INDEX('支払先'!$C$5:$C$104,$P232)&amp;"")))</f>
        <v/>
      </c>
      <c r="K232" s="28">
        <f>IF(NOT(ISNUMBER($O232)),"",IF(ISNUMBER(INDEX('通知一覧'!$F$5:$F$204,$O232)),INDEX('通知一覧'!$F$5:$F$204,$O232),""))</f>
        <v/>
      </c>
      <c r="L232" s="29">
        <f>IF(AND(ISNUMBER($B232),ISNUMBER($K232)),$K232-$B232+1,"")</f>
        <v/>
      </c>
      <c r="M232" s="30">
        <f>IF(OR($L232="",$P232=""),"",IF(INDEX('支払先'!$M$5:$M$104,$P232)="対象外","",IF(AND($L232&gt;60,$K232&gt;=EDATE($B232,2)),"超える","")))</f>
        <v/>
      </c>
      <c r="N232" s="67" t="n"/>
      <c r="O232" s="31">
        <f>IF($A232="","",IFERROR(MATCH($A232,'通知一覧'!$B$5:$B$204,0),"なし"))</f>
        <v/>
      </c>
      <c r="P232" s="31">
        <f>IF(NOT(ISNUMBER($O232)),"",IFERROR(MATCH(INDEX('通知一覧'!$C$5:$C$204,$O232),'支払先'!$B$5:$B$104,0),""))</f>
        <v/>
      </c>
      <c r="Q232" s="31">
        <f>IF(AND($A232&lt;&gt;"",$A232='支払通知書'!$K$2),ROW(),"")</f>
        <v/>
      </c>
    </row>
    <row r="233" ht="18" customHeight="1">
      <c r="A233" s="18" t="n"/>
      <c r="B233" s="24" t="n"/>
      <c r="C233" s="19" t="n"/>
      <c r="D233" s="25" t="n"/>
      <c r="E233" s="18" t="n"/>
      <c r="F233" s="25" t="n"/>
      <c r="G233" s="18" t="n"/>
      <c r="H233" s="18" t="n"/>
      <c r="I233" s="26">
        <f>IF(OR($A233="",$F233=""),"",ROUND(IF($D233="",1,$D233)*$F233,0))</f>
        <v/>
      </c>
      <c r="J233" s="27">
        <f>IF($A233="","",IF($O233="なし","※通知一覧にない通知No",IF($P233="","",INDEX('支払先'!$C$5:$C$104,$P233)&amp;"")))</f>
        <v/>
      </c>
      <c r="K233" s="28">
        <f>IF(NOT(ISNUMBER($O233)),"",IF(ISNUMBER(INDEX('通知一覧'!$F$5:$F$204,$O233)),INDEX('通知一覧'!$F$5:$F$204,$O233),""))</f>
        <v/>
      </c>
      <c r="L233" s="29">
        <f>IF(AND(ISNUMBER($B233),ISNUMBER($K233)),$K233-$B233+1,"")</f>
        <v/>
      </c>
      <c r="M233" s="30">
        <f>IF(OR($L233="",$P233=""),"",IF(INDEX('支払先'!$M$5:$M$104,$P233)="対象外","",IF(AND($L233&gt;60,$K233&gt;=EDATE($B233,2)),"超える","")))</f>
        <v/>
      </c>
      <c r="N233" s="67" t="n"/>
      <c r="O233" s="31">
        <f>IF($A233="","",IFERROR(MATCH($A233,'通知一覧'!$B$5:$B$204,0),"なし"))</f>
        <v/>
      </c>
      <c r="P233" s="31">
        <f>IF(NOT(ISNUMBER($O233)),"",IFERROR(MATCH(INDEX('通知一覧'!$C$5:$C$204,$O233),'支払先'!$B$5:$B$104,0),""))</f>
        <v/>
      </c>
      <c r="Q233" s="31">
        <f>IF(AND($A233&lt;&gt;"",$A233='支払通知書'!$K$2),ROW(),"")</f>
        <v/>
      </c>
    </row>
    <row r="234" ht="18" customHeight="1">
      <c r="A234" s="18" t="n"/>
      <c r="B234" s="24" t="n"/>
      <c r="C234" s="19" t="n"/>
      <c r="D234" s="25" t="n"/>
      <c r="E234" s="18" t="n"/>
      <c r="F234" s="25" t="n"/>
      <c r="G234" s="18" t="n"/>
      <c r="H234" s="18" t="n"/>
      <c r="I234" s="26">
        <f>IF(OR($A234="",$F234=""),"",ROUND(IF($D234="",1,$D234)*$F234,0))</f>
        <v/>
      </c>
      <c r="J234" s="27">
        <f>IF($A234="","",IF($O234="なし","※通知一覧にない通知No",IF($P234="","",INDEX('支払先'!$C$5:$C$104,$P234)&amp;"")))</f>
        <v/>
      </c>
      <c r="K234" s="28">
        <f>IF(NOT(ISNUMBER($O234)),"",IF(ISNUMBER(INDEX('通知一覧'!$F$5:$F$204,$O234)),INDEX('通知一覧'!$F$5:$F$204,$O234),""))</f>
        <v/>
      </c>
      <c r="L234" s="29">
        <f>IF(AND(ISNUMBER($B234),ISNUMBER($K234)),$K234-$B234+1,"")</f>
        <v/>
      </c>
      <c r="M234" s="30">
        <f>IF(OR($L234="",$P234=""),"",IF(INDEX('支払先'!$M$5:$M$104,$P234)="対象外","",IF(AND($L234&gt;60,$K234&gt;=EDATE($B234,2)),"超える","")))</f>
        <v/>
      </c>
      <c r="N234" s="67" t="n"/>
      <c r="O234" s="31">
        <f>IF($A234="","",IFERROR(MATCH($A234,'通知一覧'!$B$5:$B$204,0),"なし"))</f>
        <v/>
      </c>
      <c r="P234" s="31">
        <f>IF(NOT(ISNUMBER($O234)),"",IFERROR(MATCH(INDEX('通知一覧'!$C$5:$C$204,$O234),'支払先'!$B$5:$B$104,0),""))</f>
        <v/>
      </c>
      <c r="Q234" s="31">
        <f>IF(AND($A234&lt;&gt;"",$A234='支払通知書'!$K$2),ROW(),"")</f>
        <v/>
      </c>
    </row>
    <row r="235" ht="18" customHeight="1">
      <c r="A235" s="18" t="n"/>
      <c r="B235" s="24" t="n"/>
      <c r="C235" s="19" t="n"/>
      <c r="D235" s="25" t="n"/>
      <c r="E235" s="18" t="n"/>
      <c r="F235" s="25" t="n"/>
      <c r="G235" s="18" t="n"/>
      <c r="H235" s="18" t="n"/>
      <c r="I235" s="26">
        <f>IF(OR($A235="",$F235=""),"",ROUND(IF($D235="",1,$D235)*$F235,0))</f>
        <v/>
      </c>
      <c r="J235" s="27">
        <f>IF($A235="","",IF($O235="なし","※通知一覧にない通知No",IF($P235="","",INDEX('支払先'!$C$5:$C$104,$P235)&amp;"")))</f>
        <v/>
      </c>
      <c r="K235" s="28">
        <f>IF(NOT(ISNUMBER($O235)),"",IF(ISNUMBER(INDEX('通知一覧'!$F$5:$F$204,$O235)),INDEX('通知一覧'!$F$5:$F$204,$O235),""))</f>
        <v/>
      </c>
      <c r="L235" s="29">
        <f>IF(AND(ISNUMBER($B235),ISNUMBER($K235)),$K235-$B235+1,"")</f>
        <v/>
      </c>
      <c r="M235" s="30">
        <f>IF(OR($L235="",$P235=""),"",IF(INDEX('支払先'!$M$5:$M$104,$P235)="対象外","",IF(AND($L235&gt;60,$K235&gt;=EDATE($B235,2)),"超える","")))</f>
        <v/>
      </c>
      <c r="N235" s="67" t="n"/>
      <c r="O235" s="31">
        <f>IF($A235="","",IFERROR(MATCH($A235,'通知一覧'!$B$5:$B$204,0),"なし"))</f>
        <v/>
      </c>
      <c r="P235" s="31">
        <f>IF(NOT(ISNUMBER($O235)),"",IFERROR(MATCH(INDEX('通知一覧'!$C$5:$C$204,$O235),'支払先'!$B$5:$B$104,0),""))</f>
        <v/>
      </c>
      <c r="Q235" s="31">
        <f>IF(AND($A235&lt;&gt;"",$A235='支払通知書'!$K$2),ROW(),"")</f>
        <v/>
      </c>
    </row>
    <row r="236" ht="18" customHeight="1">
      <c r="A236" s="18" t="n"/>
      <c r="B236" s="24" t="n"/>
      <c r="C236" s="19" t="n"/>
      <c r="D236" s="25" t="n"/>
      <c r="E236" s="18" t="n"/>
      <c r="F236" s="25" t="n"/>
      <c r="G236" s="18" t="n"/>
      <c r="H236" s="18" t="n"/>
      <c r="I236" s="26">
        <f>IF(OR($A236="",$F236=""),"",ROUND(IF($D236="",1,$D236)*$F236,0))</f>
        <v/>
      </c>
      <c r="J236" s="27">
        <f>IF($A236="","",IF($O236="なし","※通知一覧にない通知No",IF($P236="","",INDEX('支払先'!$C$5:$C$104,$P236)&amp;"")))</f>
        <v/>
      </c>
      <c r="K236" s="28">
        <f>IF(NOT(ISNUMBER($O236)),"",IF(ISNUMBER(INDEX('通知一覧'!$F$5:$F$204,$O236)),INDEX('通知一覧'!$F$5:$F$204,$O236),""))</f>
        <v/>
      </c>
      <c r="L236" s="29">
        <f>IF(AND(ISNUMBER($B236),ISNUMBER($K236)),$K236-$B236+1,"")</f>
        <v/>
      </c>
      <c r="M236" s="30">
        <f>IF(OR($L236="",$P236=""),"",IF(INDEX('支払先'!$M$5:$M$104,$P236)="対象外","",IF(AND($L236&gt;60,$K236&gt;=EDATE($B236,2)),"超える","")))</f>
        <v/>
      </c>
      <c r="N236" s="67" t="n"/>
      <c r="O236" s="31">
        <f>IF($A236="","",IFERROR(MATCH($A236,'通知一覧'!$B$5:$B$204,0),"なし"))</f>
        <v/>
      </c>
      <c r="P236" s="31">
        <f>IF(NOT(ISNUMBER($O236)),"",IFERROR(MATCH(INDEX('通知一覧'!$C$5:$C$204,$O236),'支払先'!$B$5:$B$104,0),""))</f>
        <v/>
      </c>
      <c r="Q236" s="31">
        <f>IF(AND($A236&lt;&gt;"",$A236='支払通知書'!$K$2),ROW(),"")</f>
        <v/>
      </c>
    </row>
    <row r="237" ht="18" customHeight="1">
      <c r="A237" s="18" t="n"/>
      <c r="B237" s="24" t="n"/>
      <c r="C237" s="19" t="n"/>
      <c r="D237" s="25" t="n"/>
      <c r="E237" s="18" t="n"/>
      <c r="F237" s="25" t="n"/>
      <c r="G237" s="18" t="n"/>
      <c r="H237" s="18" t="n"/>
      <c r="I237" s="26">
        <f>IF(OR($A237="",$F237=""),"",ROUND(IF($D237="",1,$D237)*$F237,0))</f>
        <v/>
      </c>
      <c r="J237" s="27">
        <f>IF($A237="","",IF($O237="なし","※通知一覧にない通知No",IF($P237="","",INDEX('支払先'!$C$5:$C$104,$P237)&amp;"")))</f>
        <v/>
      </c>
      <c r="K237" s="28">
        <f>IF(NOT(ISNUMBER($O237)),"",IF(ISNUMBER(INDEX('通知一覧'!$F$5:$F$204,$O237)),INDEX('通知一覧'!$F$5:$F$204,$O237),""))</f>
        <v/>
      </c>
      <c r="L237" s="29">
        <f>IF(AND(ISNUMBER($B237),ISNUMBER($K237)),$K237-$B237+1,"")</f>
        <v/>
      </c>
      <c r="M237" s="30">
        <f>IF(OR($L237="",$P237=""),"",IF(INDEX('支払先'!$M$5:$M$104,$P237)="対象外","",IF(AND($L237&gt;60,$K237&gt;=EDATE($B237,2)),"超える","")))</f>
        <v/>
      </c>
      <c r="N237" s="67" t="n"/>
      <c r="O237" s="31">
        <f>IF($A237="","",IFERROR(MATCH($A237,'通知一覧'!$B$5:$B$204,0),"なし"))</f>
        <v/>
      </c>
      <c r="P237" s="31">
        <f>IF(NOT(ISNUMBER($O237)),"",IFERROR(MATCH(INDEX('通知一覧'!$C$5:$C$204,$O237),'支払先'!$B$5:$B$104,0),""))</f>
        <v/>
      </c>
      <c r="Q237" s="31">
        <f>IF(AND($A237&lt;&gt;"",$A237='支払通知書'!$K$2),ROW(),"")</f>
        <v/>
      </c>
    </row>
    <row r="238" ht="18" customHeight="1">
      <c r="A238" s="18" t="n"/>
      <c r="B238" s="24" t="n"/>
      <c r="C238" s="19" t="n"/>
      <c r="D238" s="25" t="n"/>
      <c r="E238" s="18" t="n"/>
      <c r="F238" s="25" t="n"/>
      <c r="G238" s="18" t="n"/>
      <c r="H238" s="18" t="n"/>
      <c r="I238" s="26">
        <f>IF(OR($A238="",$F238=""),"",ROUND(IF($D238="",1,$D238)*$F238,0))</f>
        <v/>
      </c>
      <c r="J238" s="27">
        <f>IF($A238="","",IF($O238="なし","※通知一覧にない通知No",IF($P238="","",INDEX('支払先'!$C$5:$C$104,$P238)&amp;"")))</f>
        <v/>
      </c>
      <c r="K238" s="28">
        <f>IF(NOT(ISNUMBER($O238)),"",IF(ISNUMBER(INDEX('通知一覧'!$F$5:$F$204,$O238)),INDEX('通知一覧'!$F$5:$F$204,$O238),""))</f>
        <v/>
      </c>
      <c r="L238" s="29">
        <f>IF(AND(ISNUMBER($B238),ISNUMBER($K238)),$K238-$B238+1,"")</f>
        <v/>
      </c>
      <c r="M238" s="30">
        <f>IF(OR($L238="",$P238=""),"",IF(INDEX('支払先'!$M$5:$M$104,$P238)="対象外","",IF(AND($L238&gt;60,$K238&gt;=EDATE($B238,2)),"超える","")))</f>
        <v/>
      </c>
      <c r="N238" s="67" t="n"/>
      <c r="O238" s="31">
        <f>IF($A238="","",IFERROR(MATCH($A238,'通知一覧'!$B$5:$B$204,0),"なし"))</f>
        <v/>
      </c>
      <c r="P238" s="31">
        <f>IF(NOT(ISNUMBER($O238)),"",IFERROR(MATCH(INDEX('通知一覧'!$C$5:$C$204,$O238),'支払先'!$B$5:$B$104,0),""))</f>
        <v/>
      </c>
      <c r="Q238" s="31">
        <f>IF(AND($A238&lt;&gt;"",$A238='支払通知書'!$K$2),ROW(),"")</f>
        <v/>
      </c>
    </row>
    <row r="239" ht="18" customHeight="1">
      <c r="A239" s="18" t="n"/>
      <c r="B239" s="24" t="n"/>
      <c r="C239" s="19" t="n"/>
      <c r="D239" s="25" t="n"/>
      <c r="E239" s="18" t="n"/>
      <c r="F239" s="25" t="n"/>
      <c r="G239" s="18" t="n"/>
      <c r="H239" s="18" t="n"/>
      <c r="I239" s="26">
        <f>IF(OR($A239="",$F239=""),"",ROUND(IF($D239="",1,$D239)*$F239,0))</f>
        <v/>
      </c>
      <c r="J239" s="27">
        <f>IF($A239="","",IF($O239="なし","※通知一覧にない通知No",IF($P239="","",INDEX('支払先'!$C$5:$C$104,$P239)&amp;"")))</f>
        <v/>
      </c>
      <c r="K239" s="28">
        <f>IF(NOT(ISNUMBER($O239)),"",IF(ISNUMBER(INDEX('通知一覧'!$F$5:$F$204,$O239)),INDEX('通知一覧'!$F$5:$F$204,$O239),""))</f>
        <v/>
      </c>
      <c r="L239" s="29">
        <f>IF(AND(ISNUMBER($B239),ISNUMBER($K239)),$K239-$B239+1,"")</f>
        <v/>
      </c>
      <c r="M239" s="30">
        <f>IF(OR($L239="",$P239=""),"",IF(INDEX('支払先'!$M$5:$M$104,$P239)="対象外","",IF(AND($L239&gt;60,$K239&gt;=EDATE($B239,2)),"超える","")))</f>
        <v/>
      </c>
      <c r="N239" s="67" t="n"/>
      <c r="O239" s="31">
        <f>IF($A239="","",IFERROR(MATCH($A239,'通知一覧'!$B$5:$B$204,0),"なし"))</f>
        <v/>
      </c>
      <c r="P239" s="31">
        <f>IF(NOT(ISNUMBER($O239)),"",IFERROR(MATCH(INDEX('通知一覧'!$C$5:$C$204,$O239),'支払先'!$B$5:$B$104,0),""))</f>
        <v/>
      </c>
      <c r="Q239" s="31">
        <f>IF(AND($A239&lt;&gt;"",$A239='支払通知書'!$K$2),ROW(),"")</f>
        <v/>
      </c>
    </row>
    <row r="240" ht="18" customHeight="1">
      <c r="A240" s="18" t="n"/>
      <c r="B240" s="24" t="n"/>
      <c r="C240" s="19" t="n"/>
      <c r="D240" s="25" t="n"/>
      <c r="E240" s="18" t="n"/>
      <c r="F240" s="25" t="n"/>
      <c r="G240" s="18" t="n"/>
      <c r="H240" s="18" t="n"/>
      <c r="I240" s="26">
        <f>IF(OR($A240="",$F240=""),"",ROUND(IF($D240="",1,$D240)*$F240,0))</f>
        <v/>
      </c>
      <c r="J240" s="27">
        <f>IF($A240="","",IF($O240="なし","※通知一覧にない通知No",IF($P240="","",INDEX('支払先'!$C$5:$C$104,$P240)&amp;"")))</f>
        <v/>
      </c>
      <c r="K240" s="28">
        <f>IF(NOT(ISNUMBER($O240)),"",IF(ISNUMBER(INDEX('通知一覧'!$F$5:$F$204,$O240)),INDEX('通知一覧'!$F$5:$F$204,$O240),""))</f>
        <v/>
      </c>
      <c r="L240" s="29">
        <f>IF(AND(ISNUMBER($B240),ISNUMBER($K240)),$K240-$B240+1,"")</f>
        <v/>
      </c>
      <c r="M240" s="30">
        <f>IF(OR($L240="",$P240=""),"",IF(INDEX('支払先'!$M$5:$M$104,$P240)="対象外","",IF(AND($L240&gt;60,$K240&gt;=EDATE($B240,2)),"超える","")))</f>
        <v/>
      </c>
      <c r="N240" s="67" t="n"/>
      <c r="O240" s="31">
        <f>IF($A240="","",IFERROR(MATCH($A240,'通知一覧'!$B$5:$B$204,0),"なし"))</f>
        <v/>
      </c>
      <c r="P240" s="31">
        <f>IF(NOT(ISNUMBER($O240)),"",IFERROR(MATCH(INDEX('通知一覧'!$C$5:$C$204,$O240),'支払先'!$B$5:$B$104,0),""))</f>
        <v/>
      </c>
      <c r="Q240" s="31">
        <f>IF(AND($A240&lt;&gt;"",$A240='支払通知書'!$K$2),ROW(),"")</f>
        <v/>
      </c>
    </row>
    <row r="241" ht="18" customHeight="1">
      <c r="A241" s="18" t="n"/>
      <c r="B241" s="24" t="n"/>
      <c r="C241" s="19" t="n"/>
      <c r="D241" s="25" t="n"/>
      <c r="E241" s="18" t="n"/>
      <c r="F241" s="25" t="n"/>
      <c r="G241" s="18" t="n"/>
      <c r="H241" s="18" t="n"/>
      <c r="I241" s="26">
        <f>IF(OR($A241="",$F241=""),"",ROUND(IF($D241="",1,$D241)*$F241,0))</f>
        <v/>
      </c>
      <c r="J241" s="27">
        <f>IF($A241="","",IF($O241="なし","※通知一覧にない通知No",IF($P241="","",INDEX('支払先'!$C$5:$C$104,$P241)&amp;"")))</f>
        <v/>
      </c>
      <c r="K241" s="28">
        <f>IF(NOT(ISNUMBER($O241)),"",IF(ISNUMBER(INDEX('通知一覧'!$F$5:$F$204,$O241)),INDEX('通知一覧'!$F$5:$F$204,$O241),""))</f>
        <v/>
      </c>
      <c r="L241" s="29">
        <f>IF(AND(ISNUMBER($B241),ISNUMBER($K241)),$K241-$B241+1,"")</f>
        <v/>
      </c>
      <c r="M241" s="30">
        <f>IF(OR($L241="",$P241=""),"",IF(INDEX('支払先'!$M$5:$M$104,$P241)="対象外","",IF(AND($L241&gt;60,$K241&gt;=EDATE($B241,2)),"超える","")))</f>
        <v/>
      </c>
      <c r="N241" s="67" t="n"/>
      <c r="O241" s="31">
        <f>IF($A241="","",IFERROR(MATCH($A241,'通知一覧'!$B$5:$B$204,0),"なし"))</f>
        <v/>
      </c>
      <c r="P241" s="31">
        <f>IF(NOT(ISNUMBER($O241)),"",IFERROR(MATCH(INDEX('通知一覧'!$C$5:$C$204,$O241),'支払先'!$B$5:$B$104,0),""))</f>
        <v/>
      </c>
      <c r="Q241" s="31">
        <f>IF(AND($A241&lt;&gt;"",$A241='支払通知書'!$K$2),ROW(),"")</f>
        <v/>
      </c>
    </row>
    <row r="242" ht="18" customHeight="1">
      <c r="A242" s="18" t="n"/>
      <c r="B242" s="24" t="n"/>
      <c r="C242" s="19" t="n"/>
      <c r="D242" s="25" t="n"/>
      <c r="E242" s="18" t="n"/>
      <c r="F242" s="25" t="n"/>
      <c r="G242" s="18" t="n"/>
      <c r="H242" s="18" t="n"/>
      <c r="I242" s="26">
        <f>IF(OR($A242="",$F242=""),"",ROUND(IF($D242="",1,$D242)*$F242,0))</f>
        <v/>
      </c>
      <c r="J242" s="27">
        <f>IF($A242="","",IF($O242="なし","※通知一覧にない通知No",IF($P242="","",INDEX('支払先'!$C$5:$C$104,$P242)&amp;"")))</f>
        <v/>
      </c>
      <c r="K242" s="28">
        <f>IF(NOT(ISNUMBER($O242)),"",IF(ISNUMBER(INDEX('通知一覧'!$F$5:$F$204,$O242)),INDEX('通知一覧'!$F$5:$F$204,$O242),""))</f>
        <v/>
      </c>
      <c r="L242" s="29">
        <f>IF(AND(ISNUMBER($B242),ISNUMBER($K242)),$K242-$B242+1,"")</f>
        <v/>
      </c>
      <c r="M242" s="30">
        <f>IF(OR($L242="",$P242=""),"",IF(INDEX('支払先'!$M$5:$M$104,$P242)="対象外","",IF(AND($L242&gt;60,$K242&gt;=EDATE($B242,2)),"超える","")))</f>
        <v/>
      </c>
      <c r="N242" s="67" t="n"/>
      <c r="O242" s="31">
        <f>IF($A242="","",IFERROR(MATCH($A242,'通知一覧'!$B$5:$B$204,0),"なし"))</f>
        <v/>
      </c>
      <c r="P242" s="31">
        <f>IF(NOT(ISNUMBER($O242)),"",IFERROR(MATCH(INDEX('通知一覧'!$C$5:$C$204,$O242),'支払先'!$B$5:$B$104,0),""))</f>
        <v/>
      </c>
      <c r="Q242" s="31">
        <f>IF(AND($A242&lt;&gt;"",$A242='支払通知書'!$K$2),ROW(),"")</f>
        <v/>
      </c>
    </row>
    <row r="243" ht="18" customHeight="1">
      <c r="A243" s="18" t="n"/>
      <c r="B243" s="24" t="n"/>
      <c r="C243" s="19" t="n"/>
      <c r="D243" s="25" t="n"/>
      <c r="E243" s="18" t="n"/>
      <c r="F243" s="25" t="n"/>
      <c r="G243" s="18" t="n"/>
      <c r="H243" s="18" t="n"/>
      <c r="I243" s="26">
        <f>IF(OR($A243="",$F243=""),"",ROUND(IF($D243="",1,$D243)*$F243,0))</f>
        <v/>
      </c>
      <c r="J243" s="27">
        <f>IF($A243="","",IF($O243="なし","※通知一覧にない通知No",IF($P243="","",INDEX('支払先'!$C$5:$C$104,$P243)&amp;"")))</f>
        <v/>
      </c>
      <c r="K243" s="28">
        <f>IF(NOT(ISNUMBER($O243)),"",IF(ISNUMBER(INDEX('通知一覧'!$F$5:$F$204,$O243)),INDEX('通知一覧'!$F$5:$F$204,$O243),""))</f>
        <v/>
      </c>
      <c r="L243" s="29">
        <f>IF(AND(ISNUMBER($B243),ISNUMBER($K243)),$K243-$B243+1,"")</f>
        <v/>
      </c>
      <c r="M243" s="30">
        <f>IF(OR($L243="",$P243=""),"",IF(INDEX('支払先'!$M$5:$M$104,$P243)="対象外","",IF(AND($L243&gt;60,$K243&gt;=EDATE($B243,2)),"超える","")))</f>
        <v/>
      </c>
      <c r="N243" s="67" t="n"/>
      <c r="O243" s="31">
        <f>IF($A243="","",IFERROR(MATCH($A243,'通知一覧'!$B$5:$B$204,0),"なし"))</f>
        <v/>
      </c>
      <c r="P243" s="31">
        <f>IF(NOT(ISNUMBER($O243)),"",IFERROR(MATCH(INDEX('通知一覧'!$C$5:$C$204,$O243),'支払先'!$B$5:$B$104,0),""))</f>
        <v/>
      </c>
      <c r="Q243" s="31">
        <f>IF(AND($A243&lt;&gt;"",$A243='支払通知書'!$K$2),ROW(),"")</f>
        <v/>
      </c>
    </row>
    <row r="244" ht="18" customHeight="1">
      <c r="A244" s="18" t="n"/>
      <c r="B244" s="24" t="n"/>
      <c r="C244" s="19" t="n"/>
      <c r="D244" s="25" t="n"/>
      <c r="E244" s="18" t="n"/>
      <c r="F244" s="25" t="n"/>
      <c r="G244" s="18" t="n"/>
      <c r="H244" s="18" t="n"/>
      <c r="I244" s="26">
        <f>IF(OR($A244="",$F244=""),"",ROUND(IF($D244="",1,$D244)*$F244,0))</f>
        <v/>
      </c>
      <c r="J244" s="27">
        <f>IF($A244="","",IF($O244="なし","※通知一覧にない通知No",IF($P244="","",INDEX('支払先'!$C$5:$C$104,$P244)&amp;"")))</f>
        <v/>
      </c>
      <c r="K244" s="28">
        <f>IF(NOT(ISNUMBER($O244)),"",IF(ISNUMBER(INDEX('通知一覧'!$F$5:$F$204,$O244)),INDEX('通知一覧'!$F$5:$F$204,$O244),""))</f>
        <v/>
      </c>
      <c r="L244" s="29">
        <f>IF(AND(ISNUMBER($B244),ISNUMBER($K244)),$K244-$B244+1,"")</f>
        <v/>
      </c>
      <c r="M244" s="30">
        <f>IF(OR($L244="",$P244=""),"",IF(INDEX('支払先'!$M$5:$M$104,$P244)="対象外","",IF(AND($L244&gt;60,$K244&gt;=EDATE($B244,2)),"超える","")))</f>
        <v/>
      </c>
      <c r="N244" s="67" t="n"/>
      <c r="O244" s="31">
        <f>IF($A244="","",IFERROR(MATCH($A244,'通知一覧'!$B$5:$B$204,0),"なし"))</f>
        <v/>
      </c>
      <c r="P244" s="31">
        <f>IF(NOT(ISNUMBER($O244)),"",IFERROR(MATCH(INDEX('通知一覧'!$C$5:$C$204,$O244),'支払先'!$B$5:$B$104,0),""))</f>
        <v/>
      </c>
      <c r="Q244" s="31">
        <f>IF(AND($A244&lt;&gt;"",$A244='支払通知書'!$K$2),ROW(),"")</f>
        <v/>
      </c>
    </row>
    <row r="245" ht="18" customHeight="1">
      <c r="A245" s="18" t="n"/>
      <c r="B245" s="24" t="n"/>
      <c r="C245" s="19" t="n"/>
      <c r="D245" s="25" t="n"/>
      <c r="E245" s="18" t="n"/>
      <c r="F245" s="25" t="n"/>
      <c r="G245" s="18" t="n"/>
      <c r="H245" s="18" t="n"/>
      <c r="I245" s="26">
        <f>IF(OR($A245="",$F245=""),"",ROUND(IF($D245="",1,$D245)*$F245,0))</f>
        <v/>
      </c>
      <c r="J245" s="27">
        <f>IF($A245="","",IF($O245="なし","※通知一覧にない通知No",IF($P245="","",INDEX('支払先'!$C$5:$C$104,$P245)&amp;"")))</f>
        <v/>
      </c>
      <c r="K245" s="28">
        <f>IF(NOT(ISNUMBER($O245)),"",IF(ISNUMBER(INDEX('通知一覧'!$F$5:$F$204,$O245)),INDEX('通知一覧'!$F$5:$F$204,$O245),""))</f>
        <v/>
      </c>
      <c r="L245" s="29">
        <f>IF(AND(ISNUMBER($B245),ISNUMBER($K245)),$K245-$B245+1,"")</f>
        <v/>
      </c>
      <c r="M245" s="30">
        <f>IF(OR($L245="",$P245=""),"",IF(INDEX('支払先'!$M$5:$M$104,$P245)="対象外","",IF(AND($L245&gt;60,$K245&gt;=EDATE($B245,2)),"超える","")))</f>
        <v/>
      </c>
      <c r="N245" s="67" t="n"/>
      <c r="O245" s="31">
        <f>IF($A245="","",IFERROR(MATCH($A245,'通知一覧'!$B$5:$B$204,0),"なし"))</f>
        <v/>
      </c>
      <c r="P245" s="31">
        <f>IF(NOT(ISNUMBER($O245)),"",IFERROR(MATCH(INDEX('通知一覧'!$C$5:$C$204,$O245),'支払先'!$B$5:$B$104,0),""))</f>
        <v/>
      </c>
      <c r="Q245" s="31">
        <f>IF(AND($A245&lt;&gt;"",$A245='支払通知書'!$K$2),ROW(),"")</f>
        <v/>
      </c>
    </row>
    <row r="246" ht="18" customHeight="1">
      <c r="A246" s="18" t="n"/>
      <c r="B246" s="24" t="n"/>
      <c r="C246" s="19" t="n"/>
      <c r="D246" s="25" t="n"/>
      <c r="E246" s="18" t="n"/>
      <c r="F246" s="25" t="n"/>
      <c r="G246" s="18" t="n"/>
      <c r="H246" s="18" t="n"/>
      <c r="I246" s="26">
        <f>IF(OR($A246="",$F246=""),"",ROUND(IF($D246="",1,$D246)*$F246,0))</f>
        <v/>
      </c>
      <c r="J246" s="27">
        <f>IF($A246="","",IF($O246="なし","※通知一覧にない通知No",IF($P246="","",INDEX('支払先'!$C$5:$C$104,$P246)&amp;"")))</f>
        <v/>
      </c>
      <c r="K246" s="28">
        <f>IF(NOT(ISNUMBER($O246)),"",IF(ISNUMBER(INDEX('通知一覧'!$F$5:$F$204,$O246)),INDEX('通知一覧'!$F$5:$F$204,$O246),""))</f>
        <v/>
      </c>
      <c r="L246" s="29">
        <f>IF(AND(ISNUMBER($B246),ISNUMBER($K246)),$K246-$B246+1,"")</f>
        <v/>
      </c>
      <c r="M246" s="30">
        <f>IF(OR($L246="",$P246=""),"",IF(INDEX('支払先'!$M$5:$M$104,$P246)="対象外","",IF(AND($L246&gt;60,$K246&gt;=EDATE($B246,2)),"超える","")))</f>
        <v/>
      </c>
      <c r="N246" s="67" t="n"/>
      <c r="O246" s="31">
        <f>IF($A246="","",IFERROR(MATCH($A246,'通知一覧'!$B$5:$B$204,0),"なし"))</f>
        <v/>
      </c>
      <c r="P246" s="31">
        <f>IF(NOT(ISNUMBER($O246)),"",IFERROR(MATCH(INDEX('通知一覧'!$C$5:$C$204,$O246),'支払先'!$B$5:$B$104,0),""))</f>
        <v/>
      </c>
      <c r="Q246" s="31">
        <f>IF(AND($A246&lt;&gt;"",$A246='支払通知書'!$K$2),ROW(),"")</f>
        <v/>
      </c>
    </row>
    <row r="247" ht="18" customHeight="1">
      <c r="A247" s="18" t="n"/>
      <c r="B247" s="24" t="n"/>
      <c r="C247" s="19" t="n"/>
      <c r="D247" s="25" t="n"/>
      <c r="E247" s="18" t="n"/>
      <c r="F247" s="25" t="n"/>
      <c r="G247" s="18" t="n"/>
      <c r="H247" s="18" t="n"/>
      <c r="I247" s="26">
        <f>IF(OR($A247="",$F247=""),"",ROUND(IF($D247="",1,$D247)*$F247,0))</f>
        <v/>
      </c>
      <c r="J247" s="27">
        <f>IF($A247="","",IF($O247="なし","※通知一覧にない通知No",IF($P247="","",INDEX('支払先'!$C$5:$C$104,$P247)&amp;"")))</f>
        <v/>
      </c>
      <c r="K247" s="28">
        <f>IF(NOT(ISNUMBER($O247)),"",IF(ISNUMBER(INDEX('通知一覧'!$F$5:$F$204,$O247)),INDEX('通知一覧'!$F$5:$F$204,$O247),""))</f>
        <v/>
      </c>
      <c r="L247" s="29">
        <f>IF(AND(ISNUMBER($B247),ISNUMBER($K247)),$K247-$B247+1,"")</f>
        <v/>
      </c>
      <c r="M247" s="30">
        <f>IF(OR($L247="",$P247=""),"",IF(INDEX('支払先'!$M$5:$M$104,$P247)="対象外","",IF(AND($L247&gt;60,$K247&gt;=EDATE($B247,2)),"超える","")))</f>
        <v/>
      </c>
      <c r="N247" s="67" t="n"/>
      <c r="O247" s="31">
        <f>IF($A247="","",IFERROR(MATCH($A247,'通知一覧'!$B$5:$B$204,0),"なし"))</f>
        <v/>
      </c>
      <c r="P247" s="31">
        <f>IF(NOT(ISNUMBER($O247)),"",IFERROR(MATCH(INDEX('通知一覧'!$C$5:$C$204,$O247),'支払先'!$B$5:$B$104,0),""))</f>
        <v/>
      </c>
      <c r="Q247" s="31">
        <f>IF(AND($A247&lt;&gt;"",$A247='支払通知書'!$K$2),ROW(),"")</f>
        <v/>
      </c>
    </row>
    <row r="248" ht="18" customHeight="1">
      <c r="A248" s="18" t="n"/>
      <c r="B248" s="24" t="n"/>
      <c r="C248" s="19" t="n"/>
      <c r="D248" s="25" t="n"/>
      <c r="E248" s="18" t="n"/>
      <c r="F248" s="25" t="n"/>
      <c r="G248" s="18" t="n"/>
      <c r="H248" s="18" t="n"/>
      <c r="I248" s="26">
        <f>IF(OR($A248="",$F248=""),"",ROUND(IF($D248="",1,$D248)*$F248,0))</f>
        <v/>
      </c>
      <c r="J248" s="27">
        <f>IF($A248="","",IF($O248="なし","※通知一覧にない通知No",IF($P248="","",INDEX('支払先'!$C$5:$C$104,$P248)&amp;"")))</f>
        <v/>
      </c>
      <c r="K248" s="28">
        <f>IF(NOT(ISNUMBER($O248)),"",IF(ISNUMBER(INDEX('通知一覧'!$F$5:$F$204,$O248)),INDEX('通知一覧'!$F$5:$F$204,$O248),""))</f>
        <v/>
      </c>
      <c r="L248" s="29">
        <f>IF(AND(ISNUMBER($B248),ISNUMBER($K248)),$K248-$B248+1,"")</f>
        <v/>
      </c>
      <c r="M248" s="30">
        <f>IF(OR($L248="",$P248=""),"",IF(INDEX('支払先'!$M$5:$M$104,$P248)="対象外","",IF(AND($L248&gt;60,$K248&gt;=EDATE($B248,2)),"超える","")))</f>
        <v/>
      </c>
      <c r="N248" s="67" t="n"/>
      <c r="O248" s="31">
        <f>IF($A248="","",IFERROR(MATCH($A248,'通知一覧'!$B$5:$B$204,0),"なし"))</f>
        <v/>
      </c>
      <c r="P248" s="31">
        <f>IF(NOT(ISNUMBER($O248)),"",IFERROR(MATCH(INDEX('通知一覧'!$C$5:$C$204,$O248),'支払先'!$B$5:$B$104,0),""))</f>
        <v/>
      </c>
      <c r="Q248" s="31">
        <f>IF(AND($A248&lt;&gt;"",$A248='支払通知書'!$K$2),ROW(),"")</f>
        <v/>
      </c>
    </row>
    <row r="249" ht="18" customHeight="1">
      <c r="A249" s="18" t="n"/>
      <c r="B249" s="24" t="n"/>
      <c r="C249" s="19" t="n"/>
      <c r="D249" s="25" t="n"/>
      <c r="E249" s="18" t="n"/>
      <c r="F249" s="25" t="n"/>
      <c r="G249" s="18" t="n"/>
      <c r="H249" s="18" t="n"/>
      <c r="I249" s="26">
        <f>IF(OR($A249="",$F249=""),"",ROUND(IF($D249="",1,$D249)*$F249,0))</f>
        <v/>
      </c>
      <c r="J249" s="27">
        <f>IF($A249="","",IF($O249="なし","※通知一覧にない通知No",IF($P249="","",INDEX('支払先'!$C$5:$C$104,$P249)&amp;"")))</f>
        <v/>
      </c>
      <c r="K249" s="28">
        <f>IF(NOT(ISNUMBER($O249)),"",IF(ISNUMBER(INDEX('通知一覧'!$F$5:$F$204,$O249)),INDEX('通知一覧'!$F$5:$F$204,$O249),""))</f>
        <v/>
      </c>
      <c r="L249" s="29">
        <f>IF(AND(ISNUMBER($B249),ISNUMBER($K249)),$K249-$B249+1,"")</f>
        <v/>
      </c>
      <c r="M249" s="30">
        <f>IF(OR($L249="",$P249=""),"",IF(INDEX('支払先'!$M$5:$M$104,$P249)="対象外","",IF(AND($L249&gt;60,$K249&gt;=EDATE($B249,2)),"超える","")))</f>
        <v/>
      </c>
      <c r="N249" s="67" t="n"/>
      <c r="O249" s="31">
        <f>IF($A249="","",IFERROR(MATCH($A249,'通知一覧'!$B$5:$B$204,0),"なし"))</f>
        <v/>
      </c>
      <c r="P249" s="31">
        <f>IF(NOT(ISNUMBER($O249)),"",IFERROR(MATCH(INDEX('通知一覧'!$C$5:$C$204,$O249),'支払先'!$B$5:$B$104,0),""))</f>
        <v/>
      </c>
      <c r="Q249" s="31">
        <f>IF(AND($A249&lt;&gt;"",$A249='支払通知書'!$K$2),ROW(),"")</f>
        <v/>
      </c>
    </row>
    <row r="250" ht="18" customHeight="1">
      <c r="A250" s="18" t="n"/>
      <c r="B250" s="24" t="n"/>
      <c r="C250" s="19" t="n"/>
      <c r="D250" s="25" t="n"/>
      <c r="E250" s="18" t="n"/>
      <c r="F250" s="25" t="n"/>
      <c r="G250" s="18" t="n"/>
      <c r="H250" s="18" t="n"/>
      <c r="I250" s="26">
        <f>IF(OR($A250="",$F250=""),"",ROUND(IF($D250="",1,$D250)*$F250,0))</f>
        <v/>
      </c>
      <c r="J250" s="27">
        <f>IF($A250="","",IF($O250="なし","※通知一覧にない通知No",IF($P250="","",INDEX('支払先'!$C$5:$C$104,$P250)&amp;"")))</f>
        <v/>
      </c>
      <c r="K250" s="28">
        <f>IF(NOT(ISNUMBER($O250)),"",IF(ISNUMBER(INDEX('通知一覧'!$F$5:$F$204,$O250)),INDEX('通知一覧'!$F$5:$F$204,$O250),""))</f>
        <v/>
      </c>
      <c r="L250" s="29">
        <f>IF(AND(ISNUMBER($B250),ISNUMBER($K250)),$K250-$B250+1,"")</f>
        <v/>
      </c>
      <c r="M250" s="30">
        <f>IF(OR($L250="",$P250=""),"",IF(INDEX('支払先'!$M$5:$M$104,$P250)="対象外","",IF(AND($L250&gt;60,$K250&gt;=EDATE($B250,2)),"超える","")))</f>
        <v/>
      </c>
      <c r="N250" s="67" t="n"/>
      <c r="O250" s="31">
        <f>IF($A250="","",IFERROR(MATCH($A250,'通知一覧'!$B$5:$B$204,0),"なし"))</f>
        <v/>
      </c>
      <c r="P250" s="31">
        <f>IF(NOT(ISNUMBER($O250)),"",IFERROR(MATCH(INDEX('通知一覧'!$C$5:$C$204,$O250),'支払先'!$B$5:$B$104,0),""))</f>
        <v/>
      </c>
      <c r="Q250" s="31">
        <f>IF(AND($A250&lt;&gt;"",$A250='支払通知書'!$K$2),ROW(),"")</f>
        <v/>
      </c>
    </row>
    <row r="251" ht="18" customHeight="1">
      <c r="A251" s="18" t="n"/>
      <c r="B251" s="24" t="n"/>
      <c r="C251" s="19" t="n"/>
      <c r="D251" s="25" t="n"/>
      <c r="E251" s="18" t="n"/>
      <c r="F251" s="25" t="n"/>
      <c r="G251" s="18" t="n"/>
      <c r="H251" s="18" t="n"/>
      <c r="I251" s="26">
        <f>IF(OR($A251="",$F251=""),"",ROUND(IF($D251="",1,$D251)*$F251,0))</f>
        <v/>
      </c>
      <c r="J251" s="27">
        <f>IF($A251="","",IF($O251="なし","※通知一覧にない通知No",IF($P251="","",INDEX('支払先'!$C$5:$C$104,$P251)&amp;"")))</f>
        <v/>
      </c>
      <c r="K251" s="28">
        <f>IF(NOT(ISNUMBER($O251)),"",IF(ISNUMBER(INDEX('通知一覧'!$F$5:$F$204,$O251)),INDEX('通知一覧'!$F$5:$F$204,$O251),""))</f>
        <v/>
      </c>
      <c r="L251" s="29">
        <f>IF(AND(ISNUMBER($B251),ISNUMBER($K251)),$K251-$B251+1,"")</f>
        <v/>
      </c>
      <c r="M251" s="30">
        <f>IF(OR($L251="",$P251=""),"",IF(INDEX('支払先'!$M$5:$M$104,$P251)="対象外","",IF(AND($L251&gt;60,$K251&gt;=EDATE($B251,2)),"超える","")))</f>
        <v/>
      </c>
      <c r="N251" s="67" t="n"/>
      <c r="O251" s="31">
        <f>IF($A251="","",IFERROR(MATCH($A251,'通知一覧'!$B$5:$B$204,0),"なし"))</f>
        <v/>
      </c>
      <c r="P251" s="31">
        <f>IF(NOT(ISNUMBER($O251)),"",IFERROR(MATCH(INDEX('通知一覧'!$C$5:$C$204,$O251),'支払先'!$B$5:$B$104,0),""))</f>
        <v/>
      </c>
      <c r="Q251" s="31">
        <f>IF(AND($A251&lt;&gt;"",$A251='支払通知書'!$K$2),ROW(),"")</f>
        <v/>
      </c>
    </row>
    <row r="252" ht="18" customHeight="1">
      <c r="A252" s="18" t="n"/>
      <c r="B252" s="24" t="n"/>
      <c r="C252" s="19" t="n"/>
      <c r="D252" s="25" t="n"/>
      <c r="E252" s="18" t="n"/>
      <c r="F252" s="25" t="n"/>
      <c r="G252" s="18" t="n"/>
      <c r="H252" s="18" t="n"/>
      <c r="I252" s="26">
        <f>IF(OR($A252="",$F252=""),"",ROUND(IF($D252="",1,$D252)*$F252,0))</f>
        <v/>
      </c>
      <c r="J252" s="27">
        <f>IF($A252="","",IF($O252="なし","※通知一覧にない通知No",IF($P252="","",INDEX('支払先'!$C$5:$C$104,$P252)&amp;"")))</f>
        <v/>
      </c>
      <c r="K252" s="28">
        <f>IF(NOT(ISNUMBER($O252)),"",IF(ISNUMBER(INDEX('通知一覧'!$F$5:$F$204,$O252)),INDEX('通知一覧'!$F$5:$F$204,$O252),""))</f>
        <v/>
      </c>
      <c r="L252" s="29">
        <f>IF(AND(ISNUMBER($B252),ISNUMBER($K252)),$K252-$B252+1,"")</f>
        <v/>
      </c>
      <c r="M252" s="30">
        <f>IF(OR($L252="",$P252=""),"",IF(INDEX('支払先'!$M$5:$M$104,$P252)="対象外","",IF(AND($L252&gt;60,$K252&gt;=EDATE($B252,2)),"超える","")))</f>
        <v/>
      </c>
      <c r="N252" s="67" t="n"/>
      <c r="O252" s="31">
        <f>IF($A252="","",IFERROR(MATCH($A252,'通知一覧'!$B$5:$B$204,0),"なし"))</f>
        <v/>
      </c>
      <c r="P252" s="31">
        <f>IF(NOT(ISNUMBER($O252)),"",IFERROR(MATCH(INDEX('通知一覧'!$C$5:$C$204,$O252),'支払先'!$B$5:$B$104,0),""))</f>
        <v/>
      </c>
      <c r="Q252" s="31">
        <f>IF(AND($A252&lt;&gt;"",$A252='支払通知書'!$K$2),ROW(),"")</f>
        <v/>
      </c>
    </row>
    <row r="253" ht="18" customHeight="1">
      <c r="A253" s="18" t="n"/>
      <c r="B253" s="24" t="n"/>
      <c r="C253" s="19" t="n"/>
      <c r="D253" s="25" t="n"/>
      <c r="E253" s="18" t="n"/>
      <c r="F253" s="25" t="n"/>
      <c r="G253" s="18" t="n"/>
      <c r="H253" s="18" t="n"/>
      <c r="I253" s="26">
        <f>IF(OR($A253="",$F253=""),"",ROUND(IF($D253="",1,$D253)*$F253,0))</f>
        <v/>
      </c>
      <c r="J253" s="27">
        <f>IF($A253="","",IF($O253="なし","※通知一覧にない通知No",IF($P253="","",INDEX('支払先'!$C$5:$C$104,$P253)&amp;"")))</f>
        <v/>
      </c>
      <c r="K253" s="28">
        <f>IF(NOT(ISNUMBER($O253)),"",IF(ISNUMBER(INDEX('通知一覧'!$F$5:$F$204,$O253)),INDEX('通知一覧'!$F$5:$F$204,$O253),""))</f>
        <v/>
      </c>
      <c r="L253" s="29">
        <f>IF(AND(ISNUMBER($B253),ISNUMBER($K253)),$K253-$B253+1,"")</f>
        <v/>
      </c>
      <c r="M253" s="30">
        <f>IF(OR($L253="",$P253=""),"",IF(INDEX('支払先'!$M$5:$M$104,$P253)="対象外","",IF(AND($L253&gt;60,$K253&gt;=EDATE($B253,2)),"超える","")))</f>
        <v/>
      </c>
      <c r="N253" s="67" t="n"/>
      <c r="O253" s="31">
        <f>IF($A253="","",IFERROR(MATCH($A253,'通知一覧'!$B$5:$B$204,0),"なし"))</f>
        <v/>
      </c>
      <c r="P253" s="31">
        <f>IF(NOT(ISNUMBER($O253)),"",IFERROR(MATCH(INDEX('通知一覧'!$C$5:$C$204,$O253),'支払先'!$B$5:$B$104,0),""))</f>
        <v/>
      </c>
      <c r="Q253" s="31">
        <f>IF(AND($A253&lt;&gt;"",$A253='支払通知書'!$K$2),ROW(),"")</f>
        <v/>
      </c>
    </row>
    <row r="254" ht="18" customHeight="1">
      <c r="A254" s="18" t="n"/>
      <c r="B254" s="24" t="n"/>
      <c r="C254" s="19" t="n"/>
      <c r="D254" s="25" t="n"/>
      <c r="E254" s="18" t="n"/>
      <c r="F254" s="25" t="n"/>
      <c r="G254" s="18" t="n"/>
      <c r="H254" s="18" t="n"/>
      <c r="I254" s="26">
        <f>IF(OR($A254="",$F254=""),"",ROUND(IF($D254="",1,$D254)*$F254,0))</f>
        <v/>
      </c>
      <c r="J254" s="27">
        <f>IF($A254="","",IF($O254="なし","※通知一覧にない通知No",IF($P254="","",INDEX('支払先'!$C$5:$C$104,$P254)&amp;"")))</f>
        <v/>
      </c>
      <c r="K254" s="28">
        <f>IF(NOT(ISNUMBER($O254)),"",IF(ISNUMBER(INDEX('通知一覧'!$F$5:$F$204,$O254)),INDEX('通知一覧'!$F$5:$F$204,$O254),""))</f>
        <v/>
      </c>
      <c r="L254" s="29">
        <f>IF(AND(ISNUMBER($B254),ISNUMBER($K254)),$K254-$B254+1,"")</f>
        <v/>
      </c>
      <c r="M254" s="30">
        <f>IF(OR($L254="",$P254=""),"",IF(INDEX('支払先'!$M$5:$M$104,$P254)="対象外","",IF(AND($L254&gt;60,$K254&gt;=EDATE($B254,2)),"超える","")))</f>
        <v/>
      </c>
      <c r="N254" s="67" t="n"/>
      <c r="O254" s="31">
        <f>IF($A254="","",IFERROR(MATCH($A254,'通知一覧'!$B$5:$B$204,0),"なし"))</f>
        <v/>
      </c>
      <c r="P254" s="31">
        <f>IF(NOT(ISNUMBER($O254)),"",IFERROR(MATCH(INDEX('通知一覧'!$C$5:$C$204,$O254),'支払先'!$B$5:$B$104,0),""))</f>
        <v/>
      </c>
      <c r="Q254" s="31">
        <f>IF(AND($A254&lt;&gt;"",$A254='支払通知書'!$K$2),ROW(),"")</f>
        <v/>
      </c>
    </row>
    <row r="255" ht="18" customHeight="1">
      <c r="A255" s="18" t="n"/>
      <c r="B255" s="24" t="n"/>
      <c r="C255" s="19" t="n"/>
      <c r="D255" s="25" t="n"/>
      <c r="E255" s="18" t="n"/>
      <c r="F255" s="25" t="n"/>
      <c r="G255" s="18" t="n"/>
      <c r="H255" s="18" t="n"/>
      <c r="I255" s="26">
        <f>IF(OR($A255="",$F255=""),"",ROUND(IF($D255="",1,$D255)*$F255,0))</f>
        <v/>
      </c>
      <c r="J255" s="27">
        <f>IF($A255="","",IF($O255="なし","※通知一覧にない通知No",IF($P255="","",INDEX('支払先'!$C$5:$C$104,$P255)&amp;"")))</f>
        <v/>
      </c>
      <c r="K255" s="28">
        <f>IF(NOT(ISNUMBER($O255)),"",IF(ISNUMBER(INDEX('通知一覧'!$F$5:$F$204,$O255)),INDEX('通知一覧'!$F$5:$F$204,$O255),""))</f>
        <v/>
      </c>
      <c r="L255" s="29">
        <f>IF(AND(ISNUMBER($B255),ISNUMBER($K255)),$K255-$B255+1,"")</f>
        <v/>
      </c>
      <c r="M255" s="30">
        <f>IF(OR($L255="",$P255=""),"",IF(INDEX('支払先'!$M$5:$M$104,$P255)="対象外","",IF(AND($L255&gt;60,$K255&gt;=EDATE($B255,2)),"超える","")))</f>
        <v/>
      </c>
      <c r="N255" s="67" t="n"/>
      <c r="O255" s="31">
        <f>IF($A255="","",IFERROR(MATCH($A255,'通知一覧'!$B$5:$B$204,0),"なし"))</f>
        <v/>
      </c>
      <c r="P255" s="31">
        <f>IF(NOT(ISNUMBER($O255)),"",IFERROR(MATCH(INDEX('通知一覧'!$C$5:$C$204,$O255),'支払先'!$B$5:$B$104,0),""))</f>
        <v/>
      </c>
      <c r="Q255" s="31">
        <f>IF(AND($A255&lt;&gt;"",$A255='支払通知書'!$K$2),ROW(),"")</f>
        <v/>
      </c>
    </row>
    <row r="256" ht="18" customHeight="1">
      <c r="A256" s="18" t="n"/>
      <c r="B256" s="24" t="n"/>
      <c r="C256" s="19" t="n"/>
      <c r="D256" s="25" t="n"/>
      <c r="E256" s="18" t="n"/>
      <c r="F256" s="25" t="n"/>
      <c r="G256" s="18" t="n"/>
      <c r="H256" s="18" t="n"/>
      <c r="I256" s="26">
        <f>IF(OR($A256="",$F256=""),"",ROUND(IF($D256="",1,$D256)*$F256,0))</f>
        <v/>
      </c>
      <c r="J256" s="27">
        <f>IF($A256="","",IF($O256="なし","※通知一覧にない通知No",IF($P256="","",INDEX('支払先'!$C$5:$C$104,$P256)&amp;"")))</f>
        <v/>
      </c>
      <c r="K256" s="28">
        <f>IF(NOT(ISNUMBER($O256)),"",IF(ISNUMBER(INDEX('通知一覧'!$F$5:$F$204,$O256)),INDEX('通知一覧'!$F$5:$F$204,$O256),""))</f>
        <v/>
      </c>
      <c r="L256" s="29">
        <f>IF(AND(ISNUMBER($B256),ISNUMBER($K256)),$K256-$B256+1,"")</f>
        <v/>
      </c>
      <c r="M256" s="30">
        <f>IF(OR($L256="",$P256=""),"",IF(INDEX('支払先'!$M$5:$M$104,$P256)="対象外","",IF(AND($L256&gt;60,$K256&gt;=EDATE($B256,2)),"超える","")))</f>
        <v/>
      </c>
      <c r="N256" s="67" t="n"/>
      <c r="O256" s="31">
        <f>IF($A256="","",IFERROR(MATCH($A256,'通知一覧'!$B$5:$B$204,0),"なし"))</f>
        <v/>
      </c>
      <c r="P256" s="31">
        <f>IF(NOT(ISNUMBER($O256)),"",IFERROR(MATCH(INDEX('通知一覧'!$C$5:$C$204,$O256),'支払先'!$B$5:$B$104,0),""))</f>
        <v/>
      </c>
      <c r="Q256" s="31">
        <f>IF(AND($A256&lt;&gt;"",$A256='支払通知書'!$K$2),ROW(),"")</f>
        <v/>
      </c>
    </row>
    <row r="257" ht="18" customHeight="1">
      <c r="A257" s="18" t="n"/>
      <c r="B257" s="24" t="n"/>
      <c r="C257" s="19" t="n"/>
      <c r="D257" s="25" t="n"/>
      <c r="E257" s="18" t="n"/>
      <c r="F257" s="25" t="n"/>
      <c r="G257" s="18" t="n"/>
      <c r="H257" s="18" t="n"/>
      <c r="I257" s="26">
        <f>IF(OR($A257="",$F257=""),"",ROUND(IF($D257="",1,$D257)*$F257,0))</f>
        <v/>
      </c>
      <c r="J257" s="27">
        <f>IF($A257="","",IF($O257="なし","※通知一覧にない通知No",IF($P257="","",INDEX('支払先'!$C$5:$C$104,$P257)&amp;"")))</f>
        <v/>
      </c>
      <c r="K257" s="28">
        <f>IF(NOT(ISNUMBER($O257)),"",IF(ISNUMBER(INDEX('通知一覧'!$F$5:$F$204,$O257)),INDEX('通知一覧'!$F$5:$F$204,$O257),""))</f>
        <v/>
      </c>
      <c r="L257" s="29">
        <f>IF(AND(ISNUMBER($B257),ISNUMBER($K257)),$K257-$B257+1,"")</f>
        <v/>
      </c>
      <c r="M257" s="30">
        <f>IF(OR($L257="",$P257=""),"",IF(INDEX('支払先'!$M$5:$M$104,$P257)="対象外","",IF(AND($L257&gt;60,$K257&gt;=EDATE($B257,2)),"超える","")))</f>
        <v/>
      </c>
      <c r="N257" s="67" t="n"/>
      <c r="O257" s="31">
        <f>IF($A257="","",IFERROR(MATCH($A257,'通知一覧'!$B$5:$B$204,0),"なし"))</f>
        <v/>
      </c>
      <c r="P257" s="31">
        <f>IF(NOT(ISNUMBER($O257)),"",IFERROR(MATCH(INDEX('通知一覧'!$C$5:$C$204,$O257),'支払先'!$B$5:$B$104,0),""))</f>
        <v/>
      </c>
      <c r="Q257" s="31">
        <f>IF(AND($A257&lt;&gt;"",$A257='支払通知書'!$K$2),ROW(),"")</f>
        <v/>
      </c>
    </row>
    <row r="258" ht="18" customHeight="1">
      <c r="A258" s="18" t="n"/>
      <c r="B258" s="24" t="n"/>
      <c r="C258" s="19" t="n"/>
      <c r="D258" s="25" t="n"/>
      <c r="E258" s="18" t="n"/>
      <c r="F258" s="25" t="n"/>
      <c r="G258" s="18" t="n"/>
      <c r="H258" s="18" t="n"/>
      <c r="I258" s="26">
        <f>IF(OR($A258="",$F258=""),"",ROUND(IF($D258="",1,$D258)*$F258,0))</f>
        <v/>
      </c>
      <c r="J258" s="27">
        <f>IF($A258="","",IF($O258="なし","※通知一覧にない通知No",IF($P258="","",INDEX('支払先'!$C$5:$C$104,$P258)&amp;"")))</f>
        <v/>
      </c>
      <c r="K258" s="28">
        <f>IF(NOT(ISNUMBER($O258)),"",IF(ISNUMBER(INDEX('通知一覧'!$F$5:$F$204,$O258)),INDEX('通知一覧'!$F$5:$F$204,$O258),""))</f>
        <v/>
      </c>
      <c r="L258" s="29">
        <f>IF(AND(ISNUMBER($B258),ISNUMBER($K258)),$K258-$B258+1,"")</f>
        <v/>
      </c>
      <c r="M258" s="30">
        <f>IF(OR($L258="",$P258=""),"",IF(INDEX('支払先'!$M$5:$M$104,$P258)="対象外","",IF(AND($L258&gt;60,$K258&gt;=EDATE($B258,2)),"超える","")))</f>
        <v/>
      </c>
      <c r="N258" s="67" t="n"/>
      <c r="O258" s="31">
        <f>IF($A258="","",IFERROR(MATCH($A258,'通知一覧'!$B$5:$B$204,0),"なし"))</f>
        <v/>
      </c>
      <c r="P258" s="31">
        <f>IF(NOT(ISNUMBER($O258)),"",IFERROR(MATCH(INDEX('通知一覧'!$C$5:$C$204,$O258),'支払先'!$B$5:$B$104,0),""))</f>
        <v/>
      </c>
      <c r="Q258" s="31">
        <f>IF(AND($A258&lt;&gt;"",$A258='支払通知書'!$K$2),ROW(),"")</f>
        <v/>
      </c>
    </row>
    <row r="259" ht="18" customHeight="1">
      <c r="A259" s="18" t="n"/>
      <c r="B259" s="24" t="n"/>
      <c r="C259" s="19" t="n"/>
      <c r="D259" s="25" t="n"/>
      <c r="E259" s="18" t="n"/>
      <c r="F259" s="25" t="n"/>
      <c r="G259" s="18" t="n"/>
      <c r="H259" s="18" t="n"/>
      <c r="I259" s="26">
        <f>IF(OR($A259="",$F259=""),"",ROUND(IF($D259="",1,$D259)*$F259,0))</f>
        <v/>
      </c>
      <c r="J259" s="27">
        <f>IF($A259="","",IF($O259="なし","※通知一覧にない通知No",IF($P259="","",INDEX('支払先'!$C$5:$C$104,$P259)&amp;"")))</f>
        <v/>
      </c>
      <c r="K259" s="28">
        <f>IF(NOT(ISNUMBER($O259)),"",IF(ISNUMBER(INDEX('通知一覧'!$F$5:$F$204,$O259)),INDEX('通知一覧'!$F$5:$F$204,$O259),""))</f>
        <v/>
      </c>
      <c r="L259" s="29">
        <f>IF(AND(ISNUMBER($B259),ISNUMBER($K259)),$K259-$B259+1,"")</f>
        <v/>
      </c>
      <c r="M259" s="30">
        <f>IF(OR($L259="",$P259=""),"",IF(INDEX('支払先'!$M$5:$M$104,$P259)="対象外","",IF(AND($L259&gt;60,$K259&gt;=EDATE($B259,2)),"超える","")))</f>
        <v/>
      </c>
      <c r="N259" s="67" t="n"/>
      <c r="O259" s="31">
        <f>IF($A259="","",IFERROR(MATCH($A259,'通知一覧'!$B$5:$B$204,0),"なし"))</f>
        <v/>
      </c>
      <c r="P259" s="31">
        <f>IF(NOT(ISNUMBER($O259)),"",IFERROR(MATCH(INDEX('通知一覧'!$C$5:$C$204,$O259),'支払先'!$B$5:$B$104,0),""))</f>
        <v/>
      </c>
      <c r="Q259" s="31">
        <f>IF(AND($A259&lt;&gt;"",$A259='支払通知書'!$K$2),ROW(),"")</f>
        <v/>
      </c>
    </row>
    <row r="260" ht="18" customHeight="1">
      <c r="A260" s="18" t="n"/>
      <c r="B260" s="24" t="n"/>
      <c r="C260" s="19" t="n"/>
      <c r="D260" s="25" t="n"/>
      <c r="E260" s="18" t="n"/>
      <c r="F260" s="25" t="n"/>
      <c r="G260" s="18" t="n"/>
      <c r="H260" s="18" t="n"/>
      <c r="I260" s="26">
        <f>IF(OR($A260="",$F260=""),"",ROUND(IF($D260="",1,$D260)*$F260,0))</f>
        <v/>
      </c>
      <c r="J260" s="27">
        <f>IF($A260="","",IF($O260="なし","※通知一覧にない通知No",IF($P260="","",INDEX('支払先'!$C$5:$C$104,$P260)&amp;"")))</f>
        <v/>
      </c>
      <c r="K260" s="28">
        <f>IF(NOT(ISNUMBER($O260)),"",IF(ISNUMBER(INDEX('通知一覧'!$F$5:$F$204,$O260)),INDEX('通知一覧'!$F$5:$F$204,$O260),""))</f>
        <v/>
      </c>
      <c r="L260" s="29">
        <f>IF(AND(ISNUMBER($B260),ISNUMBER($K260)),$K260-$B260+1,"")</f>
        <v/>
      </c>
      <c r="M260" s="30">
        <f>IF(OR($L260="",$P260=""),"",IF(INDEX('支払先'!$M$5:$M$104,$P260)="対象外","",IF(AND($L260&gt;60,$K260&gt;=EDATE($B260,2)),"超える","")))</f>
        <v/>
      </c>
      <c r="N260" s="67" t="n"/>
      <c r="O260" s="31">
        <f>IF($A260="","",IFERROR(MATCH($A260,'通知一覧'!$B$5:$B$204,0),"なし"))</f>
        <v/>
      </c>
      <c r="P260" s="31">
        <f>IF(NOT(ISNUMBER($O260)),"",IFERROR(MATCH(INDEX('通知一覧'!$C$5:$C$204,$O260),'支払先'!$B$5:$B$104,0),""))</f>
        <v/>
      </c>
      <c r="Q260" s="31">
        <f>IF(AND($A260&lt;&gt;"",$A260='支払通知書'!$K$2),ROW(),"")</f>
        <v/>
      </c>
    </row>
    <row r="261" ht="18" customHeight="1">
      <c r="A261" s="18" t="n"/>
      <c r="B261" s="24" t="n"/>
      <c r="C261" s="19" t="n"/>
      <c r="D261" s="25" t="n"/>
      <c r="E261" s="18" t="n"/>
      <c r="F261" s="25" t="n"/>
      <c r="G261" s="18" t="n"/>
      <c r="H261" s="18" t="n"/>
      <c r="I261" s="26">
        <f>IF(OR($A261="",$F261=""),"",ROUND(IF($D261="",1,$D261)*$F261,0))</f>
        <v/>
      </c>
      <c r="J261" s="27">
        <f>IF($A261="","",IF($O261="なし","※通知一覧にない通知No",IF($P261="","",INDEX('支払先'!$C$5:$C$104,$P261)&amp;"")))</f>
        <v/>
      </c>
      <c r="K261" s="28">
        <f>IF(NOT(ISNUMBER($O261)),"",IF(ISNUMBER(INDEX('通知一覧'!$F$5:$F$204,$O261)),INDEX('通知一覧'!$F$5:$F$204,$O261),""))</f>
        <v/>
      </c>
      <c r="L261" s="29">
        <f>IF(AND(ISNUMBER($B261),ISNUMBER($K261)),$K261-$B261+1,"")</f>
        <v/>
      </c>
      <c r="M261" s="30">
        <f>IF(OR($L261="",$P261=""),"",IF(INDEX('支払先'!$M$5:$M$104,$P261)="対象外","",IF(AND($L261&gt;60,$K261&gt;=EDATE($B261,2)),"超える","")))</f>
        <v/>
      </c>
      <c r="N261" s="67" t="n"/>
      <c r="O261" s="31">
        <f>IF($A261="","",IFERROR(MATCH($A261,'通知一覧'!$B$5:$B$204,0),"なし"))</f>
        <v/>
      </c>
      <c r="P261" s="31">
        <f>IF(NOT(ISNUMBER($O261)),"",IFERROR(MATCH(INDEX('通知一覧'!$C$5:$C$204,$O261),'支払先'!$B$5:$B$104,0),""))</f>
        <v/>
      </c>
      <c r="Q261" s="31">
        <f>IF(AND($A261&lt;&gt;"",$A261='支払通知書'!$K$2),ROW(),"")</f>
        <v/>
      </c>
    </row>
    <row r="262" ht="18" customHeight="1">
      <c r="A262" s="18" t="n"/>
      <c r="B262" s="24" t="n"/>
      <c r="C262" s="19" t="n"/>
      <c r="D262" s="25" t="n"/>
      <c r="E262" s="18" t="n"/>
      <c r="F262" s="25" t="n"/>
      <c r="G262" s="18" t="n"/>
      <c r="H262" s="18" t="n"/>
      <c r="I262" s="26">
        <f>IF(OR($A262="",$F262=""),"",ROUND(IF($D262="",1,$D262)*$F262,0))</f>
        <v/>
      </c>
      <c r="J262" s="27">
        <f>IF($A262="","",IF($O262="なし","※通知一覧にない通知No",IF($P262="","",INDEX('支払先'!$C$5:$C$104,$P262)&amp;"")))</f>
        <v/>
      </c>
      <c r="K262" s="28">
        <f>IF(NOT(ISNUMBER($O262)),"",IF(ISNUMBER(INDEX('通知一覧'!$F$5:$F$204,$O262)),INDEX('通知一覧'!$F$5:$F$204,$O262),""))</f>
        <v/>
      </c>
      <c r="L262" s="29">
        <f>IF(AND(ISNUMBER($B262),ISNUMBER($K262)),$K262-$B262+1,"")</f>
        <v/>
      </c>
      <c r="M262" s="30">
        <f>IF(OR($L262="",$P262=""),"",IF(INDEX('支払先'!$M$5:$M$104,$P262)="対象外","",IF(AND($L262&gt;60,$K262&gt;=EDATE($B262,2)),"超える","")))</f>
        <v/>
      </c>
      <c r="N262" s="67" t="n"/>
      <c r="O262" s="31">
        <f>IF($A262="","",IFERROR(MATCH($A262,'通知一覧'!$B$5:$B$204,0),"なし"))</f>
        <v/>
      </c>
      <c r="P262" s="31">
        <f>IF(NOT(ISNUMBER($O262)),"",IFERROR(MATCH(INDEX('通知一覧'!$C$5:$C$204,$O262),'支払先'!$B$5:$B$104,0),""))</f>
        <v/>
      </c>
      <c r="Q262" s="31">
        <f>IF(AND($A262&lt;&gt;"",$A262='支払通知書'!$K$2),ROW(),"")</f>
        <v/>
      </c>
    </row>
    <row r="263" ht="18" customHeight="1">
      <c r="A263" s="18" t="n"/>
      <c r="B263" s="24" t="n"/>
      <c r="C263" s="19" t="n"/>
      <c r="D263" s="25" t="n"/>
      <c r="E263" s="18" t="n"/>
      <c r="F263" s="25" t="n"/>
      <c r="G263" s="18" t="n"/>
      <c r="H263" s="18" t="n"/>
      <c r="I263" s="26">
        <f>IF(OR($A263="",$F263=""),"",ROUND(IF($D263="",1,$D263)*$F263,0))</f>
        <v/>
      </c>
      <c r="J263" s="27">
        <f>IF($A263="","",IF($O263="なし","※通知一覧にない通知No",IF($P263="","",INDEX('支払先'!$C$5:$C$104,$P263)&amp;"")))</f>
        <v/>
      </c>
      <c r="K263" s="28">
        <f>IF(NOT(ISNUMBER($O263)),"",IF(ISNUMBER(INDEX('通知一覧'!$F$5:$F$204,$O263)),INDEX('通知一覧'!$F$5:$F$204,$O263),""))</f>
        <v/>
      </c>
      <c r="L263" s="29">
        <f>IF(AND(ISNUMBER($B263),ISNUMBER($K263)),$K263-$B263+1,"")</f>
        <v/>
      </c>
      <c r="M263" s="30">
        <f>IF(OR($L263="",$P263=""),"",IF(INDEX('支払先'!$M$5:$M$104,$P263)="対象外","",IF(AND($L263&gt;60,$K263&gt;=EDATE($B263,2)),"超える","")))</f>
        <v/>
      </c>
      <c r="N263" s="67" t="n"/>
      <c r="O263" s="31">
        <f>IF($A263="","",IFERROR(MATCH($A263,'通知一覧'!$B$5:$B$204,0),"なし"))</f>
        <v/>
      </c>
      <c r="P263" s="31">
        <f>IF(NOT(ISNUMBER($O263)),"",IFERROR(MATCH(INDEX('通知一覧'!$C$5:$C$204,$O263),'支払先'!$B$5:$B$104,0),""))</f>
        <v/>
      </c>
      <c r="Q263" s="31">
        <f>IF(AND($A263&lt;&gt;"",$A263='支払通知書'!$K$2),ROW(),"")</f>
        <v/>
      </c>
    </row>
    <row r="264" ht="18" customHeight="1">
      <c r="A264" s="18" t="n"/>
      <c r="B264" s="24" t="n"/>
      <c r="C264" s="19" t="n"/>
      <c r="D264" s="25" t="n"/>
      <c r="E264" s="18" t="n"/>
      <c r="F264" s="25" t="n"/>
      <c r="G264" s="18" t="n"/>
      <c r="H264" s="18" t="n"/>
      <c r="I264" s="26">
        <f>IF(OR($A264="",$F264=""),"",ROUND(IF($D264="",1,$D264)*$F264,0))</f>
        <v/>
      </c>
      <c r="J264" s="27">
        <f>IF($A264="","",IF($O264="なし","※通知一覧にない通知No",IF($P264="","",INDEX('支払先'!$C$5:$C$104,$P264)&amp;"")))</f>
        <v/>
      </c>
      <c r="K264" s="28">
        <f>IF(NOT(ISNUMBER($O264)),"",IF(ISNUMBER(INDEX('通知一覧'!$F$5:$F$204,$O264)),INDEX('通知一覧'!$F$5:$F$204,$O264),""))</f>
        <v/>
      </c>
      <c r="L264" s="29">
        <f>IF(AND(ISNUMBER($B264),ISNUMBER($K264)),$K264-$B264+1,"")</f>
        <v/>
      </c>
      <c r="M264" s="30">
        <f>IF(OR($L264="",$P264=""),"",IF(INDEX('支払先'!$M$5:$M$104,$P264)="対象外","",IF(AND($L264&gt;60,$K264&gt;=EDATE($B264,2)),"超える","")))</f>
        <v/>
      </c>
      <c r="N264" s="67" t="n"/>
      <c r="O264" s="31">
        <f>IF($A264="","",IFERROR(MATCH($A264,'通知一覧'!$B$5:$B$204,0),"なし"))</f>
        <v/>
      </c>
      <c r="P264" s="31">
        <f>IF(NOT(ISNUMBER($O264)),"",IFERROR(MATCH(INDEX('通知一覧'!$C$5:$C$204,$O264),'支払先'!$B$5:$B$104,0),""))</f>
        <v/>
      </c>
      <c r="Q264" s="31">
        <f>IF(AND($A264&lt;&gt;"",$A264='支払通知書'!$K$2),ROW(),"")</f>
        <v/>
      </c>
    </row>
    <row r="265" ht="18" customHeight="1">
      <c r="A265" s="18" t="n"/>
      <c r="B265" s="24" t="n"/>
      <c r="C265" s="19" t="n"/>
      <c r="D265" s="25" t="n"/>
      <c r="E265" s="18" t="n"/>
      <c r="F265" s="25" t="n"/>
      <c r="G265" s="18" t="n"/>
      <c r="H265" s="18" t="n"/>
      <c r="I265" s="26">
        <f>IF(OR($A265="",$F265=""),"",ROUND(IF($D265="",1,$D265)*$F265,0))</f>
        <v/>
      </c>
      <c r="J265" s="27">
        <f>IF($A265="","",IF($O265="なし","※通知一覧にない通知No",IF($P265="","",INDEX('支払先'!$C$5:$C$104,$P265)&amp;"")))</f>
        <v/>
      </c>
      <c r="K265" s="28">
        <f>IF(NOT(ISNUMBER($O265)),"",IF(ISNUMBER(INDEX('通知一覧'!$F$5:$F$204,$O265)),INDEX('通知一覧'!$F$5:$F$204,$O265),""))</f>
        <v/>
      </c>
      <c r="L265" s="29">
        <f>IF(AND(ISNUMBER($B265),ISNUMBER($K265)),$K265-$B265+1,"")</f>
        <v/>
      </c>
      <c r="M265" s="30">
        <f>IF(OR($L265="",$P265=""),"",IF(INDEX('支払先'!$M$5:$M$104,$P265)="対象外","",IF(AND($L265&gt;60,$K265&gt;=EDATE($B265,2)),"超える","")))</f>
        <v/>
      </c>
      <c r="N265" s="67" t="n"/>
      <c r="O265" s="31">
        <f>IF($A265="","",IFERROR(MATCH($A265,'通知一覧'!$B$5:$B$204,0),"なし"))</f>
        <v/>
      </c>
      <c r="P265" s="31">
        <f>IF(NOT(ISNUMBER($O265)),"",IFERROR(MATCH(INDEX('通知一覧'!$C$5:$C$204,$O265),'支払先'!$B$5:$B$104,0),""))</f>
        <v/>
      </c>
      <c r="Q265" s="31">
        <f>IF(AND($A265&lt;&gt;"",$A265='支払通知書'!$K$2),ROW(),"")</f>
        <v/>
      </c>
    </row>
    <row r="266" ht="18" customHeight="1">
      <c r="A266" s="18" t="n"/>
      <c r="B266" s="24" t="n"/>
      <c r="C266" s="19" t="n"/>
      <c r="D266" s="25" t="n"/>
      <c r="E266" s="18" t="n"/>
      <c r="F266" s="25" t="n"/>
      <c r="G266" s="18" t="n"/>
      <c r="H266" s="18" t="n"/>
      <c r="I266" s="26">
        <f>IF(OR($A266="",$F266=""),"",ROUND(IF($D266="",1,$D266)*$F266,0))</f>
        <v/>
      </c>
      <c r="J266" s="27">
        <f>IF($A266="","",IF($O266="なし","※通知一覧にない通知No",IF($P266="","",INDEX('支払先'!$C$5:$C$104,$P266)&amp;"")))</f>
        <v/>
      </c>
      <c r="K266" s="28">
        <f>IF(NOT(ISNUMBER($O266)),"",IF(ISNUMBER(INDEX('通知一覧'!$F$5:$F$204,$O266)),INDEX('通知一覧'!$F$5:$F$204,$O266),""))</f>
        <v/>
      </c>
      <c r="L266" s="29">
        <f>IF(AND(ISNUMBER($B266),ISNUMBER($K266)),$K266-$B266+1,"")</f>
        <v/>
      </c>
      <c r="M266" s="30">
        <f>IF(OR($L266="",$P266=""),"",IF(INDEX('支払先'!$M$5:$M$104,$P266)="対象外","",IF(AND($L266&gt;60,$K266&gt;=EDATE($B266,2)),"超える","")))</f>
        <v/>
      </c>
      <c r="N266" s="67" t="n"/>
      <c r="O266" s="31">
        <f>IF($A266="","",IFERROR(MATCH($A266,'通知一覧'!$B$5:$B$204,0),"なし"))</f>
        <v/>
      </c>
      <c r="P266" s="31">
        <f>IF(NOT(ISNUMBER($O266)),"",IFERROR(MATCH(INDEX('通知一覧'!$C$5:$C$204,$O266),'支払先'!$B$5:$B$104,0),""))</f>
        <v/>
      </c>
      <c r="Q266" s="31">
        <f>IF(AND($A266&lt;&gt;"",$A266='支払通知書'!$K$2),ROW(),"")</f>
        <v/>
      </c>
    </row>
    <row r="267" ht="18" customHeight="1">
      <c r="A267" s="18" t="n"/>
      <c r="B267" s="24" t="n"/>
      <c r="C267" s="19" t="n"/>
      <c r="D267" s="25" t="n"/>
      <c r="E267" s="18" t="n"/>
      <c r="F267" s="25" t="n"/>
      <c r="G267" s="18" t="n"/>
      <c r="H267" s="18" t="n"/>
      <c r="I267" s="26">
        <f>IF(OR($A267="",$F267=""),"",ROUND(IF($D267="",1,$D267)*$F267,0))</f>
        <v/>
      </c>
      <c r="J267" s="27">
        <f>IF($A267="","",IF($O267="なし","※通知一覧にない通知No",IF($P267="","",INDEX('支払先'!$C$5:$C$104,$P267)&amp;"")))</f>
        <v/>
      </c>
      <c r="K267" s="28">
        <f>IF(NOT(ISNUMBER($O267)),"",IF(ISNUMBER(INDEX('通知一覧'!$F$5:$F$204,$O267)),INDEX('通知一覧'!$F$5:$F$204,$O267),""))</f>
        <v/>
      </c>
      <c r="L267" s="29">
        <f>IF(AND(ISNUMBER($B267),ISNUMBER($K267)),$K267-$B267+1,"")</f>
        <v/>
      </c>
      <c r="M267" s="30">
        <f>IF(OR($L267="",$P267=""),"",IF(INDEX('支払先'!$M$5:$M$104,$P267)="対象外","",IF(AND($L267&gt;60,$K267&gt;=EDATE($B267,2)),"超える","")))</f>
        <v/>
      </c>
      <c r="N267" s="67" t="n"/>
      <c r="O267" s="31">
        <f>IF($A267="","",IFERROR(MATCH($A267,'通知一覧'!$B$5:$B$204,0),"なし"))</f>
        <v/>
      </c>
      <c r="P267" s="31">
        <f>IF(NOT(ISNUMBER($O267)),"",IFERROR(MATCH(INDEX('通知一覧'!$C$5:$C$204,$O267),'支払先'!$B$5:$B$104,0),""))</f>
        <v/>
      </c>
      <c r="Q267" s="31">
        <f>IF(AND($A267&lt;&gt;"",$A267='支払通知書'!$K$2),ROW(),"")</f>
        <v/>
      </c>
    </row>
    <row r="268" ht="18" customHeight="1">
      <c r="A268" s="18" t="n"/>
      <c r="B268" s="24" t="n"/>
      <c r="C268" s="19" t="n"/>
      <c r="D268" s="25" t="n"/>
      <c r="E268" s="18" t="n"/>
      <c r="F268" s="25" t="n"/>
      <c r="G268" s="18" t="n"/>
      <c r="H268" s="18" t="n"/>
      <c r="I268" s="26">
        <f>IF(OR($A268="",$F268=""),"",ROUND(IF($D268="",1,$D268)*$F268,0))</f>
        <v/>
      </c>
      <c r="J268" s="27">
        <f>IF($A268="","",IF($O268="なし","※通知一覧にない通知No",IF($P268="","",INDEX('支払先'!$C$5:$C$104,$P268)&amp;"")))</f>
        <v/>
      </c>
      <c r="K268" s="28">
        <f>IF(NOT(ISNUMBER($O268)),"",IF(ISNUMBER(INDEX('通知一覧'!$F$5:$F$204,$O268)),INDEX('通知一覧'!$F$5:$F$204,$O268),""))</f>
        <v/>
      </c>
      <c r="L268" s="29">
        <f>IF(AND(ISNUMBER($B268),ISNUMBER($K268)),$K268-$B268+1,"")</f>
        <v/>
      </c>
      <c r="M268" s="30">
        <f>IF(OR($L268="",$P268=""),"",IF(INDEX('支払先'!$M$5:$M$104,$P268)="対象外","",IF(AND($L268&gt;60,$K268&gt;=EDATE($B268,2)),"超える","")))</f>
        <v/>
      </c>
      <c r="N268" s="67" t="n"/>
      <c r="O268" s="31">
        <f>IF($A268="","",IFERROR(MATCH($A268,'通知一覧'!$B$5:$B$204,0),"なし"))</f>
        <v/>
      </c>
      <c r="P268" s="31">
        <f>IF(NOT(ISNUMBER($O268)),"",IFERROR(MATCH(INDEX('通知一覧'!$C$5:$C$204,$O268),'支払先'!$B$5:$B$104,0),""))</f>
        <v/>
      </c>
      <c r="Q268" s="31">
        <f>IF(AND($A268&lt;&gt;"",$A268='支払通知書'!$K$2),ROW(),"")</f>
        <v/>
      </c>
    </row>
    <row r="269" ht="18" customHeight="1">
      <c r="A269" s="18" t="n"/>
      <c r="B269" s="24" t="n"/>
      <c r="C269" s="19" t="n"/>
      <c r="D269" s="25" t="n"/>
      <c r="E269" s="18" t="n"/>
      <c r="F269" s="25" t="n"/>
      <c r="G269" s="18" t="n"/>
      <c r="H269" s="18" t="n"/>
      <c r="I269" s="26">
        <f>IF(OR($A269="",$F269=""),"",ROUND(IF($D269="",1,$D269)*$F269,0))</f>
        <v/>
      </c>
      <c r="J269" s="27">
        <f>IF($A269="","",IF($O269="なし","※通知一覧にない通知No",IF($P269="","",INDEX('支払先'!$C$5:$C$104,$P269)&amp;"")))</f>
        <v/>
      </c>
      <c r="K269" s="28">
        <f>IF(NOT(ISNUMBER($O269)),"",IF(ISNUMBER(INDEX('通知一覧'!$F$5:$F$204,$O269)),INDEX('通知一覧'!$F$5:$F$204,$O269),""))</f>
        <v/>
      </c>
      <c r="L269" s="29">
        <f>IF(AND(ISNUMBER($B269),ISNUMBER($K269)),$K269-$B269+1,"")</f>
        <v/>
      </c>
      <c r="M269" s="30">
        <f>IF(OR($L269="",$P269=""),"",IF(INDEX('支払先'!$M$5:$M$104,$P269)="対象外","",IF(AND($L269&gt;60,$K269&gt;=EDATE($B269,2)),"超える","")))</f>
        <v/>
      </c>
      <c r="N269" s="67" t="n"/>
      <c r="O269" s="31">
        <f>IF($A269="","",IFERROR(MATCH($A269,'通知一覧'!$B$5:$B$204,0),"なし"))</f>
        <v/>
      </c>
      <c r="P269" s="31">
        <f>IF(NOT(ISNUMBER($O269)),"",IFERROR(MATCH(INDEX('通知一覧'!$C$5:$C$204,$O269),'支払先'!$B$5:$B$104,0),""))</f>
        <v/>
      </c>
      <c r="Q269" s="31">
        <f>IF(AND($A269&lt;&gt;"",$A269='支払通知書'!$K$2),ROW(),"")</f>
        <v/>
      </c>
    </row>
    <row r="270" ht="18" customHeight="1">
      <c r="A270" s="18" t="n"/>
      <c r="B270" s="24" t="n"/>
      <c r="C270" s="19" t="n"/>
      <c r="D270" s="25" t="n"/>
      <c r="E270" s="18" t="n"/>
      <c r="F270" s="25" t="n"/>
      <c r="G270" s="18" t="n"/>
      <c r="H270" s="18" t="n"/>
      <c r="I270" s="26">
        <f>IF(OR($A270="",$F270=""),"",ROUND(IF($D270="",1,$D270)*$F270,0))</f>
        <v/>
      </c>
      <c r="J270" s="27">
        <f>IF($A270="","",IF($O270="なし","※通知一覧にない通知No",IF($P270="","",INDEX('支払先'!$C$5:$C$104,$P270)&amp;"")))</f>
        <v/>
      </c>
      <c r="K270" s="28">
        <f>IF(NOT(ISNUMBER($O270)),"",IF(ISNUMBER(INDEX('通知一覧'!$F$5:$F$204,$O270)),INDEX('通知一覧'!$F$5:$F$204,$O270),""))</f>
        <v/>
      </c>
      <c r="L270" s="29">
        <f>IF(AND(ISNUMBER($B270),ISNUMBER($K270)),$K270-$B270+1,"")</f>
        <v/>
      </c>
      <c r="M270" s="30">
        <f>IF(OR($L270="",$P270=""),"",IF(INDEX('支払先'!$M$5:$M$104,$P270)="対象外","",IF(AND($L270&gt;60,$K270&gt;=EDATE($B270,2)),"超える","")))</f>
        <v/>
      </c>
      <c r="N270" s="67" t="n"/>
      <c r="O270" s="31">
        <f>IF($A270="","",IFERROR(MATCH($A270,'通知一覧'!$B$5:$B$204,0),"なし"))</f>
        <v/>
      </c>
      <c r="P270" s="31">
        <f>IF(NOT(ISNUMBER($O270)),"",IFERROR(MATCH(INDEX('通知一覧'!$C$5:$C$204,$O270),'支払先'!$B$5:$B$104,0),""))</f>
        <v/>
      </c>
      <c r="Q270" s="31">
        <f>IF(AND($A270&lt;&gt;"",$A270='支払通知書'!$K$2),ROW(),"")</f>
        <v/>
      </c>
    </row>
    <row r="271" ht="18" customHeight="1">
      <c r="A271" s="18" t="n"/>
      <c r="B271" s="24" t="n"/>
      <c r="C271" s="19" t="n"/>
      <c r="D271" s="25" t="n"/>
      <c r="E271" s="18" t="n"/>
      <c r="F271" s="25" t="n"/>
      <c r="G271" s="18" t="n"/>
      <c r="H271" s="18" t="n"/>
      <c r="I271" s="26">
        <f>IF(OR($A271="",$F271=""),"",ROUND(IF($D271="",1,$D271)*$F271,0))</f>
        <v/>
      </c>
      <c r="J271" s="27">
        <f>IF($A271="","",IF($O271="なし","※通知一覧にない通知No",IF($P271="","",INDEX('支払先'!$C$5:$C$104,$P271)&amp;"")))</f>
        <v/>
      </c>
      <c r="K271" s="28">
        <f>IF(NOT(ISNUMBER($O271)),"",IF(ISNUMBER(INDEX('通知一覧'!$F$5:$F$204,$O271)),INDEX('通知一覧'!$F$5:$F$204,$O271),""))</f>
        <v/>
      </c>
      <c r="L271" s="29">
        <f>IF(AND(ISNUMBER($B271),ISNUMBER($K271)),$K271-$B271+1,"")</f>
        <v/>
      </c>
      <c r="M271" s="30">
        <f>IF(OR($L271="",$P271=""),"",IF(INDEX('支払先'!$M$5:$M$104,$P271)="対象外","",IF(AND($L271&gt;60,$K271&gt;=EDATE($B271,2)),"超える","")))</f>
        <v/>
      </c>
      <c r="N271" s="67" t="n"/>
      <c r="O271" s="31">
        <f>IF($A271="","",IFERROR(MATCH($A271,'通知一覧'!$B$5:$B$204,0),"なし"))</f>
        <v/>
      </c>
      <c r="P271" s="31">
        <f>IF(NOT(ISNUMBER($O271)),"",IFERROR(MATCH(INDEX('通知一覧'!$C$5:$C$204,$O271),'支払先'!$B$5:$B$104,0),""))</f>
        <v/>
      </c>
      <c r="Q271" s="31">
        <f>IF(AND($A271&lt;&gt;"",$A271='支払通知書'!$K$2),ROW(),"")</f>
        <v/>
      </c>
    </row>
    <row r="272" ht="18" customHeight="1">
      <c r="A272" s="18" t="n"/>
      <c r="B272" s="24" t="n"/>
      <c r="C272" s="19" t="n"/>
      <c r="D272" s="25" t="n"/>
      <c r="E272" s="18" t="n"/>
      <c r="F272" s="25" t="n"/>
      <c r="G272" s="18" t="n"/>
      <c r="H272" s="18" t="n"/>
      <c r="I272" s="26">
        <f>IF(OR($A272="",$F272=""),"",ROUND(IF($D272="",1,$D272)*$F272,0))</f>
        <v/>
      </c>
      <c r="J272" s="27">
        <f>IF($A272="","",IF($O272="なし","※通知一覧にない通知No",IF($P272="","",INDEX('支払先'!$C$5:$C$104,$P272)&amp;"")))</f>
        <v/>
      </c>
      <c r="K272" s="28">
        <f>IF(NOT(ISNUMBER($O272)),"",IF(ISNUMBER(INDEX('通知一覧'!$F$5:$F$204,$O272)),INDEX('通知一覧'!$F$5:$F$204,$O272),""))</f>
        <v/>
      </c>
      <c r="L272" s="29">
        <f>IF(AND(ISNUMBER($B272),ISNUMBER($K272)),$K272-$B272+1,"")</f>
        <v/>
      </c>
      <c r="M272" s="30">
        <f>IF(OR($L272="",$P272=""),"",IF(INDEX('支払先'!$M$5:$M$104,$P272)="対象外","",IF(AND($L272&gt;60,$K272&gt;=EDATE($B272,2)),"超える","")))</f>
        <v/>
      </c>
      <c r="N272" s="67" t="n"/>
      <c r="O272" s="31">
        <f>IF($A272="","",IFERROR(MATCH($A272,'通知一覧'!$B$5:$B$204,0),"なし"))</f>
        <v/>
      </c>
      <c r="P272" s="31">
        <f>IF(NOT(ISNUMBER($O272)),"",IFERROR(MATCH(INDEX('通知一覧'!$C$5:$C$204,$O272),'支払先'!$B$5:$B$104,0),""))</f>
        <v/>
      </c>
      <c r="Q272" s="31">
        <f>IF(AND($A272&lt;&gt;"",$A272='支払通知書'!$K$2),ROW(),"")</f>
        <v/>
      </c>
    </row>
    <row r="273" ht="18" customHeight="1">
      <c r="A273" s="18" t="n"/>
      <c r="B273" s="24" t="n"/>
      <c r="C273" s="19" t="n"/>
      <c r="D273" s="25" t="n"/>
      <c r="E273" s="18" t="n"/>
      <c r="F273" s="25" t="n"/>
      <c r="G273" s="18" t="n"/>
      <c r="H273" s="18" t="n"/>
      <c r="I273" s="26">
        <f>IF(OR($A273="",$F273=""),"",ROUND(IF($D273="",1,$D273)*$F273,0))</f>
        <v/>
      </c>
      <c r="J273" s="27">
        <f>IF($A273="","",IF($O273="なし","※通知一覧にない通知No",IF($P273="","",INDEX('支払先'!$C$5:$C$104,$P273)&amp;"")))</f>
        <v/>
      </c>
      <c r="K273" s="28">
        <f>IF(NOT(ISNUMBER($O273)),"",IF(ISNUMBER(INDEX('通知一覧'!$F$5:$F$204,$O273)),INDEX('通知一覧'!$F$5:$F$204,$O273),""))</f>
        <v/>
      </c>
      <c r="L273" s="29">
        <f>IF(AND(ISNUMBER($B273),ISNUMBER($K273)),$K273-$B273+1,"")</f>
        <v/>
      </c>
      <c r="M273" s="30">
        <f>IF(OR($L273="",$P273=""),"",IF(INDEX('支払先'!$M$5:$M$104,$P273)="対象外","",IF(AND($L273&gt;60,$K273&gt;=EDATE($B273,2)),"超える","")))</f>
        <v/>
      </c>
      <c r="N273" s="67" t="n"/>
      <c r="O273" s="31">
        <f>IF($A273="","",IFERROR(MATCH($A273,'通知一覧'!$B$5:$B$204,0),"なし"))</f>
        <v/>
      </c>
      <c r="P273" s="31">
        <f>IF(NOT(ISNUMBER($O273)),"",IFERROR(MATCH(INDEX('通知一覧'!$C$5:$C$204,$O273),'支払先'!$B$5:$B$104,0),""))</f>
        <v/>
      </c>
      <c r="Q273" s="31">
        <f>IF(AND($A273&lt;&gt;"",$A273='支払通知書'!$K$2),ROW(),"")</f>
        <v/>
      </c>
    </row>
    <row r="274" ht="18" customHeight="1">
      <c r="A274" s="18" t="n"/>
      <c r="B274" s="24" t="n"/>
      <c r="C274" s="19" t="n"/>
      <c r="D274" s="25" t="n"/>
      <c r="E274" s="18" t="n"/>
      <c r="F274" s="25" t="n"/>
      <c r="G274" s="18" t="n"/>
      <c r="H274" s="18" t="n"/>
      <c r="I274" s="26">
        <f>IF(OR($A274="",$F274=""),"",ROUND(IF($D274="",1,$D274)*$F274,0))</f>
        <v/>
      </c>
      <c r="J274" s="27">
        <f>IF($A274="","",IF($O274="なし","※通知一覧にない通知No",IF($P274="","",INDEX('支払先'!$C$5:$C$104,$P274)&amp;"")))</f>
        <v/>
      </c>
      <c r="K274" s="28">
        <f>IF(NOT(ISNUMBER($O274)),"",IF(ISNUMBER(INDEX('通知一覧'!$F$5:$F$204,$O274)),INDEX('通知一覧'!$F$5:$F$204,$O274),""))</f>
        <v/>
      </c>
      <c r="L274" s="29">
        <f>IF(AND(ISNUMBER($B274),ISNUMBER($K274)),$K274-$B274+1,"")</f>
        <v/>
      </c>
      <c r="M274" s="30">
        <f>IF(OR($L274="",$P274=""),"",IF(INDEX('支払先'!$M$5:$M$104,$P274)="対象外","",IF(AND($L274&gt;60,$K274&gt;=EDATE($B274,2)),"超える","")))</f>
        <v/>
      </c>
      <c r="N274" s="67" t="n"/>
      <c r="O274" s="31">
        <f>IF($A274="","",IFERROR(MATCH($A274,'通知一覧'!$B$5:$B$204,0),"なし"))</f>
        <v/>
      </c>
      <c r="P274" s="31">
        <f>IF(NOT(ISNUMBER($O274)),"",IFERROR(MATCH(INDEX('通知一覧'!$C$5:$C$204,$O274),'支払先'!$B$5:$B$104,0),""))</f>
        <v/>
      </c>
      <c r="Q274" s="31">
        <f>IF(AND($A274&lt;&gt;"",$A274='支払通知書'!$K$2),ROW(),"")</f>
        <v/>
      </c>
    </row>
    <row r="275" ht="18" customHeight="1">
      <c r="A275" s="18" t="n"/>
      <c r="B275" s="24" t="n"/>
      <c r="C275" s="19" t="n"/>
      <c r="D275" s="25" t="n"/>
      <c r="E275" s="18" t="n"/>
      <c r="F275" s="25" t="n"/>
      <c r="G275" s="18" t="n"/>
      <c r="H275" s="18" t="n"/>
      <c r="I275" s="26">
        <f>IF(OR($A275="",$F275=""),"",ROUND(IF($D275="",1,$D275)*$F275,0))</f>
        <v/>
      </c>
      <c r="J275" s="27">
        <f>IF($A275="","",IF($O275="なし","※通知一覧にない通知No",IF($P275="","",INDEX('支払先'!$C$5:$C$104,$P275)&amp;"")))</f>
        <v/>
      </c>
      <c r="K275" s="28">
        <f>IF(NOT(ISNUMBER($O275)),"",IF(ISNUMBER(INDEX('通知一覧'!$F$5:$F$204,$O275)),INDEX('通知一覧'!$F$5:$F$204,$O275),""))</f>
        <v/>
      </c>
      <c r="L275" s="29">
        <f>IF(AND(ISNUMBER($B275),ISNUMBER($K275)),$K275-$B275+1,"")</f>
        <v/>
      </c>
      <c r="M275" s="30">
        <f>IF(OR($L275="",$P275=""),"",IF(INDEX('支払先'!$M$5:$M$104,$P275)="対象外","",IF(AND($L275&gt;60,$K275&gt;=EDATE($B275,2)),"超える","")))</f>
        <v/>
      </c>
      <c r="N275" s="67" t="n"/>
      <c r="O275" s="31">
        <f>IF($A275="","",IFERROR(MATCH($A275,'通知一覧'!$B$5:$B$204,0),"なし"))</f>
        <v/>
      </c>
      <c r="P275" s="31">
        <f>IF(NOT(ISNUMBER($O275)),"",IFERROR(MATCH(INDEX('通知一覧'!$C$5:$C$204,$O275),'支払先'!$B$5:$B$104,0),""))</f>
        <v/>
      </c>
      <c r="Q275" s="31">
        <f>IF(AND($A275&lt;&gt;"",$A275='支払通知書'!$K$2),ROW(),"")</f>
        <v/>
      </c>
    </row>
    <row r="276" ht="18" customHeight="1">
      <c r="A276" s="18" t="n"/>
      <c r="B276" s="24" t="n"/>
      <c r="C276" s="19" t="n"/>
      <c r="D276" s="25" t="n"/>
      <c r="E276" s="18" t="n"/>
      <c r="F276" s="25" t="n"/>
      <c r="G276" s="18" t="n"/>
      <c r="H276" s="18" t="n"/>
      <c r="I276" s="26">
        <f>IF(OR($A276="",$F276=""),"",ROUND(IF($D276="",1,$D276)*$F276,0))</f>
        <v/>
      </c>
      <c r="J276" s="27">
        <f>IF($A276="","",IF($O276="なし","※通知一覧にない通知No",IF($P276="","",INDEX('支払先'!$C$5:$C$104,$P276)&amp;"")))</f>
        <v/>
      </c>
      <c r="K276" s="28">
        <f>IF(NOT(ISNUMBER($O276)),"",IF(ISNUMBER(INDEX('通知一覧'!$F$5:$F$204,$O276)),INDEX('通知一覧'!$F$5:$F$204,$O276),""))</f>
        <v/>
      </c>
      <c r="L276" s="29">
        <f>IF(AND(ISNUMBER($B276),ISNUMBER($K276)),$K276-$B276+1,"")</f>
        <v/>
      </c>
      <c r="M276" s="30">
        <f>IF(OR($L276="",$P276=""),"",IF(INDEX('支払先'!$M$5:$M$104,$P276)="対象外","",IF(AND($L276&gt;60,$K276&gt;=EDATE($B276,2)),"超える","")))</f>
        <v/>
      </c>
      <c r="N276" s="67" t="n"/>
      <c r="O276" s="31">
        <f>IF($A276="","",IFERROR(MATCH($A276,'通知一覧'!$B$5:$B$204,0),"なし"))</f>
        <v/>
      </c>
      <c r="P276" s="31">
        <f>IF(NOT(ISNUMBER($O276)),"",IFERROR(MATCH(INDEX('通知一覧'!$C$5:$C$204,$O276),'支払先'!$B$5:$B$104,0),""))</f>
        <v/>
      </c>
      <c r="Q276" s="31">
        <f>IF(AND($A276&lt;&gt;"",$A276='支払通知書'!$K$2),ROW(),"")</f>
        <v/>
      </c>
    </row>
    <row r="277" ht="18" customHeight="1">
      <c r="A277" s="18" t="n"/>
      <c r="B277" s="24" t="n"/>
      <c r="C277" s="19" t="n"/>
      <c r="D277" s="25" t="n"/>
      <c r="E277" s="18" t="n"/>
      <c r="F277" s="25" t="n"/>
      <c r="G277" s="18" t="n"/>
      <c r="H277" s="18" t="n"/>
      <c r="I277" s="26">
        <f>IF(OR($A277="",$F277=""),"",ROUND(IF($D277="",1,$D277)*$F277,0))</f>
        <v/>
      </c>
      <c r="J277" s="27">
        <f>IF($A277="","",IF($O277="なし","※通知一覧にない通知No",IF($P277="","",INDEX('支払先'!$C$5:$C$104,$P277)&amp;"")))</f>
        <v/>
      </c>
      <c r="K277" s="28">
        <f>IF(NOT(ISNUMBER($O277)),"",IF(ISNUMBER(INDEX('通知一覧'!$F$5:$F$204,$O277)),INDEX('通知一覧'!$F$5:$F$204,$O277),""))</f>
        <v/>
      </c>
      <c r="L277" s="29">
        <f>IF(AND(ISNUMBER($B277),ISNUMBER($K277)),$K277-$B277+1,"")</f>
        <v/>
      </c>
      <c r="M277" s="30">
        <f>IF(OR($L277="",$P277=""),"",IF(INDEX('支払先'!$M$5:$M$104,$P277)="対象外","",IF(AND($L277&gt;60,$K277&gt;=EDATE($B277,2)),"超える","")))</f>
        <v/>
      </c>
      <c r="N277" s="67" t="n"/>
      <c r="O277" s="31">
        <f>IF($A277="","",IFERROR(MATCH($A277,'通知一覧'!$B$5:$B$204,0),"なし"))</f>
        <v/>
      </c>
      <c r="P277" s="31">
        <f>IF(NOT(ISNUMBER($O277)),"",IFERROR(MATCH(INDEX('通知一覧'!$C$5:$C$204,$O277),'支払先'!$B$5:$B$104,0),""))</f>
        <v/>
      </c>
      <c r="Q277" s="31">
        <f>IF(AND($A277&lt;&gt;"",$A277='支払通知書'!$K$2),ROW(),"")</f>
        <v/>
      </c>
    </row>
    <row r="278" ht="18" customHeight="1">
      <c r="A278" s="18" t="n"/>
      <c r="B278" s="24" t="n"/>
      <c r="C278" s="19" t="n"/>
      <c r="D278" s="25" t="n"/>
      <c r="E278" s="18" t="n"/>
      <c r="F278" s="25" t="n"/>
      <c r="G278" s="18" t="n"/>
      <c r="H278" s="18" t="n"/>
      <c r="I278" s="26">
        <f>IF(OR($A278="",$F278=""),"",ROUND(IF($D278="",1,$D278)*$F278,0))</f>
        <v/>
      </c>
      <c r="J278" s="27">
        <f>IF($A278="","",IF($O278="なし","※通知一覧にない通知No",IF($P278="","",INDEX('支払先'!$C$5:$C$104,$P278)&amp;"")))</f>
        <v/>
      </c>
      <c r="K278" s="28">
        <f>IF(NOT(ISNUMBER($O278)),"",IF(ISNUMBER(INDEX('通知一覧'!$F$5:$F$204,$O278)),INDEX('通知一覧'!$F$5:$F$204,$O278),""))</f>
        <v/>
      </c>
      <c r="L278" s="29">
        <f>IF(AND(ISNUMBER($B278),ISNUMBER($K278)),$K278-$B278+1,"")</f>
        <v/>
      </c>
      <c r="M278" s="30">
        <f>IF(OR($L278="",$P278=""),"",IF(INDEX('支払先'!$M$5:$M$104,$P278)="対象外","",IF(AND($L278&gt;60,$K278&gt;=EDATE($B278,2)),"超える","")))</f>
        <v/>
      </c>
      <c r="N278" s="67" t="n"/>
      <c r="O278" s="31">
        <f>IF($A278="","",IFERROR(MATCH($A278,'通知一覧'!$B$5:$B$204,0),"なし"))</f>
        <v/>
      </c>
      <c r="P278" s="31">
        <f>IF(NOT(ISNUMBER($O278)),"",IFERROR(MATCH(INDEX('通知一覧'!$C$5:$C$204,$O278),'支払先'!$B$5:$B$104,0),""))</f>
        <v/>
      </c>
      <c r="Q278" s="31">
        <f>IF(AND($A278&lt;&gt;"",$A278='支払通知書'!$K$2),ROW(),"")</f>
        <v/>
      </c>
    </row>
    <row r="279" ht="18" customHeight="1">
      <c r="A279" s="18" t="n"/>
      <c r="B279" s="24" t="n"/>
      <c r="C279" s="19" t="n"/>
      <c r="D279" s="25" t="n"/>
      <c r="E279" s="18" t="n"/>
      <c r="F279" s="25" t="n"/>
      <c r="G279" s="18" t="n"/>
      <c r="H279" s="18" t="n"/>
      <c r="I279" s="26">
        <f>IF(OR($A279="",$F279=""),"",ROUND(IF($D279="",1,$D279)*$F279,0))</f>
        <v/>
      </c>
      <c r="J279" s="27">
        <f>IF($A279="","",IF($O279="なし","※通知一覧にない通知No",IF($P279="","",INDEX('支払先'!$C$5:$C$104,$P279)&amp;"")))</f>
        <v/>
      </c>
      <c r="K279" s="28">
        <f>IF(NOT(ISNUMBER($O279)),"",IF(ISNUMBER(INDEX('通知一覧'!$F$5:$F$204,$O279)),INDEX('通知一覧'!$F$5:$F$204,$O279),""))</f>
        <v/>
      </c>
      <c r="L279" s="29">
        <f>IF(AND(ISNUMBER($B279),ISNUMBER($K279)),$K279-$B279+1,"")</f>
        <v/>
      </c>
      <c r="M279" s="30">
        <f>IF(OR($L279="",$P279=""),"",IF(INDEX('支払先'!$M$5:$M$104,$P279)="対象外","",IF(AND($L279&gt;60,$K279&gt;=EDATE($B279,2)),"超える","")))</f>
        <v/>
      </c>
      <c r="N279" s="67" t="n"/>
      <c r="O279" s="31">
        <f>IF($A279="","",IFERROR(MATCH($A279,'通知一覧'!$B$5:$B$204,0),"なし"))</f>
        <v/>
      </c>
      <c r="P279" s="31">
        <f>IF(NOT(ISNUMBER($O279)),"",IFERROR(MATCH(INDEX('通知一覧'!$C$5:$C$204,$O279),'支払先'!$B$5:$B$104,0),""))</f>
        <v/>
      </c>
      <c r="Q279" s="31">
        <f>IF(AND($A279&lt;&gt;"",$A279='支払通知書'!$K$2),ROW(),"")</f>
        <v/>
      </c>
    </row>
    <row r="280" ht="18" customHeight="1">
      <c r="A280" s="18" t="n"/>
      <c r="B280" s="24" t="n"/>
      <c r="C280" s="19" t="n"/>
      <c r="D280" s="25" t="n"/>
      <c r="E280" s="18" t="n"/>
      <c r="F280" s="25" t="n"/>
      <c r="G280" s="18" t="n"/>
      <c r="H280" s="18" t="n"/>
      <c r="I280" s="26">
        <f>IF(OR($A280="",$F280=""),"",ROUND(IF($D280="",1,$D280)*$F280,0))</f>
        <v/>
      </c>
      <c r="J280" s="27">
        <f>IF($A280="","",IF($O280="なし","※通知一覧にない通知No",IF($P280="","",INDEX('支払先'!$C$5:$C$104,$P280)&amp;"")))</f>
        <v/>
      </c>
      <c r="K280" s="28">
        <f>IF(NOT(ISNUMBER($O280)),"",IF(ISNUMBER(INDEX('通知一覧'!$F$5:$F$204,$O280)),INDEX('通知一覧'!$F$5:$F$204,$O280),""))</f>
        <v/>
      </c>
      <c r="L280" s="29">
        <f>IF(AND(ISNUMBER($B280),ISNUMBER($K280)),$K280-$B280+1,"")</f>
        <v/>
      </c>
      <c r="M280" s="30">
        <f>IF(OR($L280="",$P280=""),"",IF(INDEX('支払先'!$M$5:$M$104,$P280)="対象外","",IF(AND($L280&gt;60,$K280&gt;=EDATE($B280,2)),"超える","")))</f>
        <v/>
      </c>
      <c r="N280" s="67" t="n"/>
      <c r="O280" s="31">
        <f>IF($A280="","",IFERROR(MATCH($A280,'通知一覧'!$B$5:$B$204,0),"なし"))</f>
        <v/>
      </c>
      <c r="P280" s="31">
        <f>IF(NOT(ISNUMBER($O280)),"",IFERROR(MATCH(INDEX('通知一覧'!$C$5:$C$204,$O280),'支払先'!$B$5:$B$104,0),""))</f>
        <v/>
      </c>
      <c r="Q280" s="31">
        <f>IF(AND($A280&lt;&gt;"",$A280='支払通知書'!$K$2),ROW(),"")</f>
        <v/>
      </c>
    </row>
    <row r="281" ht="18" customHeight="1">
      <c r="A281" s="18" t="n"/>
      <c r="B281" s="24" t="n"/>
      <c r="C281" s="19" t="n"/>
      <c r="D281" s="25" t="n"/>
      <c r="E281" s="18" t="n"/>
      <c r="F281" s="25" t="n"/>
      <c r="G281" s="18" t="n"/>
      <c r="H281" s="18" t="n"/>
      <c r="I281" s="26">
        <f>IF(OR($A281="",$F281=""),"",ROUND(IF($D281="",1,$D281)*$F281,0))</f>
        <v/>
      </c>
      <c r="J281" s="27">
        <f>IF($A281="","",IF($O281="なし","※通知一覧にない通知No",IF($P281="","",INDEX('支払先'!$C$5:$C$104,$P281)&amp;"")))</f>
        <v/>
      </c>
      <c r="K281" s="28">
        <f>IF(NOT(ISNUMBER($O281)),"",IF(ISNUMBER(INDEX('通知一覧'!$F$5:$F$204,$O281)),INDEX('通知一覧'!$F$5:$F$204,$O281),""))</f>
        <v/>
      </c>
      <c r="L281" s="29">
        <f>IF(AND(ISNUMBER($B281),ISNUMBER($K281)),$K281-$B281+1,"")</f>
        <v/>
      </c>
      <c r="M281" s="30">
        <f>IF(OR($L281="",$P281=""),"",IF(INDEX('支払先'!$M$5:$M$104,$P281)="対象外","",IF(AND($L281&gt;60,$K281&gt;=EDATE($B281,2)),"超える","")))</f>
        <v/>
      </c>
      <c r="N281" s="67" t="n"/>
      <c r="O281" s="31">
        <f>IF($A281="","",IFERROR(MATCH($A281,'通知一覧'!$B$5:$B$204,0),"なし"))</f>
        <v/>
      </c>
      <c r="P281" s="31">
        <f>IF(NOT(ISNUMBER($O281)),"",IFERROR(MATCH(INDEX('通知一覧'!$C$5:$C$204,$O281),'支払先'!$B$5:$B$104,0),""))</f>
        <v/>
      </c>
      <c r="Q281" s="31">
        <f>IF(AND($A281&lt;&gt;"",$A281='支払通知書'!$K$2),ROW(),"")</f>
        <v/>
      </c>
    </row>
    <row r="282" ht="18" customHeight="1">
      <c r="A282" s="18" t="n"/>
      <c r="B282" s="24" t="n"/>
      <c r="C282" s="19" t="n"/>
      <c r="D282" s="25" t="n"/>
      <c r="E282" s="18" t="n"/>
      <c r="F282" s="25" t="n"/>
      <c r="G282" s="18" t="n"/>
      <c r="H282" s="18" t="n"/>
      <c r="I282" s="26">
        <f>IF(OR($A282="",$F282=""),"",ROUND(IF($D282="",1,$D282)*$F282,0))</f>
        <v/>
      </c>
      <c r="J282" s="27">
        <f>IF($A282="","",IF($O282="なし","※通知一覧にない通知No",IF($P282="","",INDEX('支払先'!$C$5:$C$104,$P282)&amp;"")))</f>
        <v/>
      </c>
      <c r="K282" s="28">
        <f>IF(NOT(ISNUMBER($O282)),"",IF(ISNUMBER(INDEX('通知一覧'!$F$5:$F$204,$O282)),INDEX('通知一覧'!$F$5:$F$204,$O282),""))</f>
        <v/>
      </c>
      <c r="L282" s="29">
        <f>IF(AND(ISNUMBER($B282),ISNUMBER($K282)),$K282-$B282+1,"")</f>
        <v/>
      </c>
      <c r="M282" s="30">
        <f>IF(OR($L282="",$P282=""),"",IF(INDEX('支払先'!$M$5:$M$104,$P282)="対象外","",IF(AND($L282&gt;60,$K282&gt;=EDATE($B282,2)),"超える","")))</f>
        <v/>
      </c>
      <c r="N282" s="67" t="n"/>
      <c r="O282" s="31">
        <f>IF($A282="","",IFERROR(MATCH($A282,'通知一覧'!$B$5:$B$204,0),"なし"))</f>
        <v/>
      </c>
      <c r="P282" s="31">
        <f>IF(NOT(ISNUMBER($O282)),"",IFERROR(MATCH(INDEX('通知一覧'!$C$5:$C$204,$O282),'支払先'!$B$5:$B$104,0),""))</f>
        <v/>
      </c>
      <c r="Q282" s="31">
        <f>IF(AND($A282&lt;&gt;"",$A282='支払通知書'!$K$2),ROW(),"")</f>
        <v/>
      </c>
    </row>
    <row r="283" ht="18" customHeight="1">
      <c r="A283" s="18" t="n"/>
      <c r="B283" s="24" t="n"/>
      <c r="C283" s="19" t="n"/>
      <c r="D283" s="25" t="n"/>
      <c r="E283" s="18" t="n"/>
      <c r="F283" s="25" t="n"/>
      <c r="G283" s="18" t="n"/>
      <c r="H283" s="18" t="n"/>
      <c r="I283" s="26">
        <f>IF(OR($A283="",$F283=""),"",ROUND(IF($D283="",1,$D283)*$F283,0))</f>
        <v/>
      </c>
      <c r="J283" s="27">
        <f>IF($A283="","",IF($O283="なし","※通知一覧にない通知No",IF($P283="","",INDEX('支払先'!$C$5:$C$104,$P283)&amp;"")))</f>
        <v/>
      </c>
      <c r="K283" s="28">
        <f>IF(NOT(ISNUMBER($O283)),"",IF(ISNUMBER(INDEX('通知一覧'!$F$5:$F$204,$O283)),INDEX('通知一覧'!$F$5:$F$204,$O283),""))</f>
        <v/>
      </c>
      <c r="L283" s="29">
        <f>IF(AND(ISNUMBER($B283),ISNUMBER($K283)),$K283-$B283+1,"")</f>
        <v/>
      </c>
      <c r="M283" s="30">
        <f>IF(OR($L283="",$P283=""),"",IF(INDEX('支払先'!$M$5:$M$104,$P283)="対象外","",IF(AND($L283&gt;60,$K283&gt;=EDATE($B283,2)),"超える","")))</f>
        <v/>
      </c>
      <c r="N283" s="67" t="n"/>
      <c r="O283" s="31">
        <f>IF($A283="","",IFERROR(MATCH($A283,'通知一覧'!$B$5:$B$204,0),"なし"))</f>
        <v/>
      </c>
      <c r="P283" s="31">
        <f>IF(NOT(ISNUMBER($O283)),"",IFERROR(MATCH(INDEX('通知一覧'!$C$5:$C$204,$O283),'支払先'!$B$5:$B$104,0),""))</f>
        <v/>
      </c>
      <c r="Q283" s="31">
        <f>IF(AND($A283&lt;&gt;"",$A283='支払通知書'!$K$2),ROW(),"")</f>
        <v/>
      </c>
    </row>
    <row r="284" ht="18" customHeight="1">
      <c r="A284" s="18" t="n"/>
      <c r="B284" s="24" t="n"/>
      <c r="C284" s="19" t="n"/>
      <c r="D284" s="25" t="n"/>
      <c r="E284" s="18" t="n"/>
      <c r="F284" s="25" t="n"/>
      <c r="G284" s="18" t="n"/>
      <c r="H284" s="18" t="n"/>
      <c r="I284" s="26">
        <f>IF(OR($A284="",$F284=""),"",ROUND(IF($D284="",1,$D284)*$F284,0))</f>
        <v/>
      </c>
      <c r="J284" s="27">
        <f>IF($A284="","",IF($O284="なし","※通知一覧にない通知No",IF($P284="","",INDEX('支払先'!$C$5:$C$104,$P284)&amp;"")))</f>
        <v/>
      </c>
      <c r="K284" s="28">
        <f>IF(NOT(ISNUMBER($O284)),"",IF(ISNUMBER(INDEX('通知一覧'!$F$5:$F$204,$O284)),INDEX('通知一覧'!$F$5:$F$204,$O284),""))</f>
        <v/>
      </c>
      <c r="L284" s="29">
        <f>IF(AND(ISNUMBER($B284),ISNUMBER($K284)),$K284-$B284+1,"")</f>
        <v/>
      </c>
      <c r="M284" s="30">
        <f>IF(OR($L284="",$P284=""),"",IF(INDEX('支払先'!$M$5:$M$104,$P284)="対象外","",IF(AND($L284&gt;60,$K284&gt;=EDATE($B284,2)),"超える","")))</f>
        <v/>
      </c>
      <c r="N284" s="67" t="n"/>
      <c r="O284" s="31">
        <f>IF($A284="","",IFERROR(MATCH($A284,'通知一覧'!$B$5:$B$204,0),"なし"))</f>
        <v/>
      </c>
      <c r="P284" s="31">
        <f>IF(NOT(ISNUMBER($O284)),"",IFERROR(MATCH(INDEX('通知一覧'!$C$5:$C$204,$O284),'支払先'!$B$5:$B$104,0),""))</f>
        <v/>
      </c>
      <c r="Q284" s="31">
        <f>IF(AND($A284&lt;&gt;"",$A284='支払通知書'!$K$2),ROW(),"")</f>
        <v/>
      </c>
    </row>
    <row r="285" ht="18" customHeight="1">
      <c r="A285" s="18" t="n"/>
      <c r="B285" s="24" t="n"/>
      <c r="C285" s="19" t="n"/>
      <c r="D285" s="25" t="n"/>
      <c r="E285" s="18" t="n"/>
      <c r="F285" s="25" t="n"/>
      <c r="G285" s="18" t="n"/>
      <c r="H285" s="18" t="n"/>
      <c r="I285" s="26">
        <f>IF(OR($A285="",$F285=""),"",ROUND(IF($D285="",1,$D285)*$F285,0))</f>
        <v/>
      </c>
      <c r="J285" s="27">
        <f>IF($A285="","",IF($O285="なし","※通知一覧にない通知No",IF($P285="","",INDEX('支払先'!$C$5:$C$104,$P285)&amp;"")))</f>
        <v/>
      </c>
      <c r="K285" s="28">
        <f>IF(NOT(ISNUMBER($O285)),"",IF(ISNUMBER(INDEX('通知一覧'!$F$5:$F$204,$O285)),INDEX('通知一覧'!$F$5:$F$204,$O285),""))</f>
        <v/>
      </c>
      <c r="L285" s="29">
        <f>IF(AND(ISNUMBER($B285),ISNUMBER($K285)),$K285-$B285+1,"")</f>
        <v/>
      </c>
      <c r="M285" s="30">
        <f>IF(OR($L285="",$P285=""),"",IF(INDEX('支払先'!$M$5:$M$104,$P285)="対象外","",IF(AND($L285&gt;60,$K285&gt;=EDATE($B285,2)),"超える","")))</f>
        <v/>
      </c>
      <c r="N285" s="67" t="n"/>
      <c r="O285" s="31">
        <f>IF($A285="","",IFERROR(MATCH($A285,'通知一覧'!$B$5:$B$204,0),"なし"))</f>
        <v/>
      </c>
      <c r="P285" s="31">
        <f>IF(NOT(ISNUMBER($O285)),"",IFERROR(MATCH(INDEX('通知一覧'!$C$5:$C$204,$O285),'支払先'!$B$5:$B$104,0),""))</f>
        <v/>
      </c>
      <c r="Q285" s="31">
        <f>IF(AND($A285&lt;&gt;"",$A285='支払通知書'!$K$2),ROW(),"")</f>
        <v/>
      </c>
    </row>
    <row r="286" ht="18" customHeight="1">
      <c r="A286" s="18" t="n"/>
      <c r="B286" s="24" t="n"/>
      <c r="C286" s="19" t="n"/>
      <c r="D286" s="25" t="n"/>
      <c r="E286" s="18" t="n"/>
      <c r="F286" s="25" t="n"/>
      <c r="G286" s="18" t="n"/>
      <c r="H286" s="18" t="n"/>
      <c r="I286" s="26">
        <f>IF(OR($A286="",$F286=""),"",ROUND(IF($D286="",1,$D286)*$F286,0))</f>
        <v/>
      </c>
      <c r="J286" s="27">
        <f>IF($A286="","",IF($O286="なし","※通知一覧にない通知No",IF($P286="","",INDEX('支払先'!$C$5:$C$104,$P286)&amp;"")))</f>
        <v/>
      </c>
      <c r="K286" s="28">
        <f>IF(NOT(ISNUMBER($O286)),"",IF(ISNUMBER(INDEX('通知一覧'!$F$5:$F$204,$O286)),INDEX('通知一覧'!$F$5:$F$204,$O286),""))</f>
        <v/>
      </c>
      <c r="L286" s="29">
        <f>IF(AND(ISNUMBER($B286),ISNUMBER($K286)),$K286-$B286+1,"")</f>
        <v/>
      </c>
      <c r="M286" s="30">
        <f>IF(OR($L286="",$P286=""),"",IF(INDEX('支払先'!$M$5:$M$104,$P286)="対象外","",IF(AND($L286&gt;60,$K286&gt;=EDATE($B286,2)),"超える","")))</f>
        <v/>
      </c>
      <c r="N286" s="67" t="n"/>
      <c r="O286" s="31">
        <f>IF($A286="","",IFERROR(MATCH($A286,'通知一覧'!$B$5:$B$204,0),"なし"))</f>
        <v/>
      </c>
      <c r="P286" s="31">
        <f>IF(NOT(ISNUMBER($O286)),"",IFERROR(MATCH(INDEX('通知一覧'!$C$5:$C$204,$O286),'支払先'!$B$5:$B$104,0),""))</f>
        <v/>
      </c>
      <c r="Q286" s="31">
        <f>IF(AND($A286&lt;&gt;"",$A286='支払通知書'!$K$2),ROW(),"")</f>
        <v/>
      </c>
    </row>
    <row r="287" ht="18" customHeight="1">
      <c r="A287" s="18" t="n"/>
      <c r="B287" s="24" t="n"/>
      <c r="C287" s="19" t="n"/>
      <c r="D287" s="25" t="n"/>
      <c r="E287" s="18" t="n"/>
      <c r="F287" s="25" t="n"/>
      <c r="G287" s="18" t="n"/>
      <c r="H287" s="18" t="n"/>
      <c r="I287" s="26">
        <f>IF(OR($A287="",$F287=""),"",ROUND(IF($D287="",1,$D287)*$F287,0))</f>
        <v/>
      </c>
      <c r="J287" s="27">
        <f>IF($A287="","",IF($O287="なし","※通知一覧にない通知No",IF($P287="","",INDEX('支払先'!$C$5:$C$104,$P287)&amp;"")))</f>
        <v/>
      </c>
      <c r="K287" s="28">
        <f>IF(NOT(ISNUMBER($O287)),"",IF(ISNUMBER(INDEX('通知一覧'!$F$5:$F$204,$O287)),INDEX('通知一覧'!$F$5:$F$204,$O287),""))</f>
        <v/>
      </c>
      <c r="L287" s="29">
        <f>IF(AND(ISNUMBER($B287),ISNUMBER($K287)),$K287-$B287+1,"")</f>
        <v/>
      </c>
      <c r="M287" s="30">
        <f>IF(OR($L287="",$P287=""),"",IF(INDEX('支払先'!$M$5:$M$104,$P287)="対象外","",IF(AND($L287&gt;60,$K287&gt;=EDATE($B287,2)),"超える","")))</f>
        <v/>
      </c>
      <c r="N287" s="67" t="n"/>
      <c r="O287" s="31">
        <f>IF($A287="","",IFERROR(MATCH($A287,'通知一覧'!$B$5:$B$204,0),"なし"))</f>
        <v/>
      </c>
      <c r="P287" s="31">
        <f>IF(NOT(ISNUMBER($O287)),"",IFERROR(MATCH(INDEX('通知一覧'!$C$5:$C$204,$O287),'支払先'!$B$5:$B$104,0),""))</f>
        <v/>
      </c>
      <c r="Q287" s="31">
        <f>IF(AND($A287&lt;&gt;"",$A287='支払通知書'!$K$2),ROW(),"")</f>
        <v/>
      </c>
    </row>
    <row r="288" ht="18" customHeight="1">
      <c r="A288" s="18" t="n"/>
      <c r="B288" s="24" t="n"/>
      <c r="C288" s="19" t="n"/>
      <c r="D288" s="25" t="n"/>
      <c r="E288" s="18" t="n"/>
      <c r="F288" s="25" t="n"/>
      <c r="G288" s="18" t="n"/>
      <c r="H288" s="18" t="n"/>
      <c r="I288" s="26">
        <f>IF(OR($A288="",$F288=""),"",ROUND(IF($D288="",1,$D288)*$F288,0))</f>
        <v/>
      </c>
      <c r="J288" s="27">
        <f>IF($A288="","",IF($O288="なし","※通知一覧にない通知No",IF($P288="","",INDEX('支払先'!$C$5:$C$104,$P288)&amp;"")))</f>
        <v/>
      </c>
      <c r="K288" s="28">
        <f>IF(NOT(ISNUMBER($O288)),"",IF(ISNUMBER(INDEX('通知一覧'!$F$5:$F$204,$O288)),INDEX('通知一覧'!$F$5:$F$204,$O288),""))</f>
        <v/>
      </c>
      <c r="L288" s="29">
        <f>IF(AND(ISNUMBER($B288),ISNUMBER($K288)),$K288-$B288+1,"")</f>
        <v/>
      </c>
      <c r="M288" s="30">
        <f>IF(OR($L288="",$P288=""),"",IF(INDEX('支払先'!$M$5:$M$104,$P288)="対象外","",IF(AND($L288&gt;60,$K288&gt;=EDATE($B288,2)),"超える","")))</f>
        <v/>
      </c>
      <c r="N288" s="67" t="n"/>
      <c r="O288" s="31">
        <f>IF($A288="","",IFERROR(MATCH($A288,'通知一覧'!$B$5:$B$204,0),"なし"))</f>
        <v/>
      </c>
      <c r="P288" s="31">
        <f>IF(NOT(ISNUMBER($O288)),"",IFERROR(MATCH(INDEX('通知一覧'!$C$5:$C$204,$O288),'支払先'!$B$5:$B$104,0),""))</f>
        <v/>
      </c>
      <c r="Q288" s="31">
        <f>IF(AND($A288&lt;&gt;"",$A288='支払通知書'!$K$2),ROW(),"")</f>
        <v/>
      </c>
    </row>
    <row r="289" ht="18" customHeight="1">
      <c r="A289" s="18" t="n"/>
      <c r="B289" s="24" t="n"/>
      <c r="C289" s="19" t="n"/>
      <c r="D289" s="25" t="n"/>
      <c r="E289" s="18" t="n"/>
      <c r="F289" s="25" t="n"/>
      <c r="G289" s="18" t="n"/>
      <c r="H289" s="18" t="n"/>
      <c r="I289" s="26">
        <f>IF(OR($A289="",$F289=""),"",ROUND(IF($D289="",1,$D289)*$F289,0))</f>
        <v/>
      </c>
      <c r="J289" s="27">
        <f>IF($A289="","",IF($O289="なし","※通知一覧にない通知No",IF($P289="","",INDEX('支払先'!$C$5:$C$104,$P289)&amp;"")))</f>
        <v/>
      </c>
      <c r="K289" s="28">
        <f>IF(NOT(ISNUMBER($O289)),"",IF(ISNUMBER(INDEX('通知一覧'!$F$5:$F$204,$O289)),INDEX('通知一覧'!$F$5:$F$204,$O289),""))</f>
        <v/>
      </c>
      <c r="L289" s="29">
        <f>IF(AND(ISNUMBER($B289),ISNUMBER($K289)),$K289-$B289+1,"")</f>
        <v/>
      </c>
      <c r="M289" s="30">
        <f>IF(OR($L289="",$P289=""),"",IF(INDEX('支払先'!$M$5:$M$104,$P289)="対象外","",IF(AND($L289&gt;60,$K289&gt;=EDATE($B289,2)),"超える","")))</f>
        <v/>
      </c>
      <c r="N289" s="67" t="n"/>
      <c r="O289" s="31">
        <f>IF($A289="","",IFERROR(MATCH($A289,'通知一覧'!$B$5:$B$204,0),"なし"))</f>
        <v/>
      </c>
      <c r="P289" s="31">
        <f>IF(NOT(ISNUMBER($O289)),"",IFERROR(MATCH(INDEX('通知一覧'!$C$5:$C$204,$O289),'支払先'!$B$5:$B$104,0),""))</f>
        <v/>
      </c>
      <c r="Q289" s="31">
        <f>IF(AND($A289&lt;&gt;"",$A289='支払通知書'!$K$2),ROW(),"")</f>
        <v/>
      </c>
    </row>
    <row r="290" ht="18" customHeight="1">
      <c r="A290" s="18" t="n"/>
      <c r="B290" s="24" t="n"/>
      <c r="C290" s="19" t="n"/>
      <c r="D290" s="25" t="n"/>
      <c r="E290" s="18" t="n"/>
      <c r="F290" s="25" t="n"/>
      <c r="G290" s="18" t="n"/>
      <c r="H290" s="18" t="n"/>
      <c r="I290" s="26">
        <f>IF(OR($A290="",$F290=""),"",ROUND(IF($D290="",1,$D290)*$F290,0))</f>
        <v/>
      </c>
      <c r="J290" s="27">
        <f>IF($A290="","",IF($O290="なし","※通知一覧にない通知No",IF($P290="","",INDEX('支払先'!$C$5:$C$104,$P290)&amp;"")))</f>
        <v/>
      </c>
      <c r="K290" s="28">
        <f>IF(NOT(ISNUMBER($O290)),"",IF(ISNUMBER(INDEX('通知一覧'!$F$5:$F$204,$O290)),INDEX('通知一覧'!$F$5:$F$204,$O290),""))</f>
        <v/>
      </c>
      <c r="L290" s="29">
        <f>IF(AND(ISNUMBER($B290),ISNUMBER($K290)),$K290-$B290+1,"")</f>
        <v/>
      </c>
      <c r="M290" s="30">
        <f>IF(OR($L290="",$P290=""),"",IF(INDEX('支払先'!$M$5:$M$104,$P290)="対象外","",IF(AND($L290&gt;60,$K290&gt;=EDATE($B290,2)),"超える","")))</f>
        <v/>
      </c>
      <c r="N290" s="67" t="n"/>
      <c r="O290" s="31">
        <f>IF($A290="","",IFERROR(MATCH($A290,'通知一覧'!$B$5:$B$204,0),"なし"))</f>
        <v/>
      </c>
      <c r="P290" s="31">
        <f>IF(NOT(ISNUMBER($O290)),"",IFERROR(MATCH(INDEX('通知一覧'!$C$5:$C$204,$O290),'支払先'!$B$5:$B$104,0),""))</f>
        <v/>
      </c>
      <c r="Q290" s="31">
        <f>IF(AND($A290&lt;&gt;"",$A290='支払通知書'!$K$2),ROW(),"")</f>
        <v/>
      </c>
    </row>
    <row r="291" ht="18" customHeight="1">
      <c r="A291" s="18" t="n"/>
      <c r="B291" s="24" t="n"/>
      <c r="C291" s="19" t="n"/>
      <c r="D291" s="25" t="n"/>
      <c r="E291" s="18" t="n"/>
      <c r="F291" s="25" t="n"/>
      <c r="G291" s="18" t="n"/>
      <c r="H291" s="18" t="n"/>
      <c r="I291" s="26">
        <f>IF(OR($A291="",$F291=""),"",ROUND(IF($D291="",1,$D291)*$F291,0))</f>
        <v/>
      </c>
      <c r="J291" s="27">
        <f>IF($A291="","",IF($O291="なし","※通知一覧にない通知No",IF($P291="","",INDEX('支払先'!$C$5:$C$104,$P291)&amp;"")))</f>
        <v/>
      </c>
      <c r="K291" s="28">
        <f>IF(NOT(ISNUMBER($O291)),"",IF(ISNUMBER(INDEX('通知一覧'!$F$5:$F$204,$O291)),INDEX('通知一覧'!$F$5:$F$204,$O291),""))</f>
        <v/>
      </c>
      <c r="L291" s="29">
        <f>IF(AND(ISNUMBER($B291),ISNUMBER($K291)),$K291-$B291+1,"")</f>
        <v/>
      </c>
      <c r="M291" s="30">
        <f>IF(OR($L291="",$P291=""),"",IF(INDEX('支払先'!$M$5:$M$104,$P291)="対象外","",IF(AND($L291&gt;60,$K291&gt;=EDATE($B291,2)),"超える","")))</f>
        <v/>
      </c>
      <c r="N291" s="67" t="n"/>
      <c r="O291" s="31">
        <f>IF($A291="","",IFERROR(MATCH($A291,'通知一覧'!$B$5:$B$204,0),"なし"))</f>
        <v/>
      </c>
      <c r="P291" s="31">
        <f>IF(NOT(ISNUMBER($O291)),"",IFERROR(MATCH(INDEX('通知一覧'!$C$5:$C$204,$O291),'支払先'!$B$5:$B$104,0),""))</f>
        <v/>
      </c>
      <c r="Q291" s="31">
        <f>IF(AND($A291&lt;&gt;"",$A291='支払通知書'!$K$2),ROW(),"")</f>
        <v/>
      </c>
    </row>
    <row r="292" ht="18" customHeight="1">
      <c r="A292" s="18" t="n"/>
      <c r="B292" s="24" t="n"/>
      <c r="C292" s="19" t="n"/>
      <c r="D292" s="25" t="n"/>
      <c r="E292" s="18" t="n"/>
      <c r="F292" s="25" t="n"/>
      <c r="G292" s="18" t="n"/>
      <c r="H292" s="18" t="n"/>
      <c r="I292" s="26">
        <f>IF(OR($A292="",$F292=""),"",ROUND(IF($D292="",1,$D292)*$F292,0))</f>
        <v/>
      </c>
      <c r="J292" s="27">
        <f>IF($A292="","",IF($O292="なし","※通知一覧にない通知No",IF($P292="","",INDEX('支払先'!$C$5:$C$104,$P292)&amp;"")))</f>
        <v/>
      </c>
      <c r="K292" s="28">
        <f>IF(NOT(ISNUMBER($O292)),"",IF(ISNUMBER(INDEX('通知一覧'!$F$5:$F$204,$O292)),INDEX('通知一覧'!$F$5:$F$204,$O292),""))</f>
        <v/>
      </c>
      <c r="L292" s="29">
        <f>IF(AND(ISNUMBER($B292),ISNUMBER($K292)),$K292-$B292+1,"")</f>
        <v/>
      </c>
      <c r="M292" s="30">
        <f>IF(OR($L292="",$P292=""),"",IF(INDEX('支払先'!$M$5:$M$104,$P292)="対象外","",IF(AND($L292&gt;60,$K292&gt;=EDATE($B292,2)),"超える","")))</f>
        <v/>
      </c>
      <c r="N292" s="67" t="n"/>
      <c r="O292" s="31">
        <f>IF($A292="","",IFERROR(MATCH($A292,'通知一覧'!$B$5:$B$204,0),"なし"))</f>
        <v/>
      </c>
      <c r="P292" s="31">
        <f>IF(NOT(ISNUMBER($O292)),"",IFERROR(MATCH(INDEX('通知一覧'!$C$5:$C$204,$O292),'支払先'!$B$5:$B$104,0),""))</f>
        <v/>
      </c>
      <c r="Q292" s="31">
        <f>IF(AND($A292&lt;&gt;"",$A292='支払通知書'!$K$2),ROW(),"")</f>
        <v/>
      </c>
    </row>
    <row r="293" ht="18" customHeight="1">
      <c r="A293" s="18" t="n"/>
      <c r="B293" s="24" t="n"/>
      <c r="C293" s="19" t="n"/>
      <c r="D293" s="25" t="n"/>
      <c r="E293" s="18" t="n"/>
      <c r="F293" s="25" t="n"/>
      <c r="G293" s="18" t="n"/>
      <c r="H293" s="18" t="n"/>
      <c r="I293" s="26">
        <f>IF(OR($A293="",$F293=""),"",ROUND(IF($D293="",1,$D293)*$F293,0))</f>
        <v/>
      </c>
      <c r="J293" s="27">
        <f>IF($A293="","",IF($O293="なし","※通知一覧にない通知No",IF($P293="","",INDEX('支払先'!$C$5:$C$104,$P293)&amp;"")))</f>
        <v/>
      </c>
      <c r="K293" s="28">
        <f>IF(NOT(ISNUMBER($O293)),"",IF(ISNUMBER(INDEX('通知一覧'!$F$5:$F$204,$O293)),INDEX('通知一覧'!$F$5:$F$204,$O293),""))</f>
        <v/>
      </c>
      <c r="L293" s="29">
        <f>IF(AND(ISNUMBER($B293),ISNUMBER($K293)),$K293-$B293+1,"")</f>
        <v/>
      </c>
      <c r="M293" s="30">
        <f>IF(OR($L293="",$P293=""),"",IF(INDEX('支払先'!$M$5:$M$104,$P293)="対象外","",IF(AND($L293&gt;60,$K293&gt;=EDATE($B293,2)),"超える","")))</f>
        <v/>
      </c>
      <c r="N293" s="67" t="n"/>
      <c r="O293" s="31">
        <f>IF($A293="","",IFERROR(MATCH($A293,'通知一覧'!$B$5:$B$204,0),"なし"))</f>
        <v/>
      </c>
      <c r="P293" s="31">
        <f>IF(NOT(ISNUMBER($O293)),"",IFERROR(MATCH(INDEX('通知一覧'!$C$5:$C$204,$O293),'支払先'!$B$5:$B$104,0),""))</f>
        <v/>
      </c>
      <c r="Q293" s="31">
        <f>IF(AND($A293&lt;&gt;"",$A293='支払通知書'!$K$2),ROW(),"")</f>
        <v/>
      </c>
    </row>
    <row r="294" ht="18" customHeight="1">
      <c r="A294" s="18" t="n"/>
      <c r="B294" s="24" t="n"/>
      <c r="C294" s="19" t="n"/>
      <c r="D294" s="25" t="n"/>
      <c r="E294" s="18" t="n"/>
      <c r="F294" s="25" t="n"/>
      <c r="G294" s="18" t="n"/>
      <c r="H294" s="18" t="n"/>
      <c r="I294" s="26">
        <f>IF(OR($A294="",$F294=""),"",ROUND(IF($D294="",1,$D294)*$F294,0))</f>
        <v/>
      </c>
      <c r="J294" s="27">
        <f>IF($A294="","",IF($O294="なし","※通知一覧にない通知No",IF($P294="","",INDEX('支払先'!$C$5:$C$104,$P294)&amp;"")))</f>
        <v/>
      </c>
      <c r="K294" s="28">
        <f>IF(NOT(ISNUMBER($O294)),"",IF(ISNUMBER(INDEX('通知一覧'!$F$5:$F$204,$O294)),INDEX('通知一覧'!$F$5:$F$204,$O294),""))</f>
        <v/>
      </c>
      <c r="L294" s="29">
        <f>IF(AND(ISNUMBER($B294),ISNUMBER($K294)),$K294-$B294+1,"")</f>
        <v/>
      </c>
      <c r="M294" s="30">
        <f>IF(OR($L294="",$P294=""),"",IF(INDEX('支払先'!$M$5:$M$104,$P294)="対象外","",IF(AND($L294&gt;60,$K294&gt;=EDATE($B294,2)),"超える","")))</f>
        <v/>
      </c>
      <c r="N294" s="67" t="n"/>
      <c r="O294" s="31">
        <f>IF($A294="","",IFERROR(MATCH($A294,'通知一覧'!$B$5:$B$204,0),"なし"))</f>
        <v/>
      </c>
      <c r="P294" s="31">
        <f>IF(NOT(ISNUMBER($O294)),"",IFERROR(MATCH(INDEX('通知一覧'!$C$5:$C$204,$O294),'支払先'!$B$5:$B$104,0),""))</f>
        <v/>
      </c>
      <c r="Q294" s="31">
        <f>IF(AND($A294&lt;&gt;"",$A294='支払通知書'!$K$2),ROW(),"")</f>
        <v/>
      </c>
    </row>
    <row r="295" ht="18" customHeight="1">
      <c r="A295" s="18" t="n"/>
      <c r="B295" s="24" t="n"/>
      <c r="C295" s="19" t="n"/>
      <c r="D295" s="25" t="n"/>
      <c r="E295" s="18" t="n"/>
      <c r="F295" s="25" t="n"/>
      <c r="G295" s="18" t="n"/>
      <c r="H295" s="18" t="n"/>
      <c r="I295" s="26">
        <f>IF(OR($A295="",$F295=""),"",ROUND(IF($D295="",1,$D295)*$F295,0))</f>
        <v/>
      </c>
      <c r="J295" s="27">
        <f>IF($A295="","",IF($O295="なし","※通知一覧にない通知No",IF($P295="","",INDEX('支払先'!$C$5:$C$104,$P295)&amp;"")))</f>
        <v/>
      </c>
      <c r="K295" s="28">
        <f>IF(NOT(ISNUMBER($O295)),"",IF(ISNUMBER(INDEX('通知一覧'!$F$5:$F$204,$O295)),INDEX('通知一覧'!$F$5:$F$204,$O295),""))</f>
        <v/>
      </c>
      <c r="L295" s="29">
        <f>IF(AND(ISNUMBER($B295),ISNUMBER($K295)),$K295-$B295+1,"")</f>
        <v/>
      </c>
      <c r="M295" s="30">
        <f>IF(OR($L295="",$P295=""),"",IF(INDEX('支払先'!$M$5:$M$104,$P295)="対象外","",IF(AND($L295&gt;60,$K295&gt;=EDATE($B295,2)),"超える","")))</f>
        <v/>
      </c>
      <c r="N295" s="67" t="n"/>
      <c r="O295" s="31">
        <f>IF($A295="","",IFERROR(MATCH($A295,'通知一覧'!$B$5:$B$204,0),"なし"))</f>
        <v/>
      </c>
      <c r="P295" s="31">
        <f>IF(NOT(ISNUMBER($O295)),"",IFERROR(MATCH(INDEX('通知一覧'!$C$5:$C$204,$O295),'支払先'!$B$5:$B$104,0),""))</f>
        <v/>
      </c>
      <c r="Q295" s="31">
        <f>IF(AND($A295&lt;&gt;"",$A295='支払通知書'!$K$2),ROW(),"")</f>
        <v/>
      </c>
    </row>
    <row r="296" ht="18" customHeight="1">
      <c r="A296" s="18" t="n"/>
      <c r="B296" s="24" t="n"/>
      <c r="C296" s="19" t="n"/>
      <c r="D296" s="25" t="n"/>
      <c r="E296" s="18" t="n"/>
      <c r="F296" s="25" t="n"/>
      <c r="G296" s="18" t="n"/>
      <c r="H296" s="18" t="n"/>
      <c r="I296" s="26">
        <f>IF(OR($A296="",$F296=""),"",ROUND(IF($D296="",1,$D296)*$F296,0))</f>
        <v/>
      </c>
      <c r="J296" s="27">
        <f>IF($A296="","",IF($O296="なし","※通知一覧にない通知No",IF($P296="","",INDEX('支払先'!$C$5:$C$104,$P296)&amp;"")))</f>
        <v/>
      </c>
      <c r="K296" s="28">
        <f>IF(NOT(ISNUMBER($O296)),"",IF(ISNUMBER(INDEX('通知一覧'!$F$5:$F$204,$O296)),INDEX('通知一覧'!$F$5:$F$204,$O296),""))</f>
        <v/>
      </c>
      <c r="L296" s="29">
        <f>IF(AND(ISNUMBER($B296),ISNUMBER($K296)),$K296-$B296+1,"")</f>
        <v/>
      </c>
      <c r="M296" s="30">
        <f>IF(OR($L296="",$P296=""),"",IF(INDEX('支払先'!$M$5:$M$104,$P296)="対象外","",IF(AND($L296&gt;60,$K296&gt;=EDATE($B296,2)),"超える","")))</f>
        <v/>
      </c>
      <c r="N296" s="67" t="n"/>
      <c r="O296" s="31">
        <f>IF($A296="","",IFERROR(MATCH($A296,'通知一覧'!$B$5:$B$204,0),"なし"))</f>
        <v/>
      </c>
      <c r="P296" s="31">
        <f>IF(NOT(ISNUMBER($O296)),"",IFERROR(MATCH(INDEX('通知一覧'!$C$5:$C$204,$O296),'支払先'!$B$5:$B$104,0),""))</f>
        <v/>
      </c>
      <c r="Q296" s="31">
        <f>IF(AND($A296&lt;&gt;"",$A296='支払通知書'!$K$2),ROW(),"")</f>
        <v/>
      </c>
    </row>
    <row r="297" ht="18" customHeight="1">
      <c r="A297" s="18" t="n"/>
      <c r="B297" s="24" t="n"/>
      <c r="C297" s="19" t="n"/>
      <c r="D297" s="25" t="n"/>
      <c r="E297" s="18" t="n"/>
      <c r="F297" s="25" t="n"/>
      <c r="G297" s="18" t="n"/>
      <c r="H297" s="18" t="n"/>
      <c r="I297" s="26">
        <f>IF(OR($A297="",$F297=""),"",ROUND(IF($D297="",1,$D297)*$F297,0))</f>
        <v/>
      </c>
      <c r="J297" s="27">
        <f>IF($A297="","",IF($O297="なし","※通知一覧にない通知No",IF($P297="","",INDEX('支払先'!$C$5:$C$104,$P297)&amp;"")))</f>
        <v/>
      </c>
      <c r="K297" s="28">
        <f>IF(NOT(ISNUMBER($O297)),"",IF(ISNUMBER(INDEX('通知一覧'!$F$5:$F$204,$O297)),INDEX('通知一覧'!$F$5:$F$204,$O297),""))</f>
        <v/>
      </c>
      <c r="L297" s="29">
        <f>IF(AND(ISNUMBER($B297),ISNUMBER($K297)),$K297-$B297+1,"")</f>
        <v/>
      </c>
      <c r="M297" s="30">
        <f>IF(OR($L297="",$P297=""),"",IF(INDEX('支払先'!$M$5:$M$104,$P297)="対象外","",IF(AND($L297&gt;60,$K297&gt;=EDATE($B297,2)),"超える","")))</f>
        <v/>
      </c>
      <c r="N297" s="67" t="n"/>
      <c r="O297" s="31">
        <f>IF($A297="","",IFERROR(MATCH($A297,'通知一覧'!$B$5:$B$204,0),"なし"))</f>
        <v/>
      </c>
      <c r="P297" s="31">
        <f>IF(NOT(ISNUMBER($O297)),"",IFERROR(MATCH(INDEX('通知一覧'!$C$5:$C$204,$O297),'支払先'!$B$5:$B$104,0),""))</f>
        <v/>
      </c>
      <c r="Q297" s="31">
        <f>IF(AND($A297&lt;&gt;"",$A297='支払通知書'!$K$2),ROW(),"")</f>
        <v/>
      </c>
    </row>
    <row r="298" ht="18" customHeight="1">
      <c r="A298" s="18" t="n"/>
      <c r="B298" s="24" t="n"/>
      <c r="C298" s="19" t="n"/>
      <c r="D298" s="25" t="n"/>
      <c r="E298" s="18" t="n"/>
      <c r="F298" s="25" t="n"/>
      <c r="G298" s="18" t="n"/>
      <c r="H298" s="18" t="n"/>
      <c r="I298" s="26">
        <f>IF(OR($A298="",$F298=""),"",ROUND(IF($D298="",1,$D298)*$F298,0))</f>
        <v/>
      </c>
      <c r="J298" s="27">
        <f>IF($A298="","",IF($O298="なし","※通知一覧にない通知No",IF($P298="","",INDEX('支払先'!$C$5:$C$104,$P298)&amp;"")))</f>
        <v/>
      </c>
      <c r="K298" s="28">
        <f>IF(NOT(ISNUMBER($O298)),"",IF(ISNUMBER(INDEX('通知一覧'!$F$5:$F$204,$O298)),INDEX('通知一覧'!$F$5:$F$204,$O298),""))</f>
        <v/>
      </c>
      <c r="L298" s="29">
        <f>IF(AND(ISNUMBER($B298),ISNUMBER($K298)),$K298-$B298+1,"")</f>
        <v/>
      </c>
      <c r="M298" s="30">
        <f>IF(OR($L298="",$P298=""),"",IF(INDEX('支払先'!$M$5:$M$104,$P298)="対象外","",IF(AND($L298&gt;60,$K298&gt;=EDATE($B298,2)),"超える","")))</f>
        <v/>
      </c>
      <c r="N298" s="67" t="n"/>
      <c r="O298" s="31">
        <f>IF($A298="","",IFERROR(MATCH($A298,'通知一覧'!$B$5:$B$204,0),"なし"))</f>
        <v/>
      </c>
      <c r="P298" s="31">
        <f>IF(NOT(ISNUMBER($O298)),"",IFERROR(MATCH(INDEX('通知一覧'!$C$5:$C$204,$O298),'支払先'!$B$5:$B$104,0),""))</f>
        <v/>
      </c>
      <c r="Q298" s="31">
        <f>IF(AND($A298&lt;&gt;"",$A298='支払通知書'!$K$2),ROW(),"")</f>
        <v/>
      </c>
    </row>
    <row r="299" ht="18" customHeight="1">
      <c r="A299" s="18" t="n"/>
      <c r="B299" s="24" t="n"/>
      <c r="C299" s="19" t="n"/>
      <c r="D299" s="25" t="n"/>
      <c r="E299" s="18" t="n"/>
      <c r="F299" s="25" t="n"/>
      <c r="G299" s="18" t="n"/>
      <c r="H299" s="18" t="n"/>
      <c r="I299" s="26">
        <f>IF(OR($A299="",$F299=""),"",ROUND(IF($D299="",1,$D299)*$F299,0))</f>
        <v/>
      </c>
      <c r="J299" s="27">
        <f>IF($A299="","",IF($O299="なし","※通知一覧にない通知No",IF($P299="","",INDEX('支払先'!$C$5:$C$104,$P299)&amp;"")))</f>
        <v/>
      </c>
      <c r="K299" s="28">
        <f>IF(NOT(ISNUMBER($O299)),"",IF(ISNUMBER(INDEX('通知一覧'!$F$5:$F$204,$O299)),INDEX('通知一覧'!$F$5:$F$204,$O299),""))</f>
        <v/>
      </c>
      <c r="L299" s="29">
        <f>IF(AND(ISNUMBER($B299),ISNUMBER($K299)),$K299-$B299+1,"")</f>
        <v/>
      </c>
      <c r="M299" s="30">
        <f>IF(OR($L299="",$P299=""),"",IF(INDEX('支払先'!$M$5:$M$104,$P299)="対象外","",IF(AND($L299&gt;60,$K299&gt;=EDATE($B299,2)),"超える","")))</f>
        <v/>
      </c>
      <c r="N299" s="67" t="n"/>
      <c r="O299" s="31">
        <f>IF($A299="","",IFERROR(MATCH($A299,'通知一覧'!$B$5:$B$204,0),"なし"))</f>
        <v/>
      </c>
      <c r="P299" s="31">
        <f>IF(NOT(ISNUMBER($O299)),"",IFERROR(MATCH(INDEX('通知一覧'!$C$5:$C$204,$O299),'支払先'!$B$5:$B$104,0),""))</f>
        <v/>
      </c>
      <c r="Q299" s="31">
        <f>IF(AND($A299&lt;&gt;"",$A299='支払通知書'!$K$2),ROW(),"")</f>
        <v/>
      </c>
    </row>
    <row r="300" ht="18" customHeight="1">
      <c r="A300" s="18" t="n"/>
      <c r="B300" s="24" t="n"/>
      <c r="C300" s="19" t="n"/>
      <c r="D300" s="25" t="n"/>
      <c r="E300" s="18" t="n"/>
      <c r="F300" s="25" t="n"/>
      <c r="G300" s="18" t="n"/>
      <c r="H300" s="18" t="n"/>
      <c r="I300" s="26">
        <f>IF(OR($A300="",$F300=""),"",ROUND(IF($D300="",1,$D300)*$F300,0))</f>
        <v/>
      </c>
      <c r="J300" s="27">
        <f>IF($A300="","",IF($O300="なし","※通知一覧にない通知No",IF($P300="","",INDEX('支払先'!$C$5:$C$104,$P300)&amp;"")))</f>
        <v/>
      </c>
      <c r="K300" s="28">
        <f>IF(NOT(ISNUMBER($O300)),"",IF(ISNUMBER(INDEX('通知一覧'!$F$5:$F$204,$O300)),INDEX('通知一覧'!$F$5:$F$204,$O300),""))</f>
        <v/>
      </c>
      <c r="L300" s="29">
        <f>IF(AND(ISNUMBER($B300),ISNUMBER($K300)),$K300-$B300+1,"")</f>
        <v/>
      </c>
      <c r="M300" s="30">
        <f>IF(OR($L300="",$P300=""),"",IF(INDEX('支払先'!$M$5:$M$104,$P300)="対象外","",IF(AND($L300&gt;60,$K300&gt;=EDATE($B300,2)),"超える","")))</f>
        <v/>
      </c>
      <c r="N300" s="67" t="n"/>
      <c r="O300" s="31">
        <f>IF($A300="","",IFERROR(MATCH($A300,'通知一覧'!$B$5:$B$204,0),"なし"))</f>
        <v/>
      </c>
      <c r="P300" s="31">
        <f>IF(NOT(ISNUMBER($O300)),"",IFERROR(MATCH(INDEX('通知一覧'!$C$5:$C$204,$O300),'支払先'!$B$5:$B$104,0),""))</f>
        <v/>
      </c>
      <c r="Q300" s="31">
        <f>IF(AND($A300&lt;&gt;"",$A300='支払通知書'!$K$2),ROW(),"")</f>
        <v/>
      </c>
    </row>
    <row r="301" ht="18" customHeight="1">
      <c r="A301" s="18" t="n"/>
      <c r="B301" s="24" t="n"/>
      <c r="C301" s="19" t="n"/>
      <c r="D301" s="25" t="n"/>
      <c r="E301" s="18" t="n"/>
      <c r="F301" s="25" t="n"/>
      <c r="G301" s="18" t="n"/>
      <c r="H301" s="18" t="n"/>
      <c r="I301" s="26">
        <f>IF(OR($A301="",$F301=""),"",ROUND(IF($D301="",1,$D301)*$F301,0))</f>
        <v/>
      </c>
      <c r="J301" s="27">
        <f>IF($A301="","",IF($O301="なし","※通知一覧にない通知No",IF($P301="","",INDEX('支払先'!$C$5:$C$104,$P301)&amp;"")))</f>
        <v/>
      </c>
      <c r="K301" s="28">
        <f>IF(NOT(ISNUMBER($O301)),"",IF(ISNUMBER(INDEX('通知一覧'!$F$5:$F$204,$O301)),INDEX('通知一覧'!$F$5:$F$204,$O301),""))</f>
        <v/>
      </c>
      <c r="L301" s="29">
        <f>IF(AND(ISNUMBER($B301),ISNUMBER($K301)),$K301-$B301+1,"")</f>
        <v/>
      </c>
      <c r="M301" s="30">
        <f>IF(OR($L301="",$P301=""),"",IF(INDEX('支払先'!$M$5:$M$104,$P301)="対象外","",IF(AND($L301&gt;60,$K301&gt;=EDATE($B301,2)),"超える","")))</f>
        <v/>
      </c>
      <c r="N301" s="67" t="n"/>
      <c r="O301" s="31">
        <f>IF($A301="","",IFERROR(MATCH($A301,'通知一覧'!$B$5:$B$204,0),"なし"))</f>
        <v/>
      </c>
      <c r="P301" s="31">
        <f>IF(NOT(ISNUMBER($O301)),"",IFERROR(MATCH(INDEX('通知一覧'!$C$5:$C$204,$O301),'支払先'!$B$5:$B$104,0),""))</f>
        <v/>
      </c>
      <c r="Q301" s="31">
        <f>IF(AND($A301&lt;&gt;"",$A301='支払通知書'!$K$2),ROW(),"")</f>
        <v/>
      </c>
    </row>
    <row r="302" ht="18" customHeight="1">
      <c r="A302" s="18" t="n"/>
      <c r="B302" s="24" t="n"/>
      <c r="C302" s="19" t="n"/>
      <c r="D302" s="25" t="n"/>
      <c r="E302" s="18" t="n"/>
      <c r="F302" s="25" t="n"/>
      <c r="G302" s="18" t="n"/>
      <c r="H302" s="18" t="n"/>
      <c r="I302" s="26">
        <f>IF(OR($A302="",$F302=""),"",ROUND(IF($D302="",1,$D302)*$F302,0))</f>
        <v/>
      </c>
      <c r="J302" s="27">
        <f>IF($A302="","",IF($O302="なし","※通知一覧にない通知No",IF($P302="","",INDEX('支払先'!$C$5:$C$104,$P302)&amp;"")))</f>
        <v/>
      </c>
      <c r="K302" s="28">
        <f>IF(NOT(ISNUMBER($O302)),"",IF(ISNUMBER(INDEX('通知一覧'!$F$5:$F$204,$O302)),INDEX('通知一覧'!$F$5:$F$204,$O302),""))</f>
        <v/>
      </c>
      <c r="L302" s="29">
        <f>IF(AND(ISNUMBER($B302),ISNUMBER($K302)),$K302-$B302+1,"")</f>
        <v/>
      </c>
      <c r="M302" s="30">
        <f>IF(OR($L302="",$P302=""),"",IF(INDEX('支払先'!$M$5:$M$104,$P302)="対象外","",IF(AND($L302&gt;60,$K302&gt;=EDATE($B302,2)),"超える","")))</f>
        <v/>
      </c>
      <c r="N302" s="67" t="n"/>
      <c r="O302" s="31">
        <f>IF($A302="","",IFERROR(MATCH($A302,'通知一覧'!$B$5:$B$204,0),"なし"))</f>
        <v/>
      </c>
      <c r="P302" s="31">
        <f>IF(NOT(ISNUMBER($O302)),"",IFERROR(MATCH(INDEX('通知一覧'!$C$5:$C$204,$O302),'支払先'!$B$5:$B$104,0),""))</f>
        <v/>
      </c>
      <c r="Q302" s="31">
        <f>IF(AND($A302&lt;&gt;"",$A302='支払通知書'!$K$2),ROW(),"")</f>
        <v/>
      </c>
    </row>
    <row r="303" ht="18" customHeight="1">
      <c r="A303" s="18" t="n"/>
      <c r="B303" s="24" t="n"/>
      <c r="C303" s="19" t="n"/>
      <c r="D303" s="25" t="n"/>
      <c r="E303" s="18" t="n"/>
      <c r="F303" s="25" t="n"/>
      <c r="G303" s="18" t="n"/>
      <c r="H303" s="18" t="n"/>
      <c r="I303" s="26">
        <f>IF(OR($A303="",$F303=""),"",ROUND(IF($D303="",1,$D303)*$F303,0))</f>
        <v/>
      </c>
      <c r="J303" s="27">
        <f>IF($A303="","",IF($O303="なし","※通知一覧にない通知No",IF($P303="","",INDEX('支払先'!$C$5:$C$104,$P303)&amp;"")))</f>
        <v/>
      </c>
      <c r="K303" s="28">
        <f>IF(NOT(ISNUMBER($O303)),"",IF(ISNUMBER(INDEX('通知一覧'!$F$5:$F$204,$O303)),INDEX('通知一覧'!$F$5:$F$204,$O303),""))</f>
        <v/>
      </c>
      <c r="L303" s="29">
        <f>IF(AND(ISNUMBER($B303),ISNUMBER($K303)),$K303-$B303+1,"")</f>
        <v/>
      </c>
      <c r="M303" s="30">
        <f>IF(OR($L303="",$P303=""),"",IF(INDEX('支払先'!$M$5:$M$104,$P303)="対象外","",IF(AND($L303&gt;60,$K303&gt;=EDATE($B303,2)),"超える","")))</f>
        <v/>
      </c>
      <c r="N303" s="67" t="n"/>
      <c r="O303" s="31">
        <f>IF($A303="","",IFERROR(MATCH($A303,'通知一覧'!$B$5:$B$204,0),"なし"))</f>
        <v/>
      </c>
      <c r="P303" s="31">
        <f>IF(NOT(ISNUMBER($O303)),"",IFERROR(MATCH(INDEX('通知一覧'!$C$5:$C$204,$O303),'支払先'!$B$5:$B$104,0),""))</f>
        <v/>
      </c>
      <c r="Q303" s="31">
        <f>IF(AND($A303&lt;&gt;"",$A303='支払通知書'!$K$2),ROW(),"")</f>
        <v/>
      </c>
    </row>
    <row r="304" ht="18" customHeight="1">
      <c r="A304" s="18" t="n"/>
      <c r="B304" s="24" t="n"/>
      <c r="C304" s="19" t="n"/>
      <c r="D304" s="25" t="n"/>
      <c r="E304" s="18" t="n"/>
      <c r="F304" s="25" t="n"/>
      <c r="G304" s="18" t="n"/>
      <c r="H304" s="18" t="n"/>
      <c r="I304" s="26">
        <f>IF(OR($A304="",$F304=""),"",ROUND(IF($D304="",1,$D304)*$F304,0))</f>
        <v/>
      </c>
      <c r="J304" s="27">
        <f>IF($A304="","",IF($O304="なし","※通知一覧にない通知No",IF($P304="","",INDEX('支払先'!$C$5:$C$104,$P304)&amp;"")))</f>
        <v/>
      </c>
      <c r="K304" s="28">
        <f>IF(NOT(ISNUMBER($O304)),"",IF(ISNUMBER(INDEX('通知一覧'!$F$5:$F$204,$O304)),INDEX('通知一覧'!$F$5:$F$204,$O304),""))</f>
        <v/>
      </c>
      <c r="L304" s="29">
        <f>IF(AND(ISNUMBER($B304),ISNUMBER($K304)),$K304-$B304+1,"")</f>
        <v/>
      </c>
      <c r="M304" s="30">
        <f>IF(OR($L304="",$P304=""),"",IF(INDEX('支払先'!$M$5:$M$104,$P304)="対象外","",IF(AND($L304&gt;60,$K304&gt;=EDATE($B304,2)),"超える","")))</f>
        <v/>
      </c>
      <c r="N304" s="67" t="n"/>
      <c r="O304" s="31">
        <f>IF($A304="","",IFERROR(MATCH($A304,'通知一覧'!$B$5:$B$204,0),"なし"))</f>
        <v/>
      </c>
      <c r="P304" s="31">
        <f>IF(NOT(ISNUMBER($O304)),"",IFERROR(MATCH(INDEX('通知一覧'!$C$5:$C$204,$O304),'支払先'!$B$5:$B$104,0),""))</f>
        <v/>
      </c>
      <c r="Q304" s="31">
        <f>IF(AND($A304&lt;&gt;"",$A304='支払通知書'!$K$2),ROW(),"")</f>
        <v/>
      </c>
    </row>
    <row r="305" ht="18" customHeight="1">
      <c r="A305" s="18" t="n"/>
      <c r="B305" s="24" t="n"/>
      <c r="C305" s="19" t="n"/>
      <c r="D305" s="25" t="n"/>
      <c r="E305" s="18" t="n"/>
      <c r="F305" s="25" t="n"/>
      <c r="G305" s="18" t="n"/>
      <c r="H305" s="18" t="n"/>
      <c r="I305" s="26">
        <f>IF(OR($A305="",$F305=""),"",ROUND(IF($D305="",1,$D305)*$F305,0))</f>
        <v/>
      </c>
      <c r="J305" s="27">
        <f>IF($A305="","",IF($O305="なし","※通知一覧にない通知No",IF($P305="","",INDEX('支払先'!$C$5:$C$104,$P305)&amp;"")))</f>
        <v/>
      </c>
      <c r="K305" s="28">
        <f>IF(NOT(ISNUMBER($O305)),"",IF(ISNUMBER(INDEX('通知一覧'!$F$5:$F$204,$O305)),INDEX('通知一覧'!$F$5:$F$204,$O305),""))</f>
        <v/>
      </c>
      <c r="L305" s="29">
        <f>IF(AND(ISNUMBER($B305),ISNUMBER($K305)),$K305-$B305+1,"")</f>
        <v/>
      </c>
      <c r="M305" s="30">
        <f>IF(OR($L305="",$P305=""),"",IF(INDEX('支払先'!$M$5:$M$104,$P305)="対象外","",IF(AND($L305&gt;60,$K305&gt;=EDATE($B305,2)),"超える","")))</f>
        <v/>
      </c>
      <c r="N305" s="67" t="n"/>
      <c r="O305" s="31">
        <f>IF($A305="","",IFERROR(MATCH($A305,'通知一覧'!$B$5:$B$204,0),"なし"))</f>
        <v/>
      </c>
      <c r="P305" s="31">
        <f>IF(NOT(ISNUMBER($O305)),"",IFERROR(MATCH(INDEX('通知一覧'!$C$5:$C$204,$O305),'支払先'!$B$5:$B$104,0),""))</f>
        <v/>
      </c>
      <c r="Q305" s="31">
        <f>IF(AND($A305&lt;&gt;"",$A305='支払通知書'!$K$2),ROW(),"")</f>
        <v/>
      </c>
    </row>
    <row r="306" ht="18" customHeight="1">
      <c r="A306" s="18" t="n"/>
      <c r="B306" s="24" t="n"/>
      <c r="C306" s="19" t="n"/>
      <c r="D306" s="25" t="n"/>
      <c r="E306" s="18" t="n"/>
      <c r="F306" s="25" t="n"/>
      <c r="G306" s="18" t="n"/>
      <c r="H306" s="18" t="n"/>
      <c r="I306" s="26">
        <f>IF(OR($A306="",$F306=""),"",ROUND(IF($D306="",1,$D306)*$F306,0))</f>
        <v/>
      </c>
      <c r="J306" s="27">
        <f>IF($A306="","",IF($O306="なし","※通知一覧にない通知No",IF($P306="","",INDEX('支払先'!$C$5:$C$104,$P306)&amp;"")))</f>
        <v/>
      </c>
      <c r="K306" s="28">
        <f>IF(NOT(ISNUMBER($O306)),"",IF(ISNUMBER(INDEX('通知一覧'!$F$5:$F$204,$O306)),INDEX('通知一覧'!$F$5:$F$204,$O306),""))</f>
        <v/>
      </c>
      <c r="L306" s="29">
        <f>IF(AND(ISNUMBER($B306),ISNUMBER($K306)),$K306-$B306+1,"")</f>
        <v/>
      </c>
      <c r="M306" s="30">
        <f>IF(OR($L306="",$P306=""),"",IF(INDEX('支払先'!$M$5:$M$104,$P306)="対象外","",IF(AND($L306&gt;60,$K306&gt;=EDATE($B306,2)),"超える","")))</f>
        <v/>
      </c>
      <c r="N306" s="67" t="n"/>
      <c r="O306" s="31">
        <f>IF($A306="","",IFERROR(MATCH($A306,'通知一覧'!$B$5:$B$204,0),"なし"))</f>
        <v/>
      </c>
      <c r="P306" s="31">
        <f>IF(NOT(ISNUMBER($O306)),"",IFERROR(MATCH(INDEX('通知一覧'!$C$5:$C$204,$O306),'支払先'!$B$5:$B$104,0),""))</f>
        <v/>
      </c>
      <c r="Q306" s="31">
        <f>IF(AND($A306&lt;&gt;"",$A306='支払通知書'!$K$2),ROW(),"")</f>
        <v/>
      </c>
    </row>
    <row r="307" ht="18" customHeight="1">
      <c r="A307" s="18" t="n"/>
      <c r="B307" s="24" t="n"/>
      <c r="C307" s="19" t="n"/>
      <c r="D307" s="25" t="n"/>
      <c r="E307" s="18" t="n"/>
      <c r="F307" s="25" t="n"/>
      <c r="G307" s="18" t="n"/>
      <c r="H307" s="18" t="n"/>
      <c r="I307" s="26">
        <f>IF(OR($A307="",$F307=""),"",ROUND(IF($D307="",1,$D307)*$F307,0))</f>
        <v/>
      </c>
      <c r="J307" s="27">
        <f>IF($A307="","",IF($O307="なし","※通知一覧にない通知No",IF($P307="","",INDEX('支払先'!$C$5:$C$104,$P307)&amp;"")))</f>
        <v/>
      </c>
      <c r="K307" s="28">
        <f>IF(NOT(ISNUMBER($O307)),"",IF(ISNUMBER(INDEX('通知一覧'!$F$5:$F$204,$O307)),INDEX('通知一覧'!$F$5:$F$204,$O307),""))</f>
        <v/>
      </c>
      <c r="L307" s="29">
        <f>IF(AND(ISNUMBER($B307),ISNUMBER($K307)),$K307-$B307+1,"")</f>
        <v/>
      </c>
      <c r="M307" s="30">
        <f>IF(OR($L307="",$P307=""),"",IF(INDEX('支払先'!$M$5:$M$104,$P307)="対象外","",IF(AND($L307&gt;60,$K307&gt;=EDATE($B307,2)),"超える","")))</f>
        <v/>
      </c>
      <c r="N307" s="67" t="n"/>
      <c r="O307" s="31">
        <f>IF($A307="","",IFERROR(MATCH($A307,'通知一覧'!$B$5:$B$204,0),"なし"))</f>
        <v/>
      </c>
      <c r="P307" s="31">
        <f>IF(NOT(ISNUMBER($O307)),"",IFERROR(MATCH(INDEX('通知一覧'!$C$5:$C$204,$O307),'支払先'!$B$5:$B$104,0),""))</f>
        <v/>
      </c>
      <c r="Q307" s="31">
        <f>IF(AND($A307&lt;&gt;"",$A307='支払通知書'!$K$2),ROW(),"")</f>
        <v/>
      </c>
    </row>
    <row r="308" ht="18" customHeight="1">
      <c r="A308" s="18" t="n"/>
      <c r="B308" s="24" t="n"/>
      <c r="C308" s="19" t="n"/>
      <c r="D308" s="25" t="n"/>
      <c r="E308" s="18" t="n"/>
      <c r="F308" s="25" t="n"/>
      <c r="G308" s="18" t="n"/>
      <c r="H308" s="18" t="n"/>
      <c r="I308" s="26">
        <f>IF(OR($A308="",$F308=""),"",ROUND(IF($D308="",1,$D308)*$F308,0))</f>
        <v/>
      </c>
      <c r="J308" s="27">
        <f>IF($A308="","",IF($O308="なし","※通知一覧にない通知No",IF($P308="","",INDEX('支払先'!$C$5:$C$104,$P308)&amp;"")))</f>
        <v/>
      </c>
      <c r="K308" s="28">
        <f>IF(NOT(ISNUMBER($O308)),"",IF(ISNUMBER(INDEX('通知一覧'!$F$5:$F$204,$O308)),INDEX('通知一覧'!$F$5:$F$204,$O308),""))</f>
        <v/>
      </c>
      <c r="L308" s="29">
        <f>IF(AND(ISNUMBER($B308),ISNUMBER($K308)),$K308-$B308+1,"")</f>
        <v/>
      </c>
      <c r="M308" s="30">
        <f>IF(OR($L308="",$P308=""),"",IF(INDEX('支払先'!$M$5:$M$104,$P308)="対象外","",IF(AND($L308&gt;60,$K308&gt;=EDATE($B308,2)),"超える","")))</f>
        <v/>
      </c>
      <c r="N308" s="67" t="n"/>
      <c r="O308" s="31">
        <f>IF($A308="","",IFERROR(MATCH($A308,'通知一覧'!$B$5:$B$204,0),"なし"))</f>
        <v/>
      </c>
      <c r="P308" s="31">
        <f>IF(NOT(ISNUMBER($O308)),"",IFERROR(MATCH(INDEX('通知一覧'!$C$5:$C$204,$O308),'支払先'!$B$5:$B$104,0),""))</f>
        <v/>
      </c>
      <c r="Q308" s="31">
        <f>IF(AND($A308&lt;&gt;"",$A308='支払通知書'!$K$2),ROW(),"")</f>
        <v/>
      </c>
    </row>
    <row r="309" ht="18" customHeight="1">
      <c r="A309" s="18" t="n"/>
      <c r="B309" s="24" t="n"/>
      <c r="C309" s="19" t="n"/>
      <c r="D309" s="25" t="n"/>
      <c r="E309" s="18" t="n"/>
      <c r="F309" s="25" t="n"/>
      <c r="G309" s="18" t="n"/>
      <c r="H309" s="18" t="n"/>
      <c r="I309" s="26">
        <f>IF(OR($A309="",$F309=""),"",ROUND(IF($D309="",1,$D309)*$F309,0))</f>
        <v/>
      </c>
      <c r="J309" s="27">
        <f>IF($A309="","",IF($O309="なし","※通知一覧にない通知No",IF($P309="","",INDEX('支払先'!$C$5:$C$104,$P309)&amp;"")))</f>
        <v/>
      </c>
      <c r="K309" s="28">
        <f>IF(NOT(ISNUMBER($O309)),"",IF(ISNUMBER(INDEX('通知一覧'!$F$5:$F$204,$O309)),INDEX('通知一覧'!$F$5:$F$204,$O309),""))</f>
        <v/>
      </c>
      <c r="L309" s="29">
        <f>IF(AND(ISNUMBER($B309),ISNUMBER($K309)),$K309-$B309+1,"")</f>
        <v/>
      </c>
      <c r="M309" s="30">
        <f>IF(OR($L309="",$P309=""),"",IF(INDEX('支払先'!$M$5:$M$104,$P309)="対象外","",IF(AND($L309&gt;60,$K309&gt;=EDATE($B309,2)),"超える","")))</f>
        <v/>
      </c>
      <c r="N309" s="67" t="n"/>
      <c r="O309" s="31">
        <f>IF($A309="","",IFERROR(MATCH($A309,'通知一覧'!$B$5:$B$204,0),"なし"))</f>
        <v/>
      </c>
      <c r="P309" s="31">
        <f>IF(NOT(ISNUMBER($O309)),"",IFERROR(MATCH(INDEX('通知一覧'!$C$5:$C$204,$O309),'支払先'!$B$5:$B$104,0),""))</f>
        <v/>
      </c>
      <c r="Q309" s="31">
        <f>IF(AND($A309&lt;&gt;"",$A309='支払通知書'!$K$2),ROW(),"")</f>
        <v/>
      </c>
    </row>
    <row r="310" ht="18" customHeight="1">
      <c r="A310" s="18" t="n"/>
      <c r="B310" s="24" t="n"/>
      <c r="C310" s="19" t="n"/>
      <c r="D310" s="25" t="n"/>
      <c r="E310" s="18" t="n"/>
      <c r="F310" s="25" t="n"/>
      <c r="G310" s="18" t="n"/>
      <c r="H310" s="18" t="n"/>
      <c r="I310" s="26">
        <f>IF(OR($A310="",$F310=""),"",ROUND(IF($D310="",1,$D310)*$F310,0))</f>
        <v/>
      </c>
      <c r="J310" s="27">
        <f>IF($A310="","",IF($O310="なし","※通知一覧にない通知No",IF($P310="","",INDEX('支払先'!$C$5:$C$104,$P310)&amp;"")))</f>
        <v/>
      </c>
      <c r="K310" s="28">
        <f>IF(NOT(ISNUMBER($O310)),"",IF(ISNUMBER(INDEX('通知一覧'!$F$5:$F$204,$O310)),INDEX('通知一覧'!$F$5:$F$204,$O310),""))</f>
        <v/>
      </c>
      <c r="L310" s="29">
        <f>IF(AND(ISNUMBER($B310),ISNUMBER($K310)),$K310-$B310+1,"")</f>
        <v/>
      </c>
      <c r="M310" s="30">
        <f>IF(OR($L310="",$P310=""),"",IF(INDEX('支払先'!$M$5:$M$104,$P310)="対象外","",IF(AND($L310&gt;60,$K310&gt;=EDATE($B310,2)),"超える","")))</f>
        <v/>
      </c>
      <c r="N310" s="67" t="n"/>
      <c r="O310" s="31">
        <f>IF($A310="","",IFERROR(MATCH($A310,'通知一覧'!$B$5:$B$204,0),"なし"))</f>
        <v/>
      </c>
      <c r="P310" s="31">
        <f>IF(NOT(ISNUMBER($O310)),"",IFERROR(MATCH(INDEX('通知一覧'!$C$5:$C$204,$O310),'支払先'!$B$5:$B$104,0),""))</f>
        <v/>
      </c>
      <c r="Q310" s="31">
        <f>IF(AND($A310&lt;&gt;"",$A310='支払通知書'!$K$2),ROW(),"")</f>
        <v/>
      </c>
    </row>
    <row r="311" ht="18" customHeight="1">
      <c r="A311" s="18" t="n"/>
      <c r="B311" s="24" t="n"/>
      <c r="C311" s="19" t="n"/>
      <c r="D311" s="25" t="n"/>
      <c r="E311" s="18" t="n"/>
      <c r="F311" s="25" t="n"/>
      <c r="G311" s="18" t="n"/>
      <c r="H311" s="18" t="n"/>
      <c r="I311" s="26">
        <f>IF(OR($A311="",$F311=""),"",ROUND(IF($D311="",1,$D311)*$F311,0))</f>
        <v/>
      </c>
      <c r="J311" s="27">
        <f>IF($A311="","",IF($O311="なし","※通知一覧にない通知No",IF($P311="","",INDEX('支払先'!$C$5:$C$104,$P311)&amp;"")))</f>
        <v/>
      </c>
      <c r="K311" s="28">
        <f>IF(NOT(ISNUMBER($O311)),"",IF(ISNUMBER(INDEX('通知一覧'!$F$5:$F$204,$O311)),INDEX('通知一覧'!$F$5:$F$204,$O311),""))</f>
        <v/>
      </c>
      <c r="L311" s="29">
        <f>IF(AND(ISNUMBER($B311),ISNUMBER($K311)),$K311-$B311+1,"")</f>
        <v/>
      </c>
      <c r="M311" s="30">
        <f>IF(OR($L311="",$P311=""),"",IF(INDEX('支払先'!$M$5:$M$104,$P311)="対象外","",IF(AND($L311&gt;60,$K311&gt;=EDATE($B311,2)),"超える","")))</f>
        <v/>
      </c>
      <c r="N311" s="67" t="n"/>
      <c r="O311" s="31">
        <f>IF($A311="","",IFERROR(MATCH($A311,'通知一覧'!$B$5:$B$204,0),"なし"))</f>
        <v/>
      </c>
      <c r="P311" s="31">
        <f>IF(NOT(ISNUMBER($O311)),"",IFERROR(MATCH(INDEX('通知一覧'!$C$5:$C$204,$O311),'支払先'!$B$5:$B$104,0),""))</f>
        <v/>
      </c>
      <c r="Q311" s="31">
        <f>IF(AND($A311&lt;&gt;"",$A311='支払通知書'!$K$2),ROW(),"")</f>
        <v/>
      </c>
    </row>
    <row r="312" ht="18" customHeight="1">
      <c r="A312" s="18" t="n"/>
      <c r="B312" s="24" t="n"/>
      <c r="C312" s="19" t="n"/>
      <c r="D312" s="25" t="n"/>
      <c r="E312" s="18" t="n"/>
      <c r="F312" s="25" t="n"/>
      <c r="G312" s="18" t="n"/>
      <c r="H312" s="18" t="n"/>
      <c r="I312" s="26">
        <f>IF(OR($A312="",$F312=""),"",ROUND(IF($D312="",1,$D312)*$F312,0))</f>
        <v/>
      </c>
      <c r="J312" s="27">
        <f>IF($A312="","",IF($O312="なし","※通知一覧にない通知No",IF($P312="","",INDEX('支払先'!$C$5:$C$104,$P312)&amp;"")))</f>
        <v/>
      </c>
      <c r="K312" s="28">
        <f>IF(NOT(ISNUMBER($O312)),"",IF(ISNUMBER(INDEX('通知一覧'!$F$5:$F$204,$O312)),INDEX('通知一覧'!$F$5:$F$204,$O312),""))</f>
        <v/>
      </c>
      <c r="L312" s="29">
        <f>IF(AND(ISNUMBER($B312),ISNUMBER($K312)),$K312-$B312+1,"")</f>
        <v/>
      </c>
      <c r="M312" s="30">
        <f>IF(OR($L312="",$P312=""),"",IF(INDEX('支払先'!$M$5:$M$104,$P312)="対象外","",IF(AND($L312&gt;60,$K312&gt;=EDATE($B312,2)),"超える","")))</f>
        <v/>
      </c>
      <c r="N312" s="67" t="n"/>
      <c r="O312" s="31">
        <f>IF($A312="","",IFERROR(MATCH($A312,'通知一覧'!$B$5:$B$204,0),"なし"))</f>
        <v/>
      </c>
      <c r="P312" s="31">
        <f>IF(NOT(ISNUMBER($O312)),"",IFERROR(MATCH(INDEX('通知一覧'!$C$5:$C$204,$O312),'支払先'!$B$5:$B$104,0),""))</f>
        <v/>
      </c>
      <c r="Q312" s="31">
        <f>IF(AND($A312&lt;&gt;"",$A312='支払通知書'!$K$2),ROW(),"")</f>
        <v/>
      </c>
    </row>
    <row r="313" ht="18" customHeight="1">
      <c r="A313" s="18" t="n"/>
      <c r="B313" s="24" t="n"/>
      <c r="C313" s="19" t="n"/>
      <c r="D313" s="25" t="n"/>
      <c r="E313" s="18" t="n"/>
      <c r="F313" s="25" t="n"/>
      <c r="G313" s="18" t="n"/>
      <c r="H313" s="18" t="n"/>
      <c r="I313" s="26">
        <f>IF(OR($A313="",$F313=""),"",ROUND(IF($D313="",1,$D313)*$F313,0))</f>
        <v/>
      </c>
      <c r="J313" s="27">
        <f>IF($A313="","",IF($O313="なし","※通知一覧にない通知No",IF($P313="","",INDEX('支払先'!$C$5:$C$104,$P313)&amp;"")))</f>
        <v/>
      </c>
      <c r="K313" s="28">
        <f>IF(NOT(ISNUMBER($O313)),"",IF(ISNUMBER(INDEX('通知一覧'!$F$5:$F$204,$O313)),INDEX('通知一覧'!$F$5:$F$204,$O313),""))</f>
        <v/>
      </c>
      <c r="L313" s="29">
        <f>IF(AND(ISNUMBER($B313),ISNUMBER($K313)),$K313-$B313+1,"")</f>
        <v/>
      </c>
      <c r="M313" s="30">
        <f>IF(OR($L313="",$P313=""),"",IF(INDEX('支払先'!$M$5:$M$104,$P313)="対象外","",IF(AND($L313&gt;60,$K313&gt;=EDATE($B313,2)),"超える","")))</f>
        <v/>
      </c>
      <c r="N313" s="67" t="n"/>
      <c r="O313" s="31">
        <f>IF($A313="","",IFERROR(MATCH($A313,'通知一覧'!$B$5:$B$204,0),"なし"))</f>
        <v/>
      </c>
      <c r="P313" s="31">
        <f>IF(NOT(ISNUMBER($O313)),"",IFERROR(MATCH(INDEX('通知一覧'!$C$5:$C$204,$O313),'支払先'!$B$5:$B$104,0),""))</f>
        <v/>
      </c>
      <c r="Q313" s="31">
        <f>IF(AND($A313&lt;&gt;"",$A313='支払通知書'!$K$2),ROW(),"")</f>
        <v/>
      </c>
    </row>
    <row r="314" ht="18" customHeight="1">
      <c r="A314" s="18" t="n"/>
      <c r="B314" s="24" t="n"/>
      <c r="C314" s="19" t="n"/>
      <c r="D314" s="25" t="n"/>
      <c r="E314" s="18" t="n"/>
      <c r="F314" s="25" t="n"/>
      <c r="G314" s="18" t="n"/>
      <c r="H314" s="18" t="n"/>
      <c r="I314" s="26">
        <f>IF(OR($A314="",$F314=""),"",ROUND(IF($D314="",1,$D314)*$F314,0))</f>
        <v/>
      </c>
      <c r="J314" s="27">
        <f>IF($A314="","",IF($O314="なし","※通知一覧にない通知No",IF($P314="","",INDEX('支払先'!$C$5:$C$104,$P314)&amp;"")))</f>
        <v/>
      </c>
      <c r="K314" s="28">
        <f>IF(NOT(ISNUMBER($O314)),"",IF(ISNUMBER(INDEX('通知一覧'!$F$5:$F$204,$O314)),INDEX('通知一覧'!$F$5:$F$204,$O314),""))</f>
        <v/>
      </c>
      <c r="L314" s="29">
        <f>IF(AND(ISNUMBER($B314),ISNUMBER($K314)),$K314-$B314+1,"")</f>
        <v/>
      </c>
      <c r="M314" s="30">
        <f>IF(OR($L314="",$P314=""),"",IF(INDEX('支払先'!$M$5:$M$104,$P314)="対象外","",IF(AND($L314&gt;60,$K314&gt;=EDATE($B314,2)),"超える","")))</f>
        <v/>
      </c>
      <c r="N314" s="67" t="n"/>
      <c r="O314" s="31">
        <f>IF($A314="","",IFERROR(MATCH($A314,'通知一覧'!$B$5:$B$204,0),"なし"))</f>
        <v/>
      </c>
      <c r="P314" s="31">
        <f>IF(NOT(ISNUMBER($O314)),"",IFERROR(MATCH(INDEX('通知一覧'!$C$5:$C$204,$O314),'支払先'!$B$5:$B$104,0),""))</f>
        <v/>
      </c>
      <c r="Q314" s="31">
        <f>IF(AND($A314&lt;&gt;"",$A314='支払通知書'!$K$2),ROW(),"")</f>
        <v/>
      </c>
    </row>
    <row r="315" ht="18" customHeight="1">
      <c r="A315" s="18" t="n"/>
      <c r="B315" s="24" t="n"/>
      <c r="C315" s="19" t="n"/>
      <c r="D315" s="25" t="n"/>
      <c r="E315" s="18" t="n"/>
      <c r="F315" s="25" t="n"/>
      <c r="G315" s="18" t="n"/>
      <c r="H315" s="18" t="n"/>
      <c r="I315" s="26">
        <f>IF(OR($A315="",$F315=""),"",ROUND(IF($D315="",1,$D315)*$F315,0))</f>
        <v/>
      </c>
      <c r="J315" s="27">
        <f>IF($A315="","",IF($O315="なし","※通知一覧にない通知No",IF($P315="","",INDEX('支払先'!$C$5:$C$104,$P315)&amp;"")))</f>
        <v/>
      </c>
      <c r="K315" s="28">
        <f>IF(NOT(ISNUMBER($O315)),"",IF(ISNUMBER(INDEX('通知一覧'!$F$5:$F$204,$O315)),INDEX('通知一覧'!$F$5:$F$204,$O315),""))</f>
        <v/>
      </c>
      <c r="L315" s="29">
        <f>IF(AND(ISNUMBER($B315),ISNUMBER($K315)),$K315-$B315+1,"")</f>
        <v/>
      </c>
      <c r="M315" s="30">
        <f>IF(OR($L315="",$P315=""),"",IF(INDEX('支払先'!$M$5:$M$104,$P315)="対象外","",IF(AND($L315&gt;60,$K315&gt;=EDATE($B315,2)),"超える","")))</f>
        <v/>
      </c>
      <c r="N315" s="67" t="n"/>
      <c r="O315" s="31">
        <f>IF($A315="","",IFERROR(MATCH($A315,'通知一覧'!$B$5:$B$204,0),"なし"))</f>
        <v/>
      </c>
      <c r="P315" s="31">
        <f>IF(NOT(ISNUMBER($O315)),"",IFERROR(MATCH(INDEX('通知一覧'!$C$5:$C$204,$O315),'支払先'!$B$5:$B$104,0),""))</f>
        <v/>
      </c>
      <c r="Q315" s="31">
        <f>IF(AND($A315&lt;&gt;"",$A315='支払通知書'!$K$2),ROW(),"")</f>
        <v/>
      </c>
    </row>
    <row r="316" ht="18" customHeight="1">
      <c r="A316" s="18" t="n"/>
      <c r="B316" s="24" t="n"/>
      <c r="C316" s="19" t="n"/>
      <c r="D316" s="25" t="n"/>
      <c r="E316" s="18" t="n"/>
      <c r="F316" s="25" t="n"/>
      <c r="G316" s="18" t="n"/>
      <c r="H316" s="18" t="n"/>
      <c r="I316" s="26">
        <f>IF(OR($A316="",$F316=""),"",ROUND(IF($D316="",1,$D316)*$F316,0))</f>
        <v/>
      </c>
      <c r="J316" s="27">
        <f>IF($A316="","",IF($O316="なし","※通知一覧にない通知No",IF($P316="","",INDEX('支払先'!$C$5:$C$104,$P316)&amp;"")))</f>
        <v/>
      </c>
      <c r="K316" s="28">
        <f>IF(NOT(ISNUMBER($O316)),"",IF(ISNUMBER(INDEX('通知一覧'!$F$5:$F$204,$O316)),INDEX('通知一覧'!$F$5:$F$204,$O316),""))</f>
        <v/>
      </c>
      <c r="L316" s="29">
        <f>IF(AND(ISNUMBER($B316),ISNUMBER($K316)),$K316-$B316+1,"")</f>
        <v/>
      </c>
      <c r="M316" s="30">
        <f>IF(OR($L316="",$P316=""),"",IF(INDEX('支払先'!$M$5:$M$104,$P316)="対象外","",IF(AND($L316&gt;60,$K316&gt;=EDATE($B316,2)),"超える","")))</f>
        <v/>
      </c>
      <c r="N316" s="67" t="n"/>
      <c r="O316" s="31">
        <f>IF($A316="","",IFERROR(MATCH($A316,'通知一覧'!$B$5:$B$204,0),"なし"))</f>
        <v/>
      </c>
      <c r="P316" s="31">
        <f>IF(NOT(ISNUMBER($O316)),"",IFERROR(MATCH(INDEX('通知一覧'!$C$5:$C$204,$O316),'支払先'!$B$5:$B$104,0),""))</f>
        <v/>
      </c>
      <c r="Q316" s="31">
        <f>IF(AND($A316&lt;&gt;"",$A316='支払通知書'!$K$2),ROW(),"")</f>
        <v/>
      </c>
    </row>
    <row r="317" ht="18" customHeight="1">
      <c r="A317" s="18" t="n"/>
      <c r="B317" s="24" t="n"/>
      <c r="C317" s="19" t="n"/>
      <c r="D317" s="25" t="n"/>
      <c r="E317" s="18" t="n"/>
      <c r="F317" s="25" t="n"/>
      <c r="G317" s="18" t="n"/>
      <c r="H317" s="18" t="n"/>
      <c r="I317" s="26">
        <f>IF(OR($A317="",$F317=""),"",ROUND(IF($D317="",1,$D317)*$F317,0))</f>
        <v/>
      </c>
      <c r="J317" s="27">
        <f>IF($A317="","",IF($O317="なし","※通知一覧にない通知No",IF($P317="","",INDEX('支払先'!$C$5:$C$104,$P317)&amp;"")))</f>
        <v/>
      </c>
      <c r="K317" s="28">
        <f>IF(NOT(ISNUMBER($O317)),"",IF(ISNUMBER(INDEX('通知一覧'!$F$5:$F$204,$O317)),INDEX('通知一覧'!$F$5:$F$204,$O317),""))</f>
        <v/>
      </c>
      <c r="L317" s="29">
        <f>IF(AND(ISNUMBER($B317),ISNUMBER($K317)),$K317-$B317+1,"")</f>
        <v/>
      </c>
      <c r="M317" s="30">
        <f>IF(OR($L317="",$P317=""),"",IF(INDEX('支払先'!$M$5:$M$104,$P317)="対象外","",IF(AND($L317&gt;60,$K317&gt;=EDATE($B317,2)),"超える","")))</f>
        <v/>
      </c>
      <c r="N317" s="67" t="n"/>
      <c r="O317" s="31">
        <f>IF($A317="","",IFERROR(MATCH($A317,'通知一覧'!$B$5:$B$204,0),"なし"))</f>
        <v/>
      </c>
      <c r="P317" s="31">
        <f>IF(NOT(ISNUMBER($O317)),"",IFERROR(MATCH(INDEX('通知一覧'!$C$5:$C$204,$O317),'支払先'!$B$5:$B$104,0),""))</f>
        <v/>
      </c>
      <c r="Q317" s="31">
        <f>IF(AND($A317&lt;&gt;"",$A317='支払通知書'!$K$2),ROW(),"")</f>
        <v/>
      </c>
    </row>
    <row r="318" ht="18" customHeight="1">
      <c r="A318" s="18" t="n"/>
      <c r="B318" s="24" t="n"/>
      <c r="C318" s="19" t="n"/>
      <c r="D318" s="25" t="n"/>
      <c r="E318" s="18" t="n"/>
      <c r="F318" s="25" t="n"/>
      <c r="G318" s="18" t="n"/>
      <c r="H318" s="18" t="n"/>
      <c r="I318" s="26">
        <f>IF(OR($A318="",$F318=""),"",ROUND(IF($D318="",1,$D318)*$F318,0))</f>
        <v/>
      </c>
      <c r="J318" s="27">
        <f>IF($A318="","",IF($O318="なし","※通知一覧にない通知No",IF($P318="","",INDEX('支払先'!$C$5:$C$104,$P318)&amp;"")))</f>
        <v/>
      </c>
      <c r="K318" s="28">
        <f>IF(NOT(ISNUMBER($O318)),"",IF(ISNUMBER(INDEX('通知一覧'!$F$5:$F$204,$O318)),INDEX('通知一覧'!$F$5:$F$204,$O318),""))</f>
        <v/>
      </c>
      <c r="L318" s="29">
        <f>IF(AND(ISNUMBER($B318),ISNUMBER($K318)),$K318-$B318+1,"")</f>
        <v/>
      </c>
      <c r="M318" s="30">
        <f>IF(OR($L318="",$P318=""),"",IF(INDEX('支払先'!$M$5:$M$104,$P318)="対象外","",IF(AND($L318&gt;60,$K318&gt;=EDATE($B318,2)),"超える","")))</f>
        <v/>
      </c>
      <c r="N318" s="67" t="n"/>
      <c r="O318" s="31">
        <f>IF($A318="","",IFERROR(MATCH($A318,'通知一覧'!$B$5:$B$204,0),"なし"))</f>
        <v/>
      </c>
      <c r="P318" s="31">
        <f>IF(NOT(ISNUMBER($O318)),"",IFERROR(MATCH(INDEX('通知一覧'!$C$5:$C$204,$O318),'支払先'!$B$5:$B$104,0),""))</f>
        <v/>
      </c>
      <c r="Q318" s="31">
        <f>IF(AND($A318&lt;&gt;"",$A318='支払通知書'!$K$2),ROW(),"")</f>
        <v/>
      </c>
    </row>
    <row r="319" ht="18" customHeight="1">
      <c r="A319" s="18" t="n"/>
      <c r="B319" s="24" t="n"/>
      <c r="C319" s="19" t="n"/>
      <c r="D319" s="25" t="n"/>
      <c r="E319" s="18" t="n"/>
      <c r="F319" s="25" t="n"/>
      <c r="G319" s="18" t="n"/>
      <c r="H319" s="18" t="n"/>
      <c r="I319" s="26">
        <f>IF(OR($A319="",$F319=""),"",ROUND(IF($D319="",1,$D319)*$F319,0))</f>
        <v/>
      </c>
      <c r="J319" s="27">
        <f>IF($A319="","",IF($O319="なし","※通知一覧にない通知No",IF($P319="","",INDEX('支払先'!$C$5:$C$104,$P319)&amp;"")))</f>
        <v/>
      </c>
      <c r="K319" s="28">
        <f>IF(NOT(ISNUMBER($O319)),"",IF(ISNUMBER(INDEX('通知一覧'!$F$5:$F$204,$O319)),INDEX('通知一覧'!$F$5:$F$204,$O319),""))</f>
        <v/>
      </c>
      <c r="L319" s="29">
        <f>IF(AND(ISNUMBER($B319),ISNUMBER($K319)),$K319-$B319+1,"")</f>
        <v/>
      </c>
      <c r="M319" s="30">
        <f>IF(OR($L319="",$P319=""),"",IF(INDEX('支払先'!$M$5:$M$104,$P319)="対象外","",IF(AND($L319&gt;60,$K319&gt;=EDATE($B319,2)),"超える","")))</f>
        <v/>
      </c>
      <c r="N319" s="67" t="n"/>
      <c r="O319" s="31">
        <f>IF($A319="","",IFERROR(MATCH($A319,'通知一覧'!$B$5:$B$204,0),"なし"))</f>
        <v/>
      </c>
      <c r="P319" s="31">
        <f>IF(NOT(ISNUMBER($O319)),"",IFERROR(MATCH(INDEX('通知一覧'!$C$5:$C$204,$O319),'支払先'!$B$5:$B$104,0),""))</f>
        <v/>
      </c>
      <c r="Q319" s="31">
        <f>IF(AND($A319&lt;&gt;"",$A319='支払通知書'!$K$2),ROW(),"")</f>
        <v/>
      </c>
    </row>
    <row r="320" ht="18" customHeight="1">
      <c r="A320" s="18" t="n"/>
      <c r="B320" s="24" t="n"/>
      <c r="C320" s="19" t="n"/>
      <c r="D320" s="25" t="n"/>
      <c r="E320" s="18" t="n"/>
      <c r="F320" s="25" t="n"/>
      <c r="G320" s="18" t="n"/>
      <c r="H320" s="18" t="n"/>
      <c r="I320" s="26">
        <f>IF(OR($A320="",$F320=""),"",ROUND(IF($D320="",1,$D320)*$F320,0))</f>
        <v/>
      </c>
      <c r="J320" s="27">
        <f>IF($A320="","",IF($O320="なし","※通知一覧にない通知No",IF($P320="","",INDEX('支払先'!$C$5:$C$104,$P320)&amp;"")))</f>
        <v/>
      </c>
      <c r="K320" s="28">
        <f>IF(NOT(ISNUMBER($O320)),"",IF(ISNUMBER(INDEX('通知一覧'!$F$5:$F$204,$O320)),INDEX('通知一覧'!$F$5:$F$204,$O320),""))</f>
        <v/>
      </c>
      <c r="L320" s="29">
        <f>IF(AND(ISNUMBER($B320),ISNUMBER($K320)),$K320-$B320+1,"")</f>
        <v/>
      </c>
      <c r="M320" s="30">
        <f>IF(OR($L320="",$P320=""),"",IF(INDEX('支払先'!$M$5:$M$104,$P320)="対象外","",IF(AND($L320&gt;60,$K320&gt;=EDATE($B320,2)),"超える","")))</f>
        <v/>
      </c>
      <c r="N320" s="67" t="n"/>
      <c r="O320" s="31">
        <f>IF($A320="","",IFERROR(MATCH($A320,'通知一覧'!$B$5:$B$204,0),"なし"))</f>
        <v/>
      </c>
      <c r="P320" s="31">
        <f>IF(NOT(ISNUMBER($O320)),"",IFERROR(MATCH(INDEX('通知一覧'!$C$5:$C$204,$O320),'支払先'!$B$5:$B$104,0),""))</f>
        <v/>
      </c>
      <c r="Q320" s="31">
        <f>IF(AND($A320&lt;&gt;"",$A320='支払通知書'!$K$2),ROW(),"")</f>
        <v/>
      </c>
    </row>
    <row r="321" ht="18" customHeight="1">
      <c r="A321" s="18" t="n"/>
      <c r="B321" s="24" t="n"/>
      <c r="C321" s="19" t="n"/>
      <c r="D321" s="25" t="n"/>
      <c r="E321" s="18" t="n"/>
      <c r="F321" s="25" t="n"/>
      <c r="G321" s="18" t="n"/>
      <c r="H321" s="18" t="n"/>
      <c r="I321" s="26">
        <f>IF(OR($A321="",$F321=""),"",ROUND(IF($D321="",1,$D321)*$F321,0))</f>
        <v/>
      </c>
      <c r="J321" s="27">
        <f>IF($A321="","",IF($O321="なし","※通知一覧にない通知No",IF($P321="","",INDEX('支払先'!$C$5:$C$104,$P321)&amp;"")))</f>
        <v/>
      </c>
      <c r="K321" s="28">
        <f>IF(NOT(ISNUMBER($O321)),"",IF(ISNUMBER(INDEX('通知一覧'!$F$5:$F$204,$O321)),INDEX('通知一覧'!$F$5:$F$204,$O321),""))</f>
        <v/>
      </c>
      <c r="L321" s="29">
        <f>IF(AND(ISNUMBER($B321),ISNUMBER($K321)),$K321-$B321+1,"")</f>
        <v/>
      </c>
      <c r="M321" s="30">
        <f>IF(OR($L321="",$P321=""),"",IF(INDEX('支払先'!$M$5:$M$104,$P321)="対象外","",IF(AND($L321&gt;60,$K321&gt;=EDATE($B321,2)),"超える","")))</f>
        <v/>
      </c>
      <c r="N321" s="67" t="n"/>
      <c r="O321" s="31">
        <f>IF($A321="","",IFERROR(MATCH($A321,'通知一覧'!$B$5:$B$204,0),"なし"))</f>
        <v/>
      </c>
      <c r="P321" s="31">
        <f>IF(NOT(ISNUMBER($O321)),"",IFERROR(MATCH(INDEX('通知一覧'!$C$5:$C$204,$O321),'支払先'!$B$5:$B$104,0),""))</f>
        <v/>
      </c>
      <c r="Q321" s="31">
        <f>IF(AND($A321&lt;&gt;"",$A321='支払通知書'!$K$2),ROW(),"")</f>
        <v/>
      </c>
    </row>
    <row r="322" ht="18" customHeight="1">
      <c r="A322" s="18" t="n"/>
      <c r="B322" s="24" t="n"/>
      <c r="C322" s="19" t="n"/>
      <c r="D322" s="25" t="n"/>
      <c r="E322" s="18" t="n"/>
      <c r="F322" s="25" t="n"/>
      <c r="G322" s="18" t="n"/>
      <c r="H322" s="18" t="n"/>
      <c r="I322" s="26">
        <f>IF(OR($A322="",$F322=""),"",ROUND(IF($D322="",1,$D322)*$F322,0))</f>
        <v/>
      </c>
      <c r="J322" s="27">
        <f>IF($A322="","",IF($O322="なし","※通知一覧にない通知No",IF($P322="","",INDEX('支払先'!$C$5:$C$104,$P322)&amp;"")))</f>
        <v/>
      </c>
      <c r="K322" s="28">
        <f>IF(NOT(ISNUMBER($O322)),"",IF(ISNUMBER(INDEX('通知一覧'!$F$5:$F$204,$O322)),INDEX('通知一覧'!$F$5:$F$204,$O322),""))</f>
        <v/>
      </c>
      <c r="L322" s="29">
        <f>IF(AND(ISNUMBER($B322),ISNUMBER($K322)),$K322-$B322+1,"")</f>
        <v/>
      </c>
      <c r="M322" s="30">
        <f>IF(OR($L322="",$P322=""),"",IF(INDEX('支払先'!$M$5:$M$104,$P322)="対象外","",IF(AND($L322&gt;60,$K322&gt;=EDATE($B322,2)),"超える","")))</f>
        <v/>
      </c>
      <c r="N322" s="67" t="n"/>
      <c r="O322" s="31">
        <f>IF($A322="","",IFERROR(MATCH($A322,'通知一覧'!$B$5:$B$204,0),"なし"))</f>
        <v/>
      </c>
      <c r="P322" s="31">
        <f>IF(NOT(ISNUMBER($O322)),"",IFERROR(MATCH(INDEX('通知一覧'!$C$5:$C$204,$O322),'支払先'!$B$5:$B$104,0),""))</f>
        <v/>
      </c>
      <c r="Q322" s="31">
        <f>IF(AND($A322&lt;&gt;"",$A322='支払通知書'!$K$2),ROW(),"")</f>
        <v/>
      </c>
    </row>
    <row r="323" ht="18" customHeight="1">
      <c r="A323" s="18" t="n"/>
      <c r="B323" s="24" t="n"/>
      <c r="C323" s="19" t="n"/>
      <c r="D323" s="25" t="n"/>
      <c r="E323" s="18" t="n"/>
      <c r="F323" s="25" t="n"/>
      <c r="G323" s="18" t="n"/>
      <c r="H323" s="18" t="n"/>
      <c r="I323" s="26">
        <f>IF(OR($A323="",$F323=""),"",ROUND(IF($D323="",1,$D323)*$F323,0))</f>
        <v/>
      </c>
      <c r="J323" s="27">
        <f>IF($A323="","",IF($O323="なし","※通知一覧にない通知No",IF($P323="","",INDEX('支払先'!$C$5:$C$104,$P323)&amp;"")))</f>
        <v/>
      </c>
      <c r="K323" s="28">
        <f>IF(NOT(ISNUMBER($O323)),"",IF(ISNUMBER(INDEX('通知一覧'!$F$5:$F$204,$O323)),INDEX('通知一覧'!$F$5:$F$204,$O323),""))</f>
        <v/>
      </c>
      <c r="L323" s="29">
        <f>IF(AND(ISNUMBER($B323),ISNUMBER($K323)),$K323-$B323+1,"")</f>
        <v/>
      </c>
      <c r="M323" s="30">
        <f>IF(OR($L323="",$P323=""),"",IF(INDEX('支払先'!$M$5:$M$104,$P323)="対象外","",IF(AND($L323&gt;60,$K323&gt;=EDATE($B323,2)),"超える","")))</f>
        <v/>
      </c>
      <c r="N323" s="67" t="n"/>
      <c r="O323" s="31">
        <f>IF($A323="","",IFERROR(MATCH($A323,'通知一覧'!$B$5:$B$204,0),"なし"))</f>
        <v/>
      </c>
      <c r="P323" s="31">
        <f>IF(NOT(ISNUMBER($O323)),"",IFERROR(MATCH(INDEX('通知一覧'!$C$5:$C$204,$O323),'支払先'!$B$5:$B$104,0),""))</f>
        <v/>
      </c>
      <c r="Q323" s="31">
        <f>IF(AND($A323&lt;&gt;"",$A323='支払通知書'!$K$2),ROW(),"")</f>
        <v/>
      </c>
    </row>
    <row r="324" ht="18" customHeight="1">
      <c r="A324" s="18" t="n"/>
      <c r="B324" s="24" t="n"/>
      <c r="C324" s="19" t="n"/>
      <c r="D324" s="25" t="n"/>
      <c r="E324" s="18" t="n"/>
      <c r="F324" s="25" t="n"/>
      <c r="G324" s="18" t="n"/>
      <c r="H324" s="18" t="n"/>
      <c r="I324" s="26">
        <f>IF(OR($A324="",$F324=""),"",ROUND(IF($D324="",1,$D324)*$F324,0))</f>
        <v/>
      </c>
      <c r="J324" s="27">
        <f>IF($A324="","",IF($O324="なし","※通知一覧にない通知No",IF($P324="","",INDEX('支払先'!$C$5:$C$104,$P324)&amp;"")))</f>
        <v/>
      </c>
      <c r="K324" s="28">
        <f>IF(NOT(ISNUMBER($O324)),"",IF(ISNUMBER(INDEX('通知一覧'!$F$5:$F$204,$O324)),INDEX('通知一覧'!$F$5:$F$204,$O324),""))</f>
        <v/>
      </c>
      <c r="L324" s="29">
        <f>IF(AND(ISNUMBER($B324),ISNUMBER($K324)),$K324-$B324+1,"")</f>
        <v/>
      </c>
      <c r="M324" s="30">
        <f>IF(OR($L324="",$P324=""),"",IF(INDEX('支払先'!$M$5:$M$104,$P324)="対象外","",IF(AND($L324&gt;60,$K324&gt;=EDATE($B324,2)),"超える","")))</f>
        <v/>
      </c>
      <c r="N324" s="67" t="n"/>
      <c r="O324" s="31">
        <f>IF($A324="","",IFERROR(MATCH($A324,'通知一覧'!$B$5:$B$204,0),"なし"))</f>
        <v/>
      </c>
      <c r="P324" s="31">
        <f>IF(NOT(ISNUMBER($O324)),"",IFERROR(MATCH(INDEX('通知一覧'!$C$5:$C$204,$O324),'支払先'!$B$5:$B$104,0),""))</f>
        <v/>
      </c>
      <c r="Q324" s="31">
        <f>IF(AND($A324&lt;&gt;"",$A324='支払通知書'!$K$2),ROW(),"")</f>
        <v/>
      </c>
    </row>
    <row r="325" ht="18" customHeight="1">
      <c r="A325" s="18" t="n"/>
      <c r="B325" s="24" t="n"/>
      <c r="C325" s="19" t="n"/>
      <c r="D325" s="25" t="n"/>
      <c r="E325" s="18" t="n"/>
      <c r="F325" s="25" t="n"/>
      <c r="G325" s="18" t="n"/>
      <c r="H325" s="18" t="n"/>
      <c r="I325" s="26">
        <f>IF(OR($A325="",$F325=""),"",ROUND(IF($D325="",1,$D325)*$F325,0))</f>
        <v/>
      </c>
      <c r="J325" s="27">
        <f>IF($A325="","",IF($O325="なし","※通知一覧にない通知No",IF($P325="","",INDEX('支払先'!$C$5:$C$104,$P325)&amp;"")))</f>
        <v/>
      </c>
      <c r="K325" s="28">
        <f>IF(NOT(ISNUMBER($O325)),"",IF(ISNUMBER(INDEX('通知一覧'!$F$5:$F$204,$O325)),INDEX('通知一覧'!$F$5:$F$204,$O325),""))</f>
        <v/>
      </c>
      <c r="L325" s="29">
        <f>IF(AND(ISNUMBER($B325),ISNUMBER($K325)),$K325-$B325+1,"")</f>
        <v/>
      </c>
      <c r="M325" s="30">
        <f>IF(OR($L325="",$P325=""),"",IF(INDEX('支払先'!$M$5:$M$104,$P325)="対象外","",IF(AND($L325&gt;60,$K325&gt;=EDATE($B325,2)),"超える","")))</f>
        <v/>
      </c>
      <c r="N325" s="67" t="n"/>
      <c r="O325" s="31">
        <f>IF($A325="","",IFERROR(MATCH($A325,'通知一覧'!$B$5:$B$204,0),"なし"))</f>
        <v/>
      </c>
      <c r="P325" s="31">
        <f>IF(NOT(ISNUMBER($O325)),"",IFERROR(MATCH(INDEX('通知一覧'!$C$5:$C$204,$O325),'支払先'!$B$5:$B$104,0),""))</f>
        <v/>
      </c>
      <c r="Q325" s="31">
        <f>IF(AND($A325&lt;&gt;"",$A325='支払通知書'!$K$2),ROW(),"")</f>
        <v/>
      </c>
    </row>
    <row r="326" ht="18" customHeight="1">
      <c r="A326" s="18" t="n"/>
      <c r="B326" s="24" t="n"/>
      <c r="C326" s="19" t="n"/>
      <c r="D326" s="25" t="n"/>
      <c r="E326" s="18" t="n"/>
      <c r="F326" s="25" t="n"/>
      <c r="G326" s="18" t="n"/>
      <c r="H326" s="18" t="n"/>
      <c r="I326" s="26">
        <f>IF(OR($A326="",$F326=""),"",ROUND(IF($D326="",1,$D326)*$F326,0))</f>
        <v/>
      </c>
      <c r="J326" s="27">
        <f>IF($A326="","",IF($O326="なし","※通知一覧にない通知No",IF($P326="","",INDEX('支払先'!$C$5:$C$104,$P326)&amp;"")))</f>
        <v/>
      </c>
      <c r="K326" s="28">
        <f>IF(NOT(ISNUMBER($O326)),"",IF(ISNUMBER(INDEX('通知一覧'!$F$5:$F$204,$O326)),INDEX('通知一覧'!$F$5:$F$204,$O326),""))</f>
        <v/>
      </c>
      <c r="L326" s="29">
        <f>IF(AND(ISNUMBER($B326),ISNUMBER($K326)),$K326-$B326+1,"")</f>
        <v/>
      </c>
      <c r="M326" s="30">
        <f>IF(OR($L326="",$P326=""),"",IF(INDEX('支払先'!$M$5:$M$104,$P326)="対象外","",IF(AND($L326&gt;60,$K326&gt;=EDATE($B326,2)),"超える","")))</f>
        <v/>
      </c>
      <c r="N326" s="67" t="n"/>
      <c r="O326" s="31">
        <f>IF($A326="","",IFERROR(MATCH($A326,'通知一覧'!$B$5:$B$204,0),"なし"))</f>
        <v/>
      </c>
      <c r="P326" s="31">
        <f>IF(NOT(ISNUMBER($O326)),"",IFERROR(MATCH(INDEX('通知一覧'!$C$5:$C$204,$O326),'支払先'!$B$5:$B$104,0),""))</f>
        <v/>
      </c>
      <c r="Q326" s="31">
        <f>IF(AND($A326&lt;&gt;"",$A326='支払通知書'!$K$2),ROW(),"")</f>
        <v/>
      </c>
    </row>
    <row r="327" ht="18" customHeight="1">
      <c r="A327" s="18" t="n"/>
      <c r="B327" s="24" t="n"/>
      <c r="C327" s="19" t="n"/>
      <c r="D327" s="25" t="n"/>
      <c r="E327" s="18" t="n"/>
      <c r="F327" s="25" t="n"/>
      <c r="G327" s="18" t="n"/>
      <c r="H327" s="18" t="n"/>
      <c r="I327" s="26">
        <f>IF(OR($A327="",$F327=""),"",ROUND(IF($D327="",1,$D327)*$F327,0))</f>
        <v/>
      </c>
      <c r="J327" s="27">
        <f>IF($A327="","",IF($O327="なし","※通知一覧にない通知No",IF($P327="","",INDEX('支払先'!$C$5:$C$104,$P327)&amp;"")))</f>
        <v/>
      </c>
      <c r="K327" s="28">
        <f>IF(NOT(ISNUMBER($O327)),"",IF(ISNUMBER(INDEX('通知一覧'!$F$5:$F$204,$O327)),INDEX('通知一覧'!$F$5:$F$204,$O327),""))</f>
        <v/>
      </c>
      <c r="L327" s="29">
        <f>IF(AND(ISNUMBER($B327),ISNUMBER($K327)),$K327-$B327+1,"")</f>
        <v/>
      </c>
      <c r="M327" s="30">
        <f>IF(OR($L327="",$P327=""),"",IF(INDEX('支払先'!$M$5:$M$104,$P327)="対象外","",IF(AND($L327&gt;60,$K327&gt;=EDATE($B327,2)),"超える","")))</f>
        <v/>
      </c>
      <c r="N327" s="67" t="n"/>
      <c r="O327" s="31">
        <f>IF($A327="","",IFERROR(MATCH($A327,'通知一覧'!$B$5:$B$204,0),"なし"))</f>
        <v/>
      </c>
      <c r="P327" s="31">
        <f>IF(NOT(ISNUMBER($O327)),"",IFERROR(MATCH(INDEX('通知一覧'!$C$5:$C$204,$O327),'支払先'!$B$5:$B$104,0),""))</f>
        <v/>
      </c>
      <c r="Q327" s="31">
        <f>IF(AND($A327&lt;&gt;"",$A327='支払通知書'!$K$2),ROW(),"")</f>
        <v/>
      </c>
    </row>
    <row r="328" ht="18" customHeight="1">
      <c r="A328" s="18" t="n"/>
      <c r="B328" s="24" t="n"/>
      <c r="C328" s="19" t="n"/>
      <c r="D328" s="25" t="n"/>
      <c r="E328" s="18" t="n"/>
      <c r="F328" s="25" t="n"/>
      <c r="G328" s="18" t="n"/>
      <c r="H328" s="18" t="n"/>
      <c r="I328" s="26">
        <f>IF(OR($A328="",$F328=""),"",ROUND(IF($D328="",1,$D328)*$F328,0))</f>
        <v/>
      </c>
      <c r="J328" s="27">
        <f>IF($A328="","",IF($O328="なし","※通知一覧にない通知No",IF($P328="","",INDEX('支払先'!$C$5:$C$104,$P328)&amp;"")))</f>
        <v/>
      </c>
      <c r="K328" s="28">
        <f>IF(NOT(ISNUMBER($O328)),"",IF(ISNUMBER(INDEX('通知一覧'!$F$5:$F$204,$O328)),INDEX('通知一覧'!$F$5:$F$204,$O328),""))</f>
        <v/>
      </c>
      <c r="L328" s="29">
        <f>IF(AND(ISNUMBER($B328),ISNUMBER($K328)),$K328-$B328+1,"")</f>
        <v/>
      </c>
      <c r="M328" s="30">
        <f>IF(OR($L328="",$P328=""),"",IF(INDEX('支払先'!$M$5:$M$104,$P328)="対象外","",IF(AND($L328&gt;60,$K328&gt;=EDATE($B328,2)),"超える","")))</f>
        <v/>
      </c>
      <c r="N328" s="67" t="n"/>
      <c r="O328" s="31">
        <f>IF($A328="","",IFERROR(MATCH($A328,'通知一覧'!$B$5:$B$204,0),"なし"))</f>
        <v/>
      </c>
      <c r="P328" s="31">
        <f>IF(NOT(ISNUMBER($O328)),"",IFERROR(MATCH(INDEX('通知一覧'!$C$5:$C$204,$O328),'支払先'!$B$5:$B$104,0),""))</f>
        <v/>
      </c>
      <c r="Q328" s="31">
        <f>IF(AND($A328&lt;&gt;"",$A328='支払通知書'!$K$2),ROW(),"")</f>
        <v/>
      </c>
    </row>
    <row r="329" ht="18" customHeight="1">
      <c r="A329" s="18" t="n"/>
      <c r="B329" s="24" t="n"/>
      <c r="C329" s="19" t="n"/>
      <c r="D329" s="25" t="n"/>
      <c r="E329" s="18" t="n"/>
      <c r="F329" s="25" t="n"/>
      <c r="G329" s="18" t="n"/>
      <c r="H329" s="18" t="n"/>
      <c r="I329" s="26">
        <f>IF(OR($A329="",$F329=""),"",ROUND(IF($D329="",1,$D329)*$F329,0))</f>
        <v/>
      </c>
      <c r="J329" s="27">
        <f>IF($A329="","",IF($O329="なし","※通知一覧にない通知No",IF($P329="","",INDEX('支払先'!$C$5:$C$104,$P329)&amp;"")))</f>
        <v/>
      </c>
      <c r="K329" s="28">
        <f>IF(NOT(ISNUMBER($O329)),"",IF(ISNUMBER(INDEX('通知一覧'!$F$5:$F$204,$O329)),INDEX('通知一覧'!$F$5:$F$204,$O329),""))</f>
        <v/>
      </c>
      <c r="L329" s="29">
        <f>IF(AND(ISNUMBER($B329),ISNUMBER($K329)),$K329-$B329+1,"")</f>
        <v/>
      </c>
      <c r="M329" s="30">
        <f>IF(OR($L329="",$P329=""),"",IF(INDEX('支払先'!$M$5:$M$104,$P329)="対象外","",IF(AND($L329&gt;60,$K329&gt;=EDATE($B329,2)),"超える","")))</f>
        <v/>
      </c>
      <c r="N329" s="67" t="n"/>
      <c r="O329" s="31">
        <f>IF($A329="","",IFERROR(MATCH($A329,'通知一覧'!$B$5:$B$204,0),"なし"))</f>
        <v/>
      </c>
      <c r="P329" s="31">
        <f>IF(NOT(ISNUMBER($O329)),"",IFERROR(MATCH(INDEX('通知一覧'!$C$5:$C$204,$O329),'支払先'!$B$5:$B$104,0),""))</f>
        <v/>
      </c>
      <c r="Q329" s="31">
        <f>IF(AND($A329&lt;&gt;"",$A329='支払通知書'!$K$2),ROW(),"")</f>
        <v/>
      </c>
    </row>
    <row r="330" ht="18" customHeight="1">
      <c r="A330" s="18" t="n"/>
      <c r="B330" s="24" t="n"/>
      <c r="C330" s="19" t="n"/>
      <c r="D330" s="25" t="n"/>
      <c r="E330" s="18" t="n"/>
      <c r="F330" s="25" t="n"/>
      <c r="G330" s="18" t="n"/>
      <c r="H330" s="18" t="n"/>
      <c r="I330" s="26">
        <f>IF(OR($A330="",$F330=""),"",ROUND(IF($D330="",1,$D330)*$F330,0))</f>
        <v/>
      </c>
      <c r="J330" s="27">
        <f>IF($A330="","",IF($O330="なし","※通知一覧にない通知No",IF($P330="","",INDEX('支払先'!$C$5:$C$104,$P330)&amp;"")))</f>
        <v/>
      </c>
      <c r="K330" s="28">
        <f>IF(NOT(ISNUMBER($O330)),"",IF(ISNUMBER(INDEX('通知一覧'!$F$5:$F$204,$O330)),INDEX('通知一覧'!$F$5:$F$204,$O330),""))</f>
        <v/>
      </c>
      <c r="L330" s="29">
        <f>IF(AND(ISNUMBER($B330),ISNUMBER($K330)),$K330-$B330+1,"")</f>
        <v/>
      </c>
      <c r="M330" s="30">
        <f>IF(OR($L330="",$P330=""),"",IF(INDEX('支払先'!$M$5:$M$104,$P330)="対象外","",IF(AND($L330&gt;60,$K330&gt;=EDATE($B330,2)),"超える","")))</f>
        <v/>
      </c>
      <c r="N330" s="67" t="n"/>
      <c r="O330" s="31">
        <f>IF($A330="","",IFERROR(MATCH($A330,'通知一覧'!$B$5:$B$204,0),"なし"))</f>
        <v/>
      </c>
      <c r="P330" s="31">
        <f>IF(NOT(ISNUMBER($O330)),"",IFERROR(MATCH(INDEX('通知一覧'!$C$5:$C$204,$O330),'支払先'!$B$5:$B$104,0),""))</f>
        <v/>
      </c>
      <c r="Q330" s="31">
        <f>IF(AND($A330&lt;&gt;"",$A330='支払通知書'!$K$2),ROW(),"")</f>
        <v/>
      </c>
    </row>
    <row r="331" ht="18" customHeight="1">
      <c r="A331" s="18" t="n"/>
      <c r="B331" s="24" t="n"/>
      <c r="C331" s="19" t="n"/>
      <c r="D331" s="25" t="n"/>
      <c r="E331" s="18" t="n"/>
      <c r="F331" s="25" t="n"/>
      <c r="G331" s="18" t="n"/>
      <c r="H331" s="18" t="n"/>
      <c r="I331" s="26">
        <f>IF(OR($A331="",$F331=""),"",ROUND(IF($D331="",1,$D331)*$F331,0))</f>
        <v/>
      </c>
      <c r="J331" s="27">
        <f>IF($A331="","",IF($O331="なし","※通知一覧にない通知No",IF($P331="","",INDEX('支払先'!$C$5:$C$104,$P331)&amp;"")))</f>
        <v/>
      </c>
      <c r="K331" s="28">
        <f>IF(NOT(ISNUMBER($O331)),"",IF(ISNUMBER(INDEX('通知一覧'!$F$5:$F$204,$O331)),INDEX('通知一覧'!$F$5:$F$204,$O331),""))</f>
        <v/>
      </c>
      <c r="L331" s="29">
        <f>IF(AND(ISNUMBER($B331),ISNUMBER($K331)),$K331-$B331+1,"")</f>
        <v/>
      </c>
      <c r="M331" s="30">
        <f>IF(OR($L331="",$P331=""),"",IF(INDEX('支払先'!$M$5:$M$104,$P331)="対象外","",IF(AND($L331&gt;60,$K331&gt;=EDATE($B331,2)),"超える","")))</f>
        <v/>
      </c>
      <c r="N331" s="67" t="n"/>
      <c r="O331" s="31">
        <f>IF($A331="","",IFERROR(MATCH($A331,'通知一覧'!$B$5:$B$204,0),"なし"))</f>
        <v/>
      </c>
      <c r="P331" s="31">
        <f>IF(NOT(ISNUMBER($O331)),"",IFERROR(MATCH(INDEX('通知一覧'!$C$5:$C$204,$O331),'支払先'!$B$5:$B$104,0),""))</f>
        <v/>
      </c>
      <c r="Q331" s="31">
        <f>IF(AND($A331&lt;&gt;"",$A331='支払通知書'!$K$2),ROW(),"")</f>
        <v/>
      </c>
    </row>
    <row r="332" ht="18" customHeight="1">
      <c r="A332" s="18" t="n"/>
      <c r="B332" s="24" t="n"/>
      <c r="C332" s="19" t="n"/>
      <c r="D332" s="25" t="n"/>
      <c r="E332" s="18" t="n"/>
      <c r="F332" s="25" t="n"/>
      <c r="G332" s="18" t="n"/>
      <c r="H332" s="18" t="n"/>
      <c r="I332" s="26">
        <f>IF(OR($A332="",$F332=""),"",ROUND(IF($D332="",1,$D332)*$F332,0))</f>
        <v/>
      </c>
      <c r="J332" s="27">
        <f>IF($A332="","",IF($O332="なし","※通知一覧にない通知No",IF($P332="","",INDEX('支払先'!$C$5:$C$104,$P332)&amp;"")))</f>
        <v/>
      </c>
      <c r="K332" s="28">
        <f>IF(NOT(ISNUMBER($O332)),"",IF(ISNUMBER(INDEX('通知一覧'!$F$5:$F$204,$O332)),INDEX('通知一覧'!$F$5:$F$204,$O332),""))</f>
        <v/>
      </c>
      <c r="L332" s="29">
        <f>IF(AND(ISNUMBER($B332),ISNUMBER($K332)),$K332-$B332+1,"")</f>
        <v/>
      </c>
      <c r="M332" s="30">
        <f>IF(OR($L332="",$P332=""),"",IF(INDEX('支払先'!$M$5:$M$104,$P332)="対象外","",IF(AND($L332&gt;60,$K332&gt;=EDATE($B332,2)),"超える","")))</f>
        <v/>
      </c>
      <c r="N332" s="67" t="n"/>
      <c r="O332" s="31">
        <f>IF($A332="","",IFERROR(MATCH($A332,'通知一覧'!$B$5:$B$204,0),"なし"))</f>
        <v/>
      </c>
      <c r="P332" s="31">
        <f>IF(NOT(ISNUMBER($O332)),"",IFERROR(MATCH(INDEX('通知一覧'!$C$5:$C$204,$O332),'支払先'!$B$5:$B$104,0),""))</f>
        <v/>
      </c>
      <c r="Q332" s="31">
        <f>IF(AND($A332&lt;&gt;"",$A332='支払通知書'!$K$2),ROW(),"")</f>
        <v/>
      </c>
    </row>
    <row r="333" ht="18" customHeight="1">
      <c r="A333" s="18" t="n"/>
      <c r="B333" s="24" t="n"/>
      <c r="C333" s="19" t="n"/>
      <c r="D333" s="25" t="n"/>
      <c r="E333" s="18" t="n"/>
      <c r="F333" s="25" t="n"/>
      <c r="G333" s="18" t="n"/>
      <c r="H333" s="18" t="n"/>
      <c r="I333" s="26">
        <f>IF(OR($A333="",$F333=""),"",ROUND(IF($D333="",1,$D333)*$F333,0))</f>
        <v/>
      </c>
      <c r="J333" s="27">
        <f>IF($A333="","",IF($O333="なし","※通知一覧にない通知No",IF($P333="","",INDEX('支払先'!$C$5:$C$104,$P333)&amp;"")))</f>
        <v/>
      </c>
      <c r="K333" s="28">
        <f>IF(NOT(ISNUMBER($O333)),"",IF(ISNUMBER(INDEX('通知一覧'!$F$5:$F$204,$O333)),INDEX('通知一覧'!$F$5:$F$204,$O333),""))</f>
        <v/>
      </c>
      <c r="L333" s="29">
        <f>IF(AND(ISNUMBER($B333),ISNUMBER($K333)),$K333-$B333+1,"")</f>
        <v/>
      </c>
      <c r="M333" s="30">
        <f>IF(OR($L333="",$P333=""),"",IF(INDEX('支払先'!$M$5:$M$104,$P333)="対象外","",IF(AND($L333&gt;60,$K333&gt;=EDATE($B333,2)),"超える","")))</f>
        <v/>
      </c>
      <c r="N333" s="67" t="n"/>
      <c r="O333" s="31">
        <f>IF($A333="","",IFERROR(MATCH($A333,'通知一覧'!$B$5:$B$204,0),"なし"))</f>
        <v/>
      </c>
      <c r="P333" s="31">
        <f>IF(NOT(ISNUMBER($O333)),"",IFERROR(MATCH(INDEX('通知一覧'!$C$5:$C$204,$O333),'支払先'!$B$5:$B$104,0),""))</f>
        <v/>
      </c>
      <c r="Q333" s="31">
        <f>IF(AND($A333&lt;&gt;"",$A333='支払通知書'!$K$2),ROW(),"")</f>
        <v/>
      </c>
    </row>
    <row r="334" ht="18" customHeight="1">
      <c r="A334" s="18" t="n"/>
      <c r="B334" s="24" t="n"/>
      <c r="C334" s="19" t="n"/>
      <c r="D334" s="25" t="n"/>
      <c r="E334" s="18" t="n"/>
      <c r="F334" s="25" t="n"/>
      <c r="G334" s="18" t="n"/>
      <c r="H334" s="18" t="n"/>
      <c r="I334" s="26">
        <f>IF(OR($A334="",$F334=""),"",ROUND(IF($D334="",1,$D334)*$F334,0))</f>
        <v/>
      </c>
      <c r="J334" s="27">
        <f>IF($A334="","",IF($O334="なし","※通知一覧にない通知No",IF($P334="","",INDEX('支払先'!$C$5:$C$104,$P334)&amp;"")))</f>
        <v/>
      </c>
      <c r="K334" s="28">
        <f>IF(NOT(ISNUMBER($O334)),"",IF(ISNUMBER(INDEX('通知一覧'!$F$5:$F$204,$O334)),INDEX('通知一覧'!$F$5:$F$204,$O334),""))</f>
        <v/>
      </c>
      <c r="L334" s="29">
        <f>IF(AND(ISNUMBER($B334),ISNUMBER($K334)),$K334-$B334+1,"")</f>
        <v/>
      </c>
      <c r="M334" s="30">
        <f>IF(OR($L334="",$P334=""),"",IF(INDEX('支払先'!$M$5:$M$104,$P334)="対象外","",IF(AND($L334&gt;60,$K334&gt;=EDATE($B334,2)),"超える","")))</f>
        <v/>
      </c>
      <c r="N334" s="67" t="n"/>
      <c r="O334" s="31">
        <f>IF($A334="","",IFERROR(MATCH($A334,'通知一覧'!$B$5:$B$204,0),"なし"))</f>
        <v/>
      </c>
      <c r="P334" s="31">
        <f>IF(NOT(ISNUMBER($O334)),"",IFERROR(MATCH(INDEX('通知一覧'!$C$5:$C$204,$O334),'支払先'!$B$5:$B$104,0),""))</f>
        <v/>
      </c>
      <c r="Q334" s="31">
        <f>IF(AND($A334&lt;&gt;"",$A334='支払通知書'!$K$2),ROW(),"")</f>
        <v/>
      </c>
    </row>
    <row r="335" ht="18" customHeight="1">
      <c r="A335" s="18" t="n"/>
      <c r="B335" s="24" t="n"/>
      <c r="C335" s="19" t="n"/>
      <c r="D335" s="25" t="n"/>
      <c r="E335" s="18" t="n"/>
      <c r="F335" s="25" t="n"/>
      <c r="G335" s="18" t="n"/>
      <c r="H335" s="18" t="n"/>
      <c r="I335" s="26">
        <f>IF(OR($A335="",$F335=""),"",ROUND(IF($D335="",1,$D335)*$F335,0))</f>
        <v/>
      </c>
      <c r="J335" s="27">
        <f>IF($A335="","",IF($O335="なし","※通知一覧にない通知No",IF($P335="","",INDEX('支払先'!$C$5:$C$104,$P335)&amp;"")))</f>
        <v/>
      </c>
      <c r="K335" s="28">
        <f>IF(NOT(ISNUMBER($O335)),"",IF(ISNUMBER(INDEX('通知一覧'!$F$5:$F$204,$O335)),INDEX('通知一覧'!$F$5:$F$204,$O335),""))</f>
        <v/>
      </c>
      <c r="L335" s="29">
        <f>IF(AND(ISNUMBER($B335),ISNUMBER($K335)),$K335-$B335+1,"")</f>
        <v/>
      </c>
      <c r="M335" s="30">
        <f>IF(OR($L335="",$P335=""),"",IF(INDEX('支払先'!$M$5:$M$104,$P335)="対象外","",IF(AND($L335&gt;60,$K335&gt;=EDATE($B335,2)),"超える","")))</f>
        <v/>
      </c>
      <c r="N335" s="67" t="n"/>
      <c r="O335" s="31">
        <f>IF($A335="","",IFERROR(MATCH($A335,'通知一覧'!$B$5:$B$204,0),"なし"))</f>
        <v/>
      </c>
      <c r="P335" s="31">
        <f>IF(NOT(ISNUMBER($O335)),"",IFERROR(MATCH(INDEX('通知一覧'!$C$5:$C$204,$O335),'支払先'!$B$5:$B$104,0),""))</f>
        <v/>
      </c>
      <c r="Q335" s="31">
        <f>IF(AND($A335&lt;&gt;"",$A335='支払通知書'!$K$2),ROW(),"")</f>
        <v/>
      </c>
    </row>
    <row r="336" ht="18" customHeight="1">
      <c r="A336" s="18" t="n"/>
      <c r="B336" s="24" t="n"/>
      <c r="C336" s="19" t="n"/>
      <c r="D336" s="25" t="n"/>
      <c r="E336" s="18" t="n"/>
      <c r="F336" s="25" t="n"/>
      <c r="G336" s="18" t="n"/>
      <c r="H336" s="18" t="n"/>
      <c r="I336" s="26">
        <f>IF(OR($A336="",$F336=""),"",ROUND(IF($D336="",1,$D336)*$F336,0))</f>
        <v/>
      </c>
      <c r="J336" s="27">
        <f>IF($A336="","",IF($O336="なし","※通知一覧にない通知No",IF($P336="","",INDEX('支払先'!$C$5:$C$104,$P336)&amp;"")))</f>
        <v/>
      </c>
      <c r="K336" s="28">
        <f>IF(NOT(ISNUMBER($O336)),"",IF(ISNUMBER(INDEX('通知一覧'!$F$5:$F$204,$O336)),INDEX('通知一覧'!$F$5:$F$204,$O336),""))</f>
        <v/>
      </c>
      <c r="L336" s="29">
        <f>IF(AND(ISNUMBER($B336),ISNUMBER($K336)),$K336-$B336+1,"")</f>
        <v/>
      </c>
      <c r="M336" s="30">
        <f>IF(OR($L336="",$P336=""),"",IF(INDEX('支払先'!$M$5:$M$104,$P336)="対象外","",IF(AND($L336&gt;60,$K336&gt;=EDATE($B336,2)),"超える","")))</f>
        <v/>
      </c>
      <c r="N336" s="67" t="n"/>
      <c r="O336" s="31">
        <f>IF($A336="","",IFERROR(MATCH($A336,'通知一覧'!$B$5:$B$204,0),"なし"))</f>
        <v/>
      </c>
      <c r="P336" s="31">
        <f>IF(NOT(ISNUMBER($O336)),"",IFERROR(MATCH(INDEX('通知一覧'!$C$5:$C$204,$O336),'支払先'!$B$5:$B$104,0),""))</f>
        <v/>
      </c>
      <c r="Q336" s="31">
        <f>IF(AND($A336&lt;&gt;"",$A336='支払通知書'!$K$2),ROW(),"")</f>
        <v/>
      </c>
    </row>
    <row r="337" ht="18" customHeight="1">
      <c r="A337" s="18" t="n"/>
      <c r="B337" s="24" t="n"/>
      <c r="C337" s="19" t="n"/>
      <c r="D337" s="25" t="n"/>
      <c r="E337" s="18" t="n"/>
      <c r="F337" s="25" t="n"/>
      <c r="G337" s="18" t="n"/>
      <c r="H337" s="18" t="n"/>
      <c r="I337" s="26">
        <f>IF(OR($A337="",$F337=""),"",ROUND(IF($D337="",1,$D337)*$F337,0))</f>
        <v/>
      </c>
      <c r="J337" s="27">
        <f>IF($A337="","",IF($O337="なし","※通知一覧にない通知No",IF($P337="","",INDEX('支払先'!$C$5:$C$104,$P337)&amp;"")))</f>
        <v/>
      </c>
      <c r="K337" s="28">
        <f>IF(NOT(ISNUMBER($O337)),"",IF(ISNUMBER(INDEX('通知一覧'!$F$5:$F$204,$O337)),INDEX('通知一覧'!$F$5:$F$204,$O337),""))</f>
        <v/>
      </c>
      <c r="L337" s="29">
        <f>IF(AND(ISNUMBER($B337),ISNUMBER($K337)),$K337-$B337+1,"")</f>
        <v/>
      </c>
      <c r="M337" s="30">
        <f>IF(OR($L337="",$P337=""),"",IF(INDEX('支払先'!$M$5:$M$104,$P337)="対象外","",IF(AND($L337&gt;60,$K337&gt;=EDATE($B337,2)),"超える","")))</f>
        <v/>
      </c>
      <c r="N337" s="67" t="n"/>
      <c r="O337" s="31">
        <f>IF($A337="","",IFERROR(MATCH($A337,'通知一覧'!$B$5:$B$204,0),"なし"))</f>
        <v/>
      </c>
      <c r="P337" s="31">
        <f>IF(NOT(ISNUMBER($O337)),"",IFERROR(MATCH(INDEX('通知一覧'!$C$5:$C$204,$O337),'支払先'!$B$5:$B$104,0),""))</f>
        <v/>
      </c>
      <c r="Q337" s="31">
        <f>IF(AND($A337&lt;&gt;"",$A337='支払通知書'!$K$2),ROW(),"")</f>
        <v/>
      </c>
    </row>
    <row r="338" ht="18" customHeight="1">
      <c r="A338" s="18" t="n"/>
      <c r="B338" s="24" t="n"/>
      <c r="C338" s="19" t="n"/>
      <c r="D338" s="25" t="n"/>
      <c r="E338" s="18" t="n"/>
      <c r="F338" s="25" t="n"/>
      <c r="G338" s="18" t="n"/>
      <c r="H338" s="18" t="n"/>
      <c r="I338" s="26">
        <f>IF(OR($A338="",$F338=""),"",ROUND(IF($D338="",1,$D338)*$F338,0))</f>
        <v/>
      </c>
      <c r="J338" s="27">
        <f>IF($A338="","",IF($O338="なし","※通知一覧にない通知No",IF($P338="","",INDEX('支払先'!$C$5:$C$104,$P338)&amp;"")))</f>
        <v/>
      </c>
      <c r="K338" s="28">
        <f>IF(NOT(ISNUMBER($O338)),"",IF(ISNUMBER(INDEX('通知一覧'!$F$5:$F$204,$O338)),INDEX('通知一覧'!$F$5:$F$204,$O338),""))</f>
        <v/>
      </c>
      <c r="L338" s="29">
        <f>IF(AND(ISNUMBER($B338),ISNUMBER($K338)),$K338-$B338+1,"")</f>
        <v/>
      </c>
      <c r="M338" s="30">
        <f>IF(OR($L338="",$P338=""),"",IF(INDEX('支払先'!$M$5:$M$104,$P338)="対象外","",IF(AND($L338&gt;60,$K338&gt;=EDATE($B338,2)),"超える","")))</f>
        <v/>
      </c>
      <c r="N338" s="67" t="n"/>
      <c r="O338" s="31">
        <f>IF($A338="","",IFERROR(MATCH($A338,'通知一覧'!$B$5:$B$204,0),"なし"))</f>
        <v/>
      </c>
      <c r="P338" s="31">
        <f>IF(NOT(ISNUMBER($O338)),"",IFERROR(MATCH(INDEX('通知一覧'!$C$5:$C$204,$O338),'支払先'!$B$5:$B$104,0),""))</f>
        <v/>
      </c>
      <c r="Q338" s="31">
        <f>IF(AND($A338&lt;&gt;"",$A338='支払通知書'!$K$2),ROW(),"")</f>
        <v/>
      </c>
    </row>
    <row r="339" ht="18" customHeight="1">
      <c r="A339" s="18" t="n"/>
      <c r="B339" s="24" t="n"/>
      <c r="C339" s="19" t="n"/>
      <c r="D339" s="25" t="n"/>
      <c r="E339" s="18" t="n"/>
      <c r="F339" s="25" t="n"/>
      <c r="G339" s="18" t="n"/>
      <c r="H339" s="18" t="n"/>
      <c r="I339" s="26">
        <f>IF(OR($A339="",$F339=""),"",ROUND(IF($D339="",1,$D339)*$F339,0))</f>
        <v/>
      </c>
      <c r="J339" s="27">
        <f>IF($A339="","",IF($O339="なし","※通知一覧にない通知No",IF($P339="","",INDEX('支払先'!$C$5:$C$104,$P339)&amp;"")))</f>
        <v/>
      </c>
      <c r="K339" s="28">
        <f>IF(NOT(ISNUMBER($O339)),"",IF(ISNUMBER(INDEX('通知一覧'!$F$5:$F$204,$O339)),INDEX('通知一覧'!$F$5:$F$204,$O339),""))</f>
        <v/>
      </c>
      <c r="L339" s="29">
        <f>IF(AND(ISNUMBER($B339),ISNUMBER($K339)),$K339-$B339+1,"")</f>
        <v/>
      </c>
      <c r="M339" s="30">
        <f>IF(OR($L339="",$P339=""),"",IF(INDEX('支払先'!$M$5:$M$104,$P339)="対象外","",IF(AND($L339&gt;60,$K339&gt;=EDATE($B339,2)),"超える","")))</f>
        <v/>
      </c>
      <c r="N339" s="67" t="n"/>
      <c r="O339" s="31">
        <f>IF($A339="","",IFERROR(MATCH($A339,'通知一覧'!$B$5:$B$204,0),"なし"))</f>
        <v/>
      </c>
      <c r="P339" s="31">
        <f>IF(NOT(ISNUMBER($O339)),"",IFERROR(MATCH(INDEX('通知一覧'!$C$5:$C$204,$O339),'支払先'!$B$5:$B$104,0),""))</f>
        <v/>
      </c>
      <c r="Q339" s="31">
        <f>IF(AND($A339&lt;&gt;"",$A339='支払通知書'!$K$2),ROW(),"")</f>
        <v/>
      </c>
    </row>
    <row r="340" ht="18" customHeight="1">
      <c r="A340" s="18" t="n"/>
      <c r="B340" s="24" t="n"/>
      <c r="C340" s="19" t="n"/>
      <c r="D340" s="25" t="n"/>
      <c r="E340" s="18" t="n"/>
      <c r="F340" s="25" t="n"/>
      <c r="G340" s="18" t="n"/>
      <c r="H340" s="18" t="n"/>
      <c r="I340" s="26">
        <f>IF(OR($A340="",$F340=""),"",ROUND(IF($D340="",1,$D340)*$F340,0))</f>
        <v/>
      </c>
      <c r="J340" s="27">
        <f>IF($A340="","",IF($O340="なし","※通知一覧にない通知No",IF($P340="","",INDEX('支払先'!$C$5:$C$104,$P340)&amp;"")))</f>
        <v/>
      </c>
      <c r="K340" s="28">
        <f>IF(NOT(ISNUMBER($O340)),"",IF(ISNUMBER(INDEX('通知一覧'!$F$5:$F$204,$O340)),INDEX('通知一覧'!$F$5:$F$204,$O340),""))</f>
        <v/>
      </c>
      <c r="L340" s="29">
        <f>IF(AND(ISNUMBER($B340),ISNUMBER($K340)),$K340-$B340+1,"")</f>
        <v/>
      </c>
      <c r="M340" s="30">
        <f>IF(OR($L340="",$P340=""),"",IF(INDEX('支払先'!$M$5:$M$104,$P340)="対象外","",IF(AND($L340&gt;60,$K340&gt;=EDATE($B340,2)),"超える","")))</f>
        <v/>
      </c>
      <c r="N340" s="67" t="n"/>
      <c r="O340" s="31">
        <f>IF($A340="","",IFERROR(MATCH($A340,'通知一覧'!$B$5:$B$204,0),"なし"))</f>
        <v/>
      </c>
      <c r="P340" s="31">
        <f>IF(NOT(ISNUMBER($O340)),"",IFERROR(MATCH(INDEX('通知一覧'!$C$5:$C$204,$O340),'支払先'!$B$5:$B$104,0),""))</f>
        <v/>
      </c>
      <c r="Q340" s="31">
        <f>IF(AND($A340&lt;&gt;"",$A340='支払通知書'!$K$2),ROW(),"")</f>
        <v/>
      </c>
    </row>
    <row r="341" ht="18" customHeight="1">
      <c r="A341" s="18" t="n"/>
      <c r="B341" s="24" t="n"/>
      <c r="C341" s="19" t="n"/>
      <c r="D341" s="25" t="n"/>
      <c r="E341" s="18" t="n"/>
      <c r="F341" s="25" t="n"/>
      <c r="G341" s="18" t="n"/>
      <c r="H341" s="18" t="n"/>
      <c r="I341" s="26">
        <f>IF(OR($A341="",$F341=""),"",ROUND(IF($D341="",1,$D341)*$F341,0))</f>
        <v/>
      </c>
      <c r="J341" s="27">
        <f>IF($A341="","",IF($O341="なし","※通知一覧にない通知No",IF($P341="","",INDEX('支払先'!$C$5:$C$104,$P341)&amp;"")))</f>
        <v/>
      </c>
      <c r="K341" s="28">
        <f>IF(NOT(ISNUMBER($O341)),"",IF(ISNUMBER(INDEX('通知一覧'!$F$5:$F$204,$O341)),INDEX('通知一覧'!$F$5:$F$204,$O341),""))</f>
        <v/>
      </c>
      <c r="L341" s="29">
        <f>IF(AND(ISNUMBER($B341),ISNUMBER($K341)),$K341-$B341+1,"")</f>
        <v/>
      </c>
      <c r="M341" s="30">
        <f>IF(OR($L341="",$P341=""),"",IF(INDEX('支払先'!$M$5:$M$104,$P341)="対象外","",IF(AND($L341&gt;60,$K341&gt;=EDATE($B341,2)),"超える","")))</f>
        <v/>
      </c>
      <c r="N341" s="67" t="n"/>
      <c r="O341" s="31">
        <f>IF($A341="","",IFERROR(MATCH($A341,'通知一覧'!$B$5:$B$204,0),"なし"))</f>
        <v/>
      </c>
      <c r="P341" s="31">
        <f>IF(NOT(ISNUMBER($O341)),"",IFERROR(MATCH(INDEX('通知一覧'!$C$5:$C$204,$O341),'支払先'!$B$5:$B$104,0),""))</f>
        <v/>
      </c>
      <c r="Q341" s="31">
        <f>IF(AND($A341&lt;&gt;"",$A341='支払通知書'!$K$2),ROW(),"")</f>
        <v/>
      </c>
    </row>
    <row r="342" ht="18" customHeight="1">
      <c r="A342" s="18" t="n"/>
      <c r="B342" s="24" t="n"/>
      <c r="C342" s="19" t="n"/>
      <c r="D342" s="25" t="n"/>
      <c r="E342" s="18" t="n"/>
      <c r="F342" s="25" t="n"/>
      <c r="G342" s="18" t="n"/>
      <c r="H342" s="18" t="n"/>
      <c r="I342" s="26">
        <f>IF(OR($A342="",$F342=""),"",ROUND(IF($D342="",1,$D342)*$F342,0))</f>
        <v/>
      </c>
      <c r="J342" s="27">
        <f>IF($A342="","",IF($O342="なし","※通知一覧にない通知No",IF($P342="","",INDEX('支払先'!$C$5:$C$104,$P342)&amp;"")))</f>
        <v/>
      </c>
      <c r="K342" s="28">
        <f>IF(NOT(ISNUMBER($O342)),"",IF(ISNUMBER(INDEX('通知一覧'!$F$5:$F$204,$O342)),INDEX('通知一覧'!$F$5:$F$204,$O342),""))</f>
        <v/>
      </c>
      <c r="L342" s="29">
        <f>IF(AND(ISNUMBER($B342),ISNUMBER($K342)),$K342-$B342+1,"")</f>
        <v/>
      </c>
      <c r="M342" s="30">
        <f>IF(OR($L342="",$P342=""),"",IF(INDEX('支払先'!$M$5:$M$104,$P342)="対象外","",IF(AND($L342&gt;60,$K342&gt;=EDATE($B342,2)),"超える","")))</f>
        <v/>
      </c>
      <c r="N342" s="67" t="n"/>
      <c r="O342" s="31">
        <f>IF($A342="","",IFERROR(MATCH($A342,'通知一覧'!$B$5:$B$204,0),"なし"))</f>
        <v/>
      </c>
      <c r="P342" s="31">
        <f>IF(NOT(ISNUMBER($O342)),"",IFERROR(MATCH(INDEX('通知一覧'!$C$5:$C$204,$O342),'支払先'!$B$5:$B$104,0),""))</f>
        <v/>
      </c>
      <c r="Q342" s="31">
        <f>IF(AND($A342&lt;&gt;"",$A342='支払通知書'!$K$2),ROW(),"")</f>
        <v/>
      </c>
    </row>
    <row r="343" ht="18" customHeight="1">
      <c r="A343" s="18" t="n"/>
      <c r="B343" s="24" t="n"/>
      <c r="C343" s="19" t="n"/>
      <c r="D343" s="25" t="n"/>
      <c r="E343" s="18" t="n"/>
      <c r="F343" s="25" t="n"/>
      <c r="G343" s="18" t="n"/>
      <c r="H343" s="18" t="n"/>
      <c r="I343" s="26">
        <f>IF(OR($A343="",$F343=""),"",ROUND(IF($D343="",1,$D343)*$F343,0))</f>
        <v/>
      </c>
      <c r="J343" s="27">
        <f>IF($A343="","",IF($O343="なし","※通知一覧にない通知No",IF($P343="","",INDEX('支払先'!$C$5:$C$104,$P343)&amp;"")))</f>
        <v/>
      </c>
      <c r="K343" s="28">
        <f>IF(NOT(ISNUMBER($O343)),"",IF(ISNUMBER(INDEX('通知一覧'!$F$5:$F$204,$O343)),INDEX('通知一覧'!$F$5:$F$204,$O343),""))</f>
        <v/>
      </c>
      <c r="L343" s="29">
        <f>IF(AND(ISNUMBER($B343),ISNUMBER($K343)),$K343-$B343+1,"")</f>
        <v/>
      </c>
      <c r="M343" s="30">
        <f>IF(OR($L343="",$P343=""),"",IF(INDEX('支払先'!$M$5:$M$104,$P343)="対象外","",IF(AND($L343&gt;60,$K343&gt;=EDATE($B343,2)),"超える","")))</f>
        <v/>
      </c>
      <c r="N343" s="67" t="n"/>
      <c r="O343" s="31">
        <f>IF($A343="","",IFERROR(MATCH($A343,'通知一覧'!$B$5:$B$204,0),"なし"))</f>
        <v/>
      </c>
      <c r="P343" s="31">
        <f>IF(NOT(ISNUMBER($O343)),"",IFERROR(MATCH(INDEX('通知一覧'!$C$5:$C$204,$O343),'支払先'!$B$5:$B$104,0),""))</f>
        <v/>
      </c>
      <c r="Q343" s="31">
        <f>IF(AND($A343&lt;&gt;"",$A343='支払通知書'!$K$2),ROW(),"")</f>
        <v/>
      </c>
    </row>
    <row r="344" ht="18" customHeight="1">
      <c r="A344" s="18" t="n"/>
      <c r="B344" s="24" t="n"/>
      <c r="C344" s="19" t="n"/>
      <c r="D344" s="25" t="n"/>
      <c r="E344" s="18" t="n"/>
      <c r="F344" s="25" t="n"/>
      <c r="G344" s="18" t="n"/>
      <c r="H344" s="18" t="n"/>
      <c r="I344" s="26">
        <f>IF(OR($A344="",$F344=""),"",ROUND(IF($D344="",1,$D344)*$F344,0))</f>
        <v/>
      </c>
      <c r="J344" s="27">
        <f>IF($A344="","",IF($O344="なし","※通知一覧にない通知No",IF($P344="","",INDEX('支払先'!$C$5:$C$104,$P344)&amp;"")))</f>
        <v/>
      </c>
      <c r="K344" s="28">
        <f>IF(NOT(ISNUMBER($O344)),"",IF(ISNUMBER(INDEX('通知一覧'!$F$5:$F$204,$O344)),INDEX('通知一覧'!$F$5:$F$204,$O344),""))</f>
        <v/>
      </c>
      <c r="L344" s="29">
        <f>IF(AND(ISNUMBER($B344),ISNUMBER($K344)),$K344-$B344+1,"")</f>
        <v/>
      </c>
      <c r="M344" s="30">
        <f>IF(OR($L344="",$P344=""),"",IF(INDEX('支払先'!$M$5:$M$104,$P344)="対象外","",IF(AND($L344&gt;60,$K344&gt;=EDATE($B344,2)),"超える","")))</f>
        <v/>
      </c>
      <c r="N344" s="67" t="n"/>
      <c r="O344" s="31">
        <f>IF($A344="","",IFERROR(MATCH($A344,'通知一覧'!$B$5:$B$204,0),"なし"))</f>
        <v/>
      </c>
      <c r="P344" s="31">
        <f>IF(NOT(ISNUMBER($O344)),"",IFERROR(MATCH(INDEX('通知一覧'!$C$5:$C$204,$O344),'支払先'!$B$5:$B$104,0),""))</f>
        <v/>
      </c>
      <c r="Q344" s="31">
        <f>IF(AND($A344&lt;&gt;"",$A344='支払通知書'!$K$2),ROW(),"")</f>
        <v/>
      </c>
    </row>
    <row r="345" ht="18" customHeight="1">
      <c r="A345" s="18" t="n"/>
      <c r="B345" s="24" t="n"/>
      <c r="C345" s="19" t="n"/>
      <c r="D345" s="25" t="n"/>
      <c r="E345" s="18" t="n"/>
      <c r="F345" s="25" t="n"/>
      <c r="G345" s="18" t="n"/>
      <c r="H345" s="18" t="n"/>
      <c r="I345" s="26">
        <f>IF(OR($A345="",$F345=""),"",ROUND(IF($D345="",1,$D345)*$F345,0))</f>
        <v/>
      </c>
      <c r="J345" s="27">
        <f>IF($A345="","",IF($O345="なし","※通知一覧にない通知No",IF($P345="","",INDEX('支払先'!$C$5:$C$104,$P345)&amp;"")))</f>
        <v/>
      </c>
      <c r="K345" s="28">
        <f>IF(NOT(ISNUMBER($O345)),"",IF(ISNUMBER(INDEX('通知一覧'!$F$5:$F$204,$O345)),INDEX('通知一覧'!$F$5:$F$204,$O345),""))</f>
        <v/>
      </c>
      <c r="L345" s="29">
        <f>IF(AND(ISNUMBER($B345),ISNUMBER($K345)),$K345-$B345+1,"")</f>
        <v/>
      </c>
      <c r="M345" s="30">
        <f>IF(OR($L345="",$P345=""),"",IF(INDEX('支払先'!$M$5:$M$104,$P345)="対象外","",IF(AND($L345&gt;60,$K345&gt;=EDATE($B345,2)),"超える","")))</f>
        <v/>
      </c>
      <c r="N345" s="67" t="n"/>
      <c r="O345" s="31">
        <f>IF($A345="","",IFERROR(MATCH($A345,'通知一覧'!$B$5:$B$204,0),"なし"))</f>
        <v/>
      </c>
      <c r="P345" s="31">
        <f>IF(NOT(ISNUMBER($O345)),"",IFERROR(MATCH(INDEX('通知一覧'!$C$5:$C$204,$O345),'支払先'!$B$5:$B$104,0),""))</f>
        <v/>
      </c>
      <c r="Q345" s="31">
        <f>IF(AND($A345&lt;&gt;"",$A345='支払通知書'!$K$2),ROW(),"")</f>
        <v/>
      </c>
    </row>
    <row r="346" ht="18" customHeight="1">
      <c r="A346" s="18" t="n"/>
      <c r="B346" s="24" t="n"/>
      <c r="C346" s="19" t="n"/>
      <c r="D346" s="25" t="n"/>
      <c r="E346" s="18" t="n"/>
      <c r="F346" s="25" t="n"/>
      <c r="G346" s="18" t="n"/>
      <c r="H346" s="18" t="n"/>
      <c r="I346" s="26">
        <f>IF(OR($A346="",$F346=""),"",ROUND(IF($D346="",1,$D346)*$F346,0))</f>
        <v/>
      </c>
      <c r="J346" s="27">
        <f>IF($A346="","",IF($O346="なし","※通知一覧にない通知No",IF($P346="","",INDEX('支払先'!$C$5:$C$104,$P346)&amp;"")))</f>
        <v/>
      </c>
      <c r="K346" s="28">
        <f>IF(NOT(ISNUMBER($O346)),"",IF(ISNUMBER(INDEX('通知一覧'!$F$5:$F$204,$O346)),INDEX('通知一覧'!$F$5:$F$204,$O346),""))</f>
        <v/>
      </c>
      <c r="L346" s="29">
        <f>IF(AND(ISNUMBER($B346),ISNUMBER($K346)),$K346-$B346+1,"")</f>
        <v/>
      </c>
      <c r="M346" s="30">
        <f>IF(OR($L346="",$P346=""),"",IF(INDEX('支払先'!$M$5:$M$104,$P346)="対象外","",IF(AND($L346&gt;60,$K346&gt;=EDATE($B346,2)),"超える","")))</f>
        <v/>
      </c>
      <c r="N346" s="67" t="n"/>
      <c r="O346" s="31">
        <f>IF($A346="","",IFERROR(MATCH($A346,'通知一覧'!$B$5:$B$204,0),"なし"))</f>
        <v/>
      </c>
      <c r="P346" s="31">
        <f>IF(NOT(ISNUMBER($O346)),"",IFERROR(MATCH(INDEX('通知一覧'!$C$5:$C$204,$O346),'支払先'!$B$5:$B$104,0),""))</f>
        <v/>
      </c>
      <c r="Q346" s="31">
        <f>IF(AND($A346&lt;&gt;"",$A346='支払通知書'!$K$2),ROW(),"")</f>
        <v/>
      </c>
    </row>
    <row r="347" ht="18" customHeight="1">
      <c r="A347" s="18" t="n"/>
      <c r="B347" s="24" t="n"/>
      <c r="C347" s="19" t="n"/>
      <c r="D347" s="25" t="n"/>
      <c r="E347" s="18" t="n"/>
      <c r="F347" s="25" t="n"/>
      <c r="G347" s="18" t="n"/>
      <c r="H347" s="18" t="n"/>
      <c r="I347" s="26">
        <f>IF(OR($A347="",$F347=""),"",ROUND(IF($D347="",1,$D347)*$F347,0))</f>
        <v/>
      </c>
      <c r="J347" s="27">
        <f>IF($A347="","",IF($O347="なし","※通知一覧にない通知No",IF($P347="","",INDEX('支払先'!$C$5:$C$104,$P347)&amp;"")))</f>
        <v/>
      </c>
      <c r="K347" s="28">
        <f>IF(NOT(ISNUMBER($O347)),"",IF(ISNUMBER(INDEX('通知一覧'!$F$5:$F$204,$O347)),INDEX('通知一覧'!$F$5:$F$204,$O347),""))</f>
        <v/>
      </c>
      <c r="L347" s="29">
        <f>IF(AND(ISNUMBER($B347),ISNUMBER($K347)),$K347-$B347+1,"")</f>
        <v/>
      </c>
      <c r="M347" s="30">
        <f>IF(OR($L347="",$P347=""),"",IF(INDEX('支払先'!$M$5:$M$104,$P347)="対象外","",IF(AND($L347&gt;60,$K347&gt;=EDATE($B347,2)),"超える","")))</f>
        <v/>
      </c>
      <c r="N347" s="67" t="n"/>
      <c r="O347" s="31">
        <f>IF($A347="","",IFERROR(MATCH($A347,'通知一覧'!$B$5:$B$204,0),"なし"))</f>
        <v/>
      </c>
      <c r="P347" s="31">
        <f>IF(NOT(ISNUMBER($O347)),"",IFERROR(MATCH(INDEX('通知一覧'!$C$5:$C$204,$O347),'支払先'!$B$5:$B$104,0),""))</f>
        <v/>
      </c>
      <c r="Q347" s="31">
        <f>IF(AND($A347&lt;&gt;"",$A347='支払通知書'!$K$2),ROW(),"")</f>
        <v/>
      </c>
    </row>
    <row r="348" ht="18" customHeight="1">
      <c r="A348" s="18" t="n"/>
      <c r="B348" s="24" t="n"/>
      <c r="C348" s="19" t="n"/>
      <c r="D348" s="25" t="n"/>
      <c r="E348" s="18" t="n"/>
      <c r="F348" s="25" t="n"/>
      <c r="G348" s="18" t="n"/>
      <c r="H348" s="18" t="n"/>
      <c r="I348" s="26">
        <f>IF(OR($A348="",$F348=""),"",ROUND(IF($D348="",1,$D348)*$F348,0))</f>
        <v/>
      </c>
      <c r="J348" s="27">
        <f>IF($A348="","",IF($O348="なし","※通知一覧にない通知No",IF($P348="","",INDEX('支払先'!$C$5:$C$104,$P348)&amp;"")))</f>
        <v/>
      </c>
      <c r="K348" s="28">
        <f>IF(NOT(ISNUMBER($O348)),"",IF(ISNUMBER(INDEX('通知一覧'!$F$5:$F$204,$O348)),INDEX('通知一覧'!$F$5:$F$204,$O348),""))</f>
        <v/>
      </c>
      <c r="L348" s="29">
        <f>IF(AND(ISNUMBER($B348),ISNUMBER($K348)),$K348-$B348+1,"")</f>
        <v/>
      </c>
      <c r="M348" s="30">
        <f>IF(OR($L348="",$P348=""),"",IF(INDEX('支払先'!$M$5:$M$104,$P348)="対象外","",IF(AND($L348&gt;60,$K348&gt;=EDATE($B348,2)),"超える","")))</f>
        <v/>
      </c>
      <c r="N348" s="67" t="n"/>
      <c r="O348" s="31">
        <f>IF($A348="","",IFERROR(MATCH($A348,'通知一覧'!$B$5:$B$204,0),"なし"))</f>
        <v/>
      </c>
      <c r="P348" s="31">
        <f>IF(NOT(ISNUMBER($O348)),"",IFERROR(MATCH(INDEX('通知一覧'!$C$5:$C$204,$O348),'支払先'!$B$5:$B$104,0),""))</f>
        <v/>
      </c>
      <c r="Q348" s="31">
        <f>IF(AND($A348&lt;&gt;"",$A348='支払通知書'!$K$2),ROW(),"")</f>
        <v/>
      </c>
    </row>
    <row r="349" ht="18" customHeight="1">
      <c r="A349" s="18" t="n"/>
      <c r="B349" s="24" t="n"/>
      <c r="C349" s="19" t="n"/>
      <c r="D349" s="25" t="n"/>
      <c r="E349" s="18" t="n"/>
      <c r="F349" s="25" t="n"/>
      <c r="G349" s="18" t="n"/>
      <c r="H349" s="18" t="n"/>
      <c r="I349" s="26">
        <f>IF(OR($A349="",$F349=""),"",ROUND(IF($D349="",1,$D349)*$F349,0))</f>
        <v/>
      </c>
      <c r="J349" s="27">
        <f>IF($A349="","",IF($O349="なし","※通知一覧にない通知No",IF($P349="","",INDEX('支払先'!$C$5:$C$104,$P349)&amp;"")))</f>
        <v/>
      </c>
      <c r="K349" s="28">
        <f>IF(NOT(ISNUMBER($O349)),"",IF(ISNUMBER(INDEX('通知一覧'!$F$5:$F$204,$O349)),INDEX('通知一覧'!$F$5:$F$204,$O349),""))</f>
        <v/>
      </c>
      <c r="L349" s="29">
        <f>IF(AND(ISNUMBER($B349),ISNUMBER($K349)),$K349-$B349+1,"")</f>
        <v/>
      </c>
      <c r="M349" s="30">
        <f>IF(OR($L349="",$P349=""),"",IF(INDEX('支払先'!$M$5:$M$104,$P349)="対象外","",IF(AND($L349&gt;60,$K349&gt;=EDATE($B349,2)),"超える","")))</f>
        <v/>
      </c>
      <c r="N349" s="67" t="n"/>
      <c r="O349" s="31">
        <f>IF($A349="","",IFERROR(MATCH($A349,'通知一覧'!$B$5:$B$204,0),"なし"))</f>
        <v/>
      </c>
      <c r="P349" s="31">
        <f>IF(NOT(ISNUMBER($O349)),"",IFERROR(MATCH(INDEX('通知一覧'!$C$5:$C$204,$O349),'支払先'!$B$5:$B$104,0),""))</f>
        <v/>
      </c>
      <c r="Q349" s="31">
        <f>IF(AND($A349&lt;&gt;"",$A349='支払通知書'!$K$2),ROW(),"")</f>
        <v/>
      </c>
    </row>
    <row r="350" ht="18" customHeight="1">
      <c r="A350" s="18" t="n"/>
      <c r="B350" s="24" t="n"/>
      <c r="C350" s="19" t="n"/>
      <c r="D350" s="25" t="n"/>
      <c r="E350" s="18" t="n"/>
      <c r="F350" s="25" t="n"/>
      <c r="G350" s="18" t="n"/>
      <c r="H350" s="18" t="n"/>
      <c r="I350" s="26">
        <f>IF(OR($A350="",$F350=""),"",ROUND(IF($D350="",1,$D350)*$F350,0))</f>
        <v/>
      </c>
      <c r="J350" s="27">
        <f>IF($A350="","",IF($O350="なし","※通知一覧にない通知No",IF($P350="","",INDEX('支払先'!$C$5:$C$104,$P350)&amp;"")))</f>
        <v/>
      </c>
      <c r="K350" s="28">
        <f>IF(NOT(ISNUMBER($O350)),"",IF(ISNUMBER(INDEX('通知一覧'!$F$5:$F$204,$O350)),INDEX('通知一覧'!$F$5:$F$204,$O350),""))</f>
        <v/>
      </c>
      <c r="L350" s="29">
        <f>IF(AND(ISNUMBER($B350),ISNUMBER($K350)),$K350-$B350+1,"")</f>
        <v/>
      </c>
      <c r="M350" s="30">
        <f>IF(OR($L350="",$P350=""),"",IF(INDEX('支払先'!$M$5:$M$104,$P350)="対象外","",IF(AND($L350&gt;60,$K350&gt;=EDATE($B350,2)),"超える","")))</f>
        <v/>
      </c>
      <c r="N350" s="67" t="n"/>
      <c r="O350" s="31">
        <f>IF($A350="","",IFERROR(MATCH($A350,'通知一覧'!$B$5:$B$204,0),"なし"))</f>
        <v/>
      </c>
      <c r="P350" s="31">
        <f>IF(NOT(ISNUMBER($O350)),"",IFERROR(MATCH(INDEX('通知一覧'!$C$5:$C$204,$O350),'支払先'!$B$5:$B$104,0),""))</f>
        <v/>
      </c>
      <c r="Q350" s="31">
        <f>IF(AND($A350&lt;&gt;"",$A350='支払通知書'!$K$2),ROW(),"")</f>
        <v/>
      </c>
    </row>
    <row r="351" ht="18" customHeight="1">
      <c r="A351" s="18" t="n"/>
      <c r="B351" s="24" t="n"/>
      <c r="C351" s="19" t="n"/>
      <c r="D351" s="25" t="n"/>
      <c r="E351" s="18" t="n"/>
      <c r="F351" s="25" t="n"/>
      <c r="G351" s="18" t="n"/>
      <c r="H351" s="18" t="n"/>
      <c r="I351" s="26">
        <f>IF(OR($A351="",$F351=""),"",ROUND(IF($D351="",1,$D351)*$F351,0))</f>
        <v/>
      </c>
      <c r="J351" s="27">
        <f>IF($A351="","",IF($O351="なし","※通知一覧にない通知No",IF($P351="","",INDEX('支払先'!$C$5:$C$104,$P351)&amp;"")))</f>
        <v/>
      </c>
      <c r="K351" s="28">
        <f>IF(NOT(ISNUMBER($O351)),"",IF(ISNUMBER(INDEX('通知一覧'!$F$5:$F$204,$O351)),INDEX('通知一覧'!$F$5:$F$204,$O351),""))</f>
        <v/>
      </c>
      <c r="L351" s="29">
        <f>IF(AND(ISNUMBER($B351),ISNUMBER($K351)),$K351-$B351+1,"")</f>
        <v/>
      </c>
      <c r="M351" s="30">
        <f>IF(OR($L351="",$P351=""),"",IF(INDEX('支払先'!$M$5:$M$104,$P351)="対象外","",IF(AND($L351&gt;60,$K351&gt;=EDATE($B351,2)),"超える","")))</f>
        <v/>
      </c>
      <c r="N351" s="67" t="n"/>
      <c r="O351" s="31">
        <f>IF($A351="","",IFERROR(MATCH($A351,'通知一覧'!$B$5:$B$204,0),"なし"))</f>
        <v/>
      </c>
      <c r="P351" s="31">
        <f>IF(NOT(ISNUMBER($O351)),"",IFERROR(MATCH(INDEX('通知一覧'!$C$5:$C$204,$O351),'支払先'!$B$5:$B$104,0),""))</f>
        <v/>
      </c>
      <c r="Q351" s="31">
        <f>IF(AND($A351&lt;&gt;"",$A351='支払通知書'!$K$2),ROW(),"")</f>
        <v/>
      </c>
    </row>
    <row r="352" ht="18" customHeight="1">
      <c r="A352" s="18" t="n"/>
      <c r="B352" s="24" t="n"/>
      <c r="C352" s="19" t="n"/>
      <c r="D352" s="25" t="n"/>
      <c r="E352" s="18" t="n"/>
      <c r="F352" s="25" t="n"/>
      <c r="G352" s="18" t="n"/>
      <c r="H352" s="18" t="n"/>
      <c r="I352" s="26">
        <f>IF(OR($A352="",$F352=""),"",ROUND(IF($D352="",1,$D352)*$F352,0))</f>
        <v/>
      </c>
      <c r="J352" s="27">
        <f>IF($A352="","",IF($O352="なし","※通知一覧にない通知No",IF($P352="","",INDEX('支払先'!$C$5:$C$104,$P352)&amp;"")))</f>
        <v/>
      </c>
      <c r="K352" s="28">
        <f>IF(NOT(ISNUMBER($O352)),"",IF(ISNUMBER(INDEX('通知一覧'!$F$5:$F$204,$O352)),INDEX('通知一覧'!$F$5:$F$204,$O352),""))</f>
        <v/>
      </c>
      <c r="L352" s="29">
        <f>IF(AND(ISNUMBER($B352),ISNUMBER($K352)),$K352-$B352+1,"")</f>
        <v/>
      </c>
      <c r="M352" s="30">
        <f>IF(OR($L352="",$P352=""),"",IF(INDEX('支払先'!$M$5:$M$104,$P352)="対象外","",IF(AND($L352&gt;60,$K352&gt;=EDATE($B352,2)),"超える","")))</f>
        <v/>
      </c>
      <c r="N352" s="67" t="n"/>
      <c r="O352" s="31">
        <f>IF($A352="","",IFERROR(MATCH($A352,'通知一覧'!$B$5:$B$204,0),"なし"))</f>
        <v/>
      </c>
      <c r="P352" s="31">
        <f>IF(NOT(ISNUMBER($O352)),"",IFERROR(MATCH(INDEX('通知一覧'!$C$5:$C$204,$O352),'支払先'!$B$5:$B$104,0),""))</f>
        <v/>
      </c>
      <c r="Q352" s="31">
        <f>IF(AND($A352&lt;&gt;"",$A352='支払通知書'!$K$2),ROW(),"")</f>
        <v/>
      </c>
    </row>
    <row r="353" ht="18" customHeight="1">
      <c r="A353" s="18" t="n"/>
      <c r="B353" s="24" t="n"/>
      <c r="C353" s="19" t="n"/>
      <c r="D353" s="25" t="n"/>
      <c r="E353" s="18" t="n"/>
      <c r="F353" s="25" t="n"/>
      <c r="G353" s="18" t="n"/>
      <c r="H353" s="18" t="n"/>
      <c r="I353" s="26">
        <f>IF(OR($A353="",$F353=""),"",ROUND(IF($D353="",1,$D353)*$F353,0))</f>
        <v/>
      </c>
      <c r="J353" s="27">
        <f>IF($A353="","",IF($O353="なし","※通知一覧にない通知No",IF($P353="","",INDEX('支払先'!$C$5:$C$104,$P353)&amp;"")))</f>
        <v/>
      </c>
      <c r="K353" s="28">
        <f>IF(NOT(ISNUMBER($O353)),"",IF(ISNUMBER(INDEX('通知一覧'!$F$5:$F$204,$O353)),INDEX('通知一覧'!$F$5:$F$204,$O353),""))</f>
        <v/>
      </c>
      <c r="L353" s="29">
        <f>IF(AND(ISNUMBER($B353),ISNUMBER($K353)),$K353-$B353+1,"")</f>
        <v/>
      </c>
      <c r="M353" s="30">
        <f>IF(OR($L353="",$P353=""),"",IF(INDEX('支払先'!$M$5:$M$104,$P353)="対象外","",IF(AND($L353&gt;60,$K353&gt;=EDATE($B353,2)),"超える","")))</f>
        <v/>
      </c>
      <c r="N353" s="67" t="n"/>
      <c r="O353" s="31">
        <f>IF($A353="","",IFERROR(MATCH($A353,'通知一覧'!$B$5:$B$204,0),"なし"))</f>
        <v/>
      </c>
      <c r="P353" s="31">
        <f>IF(NOT(ISNUMBER($O353)),"",IFERROR(MATCH(INDEX('通知一覧'!$C$5:$C$204,$O353),'支払先'!$B$5:$B$104,0),""))</f>
        <v/>
      </c>
      <c r="Q353" s="31">
        <f>IF(AND($A353&lt;&gt;"",$A353='支払通知書'!$K$2),ROW(),"")</f>
        <v/>
      </c>
    </row>
    <row r="354" ht="18" customHeight="1">
      <c r="A354" s="18" t="n"/>
      <c r="B354" s="24" t="n"/>
      <c r="C354" s="19" t="n"/>
      <c r="D354" s="25" t="n"/>
      <c r="E354" s="18" t="n"/>
      <c r="F354" s="25" t="n"/>
      <c r="G354" s="18" t="n"/>
      <c r="H354" s="18" t="n"/>
      <c r="I354" s="26">
        <f>IF(OR($A354="",$F354=""),"",ROUND(IF($D354="",1,$D354)*$F354,0))</f>
        <v/>
      </c>
      <c r="J354" s="27">
        <f>IF($A354="","",IF($O354="なし","※通知一覧にない通知No",IF($P354="","",INDEX('支払先'!$C$5:$C$104,$P354)&amp;"")))</f>
        <v/>
      </c>
      <c r="K354" s="28">
        <f>IF(NOT(ISNUMBER($O354)),"",IF(ISNUMBER(INDEX('通知一覧'!$F$5:$F$204,$O354)),INDEX('通知一覧'!$F$5:$F$204,$O354),""))</f>
        <v/>
      </c>
      <c r="L354" s="29">
        <f>IF(AND(ISNUMBER($B354),ISNUMBER($K354)),$K354-$B354+1,"")</f>
        <v/>
      </c>
      <c r="M354" s="30">
        <f>IF(OR($L354="",$P354=""),"",IF(INDEX('支払先'!$M$5:$M$104,$P354)="対象外","",IF(AND($L354&gt;60,$K354&gt;=EDATE($B354,2)),"超える","")))</f>
        <v/>
      </c>
      <c r="N354" s="67" t="n"/>
      <c r="O354" s="31">
        <f>IF($A354="","",IFERROR(MATCH($A354,'通知一覧'!$B$5:$B$204,0),"なし"))</f>
        <v/>
      </c>
      <c r="P354" s="31">
        <f>IF(NOT(ISNUMBER($O354)),"",IFERROR(MATCH(INDEX('通知一覧'!$C$5:$C$204,$O354),'支払先'!$B$5:$B$104,0),""))</f>
        <v/>
      </c>
      <c r="Q354" s="31">
        <f>IF(AND($A354&lt;&gt;"",$A354='支払通知書'!$K$2),ROW(),"")</f>
        <v/>
      </c>
    </row>
    <row r="355" ht="18" customHeight="1">
      <c r="A355" s="18" t="n"/>
      <c r="B355" s="24" t="n"/>
      <c r="C355" s="19" t="n"/>
      <c r="D355" s="25" t="n"/>
      <c r="E355" s="18" t="n"/>
      <c r="F355" s="25" t="n"/>
      <c r="G355" s="18" t="n"/>
      <c r="H355" s="18" t="n"/>
      <c r="I355" s="26">
        <f>IF(OR($A355="",$F355=""),"",ROUND(IF($D355="",1,$D355)*$F355,0))</f>
        <v/>
      </c>
      <c r="J355" s="27">
        <f>IF($A355="","",IF($O355="なし","※通知一覧にない通知No",IF($P355="","",INDEX('支払先'!$C$5:$C$104,$P355)&amp;"")))</f>
        <v/>
      </c>
      <c r="K355" s="28">
        <f>IF(NOT(ISNUMBER($O355)),"",IF(ISNUMBER(INDEX('通知一覧'!$F$5:$F$204,$O355)),INDEX('通知一覧'!$F$5:$F$204,$O355),""))</f>
        <v/>
      </c>
      <c r="L355" s="29">
        <f>IF(AND(ISNUMBER($B355),ISNUMBER($K355)),$K355-$B355+1,"")</f>
        <v/>
      </c>
      <c r="M355" s="30">
        <f>IF(OR($L355="",$P355=""),"",IF(INDEX('支払先'!$M$5:$M$104,$P355)="対象外","",IF(AND($L355&gt;60,$K355&gt;=EDATE($B355,2)),"超える","")))</f>
        <v/>
      </c>
      <c r="N355" s="67" t="n"/>
      <c r="O355" s="31">
        <f>IF($A355="","",IFERROR(MATCH($A355,'通知一覧'!$B$5:$B$204,0),"なし"))</f>
        <v/>
      </c>
      <c r="P355" s="31">
        <f>IF(NOT(ISNUMBER($O355)),"",IFERROR(MATCH(INDEX('通知一覧'!$C$5:$C$204,$O355),'支払先'!$B$5:$B$104,0),""))</f>
        <v/>
      </c>
      <c r="Q355" s="31">
        <f>IF(AND($A355&lt;&gt;"",$A355='支払通知書'!$K$2),ROW(),"")</f>
        <v/>
      </c>
    </row>
    <row r="356" ht="18" customHeight="1">
      <c r="A356" s="18" t="n"/>
      <c r="B356" s="24" t="n"/>
      <c r="C356" s="19" t="n"/>
      <c r="D356" s="25" t="n"/>
      <c r="E356" s="18" t="n"/>
      <c r="F356" s="25" t="n"/>
      <c r="G356" s="18" t="n"/>
      <c r="H356" s="18" t="n"/>
      <c r="I356" s="26">
        <f>IF(OR($A356="",$F356=""),"",ROUND(IF($D356="",1,$D356)*$F356,0))</f>
        <v/>
      </c>
      <c r="J356" s="27">
        <f>IF($A356="","",IF($O356="なし","※通知一覧にない通知No",IF($P356="","",INDEX('支払先'!$C$5:$C$104,$P356)&amp;"")))</f>
        <v/>
      </c>
      <c r="K356" s="28">
        <f>IF(NOT(ISNUMBER($O356)),"",IF(ISNUMBER(INDEX('通知一覧'!$F$5:$F$204,$O356)),INDEX('通知一覧'!$F$5:$F$204,$O356),""))</f>
        <v/>
      </c>
      <c r="L356" s="29">
        <f>IF(AND(ISNUMBER($B356),ISNUMBER($K356)),$K356-$B356+1,"")</f>
        <v/>
      </c>
      <c r="M356" s="30">
        <f>IF(OR($L356="",$P356=""),"",IF(INDEX('支払先'!$M$5:$M$104,$P356)="対象外","",IF(AND($L356&gt;60,$K356&gt;=EDATE($B356,2)),"超える","")))</f>
        <v/>
      </c>
      <c r="N356" s="67" t="n"/>
      <c r="O356" s="31">
        <f>IF($A356="","",IFERROR(MATCH($A356,'通知一覧'!$B$5:$B$204,0),"なし"))</f>
        <v/>
      </c>
      <c r="P356" s="31">
        <f>IF(NOT(ISNUMBER($O356)),"",IFERROR(MATCH(INDEX('通知一覧'!$C$5:$C$204,$O356),'支払先'!$B$5:$B$104,0),""))</f>
        <v/>
      </c>
      <c r="Q356" s="31">
        <f>IF(AND($A356&lt;&gt;"",$A356='支払通知書'!$K$2),ROW(),"")</f>
        <v/>
      </c>
    </row>
    <row r="357" ht="18" customHeight="1">
      <c r="A357" s="18" t="n"/>
      <c r="B357" s="24" t="n"/>
      <c r="C357" s="19" t="n"/>
      <c r="D357" s="25" t="n"/>
      <c r="E357" s="18" t="n"/>
      <c r="F357" s="25" t="n"/>
      <c r="G357" s="18" t="n"/>
      <c r="H357" s="18" t="n"/>
      <c r="I357" s="26">
        <f>IF(OR($A357="",$F357=""),"",ROUND(IF($D357="",1,$D357)*$F357,0))</f>
        <v/>
      </c>
      <c r="J357" s="27">
        <f>IF($A357="","",IF($O357="なし","※通知一覧にない通知No",IF($P357="","",INDEX('支払先'!$C$5:$C$104,$P357)&amp;"")))</f>
        <v/>
      </c>
      <c r="K357" s="28">
        <f>IF(NOT(ISNUMBER($O357)),"",IF(ISNUMBER(INDEX('通知一覧'!$F$5:$F$204,$O357)),INDEX('通知一覧'!$F$5:$F$204,$O357),""))</f>
        <v/>
      </c>
      <c r="L357" s="29">
        <f>IF(AND(ISNUMBER($B357),ISNUMBER($K357)),$K357-$B357+1,"")</f>
        <v/>
      </c>
      <c r="M357" s="30">
        <f>IF(OR($L357="",$P357=""),"",IF(INDEX('支払先'!$M$5:$M$104,$P357)="対象外","",IF(AND($L357&gt;60,$K357&gt;=EDATE($B357,2)),"超える","")))</f>
        <v/>
      </c>
      <c r="N357" s="67" t="n"/>
      <c r="O357" s="31">
        <f>IF($A357="","",IFERROR(MATCH($A357,'通知一覧'!$B$5:$B$204,0),"なし"))</f>
        <v/>
      </c>
      <c r="P357" s="31">
        <f>IF(NOT(ISNUMBER($O357)),"",IFERROR(MATCH(INDEX('通知一覧'!$C$5:$C$204,$O357),'支払先'!$B$5:$B$104,0),""))</f>
        <v/>
      </c>
      <c r="Q357" s="31">
        <f>IF(AND($A357&lt;&gt;"",$A357='支払通知書'!$K$2),ROW(),"")</f>
        <v/>
      </c>
    </row>
    <row r="358" ht="18" customHeight="1">
      <c r="A358" s="18" t="n"/>
      <c r="B358" s="24" t="n"/>
      <c r="C358" s="19" t="n"/>
      <c r="D358" s="25" t="n"/>
      <c r="E358" s="18" t="n"/>
      <c r="F358" s="25" t="n"/>
      <c r="G358" s="18" t="n"/>
      <c r="H358" s="18" t="n"/>
      <c r="I358" s="26">
        <f>IF(OR($A358="",$F358=""),"",ROUND(IF($D358="",1,$D358)*$F358,0))</f>
        <v/>
      </c>
      <c r="J358" s="27">
        <f>IF($A358="","",IF($O358="なし","※通知一覧にない通知No",IF($P358="","",INDEX('支払先'!$C$5:$C$104,$P358)&amp;"")))</f>
        <v/>
      </c>
      <c r="K358" s="28">
        <f>IF(NOT(ISNUMBER($O358)),"",IF(ISNUMBER(INDEX('通知一覧'!$F$5:$F$204,$O358)),INDEX('通知一覧'!$F$5:$F$204,$O358),""))</f>
        <v/>
      </c>
      <c r="L358" s="29">
        <f>IF(AND(ISNUMBER($B358),ISNUMBER($K358)),$K358-$B358+1,"")</f>
        <v/>
      </c>
      <c r="M358" s="30">
        <f>IF(OR($L358="",$P358=""),"",IF(INDEX('支払先'!$M$5:$M$104,$P358)="対象外","",IF(AND($L358&gt;60,$K358&gt;=EDATE($B358,2)),"超える","")))</f>
        <v/>
      </c>
      <c r="N358" s="67" t="n"/>
      <c r="O358" s="31">
        <f>IF($A358="","",IFERROR(MATCH($A358,'通知一覧'!$B$5:$B$204,0),"なし"))</f>
        <v/>
      </c>
      <c r="P358" s="31">
        <f>IF(NOT(ISNUMBER($O358)),"",IFERROR(MATCH(INDEX('通知一覧'!$C$5:$C$204,$O358),'支払先'!$B$5:$B$104,0),""))</f>
        <v/>
      </c>
      <c r="Q358" s="31">
        <f>IF(AND($A358&lt;&gt;"",$A358='支払通知書'!$K$2),ROW(),"")</f>
        <v/>
      </c>
    </row>
    <row r="359" ht="18" customHeight="1">
      <c r="A359" s="18" t="n"/>
      <c r="B359" s="24" t="n"/>
      <c r="C359" s="19" t="n"/>
      <c r="D359" s="25" t="n"/>
      <c r="E359" s="18" t="n"/>
      <c r="F359" s="25" t="n"/>
      <c r="G359" s="18" t="n"/>
      <c r="H359" s="18" t="n"/>
      <c r="I359" s="26">
        <f>IF(OR($A359="",$F359=""),"",ROUND(IF($D359="",1,$D359)*$F359,0))</f>
        <v/>
      </c>
      <c r="J359" s="27">
        <f>IF($A359="","",IF($O359="なし","※通知一覧にない通知No",IF($P359="","",INDEX('支払先'!$C$5:$C$104,$P359)&amp;"")))</f>
        <v/>
      </c>
      <c r="K359" s="28">
        <f>IF(NOT(ISNUMBER($O359)),"",IF(ISNUMBER(INDEX('通知一覧'!$F$5:$F$204,$O359)),INDEX('通知一覧'!$F$5:$F$204,$O359),""))</f>
        <v/>
      </c>
      <c r="L359" s="29">
        <f>IF(AND(ISNUMBER($B359),ISNUMBER($K359)),$K359-$B359+1,"")</f>
        <v/>
      </c>
      <c r="M359" s="30">
        <f>IF(OR($L359="",$P359=""),"",IF(INDEX('支払先'!$M$5:$M$104,$P359)="対象外","",IF(AND($L359&gt;60,$K359&gt;=EDATE($B359,2)),"超える","")))</f>
        <v/>
      </c>
      <c r="N359" s="67" t="n"/>
      <c r="O359" s="31">
        <f>IF($A359="","",IFERROR(MATCH($A359,'通知一覧'!$B$5:$B$204,0),"なし"))</f>
        <v/>
      </c>
      <c r="P359" s="31">
        <f>IF(NOT(ISNUMBER($O359)),"",IFERROR(MATCH(INDEX('通知一覧'!$C$5:$C$204,$O359),'支払先'!$B$5:$B$104,0),""))</f>
        <v/>
      </c>
      <c r="Q359" s="31">
        <f>IF(AND($A359&lt;&gt;"",$A359='支払通知書'!$K$2),ROW(),"")</f>
        <v/>
      </c>
    </row>
    <row r="360" ht="18" customHeight="1">
      <c r="A360" s="18" t="n"/>
      <c r="B360" s="24" t="n"/>
      <c r="C360" s="19" t="n"/>
      <c r="D360" s="25" t="n"/>
      <c r="E360" s="18" t="n"/>
      <c r="F360" s="25" t="n"/>
      <c r="G360" s="18" t="n"/>
      <c r="H360" s="18" t="n"/>
      <c r="I360" s="26">
        <f>IF(OR($A360="",$F360=""),"",ROUND(IF($D360="",1,$D360)*$F360,0))</f>
        <v/>
      </c>
      <c r="J360" s="27">
        <f>IF($A360="","",IF($O360="なし","※通知一覧にない通知No",IF($P360="","",INDEX('支払先'!$C$5:$C$104,$P360)&amp;"")))</f>
        <v/>
      </c>
      <c r="K360" s="28">
        <f>IF(NOT(ISNUMBER($O360)),"",IF(ISNUMBER(INDEX('通知一覧'!$F$5:$F$204,$O360)),INDEX('通知一覧'!$F$5:$F$204,$O360),""))</f>
        <v/>
      </c>
      <c r="L360" s="29">
        <f>IF(AND(ISNUMBER($B360),ISNUMBER($K360)),$K360-$B360+1,"")</f>
        <v/>
      </c>
      <c r="M360" s="30">
        <f>IF(OR($L360="",$P360=""),"",IF(INDEX('支払先'!$M$5:$M$104,$P360)="対象外","",IF(AND($L360&gt;60,$K360&gt;=EDATE($B360,2)),"超える","")))</f>
        <v/>
      </c>
      <c r="N360" s="67" t="n"/>
      <c r="O360" s="31">
        <f>IF($A360="","",IFERROR(MATCH($A360,'通知一覧'!$B$5:$B$204,0),"なし"))</f>
        <v/>
      </c>
      <c r="P360" s="31">
        <f>IF(NOT(ISNUMBER($O360)),"",IFERROR(MATCH(INDEX('通知一覧'!$C$5:$C$204,$O360),'支払先'!$B$5:$B$104,0),""))</f>
        <v/>
      </c>
      <c r="Q360" s="31">
        <f>IF(AND($A360&lt;&gt;"",$A360='支払通知書'!$K$2),ROW(),"")</f>
        <v/>
      </c>
    </row>
    <row r="361" ht="18" customHeight="1">
      <c r="A361" s="18" t="n"/>
      <c r="B361" s="24" t="n"/>
      <c r="C361" s="19" t="n"/>
      <c r="D361" s="25" t="n"/>
      <c r="E361" s="18" t="n"/>
      <c r="F361" s="25" t="n"/>
      <c r="G361" s="18" t="n"/>
      <c r="H361" s="18" t="n"/>
      <c r="I361" s="26">
        <f>IF(OR($A361="",$F361=""),"",ROUND(IF($D361="",1,$D361)*$F361,0))</f>
        <v/>
      </c>
      <c r="J361" s="27">
        <f>IF($A361="","",IF($O361="なし","※通知一覧にない通知No",IF($P361="","",INDEX('支払先'!$C$5:$C$104,$P361)&amp;"")))</f>
        <v/>
      </c>
      <c r="K361" s="28">
        <f>IF(NOT(ISNUMBER($O361)),"",IF(ISNUMBER(INDEX('通知一覧'!$F$5:$F$204,$O361)),INDEX('通知一覧'!$F$5:$F$204,$O361),""))</f>
        <v/>
      </c>
      <c r="L361" s="29">
        <f>IF(AND(ISNUMBER($B361),ISNUMBER($K361)),$K361-$B361+1,"")</f>
        <v/>
      </c>
      <c r="M361" s="30">
        <f>IF(OR($L361="",$P361=""),"",IF(INDEX('支払先'!$M$5:$M$104,$P361)="対象外","",IF(AND($L361&gt;60,$K361&gt;=EDATE($B361,2)),"超える","")))</f>
        <v/>
      </c>
      <c r="N361" s="67" t="n"/>
      <c r="O361" s="31">
        <f>IF($A361="","",IFERROR(MATCH($A361,'通知一覧'!$B$5:$B$204,0),"なし"))</f>
        <v/>
      </c>
      <c r="P361" s="31">
        <f>IF(NOT(ISNUMBER($O361)),"",IFERROR(MATCH(INDEX('通知一覧'!$C$5:$C$204,$O361),'支払先'!$B$5:$B$104,0),""))</f>
        <v/>
      </c>
      <c r="Q361" s="31">
        <f>IF(AND($A361&lt;&gt;"",$A361='支払通知書'!$K$2),ROW(),"")</f>
        <v/>
      </c>
    </row>
    <row r="362" ht="18" customHeight="1">
      <c r="A362" s="18" t="n"/>
      <c r="B362" s="24" t="n"/>
      <c r="C362" s="19" t="n"/>
      <c r="D362" s="25" t="n"/>
      <c r="E362" s="18" t="n"/>
      <c r="F362" s="25" t="n"/>
      <c r="G362" s="18" t="n"/>
      <c r="H362" s="18" t="n"/>
      <c r="I362" s="26">
        <f>IF(OR($A362="",$F362=""),"",ROUND(IF($D362="",1,$D362)*$F362,0))</f>
        <v/>
      </c>
      <c r="J362" s="27">
        <f>IF($A362="","",IF($O362="なし","※通知一覧にない通知No",IF($P362="","",INDEX('支払先'!$C$5:$C$104,$P362)&amp;"")))</f>
        <v/>
      </c>
      <c r="K362" s="28">
        <f>IF(NOT(ISNUMBER($O362)),"",IF(ISNUMBER(INDEX('通知一覧'!$F$5:$F$204,$O362)),INDEX('通知一覧'!$F$5:$F$204,$O362),""))</f>
        <v/>
      </c>
      <c r="L362" s="29">
        <f>IF(AND(ISNUMBER($B362),ISNUMBER($K362)),$K362-$B362+1,"")</f>
        <v/>
      </c>
      <c r="M362" s="30">
        <f>IF(OR($L362="",$P362=""),"",IF(INDEX('支払先'!$M$5:$M$104,$P362)="対象外","",IF(AND($L362&gt;60,$K362&gt;=EDATE($B362,2)),"超える","")))</f>
        <v/>
      </c>
      <c r="N362" s="67" t="n"/>
      <c r="O362" s="31">
        <f>IF($A362="","",IFERROR(MATCH($A362,'通知一覧'!$B$5:$B$204,0),"なし"))</f>
        <v/>
      </c>
      <c r="P362" s="31">
        <f>IF(NOT(ISNUMBER($O362)),"",IFERROR(MATCH(INDEX('通知一覧'!$C$5:$C$204,$O362),'支払先'!$B$5:$B$104,0),""))</f>
        <v/>
      </c>
      <c r="Q362" s="31">
        <f>IF(AND($A362&lt;&gt;"",$A362='支払通知書'!$K$2),ROW(),"")</f>
        <v/>
      </c>
    </row>
    <row r="363" ht="18" customHeight="1">
      <c r="A363" s="18" t="n"/>
      <c r="B363" s="24" t="n"/>
      <c r="C363" s="19" t="n"/>
      <c r="D363" s="25" t="n"/>
      <c r="E363" s="18" t="n"/>
      <c r="F363" s="25" t="n"/>
      <c r="G363" s="18" t="n"/>
      <c r="H363" s="18" t="n"/>
      <c r="I363" s="26">
        <f>IF(OR($A363="",$F363=""),"",ROUND(IF($D363="",1,$D363)*$F363,0))</f>
        <v/>
      </c>
      <c r="J363" s="27">
        <f>IF($A363="","",IF($O363="なし","※通知一覧にない通知No",IF($P363="","",INDEX('支払先'!$C$5:$C$104,$P363)&amp;"")))</f>
        <v/>
      </c>
      <c r="K363" s="28">
        <f>IF(NOT(ISNUMBER($O363)),"",IF(ISNUMBER(INDEX('通知一覧'!$F$5:$F$204,$O363)),INDEX('通知一覧'!$F$5:$F$204,$O363),""))</f>
        <v/>
      </c>
      <c r="L363" s="29">
        <f>IF(AND(ISNUMBER($B363),ISNUMBER($K363)),$K363-$B363+1,"")</f>
        <v/>
      </c>
      <c r="M363" s="30">
        <f>IF(OR($L363="",$P363=""),"",IF(INDEX('支払先'!$M$5:$M$104,$P363)="対象外","",IF(AND($L363&gt;60,$K363&gt;=EDATE($B363,2)),"超える","")))</f>
        <v/>
      </c>
      <c r="N363" s="67" t="n"/>
      <c r="O363" s="31">
        <f>IF($A363="","",IFERROR(MATCH($A363,'通知一覧'!$B$5:$B$204,0),"なし"))</f>
        <v/>
      </c>
      <c r="P363" s="31">
        <f>IF(NOT(ISNUMBER($O363)),"",IFERROR(MATCH(INDEX('通知一覧'!$C$5:$C$204,$O363),'支払先'!$B$5:$B$104,0),""))</f>
        <v/>
      </c>
      <c r="Q363" s="31">
        <f>IF(AND($A363&lt;&gt;"",$A363='支払通知書'!$K$2),ROW(),"")</f>
        <v/>
      </c>
    </row>
    <row r="364" ht="18" customHeight="1">
      <c r="A364" s="18" t="n"/>
      <c r="B364" s="24" t="n"/>
      <c r="C364" s="19" t="n"/>
      <c r="D364" s="25" t="n"/>
      <c r="E364" s="18" t="n"/>
      <c r="F364" s="25" t="n"/>
      <c r="G364" s="18" t="n"/>
      <c r="H364" s="18" t="n"/>
      <c r="I364" s="26">
        <f>IF(OR($A364="",$F364=""),"",ROUND(IF($D364="",1,$D364)*$F364,0))</f>
        <v/>
      </c>
      <c r="J364" s="27">
        <f>IF($A364="","",IF($O364="なし","※通知一覧にない通知No",IF($P364="","",INDEX('支払先'!$C$5:$C$104,$P364)&amp;"")))</f>
        <v/>
      </c>
      <c r="K364" s="28">
        <f>IF(NOT(ISNUMBER($O364)),"",IF(ISNUMBER(INDEX('通知一覧'!$F$5:$F$204,$O364)),INDEX('通知一覧'!$F$5:$F$204,$O364),""))</f>
        <v/>
      </c>
      <c r="L364" s="29">
        <f>IF(AND(ISNUMBER($B364),ISNUMBER($K364)),$K364-$B364+1,"")</f>
        <v/>
      </c>
      <c r="M364" s="30">
        <f>IF(OR($L364="",$P364=""),"",IF(INDEX('支払先'!$M$5:$M$104,$P364)="対象外","",IF(AND($L364&gt;60,$K364&gt;=EDATE($B364,2)),"超える","")))</f>
        <v/>
      </c>
      <c r="N364" s="67" t="n"/>
      <c r="O364" s="31">
        <f>IF($A364="","",IFERROR(MATCH($A364,'通知一覧'!$B$5:$B$204,0),"なし"))</f>
        <v/>
      </c>
      <c r="P364" s="31">
        <f>IF(NOT(ISNUMBER($O364)),"",IFERROR(MATCH(INDEX('通知一覧'!$C$5:$C$204,$O364),'支払先'!$B$5:$B$104,0),""))</f>
        <v/>
      </c>
      <c r="Q364" s="31">
        <f>IF(AND($A364&lt;&gt;"",$A364='支払通知書'!$K$2),ROW(),"")</f>
        <v/>
      </c>
    </row>
    <row r="365" ht="18" customHeight="1">
      <c r="A365" s="18" t="n"/>
      <c r="B365" s="24" t="n"/>
      <c r="C365" s="19" t="n"/>
      <c r="D365" s="25" t="n"/>
      <c r="E365" s="18" t="n"/>
      <c r="F365" s="25" t="n"/>
      <c r="G365" s="18" t="n"/>
      <c r="H365" s="18" t="n"/>
      <c r="I365" s="26">
        <f>IF(OR($A365="",$F365=""),"",ROUND(IF($D365="",1,$D365)*$F365,0))</f>
        <v/>
      </c>
      <c r="J365" s="27">
        <f>IF($A365="","",IF($O365="なし","※通知一覧にない通知No",IF($P365="","",INDEX('支払先'!$C$5:$C$104,$P365)&amp;"")))</f>
        <v/>
      </c>
      <c r="K365" s="28">
        <f>IF(NOT(ISNUMBER($O365)),"",IF(ISNUMBER(INDEX('通知一覧'!$F$5:$F$204,$O365)),INDEX('通知一覧'!$F$5:$F$204,$O365),""))</f>
        <v/>
      </c>
      <c r="L365" s="29">
        <f>IF(AND(ISNUMBER($B365),ISNUMBER($K365)),$K365-$B365+1,"")</f>
        <v/>
      </c>
      <c r="M365" s="30">
        <f>IF(OR($L365="",$P365=""),"",IF(INDEX('支払先'!$M$5:$M$104,$P365)="対象外","",IF(AND($L365&gt;60,$K365&gt;=EDATE($B365,2)),"超える","")))</f>
        <v/>
      </c>
      <c r="N365" s="67" t="n"/>
      <c r="O365" s="31">
        <f>IF($A365="","",IFERROR(MATCH($A365,'通知一覧'!$B$5:$B$204,0),"なし"))</f>
        <v/>
      </c>
      <c r="P365" s="31">
        <f>IF(NOT(ISNUMBER($O365)),"",IFERROR(MATCH(INDEX('通知一覧'!$C$5:$C$204,$O365),'支払先'!$B$5:$B$104,0),""))</f>
        <v/>
      </c>
      <c r="Q365" s="31">
        <f>IF(AND($A365&lt;&gt;"",$A365='支払通知書'!$K$2),ROW(),"")</f>
        <v/>
      </c>
    </row>
    <row r="366" ht="18" customHeight="1">
      <c r="A366" s="18" t="n"/>
      <c r="B366" s="24" t="n"/>
      <c r="C366" s="19" t="n"/>
      <c r="D366" s="25" t="n"/>
      <c r="E366" s="18" t="n"/>
      <c r="F366" s="25" t="n"/>
      <c r="G366" s="18" t="n"/>
      <c r="H366" s="18" t="n"/>
      <c r="I366" s="26">
        <f>IF(OR($A366="",$F366=""),"",ROUND(IF($D366="",1,$D366)*$F366,0))</f>
        <v/>
      </c>
      <c r="J366" s="27">
        <f>IF($A366="","",IF($O366="なし","※通知一覧にない通知No",IF($P366="","",INDEX('支払先'!$C$5:$C$104,$P366)&amp;"")))</f>
        <v/>
      </c>
      <c r="K366" s="28">
        <f>IF(NOT(ISNUMBER($O366)),"",IF(ISNUMBER(INDEX('通知一覧'!$F$5:$F$204,$O366)),INDEX('通知一覧'!$F$5:$F$204,$O366),""))</f>
        <v/>
      </c>
      <c r="L366" s="29">
        <f>IF(AND(ISNUMBER($B366),ISNUMBER($K366)),$K366-$B366+1,"")</f>
        <v/>
      </c>
      <c r="M366" s="30">
        <f>IF(OR($L366="",$P366=""),"",IF(INDEX('支払先'!$M$5:$M$104,$P366)="対象外","",IF(AND($L366&gt;60,$K366&gt;=EDATE($B366,2)),"超える","")))</f>
        <v/>
      </c>
      <c r="N366" s="67" t="n"/>
      <c r="O366" s="31">
        <f>IF($A366="","",IFERROR(MATCH($A366,'通知一覧'!$B$5:$B$204,0),"なし"))</f>
        <v/>
      </c>
      <c r="P366" s="31">
        <f>IF(NOT(ISNUMBER($O366)),"",IFERROR(MATCH(INDEX('通知一覧'!$C$5:$C$204,$O366),'支払先'!$B$5:$B$104,0),""))</f>
        <v/>
      </c>
      <c r="Q366" s="31">
        <f>IF(AND($A366&lt;&gt;"",$A366='支払通知書'!$K$2),ROW(),"")</f>
        <v/>
      </c>
    </row>
    <row r="367" ht="18" customHeight="1">
      <c r="A367" s="18" t="n"/>
      <c r="B367" s="24" t="n"/>
      <c r="C367" s="19" t="n"/>
      <c r="D367" s="25" t="n"/>
      <c r="E367" s="18" t="n"/>
      <c r="F367" s="25" t="n"/>
      <c r="G367" s="18" t="n"/>
      <c r="H367" s="18" t="n"/>
      <c r="I367" s="26">
        <f>IF(OR($A367="",$F367=""),"",ROUND(IF($D367="",1,$D367)*$F367,0))</f>
        <v/>
      </c>
      <c r="J367" s="27">
        <f>IF($A367="","",IF($O367="なし","※通知一覧にない通知No",IF($P367="","",INDEX('支払先'!$C$5:$C$104,$P367)&amp;"")))</f>
        <v/>
      </c>
      <c r="K367" s="28">
        <f>IF(NOT(ISNUMBER($O367)),"",IF(ISNUMBER(INDEX('通知一覧'!$F$5:$F$204,$O367)),INDEX('通知一覧'!$F$5:$F$204,$O367),""))</f>
        <v/>
      </c>
      <c r="L367" s="29">
        <f>IF(AND(ISNUMBER($B367),ISNUMBER($K367)),$K367-$B367+1,"")</f>
        <v/>
      </c>
      <c r="M367" s="30">
        <f>IF(OR($L367="",$P367=""),"",IF(INDEX('支払先'!$M$5:$M$104,$P367)="対象外","",IF(AND($L367&gt;60,$K367&gt;=EDATE($B367,2)),"超える","")))</f>
        <v/>
      </c>
      <c r="N367" s="67" t="n"/>
      <c r="O367" s="31">
        <f>IF($A367="","",IFERROR(MATCH($A367,'通知一覧'!$B$5:$B$204,0),"なし"))</f>
        <v/>
      </c>
      <c r="P367" s="31">
        <f>IF(NOT(ISNUMBER($O367)),"",IFERROR(MATCH(INDEX('通知一覧'!$C$5:$C$204,$O367),'支払先'!$B$5:$B$104,0),""))</f>
        <v/>
      </c>
      <c r="Q367" s="31">
        <f>IF(AND($A367&lt;&gt;"",$A367='支払通知書'!$K$2),ROW(),"")</f>
        <v/>
      </c>
    </row>
    <row r="368" ht="18" customHeight="1">
      <c r="A368" s="18" t="n"/>
      <c r="B368" s="24" t="n"/>
      <c r="C368" s="19" t="n"/>
      <c r="D368" s="25" t="n"/>
      <c r="E368" s="18" t="n"/>
      <c r="F368" s="25" t="n"/>
      <c r="G368" s="18" t="n"/>
      <c r="H368" s="18" t="n"/>
      <c r="I368" s="26">
        <f>IF(OR($A368="",$F368=""),"",ROUND(IF($D368="",1,$D368)*$F368,0))</f>
        <v/>
      </c>
      <c r="J368" s="27">
        <f>IF($A368="","",IF($O368="なし","※通知一覧にない通知No",IF($P368="","",INDEX('支払先'!$C$5:$C$104,$P368)&amp;"")))</f>
        <v/>
      </c>
      <c r="K368" s="28">
        <f>IF(NOT(ISNUMBER($O368)),"",IF(ISNUMBER(INDEX('通知一覧'!$F$5:$F$204,$O368)),INDEX('通知一覧'!$F$5:$F$204,$O368),""))</f>
        <v/>
      </c>
      <c r="L368" s="29">
        <f>IF(AND(ISNUMBER($B368),ISNUMBER($K368)),$K368-$B368+1,"")</f>
        <v/>
      </c>
      <c r="M368" s="30">
        <f>IF(OR($L368="",$P368=""),"",IF(INDEX('支払先'!$M$5:$M$104,$P368)="対象外","",IF(AND($L368&gt;60,$K368&gt;=EDATE($B368,2)),"超える","")))</f>
        <v/>
      </c>
      <c r="N368" s="67" t="n"/>
      <c r="O368" s="31">
        <f>IF($A368="","",IFERROR(MATCH($A368,'通知一覧'!$B$5:$B$204,0),"なし"))</f>
        <v/>
      </c>
      <c r="P368" s="31">
        <f>IF(NOT(ISNUMBER($O368)),"",IFERROR(MATCH(INDEX('通知一覧'!$C$5:$C$204,$O368),'支払先'!$B$5:$B$104,0),""))</f>
        <v/>
      </c>
      <c r="Q368" s="31">
        <f>IF(AND($A368&lt;&gt;"",$A368='支払通知書'!$K$2),ROW(),"")</f>
        <v/>
      </c>
    </row>
    <row r="369" ht="18" customHeight="1">
      <c r="A369" s="18" t="n"/>
      <c r="B369" s="24" t="n"/>
      <c r="C369" s="19" t="n"/>
      <c r="D369" s="25" t="n"/>
      <c r="E369" s="18" t="n"/>
      <c r="F369" s="25" t="n"/>
      <c r="G369" s="18" t="n"/>
      <c r="H369" s="18" t="n"/>
      <c r="I369" s="26">
        <f>IF(OR($A369="",$F369=""),"",ROUND(IF($D369="",1,$D369)*$F369,0))</f>
        <v/>
      </c>
      <c r="J369" s="27">
        <f>IF($A369="","",IF($O369="なし","※通知一覧にない通知No",IF($P369="","",INDEX('支払先'!$C$5:$C$104,$P369)&amp;"")))</f>
        <v/>
      </c>
      <c r="K369" s="28">
        <f>IF(NOT(ISNUMBER($O369)),"",IF(ISNUMBER(INDEX('通知一覧'!$F$5:$F$204,$O369)),INDEX('通知一覧'!$F$5:$F$204,$O369),""))</f>
        <v/>
      </c>
      <c r="L369" s="29">
        <f>IF(AND(ISNUMBER($B369),ISNUMBER($K369)),$K369-$B369+1,"")</f>
        <v/>
      </c>
      <c r="M369" s="30">
        <f>IF(OR($L369="",$P369=""),"",IF(INDEX('支払先'!$M$5:$M$104,$P369)="対象外","",IF(AND($L369&gt;60,$K369&gt;=EDATE($B369,2)),"超える","")))</f>
        <v/>
      </c>
      <c r="N369" s="67" t="n"/>
      <c r="O369" s="31">
        <f>IF($A369="","",IFERROR(MATCH($A369,'通知一覧'!$B$5:$B$204,0),"なし"))</f>
        <v/>
      </c>
      <c r="P369" s="31">
        <f>IF(NOT(ISNUMBER($O369)),"",IFERROR(MATCH(INDEX('通知一覧'!$C$5:$C$204,$O369),'支払先'!$B$5:$B$104,0),""))</f>
        <v/>
      </c>
      <c r="Q369" s="31">
        <f>IF(AND($A369&lt;&gt;"",$A369='支払通知書'!$K$2),ROW(),"")</f>
        <v/>
      </c>
    </row>
    <row r="370" ht="18" customHeight="1">
      <c r="A370" s="18" t="n"/>
      <c r="B370" s="24" t="n"/>
      <c r="C370" s="19" t="n"/>
      <c r="D370" s="25" t="n"/>
      <c r="E370" s="18" t="n"/>
      <c r="F370" s="25" t="n"/>
      <c r="G370" s="18" t="n"/>
      <c r="H370" s="18" t="n"/>
      <c r="I370" s="26">
        <f>IF(OR($A370="",$F370=""),"",ROUND(IF($D370="",1,$D370)*$F370,0))</f>
        <v/>
      </c>
      <c r="J370" s="27">
        <f>IF($A370="","",IF($O370="なし","※通知一覧にない通知No",IF($P370="","",INDEX('支払先'!$C$5:$C$104,$P370)&amp;"")))</f>
        <v/>
      </c>
      <c r="K370" s="28">
        <f>IF(NOT(ISNUMBER($O370)),"",IF(ISNUMBER(INDEX('通知一覧'!$F$5:$F$204,$O370)),INDEX('通知一覧'!$F$5:$F$204,$O370),""))</f>
        <v/>
      </c>
      <c r="L370" s="29">
        <f>IF(AND(ISNUMBER($B370),ISNUMBER($K370)),$K370-$B370+1,"")</f>
        <v/>
      </c>
      <c r="M370" s="30">
        <f>IF(OR($L370="",$P370=""),"",IF(INDEX('支払先'!$M$5:$M$104,$P370)="対象外","",IF(AND($L370&gt;60,$K370&gt;=EDATE($B370,2)),"超える","")))</f>
        <v/>
      </c>
      <c r="N370" s="67" t="n"/>
      <c r="O370" s="31">
        <f>IF($A370="","",IFERROR(MATCH($A370,'通知一覧'!$B$5:$B$204,0),"なし"))</f>
        <v/>
      </c>
      <c r="P370" s="31">
        <f>IF(NOT(ISNUMBER($O370)),"",IFERROR(MATCH(INDEX('通知一覧'!$C$5:$C$204,$O370),'支払先'!$B$5:$B$104,0),""))</f>
        <v/>
      </c>
      <c r="Q370" s="31">
        <f>IF(AND($A370&lt;&gt;"",$A370='支払通知書'!$K$2),ROW(),"")</f>
        <v/>
      </c>
    </row>
    <row r="371" ht="18" customHeight="1">
      <c r="A371" s="18" t="n"/>
      <c r="B371" s="24" t="n"/>
      <c r="C371" s="19" t="n"/>
      <c r="D371" s="25" t="n"/>
      <c r="E371" s="18" t="n"/>
      <c r="F371" s="25" t="n"/>
      <c r="G371" s="18" t="n"/>
      <c r="H371" s="18" t="n"/>
      <c r="I371" s="26">
        <f>IF(OR($A371="",$F371=""),"",ROUND(IF($D371="",1,$D371)*$F371,0))</f>
        <v/>
      </c>
      <c r="J371" s="27">
        <f>IF($A371="","",IF($O371="なし","※通知一覧にない通知No",IF($P371="","",INDEX('支払先'!$C$5:$C$104,$P371)&amp;"")))</f>
        <v/>
      </c>
      <c r="K371" s="28">
        <f>IF(NOT(ISNUMBER($O371)),"",IF(ISNUMBER(INDEX('通知一覧'!$F$5:$F$204,$O371)),INDEX('通知一覧'!$F$5:$F$204,$O371),""))</f>
        <v/>
      </c>
      <c r="L371" s="29">
        <f>IF(AND(ISNUMBER($B371),ISNUMBER($K371)),$K371-$B371+1,"")</f>
        <v/>
      </c>
      <c r="M371" s="30">
        <f>IF(OR($L371="",$P371=""),"",IF(INDEX('支払先'!$M$5:$M$104,$P371)="対象外","",IF(AND($L371&gt;60,$K371&gt;=EDATE($B371,2)),"超える","")))</f>
        <v/>
      </c>
      <c r="N371" s="67" t="n"/>
      <c r="O371" s="31">
        <f>IF($A371="","",IFERROR(MATCH($A371,'通知一覧'!$B$5:$B$204,0),"なし"))</f>
        <v/>
      </c>
      <c r="P371" s="31">
        <f>IF(NOT(ISNUMBER($O371)),"",IFERROR(MATCH(INDEX('通知一覧'!$C$5:$C$204,$O371),'支払先'!$B$5:$B$104,0),""))</f>
        <v/>
      </c>
      <c r="Q371" s="31">
        <f>IF(AND($A371&lt;&gt;"",$A371='支払通知書'!$K$2),ROW(),"")</f>
        <v/>
      </c>
    </row>
    <row r="372" ht="18" customHeight="1">
      <c r="A372" s="18" t="n"/>
      <c r="B372" s="24" t="n"/>
      <c r="C372" s="19" t="n"/>
      <c r="D372" s="25" t="n"/>
      <c r="E372" s="18" t="n"/>
      <c r="F372" s="25" t="n"/>
      <c r="G372" s="18" t="n"/>
      <c r="H372" s="18" t="n"/>
      <c r="I372" s="26">
        <f>IF(OR($A372="",$F372=""),"",ROUND(IF($D372="",1,$D372)*$F372,0))</f>
        <v/>
      </c>
      <c r="J372" s="27">
        <f>IF($A372="","",IF($O372="なし","※通知一覧にない通知No",IF($P372="","",INDEX('支払先'!$C$5:$C$104,$P372)&amp;"")))</f>
        <v/>
      </c>
      <c r="K372" s="28">
        <f>IF(NOT(ISNUMBER($O372)),"",IF(ISNUMBER(INDEX('通知一覧'!$F$5:$F$204,$O372)),INDEX('通知一覧'!$F$5:$F$204,$O372),""))</f>
        <v/>
      </c>
      <c r="L372" s="29">
        <f>IF(AND(ISNUMBER($B372),ISNUMBER($K372)),$K372-$B372+1,"")</f>
        <v/>
      </c>
      <c r="M372" s="30">
        <f>IF(OR($L372="",$P372=""),"",IF(INDEX('支払先'!$M$5:$M$104,$P372)="対象外","",IF(AND($L372&gt;60,$K372&gt;=EDATE($B372,2)),"超える","")))</f>
        <v/>
      </c>
      <c r="N372" s="67" t="n"/>
      <c r="O372" s="31">
        <f>IF($A372="","",IFERROR(MATCH($A372,'通知一覧'!$B$5:$B$204,0),"なし"))</f>
        <v/>
      </c>
      <c r="P372" s="31">
        <f>IF(NOT(ISNUMBER($O372)),"",IFERROR(MATCH(INDEX('通知一覧'!$C$5:$C$204,$O372),'支払先'!$B$5:$B$104,0),""))</f>
        <v/>
      </c>
      <c r="Q372" s="31">
        <f>IF(AND($A372&lt;&gt;"",$A372='支払通知書'!$K$2),ROW(),"")</f>
        <v/>
      </c>
    </row>
    <row r="373" ht="18" customHeight="1">
      <c r="A373" s="18" t="n"/>
      <c r="B373" s="24" t="n"/>
      <c r="C373" s="19" t="n"/>
      <c r="D373" s="25" t="n"/>
      <c r="E373" s="18" t="n"/>
      <c r="F373" s="25" t="n"/>
      <c r="G373" s="18" t="n"/>
      <c r="H373" s="18" t="n"/>
      <c r="I373" s="26">
        <f>IF(OR($A373="",$F373=""),"",ROUND(IF($D373="",1,$D373)*$F373,0))</f>
        <v/>
      </c>
      <c r="J373" s="27">
        <f>IF($A373="","",IF($O373="なし","※通知一覧にない通知No",IF($P373="","",INDEX('支払先'!$C$5:$C$104,$P373)&amp;"")))</f>
        <v/>
      </c>
      <c r="K373" s="28">
        <f>IF(NOT(ISNUMBER($O373)),"",IF(ISNUMBER(INDEX('通知一覧'!$F$5:$F$204,$O373)),INDEX('通知一覧'!$F$5:$F$204,$O373),""))</f>
        <v/>
      </c>
      <c r="L373" s="29">
        <f>IF(AND(ISNUMBER($B373),ISNUMBER($K373)),$K373-$B373+1,"")</f>
        <v/>
      </c>
      <c r="M373" s="30">
        <f>IF(OR($L373="",$P373=""),"",IF(INDEX('支払先'!$M$5:$M$104,$P373)="対象外","",IF(AND($L373&gt;60,$K373&gt;=EDATE($B373,2)),"超える","")))</f>
        <v/>
      </c>
      <c r="N373" s="67" t="n"/>
      <c r="O373" s="31">
        <f>IF($A373="","",IFERROR(MATCH($A373,'通知一覧'!$B$5:$B$204,0),"なし"))</f>
        <v/>
      </c>
      <c r="P373" s="31">
        <f>IF(NOT(ISNUMBER($O373)),"",IFERROR(MATCH(INDEX('通知一覧'!$C$5:$C$204,$O373),'支払先'!$B$5:$B$104,0),""))</f>
        <v/>
      </c>
      <c r="Q373" s="31">
        <f>IF(AND($A373&lt;&gt;"",$A373='支払通知書'!$K$2),ROW(),"")</f>
        <v/>
      </c>
    </row>
    <row r="374" ht="18" customHeight="1">
      <c r="A374" s="18" t="n"/>
      <c r="B374" s="24" t="n"/>
      <c r="C374" s="19" t="n"/>
      <c r="D374" s="25" t="n"/>
      <c r="E374" s="18" t="n"/>
      <c r="F374" s="25" t="n"/>
      <c r="G374" s="18" t="n"/>
      <c r="H374" s="18" t="n"/>
      <c r="I374" s="26">
        <f>IF(OR($A374="",$F374=""),"",ROUND(IF($D374="",1,$D374)*$F374,0))</f>
        <v/>
      </c>
      <c r="J374" s="27">
        <f>IF($A374="","",IF($O374="なし","※通知一覧にない通知No",IF($P374="","",INDEX('支払先'!$C$5:$C$104,$P374)&amp;"")))</f>
        <v/>
      </c>
      <c r="K374" s="28">
        <f>IF(NOT(ISNUMBER($O374)),"",IF(ISNUMBER(INDEX('通知一覧'!$F$5:$F$204,$O374)),INDEX('通知一覧'!$F$5:$F$204,$O374),""))</f>
        <v/>
      </c>
      <c r="L374" s="29">
        <f>IF(AND(ISNUMBER($B374),ISNUMBER($K374)),$K374-$B374+1,"")</f>
        <v/>
      </c>
      <c r="M374" s="30">
        <f>IF(OR($L374="",$P374=""),"",IF(INDEX('支払先'!$M$5:$M$104,$P374)="対象外","",IF(AND($L374&gt;60,$K374&gt;=EDATE($B374,2)),"超える","")))</f>
        <v/>
      </c>
      <c r="N374" s="67" t="n"/>
      <c r="O374" s="31">
        <f>IF($A374="","",IFERROR(MATCH($A374,'通知一覧'!$B$5:$B$204,0),"なし"))</f>
        <v/>
      </c>
      <c r="P374" s="31">
        <f>IF(NOT(ISNUMBER($O374)),"",IFERROR(MATCH(INDEX('通知一覧'!$C$5:$C$204,$O374),'支払先'!$B$5:$B$104,0),""))</f>
        <v/>
      </c>
      <c r="Q374" s="31">
        <f>IF(AND($A374&lt;&gt;"",$A374='支払通知書'!$K$2),ROW(),"")</f>
        <v/>
      </c>
    </row>
    <row r="375" ht="18" customHeight="1">
      <c r="A375" s="18" t="n"/>
      <c r="B375" s="24" t="n"/>
      <c r="C375" s="19" t="n"/>
      <c r="D375" s="25" t="n"/>
      <c r="E375" s="18" t="n"/>
      <c r="F375" s="25" t="n"/>
      <c r="G375" s="18" t="n"/>
      <c r="H375" s="18" t="n"/>
      <c r="I375" s="26">
        <f>IF(OR($A375="",$F375=""),"",ROUND(IF($D375="",1,$D375)*$F375,0))</f>
        <v/>
      </c>
      <c r="J375" s="27">
        <f>IF($A375="","",IF($O375="なし","※通知一覧にない通知No",IF($P375="","",INDEX('支払先'!$C$5:$C$104,$P375)&amp;"")))</f>
        <v/>
      </c>
      <c r="K375" s="28">
        <f>IF(NOT(ISNUMBER($O375)),"",IF(ISNUMBER(INDEX('通知一覧'!$F$5:$F$204,$O375)),INDEX('通知一覧'!$F$5:$F$204,$O375),""))</f>
        <v/>
      </c>
      <c r="L375" s="29">
        <f>IF(AND(ISNUMBER($B375),ISNUMBER($K375)),$K375-$B375+1,"")</f>
        <v/>
      </c>
      <c r="M375" s="30">
        <f>IF(OR($L375="",$P375=""),"",IF(INDEX('支払先'!$M$5:$M$104,$P375)="対象外","",IF(AND($L375&gt;60,$K375&gt;=EDATE($B375,2)),"超える","")))</f>
        <v/>
      </c>
      <c r="N375" s="67" t="n"/>
      <c r="O375" s="31">
        <f>IF($A375="","",IFERROR(MATCH($A375,'通知一覧'!$B$5:$B$204,0),"なし"))</f>
        <v/>
      </c>
      <c r="P375" s="31">
        <f>IF(NOT(ISNUMBER($O375)),"",IFERROR(MATCH(INDEX('通知一覧'!$C$5:$C$204,$O375),'支払先'!$B$5:$B$104,0),""))</f>
        <v/>
      </c>
      <c r="Q375" s="31">
        <f>IF(AND($A375&lt;&gt;"",$A375='支払通知書'!$K$2),ROW(),"")</f>
        <v/>
      </c>
    </row>
    <row r="376" ht="18" customHeight="1">
      <c r="A376" s="18" t="n"/>
      <c r="B376" s="24" t="n"/>
      <c r="C376" s="19" t="n"/>
      <c r="D376" s="25" t="n"/>
      <c r="E376" s="18" t="n"/>
      <c r="F376" s="25" t="n"/>
      <c r="G376" s="18" t="n"/>
      <c r="H376" s="18" t="n"/>
      <c r="I376" s="26">
        <f>IF(OR($A376="",$F376=""),"",ROUND(IF($D376="",1,$D376)*$F376,0))</f>
        <v/>
      </c>
      <c r="J376" s="27">
        <f>IF($A376="","",IF($O376="なし","※通知一覧にない通知No",IF($P376="","",INDEX('支払先'!$C$5:$C$104,$P376)&amp;"")))</f>
        <v/>
      </c>
      <c r="K376" s="28">
        <f>IF(NOT(ISNUMBER($O376)),"",IF(ISNUMBER(INDEX('通知一覧'!$F$5:$F$204,$O376)),INDEX('通知一覧'!$F$5:$F$204,$O376),""))</f>
        <v/>
      </c>
      <c r="L376" s="29">
        <f>IF(AND(ISNUMBER($B376),ISNUMBER($K376)),$K376-$B376+1,"")</f>
        <v/>
      </c>
      <c r="M376" s="30">
        <f>IF(OR($L376="",$P376=""),"",IF(INDEX('支払先'!$M$5:$M$104,$P376)="対象外","",IF(AND($L376&gt;60,$K376&gt;=EDATE($B376,2)),"超える","")))</f>
        <v/>
      </c>
      <c r="N376" s="67" t="n"/>
      <c r="O376" s="31">
        <f>IF($A376="","",IFERROR(MATCH($A376,'通知一覧'!$B$5:$B$204,0),"なし"))</f>
        <v/>
      </c>
      <c r="P376" s="31">
        <f>IF(NOT(ISNUMBER($O376)),"",IFERROR(MATCH(INDEX('通知一覧'!$C$5:$C$204,$O376),'支払先'!$B$5:$B$104,0),""))</f>
        <v/>
      </c>
      <c r="Q376" s="31">
        <f>IF(AND($A376&lt;&gt;"",$A376='支払通知書'!$K$2),ROW(),"")</f>
        <v/>
      </c>
    </row>
    <row r="377" ht="18" customHeight="1">
      <c r="A377" s="18" t="n"/>
      <c r="B377" s="24" t="n"/>
      <c r="C377" s="19" t="n"/>
      <c r="D377" s="25" t="n"/>
      <c r="E377" s="18" t="n"/>
      <c r="F377" s="25" t="n"/>
      <c r="G377" s="18" t="n"/>
      <c r="H377" s="18" t="n"/>
      <c r="I377" s="26">
        <f>IF(OR($A377="",$F377=""),"",ROUND(IF($D377="",1,$D377)*$F377,0))</f>
        <v/>
      </c>
      <c r="J377" s="27">
        <f>IF($A377="","",IF($O377="なし","※通知一覧にない通知No",IF($P377="","",INDEX('支払先'!$C$5:$C$104,$P377)&amp;"")))</f>
        <v/>
      </c>
      <c r="K377" s="28">
        <f>IF(NOT(ISNUMBER($O377)),"",IF(ISNUMBER(INDEX('通知一覧'!$F$5:$F$204,$O377)),INDEX('通知一覧'!$F$5:$F$204,$O377),""))</f>
        <v/>
      </c>
      <c r="L377" s="29">
        <f>IF(AND(ISNUMBER($B377),ISNUMBER($K377)),$K377-$B377+1,"")</f>
        <v/>
      </c>
      <c r="M377" s="30">
        <f>IF(OR($L377="",$P377=""),"",IF(INDEX('支払先'!$M$5:$M$104,$P377)="対象外","",IF(AND($L377&gt;60,$K377&gt;=EDATE($B377,2)),"超える","")))</f>
        <v/>
      </c>
      <c r="N377" s="67" t="n"/>
      <c r="O377" s="31">
        <f>IF($A377="","",IFERROR(MATCH($A377,'通知一覧'!$B$5:$B$204,0),"なし"))</f>
        <v/>
      </c>
      <c r="P377" s="31">
        <f>IF(NOT(ISNUMBER($O377)),"",IFERROR(MATCH(INDEX('通知一覧'!$C$5:$C$204,$O377),'支払先'!$B$5:$B$104,0),""))</f>
        <v/>
      </c>
      <c r="Q377" s="31">
        <f>IF(AND($A377&lt;&gt;"",$A377='支払通知書'!$K$2),ROW(),"")</f>
        <v/>
      </c>
    </row>
    <row r="378" ht="18" customHeight="1">
      <c r="A378" s="18" t="n"/>
      <c r="B378" s="24" t="n"/>
      <c r="C378" s="19" t="n"/>
      <c r="D378" s="25" t="n"/>
      <c r="E378" s="18" t="n"/>
      <c r="F378" s="25" t="n"/>
      <c r="G378" s="18" t="n"/>
      <c r="H378" s="18" t="n"/>
      <c r="I378" s="26">
        <f>IF(OR($A378="",$F378=""),"",ROUND(IF($D378="",1,$D378)*$F378,0))</f>
        <v/>
      </c>
      <c r="J378" s="27">
        <f>IF($A378="","",IF($O378="なし","※通知一覧にない通知No",IF($P378="","",INDEX('支払先'!$C$5:$C$104,$P378)&amp;"")))</f>
        <v/>
      </c>
      <c r="K378" s="28">
        <f>IF(NOT(ISNUMBER($O378)),"",IF(ISNUMBER(INDEX('通知一覧'!$F$5:$F$204,$O378)),INDEX('通知一覧'!$F$5:$F$204,$O378),""))</f>
        <v/>
      </c>
      <c r="L378" s="29">
        <f>IF(AND(ISNUMBER($B378),ISNUMBER($K378)),$K378-$B378+1,"")</f>
        <v/>
      </c>
      <c r="M378" s="30">
        <f>IF(OR($L378="",$P378=""),"",IF(INDEX('支払先'!$M$5:$M$104,$P378)="対象外","",IF(AND($L378&gt;60,$K378&gt;=EDATE($B378,2)),"超える","")))</f>
        <v/>
      </c>
      <c r="N378" s="67" t="n"/>
      <c r="O378" s="31">
        <f>IF($A378="","",IFERROR(MATCH($A378,'通知一覧'!$B$5:$B$204,0),"なし"))</f>
        <v/>
      </c>
      <c r="P378" s="31">
        <f>IF(NOT(ISNUMBER($O378)),"",IFERROR(MATCH(INDEX('通知一覧'!$C$5:$C$204,$O378),'支払先'!$B$5:$B$104,0),""))</f>
        <v/>
      </c>
      <c r="Q378" s="31">
        <f>IF(AND($A378&lt;&gt;"",$A378='支払通知書'!$K$2),ROW(),"")</f>
        <v/>
      </c>
    </row>
    <row r="379" ht="18" customHeight="1">
      <c r="A379" s="18" t="n"/>
      <c r="B379" s="24" t="n"/>
      <c r="C379" s="19" t="n"/>
      <c r="D379" s="25" t="n"/>
      <c r="E379" s="18" t="n"/>
      <c r="F379" s="25" t="n"/>
      <c r="G379" s="18" t="n"/>
      <c r="H379" s="18" t="n"/>
      <c r="I379" s="26">
        <f>IF(OR($A379="",$F379=""),"",ROUND(IF($D379="",1,$D379)*$F379,0))</f>
        <v/>
      </c>
      <c r="J379" s="27">
        <f>IF($A379="","",IF($O379="なし","※通知一覧にない通知No",IF($P379="","",INDEX('支払先'!$C$5:$C$104,$P379)&amp;"")))</f>
        <v/>
      </c>
      <c r="K379" s="28">
        <f>IF(NOT(ISNUMBER($O379)),"",IF(ISNUMBER(INDEX('通知一覧'!$F$5:$F$204,$O379)),INDEX('通知一覧'!$F$5:$F$204,$O379),""))</f>
        <v/>
      </c>
      <c r="L379" s="29">
        <f>IF(AND(ISNUMBER($B379),ISNUMBER($K379)),$K379-$B379+1,"")</f>
        <v/>
      </c>
      <c r="M379" s="30">
        <f>IF(OR($L379="",$P379=""),"",IF(INDEX('支払先'!$M$5:$M$104,$P379)="対象外","",IF(AND($L379&gt;60,$K379&gt;=EDATE($B379,2)),"超える","")))</f>
        <v/>
      </c>
      <c r="N379" s="67" t="n"/>
      <c r="O379" s="31">
        <f>IF($A379="","",IFERROR(MATCH($A379,'通知一覧'!$B$5:$B$204,0),"なし"))</f>
        <v/>
      </c>
      <c r="P379" s="31">
        <f>IF(NOT(ISNUMBER($O379)),"",IFERROR(MATCH(INDEX('通知一覧'!$C$5:$C$204,$O379),'支払先'!$B$5:$B$104,0),""))</f>
        <v/>
      </c>
      <c r="Q379" s="31">
        <f>IF(AND($A379&lt;&gt;"",$A379='支払通知書'!$K$2),ROW(),"")</f>
        <v/>
      </c>
    </row>
    <row r="380" ht="18" customHeight="1">
      <c r="A380" s="18" t="n"/>
      <c r="B380" s="24" t="n"/>
      <c r="C380" s="19" t="n"/>
      <c r="D380" s="25" t="n"/>
      <c r="E380" s="18" t="n"/>
      <c r="F380" s="25" t="n"/>
      <c r="G380" s="18" t="n"/>
      <c r="H380" s="18" t="n"/>
      <c r="I380" s="26">
        <f>IF(OR($A380="",$F380=""),"",ROUND(IF($D380="",1,$D380)*$F380,0))</f>
        <v/>
      </c>
      <c r="J380" s="27">
        <f>IF($A380="","",IF($O380="なし","※通知一覧にない通知No",IF($P380="","",INDEX('支払先'!$C$5:$C$104,$P380)&amp;"")))</f>
        <v/>
      </c>
      <c r="K380" s="28">
        <f>IF(NOT(ISNUMBER($O380)),"",IF(ISNUMBER(INDEX('通知一覧'!$F$5:$F$204,$O380)),INDEX('通知一覧'!$F$5:$F$204,$O380),""))</f>
        <v/>
      </c>
      <c r="L380" s="29">
        <f>IF(AND(ISNUMBER($B380),ISNUMBER($K380)),$K380-$B380+1,"")</f>
        <v/>
      </c>
      <c r="M380" s="30">
        <f>IF(OR($L380="",$P380=""),"",IF(INDEX('支払先'!$M$5:$M$104,$P380)="対象外","",IF(AND($L380&gt;60,$K380&gt;=EDATE($B380,2)),"超える","")))</f>
        <v/>
      </c>
      <c r="N380" s="67" t="n"/>
      <c r="O380" s="31">
        <f>IF($A380="","",IFERROR(MATCH($A380,'通知一覧'!$B$5:$B$204,0),"なし"))</f>
        <v/>
      </c>
      <c r="P380" s="31">
        <f>IF(NOT(ISNUMBER($O380)),"",IFERROR(MATCH(INDEX('通知一覧'!$C$5:$C$204,$O380),'支払先'!$B$5:$B$104,0),""))</f>
        <v/>
      </c>
      <c r="Q380" s="31">
        <f>IF(AND($A380&lt;&gt;"",$A380='支払通知書'!$K$2),ROW(),"")</f>
        <v/>
      </c>
    </row>
    <row r="381" ht="18" customHeight="1">
      <c r="A381" s="18" t="n"/>
      <c r="B381" s="24" t="n"/>
      <c r="C381" s="19" t="n"/>
      <c r="D381" s="25" t="n"/>
      <c r="E381" s="18" t="n"/>
      <c r="F381" s="25" t="n"/>
      <c r="G381" s="18" t="n"/>
      <c r="H381" s="18" t="n"/>
      <c r="I381" s="26">
        <f>IF(OR($A381="",$F381=""),"",ROUND(IF($D381="",1,$D381)*$F381,0))</f>
        <v/>
      </c>
      <c r="J381" s="27">
        <f>IF($A381="","",IF($O381="なし","※通知一覧にない通知No",IF($P381="","",INDEX('支払先'!$C$5:$C$104,$P381)&amp;"")))</f>
        <v/>
      </c>
      <c r="K381" s="28">
        <f>IF(NOT(ISNUMBER($O381)),"",IF(ISNUMBER(INDEX('通知一覧'!$F$5:$F$204,$O381)),INDEX('通知一覧'!$F$5:$F$204,$O381),""))</f>
        <v/>
      </c>
      <c r="L381" s="29">
        <f>IF(AND(ISNUMBER($B381),ISNUMBER($K381)),$K381-$B381+1,"")</f>
        <v/>
      </c>
      <c r="M381" s="30">
        <f>IF(OR($L381="",$P381=""),"",IF(INDEX('支払先'!$M$5:$M$104,$P381)="対象外","",IF(AND($L381&gt;60,$K381&gt;=EDATE($B381,2)),"超える","")))</f>
        <v/>
      </c>
      <c r="N381" s="67" t="n"/>
      <c r="O381" s="31">
        <f>IF($A381="","",IFERROR(MATCH($A381,'通知一覧'!$B$5:$B$204,0),"なし"))</f>
        <v/>
      </c>
      <c r="P381" s="31">
        <f>IF(NOT(ISNUMBER($O381)),"",IFERROR(MATCH(INDEX('通知一覧'!$C$5:$C$204,$O381),'支払先'!$B$5:$B$104,0),""))</f>
        <v/>
      </c>
      <c r="Q381" s="31">
        <f>IF(AND($A381&lt;&gt;"",$A381='支払通知書'!$K$2),ROW(),"")</f>
        <v/>
      </c>
    </row>
    <row r="382" ht="18" customHeight="1">
      <c r="A382" s="18" t="n"/>
      <c r="B382" s="24" t="n"/>
      <c r="C382" s="19" t="n"/>
      <c r="D382" s="25" t="n"/>
      <c r="E382" s="18" t="n"/>
      <c r="F382" s="25" t="n"/>
      <c r="G382" s="18" t="n"/>
      <c r="H382" s="18" t="n"/>
      <c r="I382" s="26">
        <f>IF(OR($A382="",$F382=""),"",ROUND(IF($D382="",1,$D382)*$F382,0))</f>
        <v/>
      </c>
      <c r="J382" s="27">
        <f>IF($A382="","",IF($O382="なし","※通知一覧にない通知No",IF($P382="","",INDEX('支払先'!$C$5:$C$104,$P382)&amp;"")))</f>
        <v/>
      </c>
      <c r="K382" s="28">
        <f>IF(NOT(ISNUMBER($O382)),"",IF(ISNUMBER(INDEX('通知一覧'!$F$5:$F$204,$O382)),INDEX('通知一覧'!$F$5:$F$204,$O382),""))</f>
        <v/>
      </c>
      <c r="L382" s="29">
        <f>IF(AND(ISNUMBER($B382),ISNUMBER($K382)),$K382-$B382+1,"")</f>
        <v/>
      </c>
      <c r="M382" s="30">
        <f>IF(OR($L382="",$P382=""),"",IF(INDEX('支払先'!$M$5:$M$104,$P382)="対象外","",IF(AND($L382&gt;60,$K382&gt;=EDATE($B382,2)),"超える","")))</f>
        <v/>
      </c>
      <c r="N382" s="67" t="n"/>
      <c r="O382" s="31">
        <f>IF($A382="","",IFERROR(MATCH($A382,'通知一覧'!$B$5:$B$204,0),"なし"))</f>
        <v/>
      </c>
      <c r="P382" s="31">
        <f>IF(NOT(ISNUMBER($O382)),"",IFERROR(MATCH(INDEX('通知一覧'!$C$5:$C$204,$O382),'支払先'!$B$5:$B$104,0),""))</f>
        <v/>
      </c>
      <c r="Q382" s="31">
        <f>IF(AND($A382&lt;&gt;"",$A382='支払通知書'!$K$2),ROW(),"")</f>
        <v/>
      </c>
    </row>
    <row r="383" ht="18" customHeight="1">
      <c r="A383" s="18" t="n"/>
      <c r="B383" s="24" t="n"/>
      <c r="C383" s="19" t="n"/>
      <c r="D383" s="25" t="n"/>
      <c r="E383" s="18" t="n"/>
      <c r="F383" s="25" t="n"/>
      <c r="G383" s="18" t="n"/>
      <c r="H383" s="18" t="n"/>
      <c r="I383" s="26">
        <f>IF(OR($A383="",$F383=""),"",ROUND(IF($D383="",1,$D383)*$F383,0))</f>
        <v/>
      </c>
      <c r="J383" s="27">
        <f>IF($A383="","",IF($O383="なし","※通知一覧にない通知No",IF($P383="","",INDEX('支払先'!$C$5:$C$104,$P383)&amp;"")))</f>
        <v/>
      </c>
      <c r="K383" s="28">
        <f>IF(NOT(ISNUMBER($O383)),"",IF(ISNUMBER(INDEX('通知一覧'!$F$5:$F$204,$O383)),INDEX('通知一覧'!$F$5:$F$204,$O383),""))</f>
        <v/>
      </c>
      <c r="L383" s="29">
        <f>IF(AND(ISNUMBER($B383),ISNUMBER($K383)),$K383-$B383+1,"")</f>
        <v/>
      </c>
      <c r="M383" s="30">
        <f>IF(OR($L383="",$P383=""),"",IF(INDEX('支払先'!$M$5:$M$104,$P383)="対象外","",IF(AND($L383&gt;60,$K383&gt;=EDATE($B383,2)),"超える","")))</f>
        <v/>
      </c>
      <c r="N383" s="67" t="n"/>
      <c r="O383" s="31">
        <f>IF($A383="","",IFERROR(MATCH($A383,'通知一覧'!$B$5:$B$204,0),"なし"))</f>
        <v/>
      </c>
      <c r="P383" s="31">
        <f>IF(NOT(ISNUMBER($O383)),"",IFERROR(MATCH(INDEX('通知一覧'!$C$5:$C$204,$O383),'支払先'!$B$5:$B$104,0),""))</f>
        <v/>
      </c>
      <c r="Q383" s="31">
        <f>IF(AND($A383&lt;&gt;"",$A383='支払通知書'!$K$2),ROW(),"")</f>
        <v/>
      </c>
    </row>
    <row r="384" ht="18" customHeight="1">
      <c r="A384" s="18" t="n"/>
      <c r="B384" s="24" t="n"/>
      <c r="C384" s="19" t="n"/>
      <c r="D384" s="25" t="n"/>
      <c r="E384" s="18" t="n"/>
      <c r="F384" s="25" t="n"/>
      <c r="G384" s="18" t="n"/>
      <c r="H384" s="18" t="n"/>
      <c r="I384" s="26">
        <f>IF(OR($A384="",$F384=""),"",ROUND(IF($D384="",1,$D384)*$F384,0))</f>
        <v/>
      </c>
      <c r="J384" s="27">
        <f>IF($A384="","",IF($O384="なし","※通知一覧にない通知No",IF($P384="","",INDEX('支払先'!$C$5:$C$104,$P384)&amp;"")))</f>
        <v/>
      </c>
      <c r="K384" s="28">
        <f>IF(NOT(ISNUMBER($O384)),"",IF(ISNUMBER(INDEX('通知一覧'!$F$5:$F$204,$O384)),INDEX('通知一覧'!$F$5:$F$204,$O384),""))</f>
        <v/>
      </c>
      <c r="L384" s="29">
        <f>IF(AND(ISNUMBER($B384),ISNUMBER($K384)),$K384-$B384+1,"")</f>
        <v/>
      </c>
      <c r="M384" s="30">
        <f>IF(OR($L384="",$P384=""),"",IF(INDEX('支払先'!$M$5:$M$104,$P384)="対象外","",IF(AND($L384&gt;60,$K384&gt;=EDATE($B384,2)),"超える","")))</f>
        <v/>
      </c>
      <c r="N384" s="67" t="n"/>
      <c r="O384" s="31">
        <f>IF($A384="","",IFERROR(MATCH($A384,'通知一覧'!$B$5:$B$204,0),"なし"))</f>
        <v/>
      </c>
      <c r="P384" s="31">
        <f>IF(NOT(ISNUMBER($O384)),"",IFERROR(MATCH(INDEX('通知一覧'!$C$5:$C$204,$O384),'支払先'!$B$5:$B$104,0),""))</f>
        <v/>
      </c>
      <c r="Q384" s="31">
        <f>IF(AND($A384&lt;&gt;"",$A384='支払通知書'!$K$2),ROW(),"")</f>
        <v/>
      </c>
    </row>
    <row r="385" ht="18" customHeight="1">
      <c r="A385" s="18" t="n"/>
      <c r="B385" s="24" t="n"/>
      <c r="C385" s="19" t="n"/>
      <c r="D385" s="25" t="n"/>
      <c r="E385" s="18" t="n"/>
      <c r="F385" s="25" t="n"/>
      <c r="G385" s="18" t="n"/>
      <c r="H385" s="18" t="n"/>
      <c r="I385" s="26">
        <f>IF(OR($A385="",$F385=""),"",ROUND(IF($D385="",1,$D385)*$F385,0))</f>
        <v/>
      </c>
      <c r="J385" s="27">
        <f>IF($A385="","",IF($O385="なし","※通知一覧にない通知No",IF($P385="","",INDEX('支払先'!$C$5:$C$104,$P385)&amp;"")))</f>
        <v/>
      </c>
      <c r="K385" s="28">
        <f>IF(NOT(ISNUMBER($O385)),"",IF(ISNUMBER(INDEX('通知一覧'!$F$5:$F$204,$O385)),INDEX('通知一覧'!$F$5:$F$204,$O385),""))</f>
        <v/>
      </c>
      <c r="L385" s="29">
        <f>IF(AND(ISNUMBER($B385),ISNUMBER($K385)),$K385-$B385+1,"")</f>
        <v/>
      </c>
      <c r="M385" s="30">
        <f>IF(OR($L385="",$P385=""),"",IF(INDEX('支払先'!$M$5:$M$104,$P385)="対象外","",IF(AND($L385&gt;60,$K385&gt;=EDATE($B385,2)),"超える","")))</f>
        <v/>
      </c>
      <c r="N385" s="67" t="n"/>
      <c r="O385" s="31">
        <f>IF($A385="","",IFERROR(MATCH($A385,'通知一覧'!$B$5:$B$204,0),"なし"))</f>
        <v/>
      </c>
      <c r="P385" s="31">
        <f>IF(NOT(ISNUMBER($O385)),"",IFERROR(MATCH(INDEX('通知一覧'!$C$5:$C$204,$O385),'支払先'!$B$5:$B$104,0),""))</f>
        <v/>
      </c>
      <c r="Q385" s="31">
        <f>IF(AND($A385&lt;&gt;"",$A385='支払通知書'!$K$2),ROW(),"")</f>
        <v/>
      </c>
    </row>
    <row r="386" ht="18" customHeight="1">
      <c r="A386" s="18" t="n"/>
      <c r="B386" s="24" t="n"/>
      <c r="C386" s="19" t="n"/>
      <c r="D386" s="25" t="n"/>
      <c r="E386" s="18" t="n"/>
      <c r="F386" s="25" t="n"/>
      <c r="G386" s="18" t="n"/>
      <c r="H386" s="18" t="n"/>
      <c r="I386" s="26">
        <f>IF(OR($A386="",$F386=""),"",ROUND(IF($D386="",1,$D386)*$F386,0))</f>
        <v/>
      </c>
      <c r="J386" s="27">
        <f>IF($A386="","",IF($O386="なし","※通知一覧にない通知No",IF($P386="","",INDEX('支払先'!$C$5:$C$104,$P386)&amp;"")))</f>
        <v/>
      </c>
      <c r="K386" s="28">
        <f>IF(NOT(ISNUMBER($O386)),"",IF(ISNUMBER(INDEX('通知一覧'!$F$5:$F$204,$O386)),INDEX('通知一覧'!$F$5:$F$204,$O386),""))</f>
        <v/>
      </c>
      <c r="L386" s="29">
        <f>IF(AND(ISNUMBER($B386),ISNUMBER($K386)),$K386-$B386+1,"")</f>
        <v/>
      </c>
      <c r="M386" s="30">
        <f>IF(OR($L386="",$P386=""),"",IF(INDEX('支払先'!$M$5:$M$104,$P386)="対象外","",IF(AND($L386&gt;60,$K386&gt;=EDATE($B386,2)),"超える","")))</f>
        <v/>
      </c>
      <c r="N386" s="67" t="n"/>
      <c r="O386" s="31">
        <f>IF($A386="","",IFERROR(MATCH($A386,'通知一覧'!$B$5:$B$204,0),"なし"))</f>
        <v/>
      </c>
      <c r="P386" s="31">
        <f>IF(NOT(ISNUMBER($O386)),"",IFERROR(MATCH(INDEX('通知一覧'!$C$5:$C$204,$O386),'支払先'!$B$5:$B$104,0),""))</f>
        <v/>
      </c>
      <c r="Q386" s="31">
        <f>IF(AND($A386&lt;&gt;"",$A386='支払通知書'!$K$2),ROW(),"")</f>
        <v/>
      </c>
    </row>
    <row r="387" ht="18" customHeight="1">
      <c r="A387" s="18" t="n"/>
      <c r="B387" s="24" t="n"/>
      <c r="C387" s="19" t="n"/>
      <c r="D387" s="25" t="n"/>
      <c r="E387" s="18" t="n"/>
      <c r="F387" s="25" t="n"/>
      <c r="G387" s="18" t="n"/>
      <c r="H387" s="18" t="n"/>
      <c r="I387" s="26">
        <f>IF(OR($A387="",$F387=""),"",ROUND(IF($D387="",1,$D387)*$F387,0))</f>
        <v/>
      </c>
      <c r="J387" s="27">
        <f>IF($A387="","",IF($O387="なし","※通知一覧にない通知No",IF($P387="","",INDEX('支払先'!$C$5:$C$104,$P387)&amp;"")))</f>
        <v/>
      </c>
      <c r="K387" s="28">
        <f>IF(NOT(ISNUMBER($O387)),"",IF(ISNUMBER(INDEX('通知一覧'!$F$5:$F$204,$O387)),INDEX('通知一覧'!$F$5:$F$204,$O387),""))</f>
        <v/>
      </c>
      <c r="L387" s="29">
        <f>IF(AND(ISNUMBER($B387),ISNUMBER($K387)),$K387-$B387+1,"")</f>
        <v/>
      </c>
      <c r="M387" s="30">
        <f>IF(OR($L387="",$P387=""),"",IF(INDEX('支払先'!$M$5:$M$104,$P387)="対象外","",IF(AND($L387&gt;60,$K387&gt;=EDATE($B387,2)),"超える","")))</f>
        <v/>
      </c>
      <c r="N387" s="67" t="n"/>
      <c r="O387" s="31">
        <f>IF($A387="","",IFERROR(MATCH($A387,'通知一覧'!$B$5:$B$204,0),"なし"))</f>
        <v/>
      </c>
      <c r="P387" s="31">
        <f>IF(NOT(ISNUMBER($O387)),"",IFERROR(MATCH(INDEX('通知一覧'!$C$5:$C$204,$O387),'支払先'!$B$5:$B$104,0),""))</f>
        <v/>
      </c>
      <c r="Q387" s="31">
        <f>IF(AND($A387&lt;&gt;"",$A387='支払通知書'!$K$2),ROW(),"")</f>
        <v/>
      </c>
    </row>
    <row r="388" ht="18" customHeight="1">
      <c r="A388" s="18" t="n"/>
      <c r="B388" s="24" t="n"/>
      <c r="C388" s="19" t="n"/>
      <c r="D388" s="25" t="n"/>
      <c r="E388" s="18" t="n"/>
      <c r="F388" s="25" t="n"/>
      <c r="G388" s="18" t="n"/>
      <c r="H388" s="18" t="n"/>
      <c r="I388" s="26">
        <f>IF(OR($A388="",$F388=""),"",ROUND(IF($D388="",1,$D388)*$F388,0))</f>
        <v/>
      </c>
      <c r="J388" s="27">
        <f>IF($A388="","",IF($O388="なし","※通知一覧にない通知No",IF($P388="","",INDEX('支払先'!$C$5:$C$104,$P388)&amp;"")))</f>
        <v/>
      </c>
      <c r="K388" s="28">
        <f>IF(NOT(ISNUMBER($O388)),"",IF(ISNUMBER(INDEX('通知一覧'!$F$5:$F$204,$O388)),INDEX('通知一覧'!$F$5:$F$204,$O388),""))</f>
        <v/>
      </c>
      <c r="L388" s="29">
        <f>IF(AND(ISNUMBER($B388),ISNUMBER($K388)),$K388-$B388+1,"")</f>
        <v/>
      </c>
      <c r="M388" s="30">
        <f>IF(OR($L388="",$P388=""),"",IF(INDEX('支払先'!$M$5:$M$104,$P388)="対象外","",IF(AND($L388&gt;60,$K388&gt;=EDATE($B388,2)),"超える","")))</f>
        <v/>
      </c>
      <c r="N388" s="67" t="n"/>
      <c r="O388" s="31">
        <f>IF($A388="","",IFERROR(MATCH($A388,'通知一覧'!$B$5:$B$204,0),"なし"))</f>
        <v/>
      </c>
      <c r="P388" s="31">
        <f>IF(NOT(ISNUMBER($O388)),"",IFERROR(MATCH(INDEX('通知一覧'!$C$5:$C$204,$O388),'支払先'!$B$5:$B$104,0),""))</f>
        <v/>
      </c>
      <c r="Q388" s="31">
        <f>IF(AND($A388&lt;&gt;"",$A388='支払通知書'!$K$2),ROW(),"")</f>
        <v/>
      </c>
    </row>
    <row r="389" ht="18" customHeight="1">
      <c r="A389" s="18" t="n"/>
      <c r="B389" s="24" t="n"/>
      <c r="C389" s="19" t="n"/>
      <c r="D389" s="25" t="n"/>
      <c r="E389" s="18" t="n"/>
      <c r="F389" s="25" t="n"/>
      <c r="G389" s="18" t="n"/>
      <c r="H389" s="18" t="n"/>
      <c r="I389" s="26">
        <f>IF(OR($A389="",$F389=""),"",ROUND(IF($D389="",1,$D389)*$F389,0))</f>
        <v/>
      </c>
      <c r="J389" s="27">
        <f>IF($A389="","",IF($O389="なし","※通知一覧にない通知No",IF($P389="","",INDEX('支払先'!$C$5:$C$104,$P389)&amp;"")))</f>
        <v/>
      </c>
      <c r="K389" s="28">
        <f>IF(NOT(ISNUMBER($O389)),"",IF(ISNUMBER(INDEX('通知一覧'!$F$5:$F$204,$O389)),INDEX('通知一覧'!$F$5:$F$204,$O389),""))</f>
        <v/>
      </c>
      <c r="L389" s="29">
        <f>IF(AND(ISNUMBER($B389),ISNUMBER($K389)),$K389-$B389+1,"")</f>
        <v/>
      </c>
      <c r="M389" s="30">
        <f>IF(OR($L389="",$P389=""),"",IF(INDEX('支払先'!$M$5:$M$104,$P389)="対象外","",IF(AND($L389&gt;60,$K389&gt;=EDATE($B389,2)),"超える","")))</f>
        <v/>
      </c>
      <c r="N389" s="67" t="n"/>
      <c r="O389" s="31">
        <f>IF($A389="","",IFERROR(MATCH($A389,'通知一覧'!$B$5:$B$204,0),"なし"))</f>
        <v/>
      </c>
      <c r="P389" s="31">
        <f>IF(NOT(ISNUMBER($O389)),"",IFERROR(MATCH(INDEX('通知一覧'!$C$5:$C$204,$O389),'支払先'!$B$5:$B$104,0),""))</f>
        <v/>
      </c>
      <c r="Q389" s="31">
        <f>IF(AND($A389&lt;&gt;"",$A389='支払通知書'!$K$2),ROW(),"")</f>
        <v/>
      </c>
    </row>
    <row r="390" ht="18" customHeight="1">
      <c r="A390" s="18" t="n"/>
      <c r="B390" s="24" t="n"/>
      <c r="C390" s="19" t="n"/>
      <c r="D390" s="25" t="n"/>
      <c r="E390" s="18" t="n"/>
      <c r="F390" s="25" t="n"/>
      <c r="G390" s="18" t="n"/>
      <c r="H390" s="18" t="n"/>
      <c r="I390" s="26">
        <f>IF(OR($A390="",$F390=""),"",ROUND(IF($D390="",1,$D390)*$F390,0))</f>
        <v/>
      </c>
      <c r="J390" s="27">
        <f>IF($A390="","",IF($O390="なし","※通知一覧にない通知No",IF($P390="","",INDEX('支払先'!$C$5:$C$104,$P390)&amp;"")))</f>
        <v/>
      </c>
      <c r="K390" s="28">
        <f>IF(NOT(ISNUMBER($O390)),"",IF(ISNUMBER(INDEX('通知一覧'!$F$5:$F$204,$O390)),INDEX('通知一覧'!$F$5:$F$204,$O390),""))</f>
        <v/>
      </c>
      <c r="L390" s="29">
        <f>IF(AND(ISNUMBER($B390),ISNUMBER($K390)),$K390-$B390+1,"")</f>
        <v/>
      </c>
      <c r="M390" s="30">
        <f>IF(OR($L390="",$P390=""),"",IF(INDEX('支払先'!$M$5:$M$104,$P390)="対象外","",IF(AND($L390&gt;60,$K390&gt;=EDATE($B390,2)),"超える","")))</f>
        <v/>
      </c>
      <c r="N390" s="67" t="n"/>
      <c r="O390" s="31">
        <f>IF($A390="","",IFERROR(MATCH($A390,'通知一覧'!$B$5:$B$204,0),"なし"))</f>
        <v/>
      </c>
      <c r="P390" s="31">
        <f>IF(NOT(ISNUMBER($O390)),"",IFERROR(MATCH(INDEX('通知一覧'!$C$5:$C$204,$O390),'支払先'!$B$5:$B$104,0),""))</f>
        <v/>
      </c>
      <c r="Q390" s="31">
        <f>IF(AND($A390&lt;&gt;"",$A390='支払通知書'!$K$2),ROW(),"")</f>
        <v/>
      </c>
    </row>
    <row r="391" ht="18" customHeight="1">
      <c r="A391" s="18" t="n"/>
      <c r="B391" s="24" t="n"/>
      <c r="C391" s="19" t="n"/>
      <c r="D391" s="25" t="n"/>
      <c r="E391" s="18" t="n"/>
      <c r="F391" s="25" t="n"/>
      <c r="G391" s="18" t="n"/>
      <c r="H391" s="18" t="n"/>
      <c r="I391" s="26">
        <f>IF(OR($A391="",$F391=""),"",ROUND(IF($D391="",1,$D391)*$F391,0))</f>
        <v/>
      </c>
      <c r="J391" s="27">
        <f>IF($A391="","",IF($O391="なし","※通知一覧にない通知No",IF($P391="","",INDEX('支払先'!$C$5:$C$104,$P391)&amp;"")))</f>
        <v/>
      </c>
      <c r="K391" s="28">
        <f>IF(NOT(ISNUMBER($O391)),"",IF(ISNUMBER(INDEX('通知一覧'!$F$5:$F$204,$O391)),INDEX('通知一覧'!$F$5:$F$204,$O391),""))</f>
        <v/>
      </c>
      <c r="L391" s="29">
        <f>IF(AND(ISNUMBER($B391),ISNUMBER($K391)),$K391-$B391+1,"")</f>
        <v/>
      </c>
      <c r="M391" s="30">
        <f>IF(OR($L391="",$P391=""),"",IF(INDEX('支払先'!$M$5:$M$104,$P391)="対象外","",IF(AND($L391&gt;60,$K391&gt;=EDATE($B391,2)),"超える","")))</f>
        <v/>
      </c>
      <c r="N391" s="67" t="n"/>
      <c r="O391" s="31">
        <f>IF($A391="","",IFERROR(MATCH($A391,'通知一覧'!$B$5:$B$204,0),"なし"))</f>
        <v/>
      </c>
      <c r="P391" s="31">
        <f>IF(NOT(ISNUMBER($O391)),"",IFERROR(MATCH(INDEX('通知一覧'!$C$5:$C$204,$O391),'支払先'!$B$5:$B$104,0),""))</f>
        <v/>
      </c>
      <c r="Q391" s="31">
        <f>IF(AND($A391&lt;&gt;"",$A391='支払通知書'!$K$2),ROW(),"")</f>
        <v/>
      </c>
    </row>
    <row r="392" ht="18" customHeight="1">
      <c r="A392" s="18" t="n"/>
      <c r="B392" s="24" t="n"/>
      <c r="C392" s="19" t="n"/>
      <c r="D392" s="25" t="n"/>
      <c r="E392" s="18" t="n"/>
      <c r="F392" s="25" t="n"/>
      <c r="G392" s="18" t="n"/>
      <c r="H392" s="18" t="n"/>
      <c r="I392" s="26">
        <f>IF(OR($A392="",$F392=""),"",ROUND(IF($D392="",1,$D392)*$F392,0))</f>
        <v/>
      </c>
      <c r="J392" s="27">
        <f>IF($A392="","",IF($O392="なし","※通知一覧にない通知No",IF($P392="","",INDEX('支払先'!$C$5:$C$104,$P392)&amp;"")))</f>
        <v/>
      </c>
      <c r="K392" s="28">
        <f>IF(NOT(ISNUMBER($O392)),"",IF(ISNUMBER(INDEX('通知一覧'!$F$5:$F$204,$O392)),INDEX('通知一覧'!$F$5:$F$204,$O392),""))</f>
        <v/>
      </c>
      <c r="L392" s="29">
        <f>IF(AND(ISNUMBER($B392),ISNUMBER($K392)),$K392-$B392+1,"")</f>
        <v/>
      </c>
      <c r="M392" s="30">
        <f>IF(OR($L392="",$P392=""),"",IF(INDEX('支払先'!$M$5:$M$104,$P392)="対象外","",IF(AND($L392&gt;60,$K392&gt;=EDATE($B392,2)),"超える","")))</f>
        <v/>
      </c>
      <c r="N392" s="67" t="n"/>
      <c r="O392" s="31">
        <f>IF($A392="","",IFERROR(MATCH($A392,'通知一覧'!$B$5:$B$204,0),"なし"))</f>
        <v/>
      </c>
      <c r="P392" s="31">
        <f>IF(NOT(ISNUMBER($O392)),"",IFERROR(MATCH(INDEX('通知一覧'!$C$5:$C$204,$O392),'支払先'!$B$5:$B$104,0),""))</f>
        <v/>
      </c>
      <c r="Q392" s="31">
        <f>IF(AND($A392&lt;&gt;"",$A392='支払通知書'!$K$2),ROW(),"")</f>
        <v/>
      </c>
    </row>
    <row r="393" ht="18" customHeight="1">
      <c r="A393" s="18" t="n"/>
      <c r="B393" s="24" t="n"/>
      <c r="C393" s="19" t="n"/>
      <c r="D393" s="25" t="n"/>
      <c r="E393" s="18" t="n"/>
      <c r="F393" s="25" t="n"/>
      <c r="G393" s="18" t="n"/>
      <c r="H393" s="18" t="n"/>
      <c r="I393" s="26">
        <f>IF(OR($A393="",$F393=""),"",ROUND(IF($D393="",1,$D393)*$F393,0))</f>
        <v/>
      </c>
      <c r="J393" s="27">
        <f>IF($A393="","",IF($O393="なし","※通知一覧にない通知No",IF($P393="","",INDEX('支払先'!$C$5:$C$104,$P393)&amp;"")))</f>
        <v/>
      </c>
      <c r="K393" s="28">
        <f>IF(NOT(ISNUMBER($O393)),"",IF(ISNUMBER(INDEX('通知一覧'!$F$5:$F$204,$O393)),INDEX('通知一覧'!$F$5:$F$204,$O393),""))</f>
        <v/>
      </c>
      <c r="L393" s="29">
        <f>IF(AND(ISNUMBER($B393),ISNUMBER($K393)),$K393-$B393+1,"")</f>
        <v/>
      </c>
      <c r="M393" s="30">
        <f>IF(OR($L393="",$P393=""),"",IF(INDEX('支払先'!$M$5:$M$104,$P393)="対象外","",IF(AND($L393&gt;60,$K393&gt;=EDATE($B393,2)),"超える","")))</f>
        <v/>
      </c>
      <c r="N393" s="67" t="n"/>
      <c r="O393" s="31">
        <f>IF($A393="","",IFERROR(MATCH($A393,'通知一覧'!$B$5:$B$204,0),"なし"))</f>
        <v/>
      </c>
      <c r="P393" s="31">
        <f>IF(NOT(ISNUMBER($O393)),"",IFERROR(MATCH(INDEX('通知一覧'!$C$5:$C$204,$O393),'支払先'!$B$5:$B$104,0),""))</f>
        <v/>
      </c>
      <c r="Q393" s="31">
        <f>IF(AND($A393&lt;&gt;"",$A393='支払通知書'!$K$2),ROW(),"")</f>
        <v/>
      </c>
    </row>
    <row r="394" ht="18" customHeight="1">
      <c r="A394" s="18" t="n"/>
      <c r="B394" s="24" t="n"/>
      <c r="C394" s="19" t="n"/>
      <c r="D394" s="25" t="n"/>
      <c r="E394" s="18" t="n"/>
      <c r="F394" s="25" t="n"/>
      <c r="G394" s="18" t="n"/>
      <c r="H394" s="18" t="n"/>
      <c r="I394" s="26">
        <f>IF(OR($A394="",$F394=""),"",ROUND(IF($D394="",1,$D394)*$F394,0))</f>
        <v/>
      </c>
      <c r="J394" s="27">
        <f>IF($A394="","",IF($O394="なし","※通知一覧にない通知No",IF($P394="","",INDEX('支払先'!$C$5:$C$104,$P394)&amp;"")))</f>
        <v/>
      </c>
      <c r="K394" s="28">
        <f>IF(NOT(ISNUMBER($O394)),"",IF(ISNUMBER(INDEX('通知一覧'!$F$5:$F$204,$O394)),INDEX('通知一覧'!$F$5:$F$204,$O394),""))</f>
        <v/>
      </c>
      <c r="L394" s="29">
        <f>IF(AND(ISNUMBER($B394),ISNUMBER($K394)),$K394-$B394+1,"")</f>
        <v/>
      </c>
      <c r="M394" s="30">
        <f>IF(OR($L394="",$P394=""),"",IF(INDEX('支払先'!$M$5:$M$104,$P394)="対象外","",IF(AND($L394&gt;60,$K394&gt;=EDATE($B394,2)),"超える","")))</f>
        <v/>
      </c>
      <c r="N394" s="67" t="n"/>
      <c r="O394" s="31">
        <f>IF($A394="","",IFERROR(MATCH($A394,'通知一覧'!$B$5:$B$204,0),"なし"))</f>
        <v/>
      </c>
      <c r="P394" s="31">
        <f>IF(NOT(ISNUMBER($O394)),"",IFERROR(MATCH(INDEX('通知一覧'!$C$5:$C$204,$O394),'支払先'!$B$5:$B$104,0),""))</f>
        <v/>
      </c>
      <c r="Q394" s="31">
        <f>IF(AND($A394&lt;&gt;"",$A394='支払通知書'!$K$2),ROW(),"")</f>
        <v/>
      </c>
    </row>
    <row r="395" ht="18" customHeight="1">
      <c r="A395" s="18" t="n"/>
      <c r="B395" s="24" t="n"/>
      <c r="C395" s="19" t="n"/>
      <c r="D395" s="25" t="n"/>
      <c r="E395" s="18" t="n"/>
      <c r="F395" s="25" t="n"/>
      <c r="G395" s="18" t="n"/>
      <c r="H395" s="18" t="n"/>
      <c r="I395" s="26">
        <f>IF(OR($A395="",$F395=""),"",ROUND(IF($D395="",1,$D395)*$F395,0))</f>
        <v/>
      </c>
      <c r="J395" s="27">
        <f>IF($A395="","",IF($O395="なし","※通知一覧にない通知No",IF($P395="","",INDEX('支払先'!$C$5:$C$104,$P395)&amp;"")))</f>
        <v/>
      </c>
      <c r="K395" s="28">
        <f>IF(NOT(ISNUMBER($O395)),"",IF(ISNUMBER(INDEX('通知一覧'!$F$5:$F$204,$O395)),INDEX('通知一覧'!$F$5:$F$204,$O395),""))</f>
        <v/>
      </c>
      <c r="L395" s="29">
        <f>IF(AND(ISNUMBER($B395),ISNUMBER($K395)),$K395-$B395+1,"")</f>
        <v/>
      </c>
      <c r="M395" s="30">
        <f>IF(OR($L395="",$P395=""),"",IF(INDEX('支払先'!$M$5:$M$104,$P395)="対象外","",IF(AND($L395&gt;60,$K395&gt;=EDATE($B395,2)),"超える","")))</f>
        <v/>
      </c>
      <c r="N395" s="67" t="n"/>
      <c r="O395" s="31">
        <f>IF($A395="","",IFERROR(MATCH($A395,'通知一覧'!$B$5:$B$204,0),"なし"))</f>
        <v/>
      </c>
      <c r="P395" s="31">
        <f>IF(NOT(ISNUMBER($O395)),"",IFERROR(MATCH(INDEX('通知一覧'!$C$5:$C$204,$O395),'支払先'!$B$5:$B$104,0),""))</f>
        <v/>
      </c>
      <c r="Q395" s="31">
        <f>IF(AND($A395&lt;&gt;"",$A395='支払通知書'!$K$2),ROW(),"")</f>
        <v/>
      </c>
    </row>
    <row r="396" ht="18" customHeight="1">
      <c r="A396" s="18" t="n"/>
      <c r="B396" s="24" t="n"/>
      <c r="C396" s="19" t="n"/>
      <c r="D396" s="25" t="n"/>
      <c r="E396" s="18" t="n"/>
      <c r="F396" s="25" t="n"/>
      <c r="G396" s="18" t="n"/>
      <c r="H396" s="18" t="n"/>
      <c r="I396" s="26">
        <f>IF(OR($A396="",$F396=""),"",ROUND(IF($D396="",1,$D396)*$F396,0))</f>
        <v/>
      </c>
      <c r="J396" s="27">
        <f>IF($A396="","",IF($O396="なし","※通知一覧にない通知No",IF($P396="","",INDEX('支払先'!$C$5:$C$104,$P396)&amp;"")))</f>
        <v/>
      </c>
      <c r="K396" s="28">
        <f>IF(NOT(ISNUMBER($O396)),"",IF(ISNUMBER(INDEX('通知一覧'!$F$5:$F$204,$O396)),INDEX('通知一覧'!$F$5:$F$204,$O396),""))</f>
        <v/>
      </c>
      <c r="L396" s="29">
        <f>IF(AND(ISNUMBER($B396),ISNUMBER($K396)),$K396-$B396+1,"")</f>
        <v/>
      </c>
      <c r="M396" s="30">
        <f>IF(OR($L396="",$P396=""),"",IF(INDEX('支払先'!$M$5:$M$104,$P396)="対象外","",IF(AND($L396&gt;60,$K396&gt;=EDATE($B396,2)),"超える","")))</f>
        <v/>
      </c>
      <c r="N396" s="67" t="n"/>
      <c r="O396" s="31">
        <f>IF($A396="","",IFERROR(MATCH($A396,'通知一覧'!$B$5:$B$204,0),"なし"))</f>
        <v/>
      </c>
      <c r="P396" s="31">
        <f>IF(NOT(ISNUMBER($O396)),"",IFERROR(MATCH(INDEX('通知一覧'!$C$5:$C$204,$O396),'支払先'!$B$5:$B$104,0),""))</f>
        <v/>
      </c>
      <c r="Q396" s="31">
        <f>IF(AND($A396&lt;&gt;"",$A396='支払通知書'!$K$2),ROW(),"")</f>
        <v/>
      </c>
    </row>
    <row r="397" ht="18" customHeight="1">
      <c r="A397" s="18" t="n"/>
      <c r="B397" s="24" t="n"/>
      <c r="C397" s="19" t="n"/>
      <c r="D397" s="25" t="n"/>
      <c r="E397" s="18" t="n"/>
      <c r="F397" s="25" t="n"/>
      <c r="G397" s="18" t="n"/>
      <c r="H397" s="18" t="n"/>
      <c r="I397" s="26">
        <f>IF(OR($A397="",$F397=""),"",ROUND(IF($D397="",1,$D397)*$F397,0))</f>
        <v/>
      </c>
      <c r="J397" s="27">
        <f>IF($A397="","",IF($O397="なし","※通知一覧にない通知No",IF($P397="","",INDEX('支払先'!$C$5:$C$104,$P397)&amp;"")))</f>
        <v/>
      </c>
      <c r="K397" s="28">
        <f>IF(NOT(ISNUMBER($O397)),"",IF(ISNUMBER(INDEX('通知一覧'!$F$5:$F$204,$O397)),INDEX('通知一覧'!$F$5:$F$204,$O397),""))</f>
        <v/>
      </c>
      <c r="L397" s="29">
        <f>IF(AND(ISNUMBER($B397),ISNUMBER($K397)),$K397-$B397+1,"")</f>
        <v/>
      </c>
      <c r="M397" s="30">
        <f>IF(OR($L397="",$P397=""),"",IF(INDEX('支払先'!$M$5:$M$104,$P397)="対象外","",IF(AND($L397&gt;60,$K397&gt;=EDATE($B397,2)),"超える","")))</f>
        <v/>
      </c>
      <c r="N397" s="67" t="n"/>
      <c r="O397" s="31">
        <f>IF($A397="","",IFERROR(MATCH($A397,'通知一覧'!$B$5:$B$204,0),"なし"))</f>
        <v/>
      </c>
      <c r="P397" s="31">
        <f>IF(NOT(ISNUMBER($O397)),"",IFERROR(MATCH(INDEX('通知一覧'!$C$5:$C$204,$O397),'支払先'!$B$5:$B$104,0),""))</f>
        <v/>
      </c>
      <c r="Q397" s="31">
        <f>IF(AND($A397&lt;&gt;"",$A397='支払通知書'!$K$2),ROW(),"")</f>
        <v/>
      </c>
    </row>
    <row r="398" ht="18" customHeight="1">
      <c r="A398" s="18" t="n"/>
      <c r="B398" s="24" t="n"/>
      <c r="C398" s="19" t="n"/>
      <c r="D398" s="25" t="n"/>
      <c r="E398" s="18" t="n"/>
      <c r="F398" s="25" t="n"/>
      <c r="G398" s="18" t="n"/>
      <c r="H398" s="18" t="n"/>
      <c r="I398" s="26">
        <f>IF(OR($A398="",$F398=""),"",ROUND(IF($D398="",1,$D398)*$F398,0))</f>
        <v/>
      </c>
      <c r="J398" s="27">
        <f>IF($A398="","",IF($O398="なし","※通知一覧にない通知No",IF($P398="","",INDEX('支払先'!$C$5:$C$104,$P398)&amp;"")))</f>
        <v/>
      </c>
      <c r="K398" s="28">
        <f>IF(NOT(ISNUMBER($O398)),"",IF(ISNUMBER(INDEX('通知一覧'!$F$5:$F$204,$O398)),INDEX('通知一覧'!$F$5:$F$204,$O398),""))</f>
        <v/>
      </c>
      <c r="L398" s="29">
        <f>IF(AND(ISNUMBER($B398),ISNUMBER($K398)),$K398-$B398+1,"")</f>
        <v/>
      </c>
      <c r="M398" s="30">
        <f>IF(OR($L398="",$P398=""),"",IF(INDEX('支払先'!$M$5:$M$104,$P398)="対象外","",IF(AND($L398&gt;60,$K398&gt;=EDATE($B398,2)),"超える","")))</f>
        <v/>
      </c>
      <c r="N398" s="67" t="n"/>
      <c r="O398" s="31">
        <f>IF($A398="","",IFERROR(MATCH($A398,'通知一覧'!$B$5:$B$204,0),"なし"))</f>
        <v/>
      </c>
      <c r="P398" s="31">
        <f>IF(NOT(ISNUMBER($O398)),"",IFERROR(MATCH(INDEX('通知一覧'!$C$5:$C$204,$O398),'支払先'!$B$5:$B$104,0),""))</f>
        <v/>
      </c>
      <c r="Q398" s="31">
        <f>IF(AND($A398&lt;&gt;"",$A398='支払通知書'!$K$2),ROW(),"")</f>
        <v/>
      </c>
    </row>
    <row r="399" ht="18" customHeight="1">
      <c r="A399" s="18" t="n"/>
      <c r="B399" s="24" t="n"/>
      <c r="C399" s="19" t="n"/>
      <c r="D399" s="25" t="n"/>
      <c r="E399" s="18" t="n"/>
      <c r="F399" s="25" t="n"/>
      <c r="G399" s="18" t="n"/>
      <c r="H399" s="18" t="n"/>
      <c r="I399" s="26">
        <f>IF(OR($A399="",$F399=""),"",ROUND(IF($D399="",1,$D399)*$F399,0))</f>
        <v/>
      </c>
      <c r="J399" s="27">
        <f>IF($A399="","",IF($O399="なし","※通知一覧にない通知No",IF($P399="","",INDEX('支払先'!$C$5:$C$104,$P399)&amp;"")))</f>
        <v/>
      </c>
      <c r="K399" s="28">
        <f>IF(NOT(ISNUMBER($O399)),"",IF(ISNUMBER(INDEX('通知一覧'!$F$5:$F$204,$O399)),INDEX('通知一覧'!$F$5:$F$204,$O399),""))</f>
        <v/>
      </c>
      <c r="L399" s="29">
        <f>IF(AND(ISNUMBER($B399),ISNUMBER($K399)),$K399-$B399+1,"")</f>
        <v/>
      </c>
      <c r="M399" s="30">
        <f>IF(OR($L399="",$P399=""),"",IF(INDEX('支払先'!$M$5:$M$104,$P399)="対象外","",IF(AND($L399&gt;60,$K399&gt;=EDATE($B399,2)),"超える","")))</f>
        <v/>
      </c>
      <c r="N399" s="67" t="n"/>
      <c r="O399" s="31">
        <f>IF($A399="","",IFERROR(MATCH($A399,'通知一覧'!$B$5:$B$204,0),"なし"))</f>
        <v/>
      </c>
      <c r="P399" s="31">
        <f>IF(NOT(ISNUMBER($O399)),"",IFERROR(MATCH(INDEX('通知一覧'!$C$5:$C$204,$O399),'支払先'!$B$5:$B$104,0),""))</f>
        <v/>
      </c>
      <c r="Q399" s="31">
        <f>IF(AND($A399&lt;&gt;"",$A399='支払通知書'!$K$2),ROW(),"")</f>
        <v/>
      </c>
    </row>
    <row r="400" ht="18" customHeight="1">
      <c r="A400" s="18" t="n"/>
      <c r="B400" s="24" t="n"/>
      <c r="C400" s="19" t="n"/>
      <c r="D400" s="25" t="n"/>
      <c r="E400" s="18" t="n"/>
      <c r="F400" s="25" t="n"/>
      <c r="G400" s="18" t="n"/>
      <c r="H400" s="18" t="n"/>
      <c r="I400" s="26">
        <f>IF(OR($A400="",$F400=""),"",ROUND(IF($D400="",1,$D400)*$F400,0))</f>
        <v/>
      </c>
      <c r="J400" s="27">
        <f>IF($A400="","",IF($O400="なし","※通知一覧にない通知No",IF($P400="","",INDEX('支払先'!$C$5:$C$104,$P400)&amp;"")))</f>
        <v/>
      </c>
      <c r="K400" s="28">
        <f>IF(NOT(ISNUMBER($O400)),"",IF(ISNUMBER(INDEX('通知一覧'!$F$5:$F$204,$O400)),INDEX('通知一覧'!$F$5:$F$204,$O400),""))</f>
        <v/>
      </c>
      <c r="L400" s="29">
        <f>IF(AND(ISNUMBER($B400),ISNUMBER($K400)),$K400-$B400+1,"")</f>
        <v/>
      </c>
      <c r="M400" s="30">
        <f>IF(OR($L400="",$P400=""),"",IF(INDEX('支払先'!$M$5:$M$104,$P400)="対象外","",IF(AND($L400&gt;60,$K400&gt;=EDATE($B400,2)),"超える","")))</f>
        <v/>
      </c>
      <c r="N400" s="67" t="n"/>
      <c r="O400" s="31">
        <f>IF($A400="","",IFERROR(MATCH($A400,'通知一覧'!$B$5:$B$204,0),"なし"))</f>
        <v/>
      </c>
      <c r="P400" s="31">
        <f>IF(NOT(ISNUMBER($O400)),"",IFERROR(MATCH(INDEX('通知一覧'!$C$5:$C$204,$O400),'支払先'!$B$5:$B$104,0),""))</f>
        <v/>
      </c>
      <c r="Q400" s="31">
        <f>IF(AND($A400&lt;&gt;"",$A400='支払通知書'!$K$2),ROW(),"")</f>
        <v/>
      </c>
    </row>
    <row r="401" ht="18" customHeight="1">
      <c r="A401" s="18" t="n"/>
      <c r="B401" s="24" t="n"/>
      <c r="C401" s="19" t="n"/>
      <c r="D401" s="25" t="n"/>
      <c r="E401" s="18" t="n"/>
      <c r="F401" s="25" t="n"/>
      <c r="G401" s="18" t="n"/>
      <c r="H401" s="18" t="n"/>
      <c r="I401" s="26">
        <f>IF(OR($A401="",$F401=""),"",ROUND(IF($D401="",1,$D401)*$F401,0))</f>
        <v/>
      </c>
      <c r="J401" s="27">
        <f>IF($A401="","",IF($O401="なし","※通知一覧にない通知No",IF($P401="","",INDEX('支払先'!$C$5:$C$104,$P401)&amp;"")))</f>
        <v/>
      </c>
      <c r="K401" s="28">
        <f>IF(NOT(ISNUMBER($O401)),"",IF(ISNUMBER(INDEX('通知一覧'!$F$5:$F$204,$O401)),INDEX('通知一覧'!$F$5:$F$204,$O401),""))</f>
        <v/>
      </c>
      <c r="L401" s="29">
        <f>IF(AND(ISNUMBER($B401),ISNUMBER($K401)),$K401-$B401+1,"")</f>
        <v/>
      </c>
      <c r="M401" s="30">
        <f>IF(OR($L401="",$P401=""),"",IF(INDEX('支払先'!$M$5:$M$104,$P401)="対象外","",IF(AND($L401&gt;60,$K401&gt;=EDATE($B401,2)),"超える","")))</f>
        <v/>
      </c>
      <c r="N401" s="67" t="n"/>
      <c r="O401" s="31">
        <f>IF($A401="","",IFERROR(MATCH($A401,'通知一覧'!$B$5:$B$204,0),"なし"))</f>
        <v/>
      </c>
      <c r="P401" s="31">
        <f>IF(NOT(ISNUMBER($O401)),"",IFERROR(MATCH(INDEX('通知一覧'!$C$5:$C$204,$O401),'支払先'!$B$5:$B$104,0),""))</f>
        <v/>
      </c>
      <c r="Q401" s="31">
        <f>IF(AND($A401&lt;&gt;"",$A401='支払通知書'!$K$2),ROW(),"")</f>
        <v/>
      </c>
    </row>
    <row r="402" ht="18" customHeight="1">
      <c r="A402" s="18" t="n"/>
      <c r="B402" s="24" t="n"/>
      <c r="C402" s="19" t="n"/>
      <c r="D402" s="25" t="n"/>
      <c r="E402" s="18" t="n"/>
      <c r="F402" s="25" t="n"/>
      <c r="G402" s="18" t="n"/>
      <c r="H402" s="18" t="n"/>
      <c r="I402" s="26">
        <f>IF(OR($A402="",$F402=""),"",ROUND(IF($D402="",1,$D402)*$F402,0))</f>
        <v/>
      </c>
      <c r="J402" s="27">
        <f>IF($A402="","",IF($O402="なし","※通知一覧にない通知No",IF($P402="","",INDEX('支払先'!$C$5:$C$104,$P402)&amp;"")))</f>
        <v/>
      </c>
      <c r="K402" s="28">
        <f>IF(NOT(ISNUMBER($O402)),"",IF(ISNUMBER(INDEX('通知一覧'!$F$5:$F$204,$O402)),INDEX('通知一覧'!$F$5:$F$204,$O402),""))</f>
        <v/>
      </c>
      <c r="L402" s="29">
        <f>IF(AND(ISNUMBER($B402),ISNUMBER($K402)),$K402-$B402+1,"")</f>
        <v/>
      </c>
      <c r="M402" s="30">
        <f>IF(OR($L402="",$P402=""),"",IF(INDEX('支払先'!$M$5:$M$104,$P402)="対象外","",IF(AND($L402&gt;60,$K402&gt;=EDATE($B402,2)),"超える","")))</f>
        <v/>
      </c>
      <c r="N402" s="67" t="n"/>
      <c r="O402" s="31">
        <f>IF($A402="","",IFERROR(MATCH($A402,'通知一覧'!$B$5:$B$204,0),"なし"))</f>
        <v/>
      </c>
      <c r="P402" s="31">
        <f>IF(NOT(ISNUMBER($O402)),"",IFERROR(MATCH(INDEX('通知一覧'!$C$5:$C$204,$O402),'支払先'!$B$5:$B$104,0),""))</f>
        <v/>
      </c>
      <c r="Q402" s="31">
        <f>IF(AND($A402&lt;&gt;"",$A402='支払通知書'!$K$2),ROW(),"")</f>
        <v/>
      </c>
    </row>
    <row r="403" ht="18" customHeight="1">
      <c r="A403" s="18" t="n"/>
      <c r="B403" s="24" t="n"/>
      <c r="C403" s="19" t="n"/>
      <c r="D403" s="25" t="n"/>
      <c r="E403" s="18" t="n"/>
      <c r="F403" s="25" t="n"/>
      <c r="G403" s="18" t="n"/>
      <c r="H403" s="18" t="n"/>
      <c r="I403" s="26">
        <f>IF(OR($A403="",$F403=""),"",ROUND(IF($D403="",1,$D403)*$F403,0))</f>
        <v/>
      </c>
      <c r="J403" s="27">
        <f>IF($A403="","",IF($O403="なし","※通知一覧にない通知No",IF($P403="","",INDEX('支払先'!$C$5:$C$104,$P403)&amp;"")))</f>
        <v/>
      </c>
      <c r="K403" s="28">
        <f>IF(NOT(ISNUMBER($O403)),"",IF(ISNUMBER(INDEX('通知一覧'!$F$5:$F$204,$O403)),INDEX('通知一覧'!$F$5:$F$204,$O403),""))</f>
        <v/>
      </c>
      <c r="L403" s="29">
        <f>IF(AND(ISNUMBER($B403),ISNUMBER($K403)),$K403-$B403+1,"")</f>
        <v/>
      </c>
      <c r="M403" s="30">
        <f>IF(OR($L403="",$P403=""),"",IF(INDEX('支払先'!$M$5:$M$104,$P403)="対象外","",IF(AND($L403&gt;60,$K403&gt;=EDATE($B403,2)),"超える","")))</f>
        <v/>
      </c>
      <c r="N403" s="67" t="n"/>
      <c r="O403" s="31">
        <f>IF($A403="","",IFERROR(MATCH($A403,'通知一覧'!$B$5:$B$204,0),"なし"))</f>
        <v/>
      </c>
      <c r="P403" s="31">
        <f>IF(NOT(ISNUMBER($O403)),"",IFERROR(MATCH(INDEX('通知一覧'!$C$5:$C$204,$O403),'支払先'!$B$5:$B$104,0),""))</f>
        <v/>
      </c>
      <c r="Q403" s="31">
        <f>IF(AND($A403&lt;&gt;"",$A403='支払通知書'!$K$2),ROW(),"")</f>
        <v/>
      </c>
    </row>
    <row r="404" ht="18" customHeight="1">
      <c r="A404" s="18" t="n"/>
      <c r="B404" s="24" t="n"/>
      <c r="C404" s="19" t="n"/>
      <c r="D404" s="25" t="n"/>
      <c r="E404" s="18" t="n"/>
      <c r="F404" s="25" t="n"/>
      <c r="G404" s="18" t="n"/>
      <c r="H404" s="18" t="n"/>
      <c r="I404" s="26">
        <f>IF(OR($A404="",$F404=""),"",ROUND(IF($D404="",1,$D404)*$F404,0))</f>
        <v/>
      </c>
      <c r="J404" s="27">
        <f>IF($A404="","",IF($O404="なし","※通知一覧にない通知No",IF($P404="","",INDEX('支払先'!$C$5:$C$104,$P404)&amp;"")))</f>
        <v/>
      </c>
      <c r="K404" s="28">
        <f>IF(NOT(ISNUMBER($O404)),"",IF(ISNUMBER(INDEX('通知一覧'!$F$5:$F$204,$O404)),INDEX('通知一覧'!$F$5:$F$204,$O404),""))</f>
        <v/>
      </c>
      <c r="L404" s="29">
        <f>IF(AND(ISNUMBER($B404),ISNUMBER($K404)),$K404-$B404+1,"")</f>
        <v/>
      </c>
      <c r="M404" s="30">
        <f>IF(OR($L404="",$P404=""),"",IF(INDEX('支払先'!$M$5:$M$104,$P404)="対象外","",IF(AND($L404&gt;60,$K404&gt;=EDATE($B404,2)),"超える","")))</f>
        <v/>
      </c>
      <c r="N404" s="67" t="n"/>
      <c r="O404" s="31">
        <f>IF($A404="","",IFERROR(MATCH($A404,'通知一覧'!$B$5:$B$204,0),"なし"))</f>
        <v/>
      </c>
      <c r="P404" s="31">
        <f>IF(NOT(ISNUMBER($O404)),"",IFERROR(MATCH(INDEX('通知一覧'!$C$5:$C$204,$O404),'支払先'!$B$5:$B$104,0),""))</f>
        <v/>
      </c>
      <c r="Q404" s="31">
        <f>IF(AND($A404&lt;&gt;"",$A404='支払通知書'!$K$2),ROW(),"")</f>
        <v/>
      </c>
    </row>
    <row r="405" ht="18" customHeight="1">
      <c r="A405" s="18" t="n"/>
      <c r="B405" s="24" t="n"/>
      <c r="C405" s="19" t="n"/>
      <c r="D405" s="25" t="n"/>
      <c r="E405" s="18" t="n"/>
      <c r="F405" s="25" t="n"/>
      <c r="G405" s="18" t="n"/>
      <c r="H405" s="18" t="n"/>
      <c r="I405" s="26">
        <f>IF(OR($A405="",$F405=""),"",ROUND(IF($D405="",1,$D405)*$F405,0))</f>
        <v/>
      </c>
      <c r="J405" s="27">
        <f>IF($A405="","",IF($O405="なし","※通知一覧にない通知No",IF($P405="","",INDEX('支払先'!$C$5:$C$104,$P405)&amp;"")))</f>
        <v/>
      </c>
      <c r="K405" s="28">
        <f>IF(NOT(ISNUMBER($O405)),"",IF(ISNUMBER(INDEX('通知一覧'!$F$5:$F$204,$O405)),INDEX('通知一覧'!$F$5:$F$204,$O405),""))</f>
        <v/>
      </c>
      <c r="L405" s="29">
        <f>IF(AND(ISNUMBER($B405),ISNUMBER($K405)),$K405-$B405+1,"")</f>
        <v/>
      </c>
      <c r="M405" s="30">
        <f>IF(OR($L405="",$P405=""),"",IF(INDEX('支払先'!$M$5:$M$104,$P405)="対象外","",IF(AND($L405&gt;60,$K405&gt;=EDATE($B405,2)),"超える","")))</f>
        <v/>
      </c>
      <c r="N405" s="67" t="n"/>
      <c r="O405" s="31">
        <f>IF($A405="","",IFERROR(MATCH($A405,'通知一覧'!$B$5:$B$204,0),"なし"))</f>
        <v/>
      </c>
      <c r="P405" s="31">
        <f>IF(NOT(ISNUMBER($O405)),"",IFERROR(MATCH(INDEX('通知一覧'!$C$5:$C$204,$O405),'支払先'!$B$5:$B$104,0),""))</f>
        <v/>
      </c>
      <c r="Q405" s="31">
        <f>IF(AND($A405&lt;&gt;"",$A405='支払通知書'!$K$2),ROW(),"")</f>
        <v/>
      </c>
    </row>
    <row r="406" ht="18" customHeight="1">
      <c r="A406" s="18" t="n"/>
      <c r="B406" s="24" t="n"/>
      <c r="C406" s="19" t="n"/>
      <c r="D406" s="25" t="n"/>
      <c r="E406" s="18" t="n"/>
      <c r="F406" s="25" t="n"/>
      <c r="G406" s="18" t="n"/>
      <c r="H406" s="18" t="n"/>
      <c r="I406" s="26">
        <f>IF(OR($A406="",$F406=""),"",ROUND(IF($D406="",1,$D406)*$F406,0))</f>
        <v/>
      </c>
      <c r="J406" s="27">
        <f>IF($A406="","",IF($O406="なし","※通知一覧にない通知No",IF($P406="","",INDEX('支払先'!$C$5:$C$104,$P406)&amp;"")))</f>
        <v/>
      </c>
      <c r="K406" s="28">
        <f>IF(NOT(ISNUMBER($O406)),"",IF(ISNUMBER(INDEX('通知一覧'!$F$5:$F$204,$O406)),INDEX('通知一覧'!$F$5:$F$204,$O406),""))</f>
        <v/>
      </c>
      <c r="L406" s="29">
        <f>IF(AND(ISNUMBER($B406),ISNUMBER($K406)),$K406-$B406+1,"")</f>
        <v/>
      </c>
      <c r="M406" s="30">
        <f>IF(OR($L406="",$P406=""),"",IF(INDEX('支払先'!$M$5:$M$104,$P406)="対象外","",IF(AND($L406&gt;60,$K406&gt;=EDATE($B406,2)),"超える","")))</f>
        <v/>
      </c>
      <c r="N406" s="67" t="n"/>
      <c r="O406" s="31">
        <f>IF($A406="","",IFERROR(MATCH($A406,'通知一覧'!$B$5:$B$204,0),"なし"))</f>
        <v/>
      </c>
      <c r="P406" s="31">
        <f>IF(NOT(ISNUMBER($O406)),"",IFERROR(MATCH(INDEX('通知一覧'!$C$5:$C$204,$O406),'支払先'!$B$5:$B$104,0),""))</f>
        <v/>
      </c>
      <c r="Q406" s="31">
        <f>IF(AND($A406&lt;&gt;"",$A406='支払通知書'!$K$2),ROW(),"")</f>
        <v/>
      </c>
    </row>
    <row r="407" ht="18" customHeight="1">
      <c r="A407" s="18" t="n"/>
      <c r="B407" s="24" t="n"/>
      <c r="C407" s="19" t="n"/>
      <c r="D407" s="25" t="n"/>
      <c r="E407" s="18" t="n"/>
      <c r="F407" s="25" t="n"/>
      <c r="G407" s="18" t="n"/>
      <c r="H407" s="18" t="n"/>
      <c r="I407" s="26">
        <f>IF(OR($A407="",$F407=""),"",ROUND(IF($D407="",1,$D407)*$F407,0))</f>
        <v/>
      </c>
      <c r="J407" s="27">
        <f>IF($A407="","",IF($O407="なし","※通知一覧にない通知No",IF($P407="","",INDEX('支払先'!$C$5:$C$104,$P407)&amp;"")))</f>
        <v/>
      </c>
      <c r="K407" s="28">
        <f>IF(NOT(ISNUMBER($O407)),"",IF(ISNUMBER(INDEX('通知一覧'!$F$5:$F$204,$O407)),INDEX('通知一覧'!$F$5:$F$204,$O407),""))</f>
        <v/>
      </c>
      <c r="L407" s="29">
        <f>IF(AND(ISNUMBER($B407),ISNUMBER($K407)),$K407-$B407+1,"")</f>
        <v/>
      </c>
      <c r="M407" s="30">
        <f>IF(OR($L407="",$P407=""),"",IF(INDEX('支払先'!$M$5:$M$104,$P407)="対象外","",IF(AND($L407&gt;60,$K407&gt;=EDATE($B407,2)),"超える","")))</f>
        <v/>
      </c>
      <c r="N407" s="67" t="n"/>
      <c r="O407" s="31">
        <f>IF($A407="","",IFERROR(MATCH($A407,'通知一覧'!$B$5:$B$204,0),"なし"))</f>
        <v/>
      </c>
      <c r="P407" s="31">
        <f>IF(NOT(ISNUMBER($O407)),"",IFERROR(MATCH(INDEX('通知一覧'!$C$5:$C$204,$O407),'支払先'!$B$5:$B$104,0),""))</f>
        <v/>
      </c>
      <c r="Q407" s="31">
        <f>IF(AND($A407&lt;&gt;"",$A407='支払通知書'!$K$2),ROW(),"")</f>
        <v/>
      </c>
    </row>
    <row r="408" ht="18" customHeight="1">
      <c r="A408" s="18" t="n"/>
      <c r="B408" s="24" t="n"/>
      <c r="C408" s="19" t="n"/>
      <c r="D408" s="25" t="n"/>
      <c r="E408" s="18" t="n"/>
      <c r="F408" s="25" t="n"/>
      <c r="G408" s="18" t="n"/>
      <c r="H408" s="18" t="n"/>
      <c r="I408" s="26">
        <f>IF(OR($A408="",$F408=""),"",ROUND(IF($D408="",1,$D408)*$F408,0))</f>
        <v/>
      </c>
      <c r="J408" s="27">
        <f>IF($A408="","",IF($O408="なし","※通知一覧にない通知No",IF($P408="","",INDEX('支払先'!$C$5:$C$104,$P408)&amp;"")))</f>
        <v/>
      </c>
      <c r="K408" s="28">
        <f>IF(NOT(ISNUMBER($O408)),"",IF(ISNUMBER(INDEX('通知一覧'!$F$5:$F$204,$O408)),INDEX('通知一覧'!$F$5:$F$204,$O408),""))</f>
        <v/>
      </c>
      <c r="L408" s="29">
        <f>IF(AND(ISNUMBER($B408),ISNUMBER($K408)),$K408-$B408+1,"")</f>
        <v/>
      </c>
      <c r="M408" s="30">
        <f>IF(OR($L408="",$P408=""),"",IF(INDEX('支払先'!$M$5:$M$104,$P408)="対象外","",IF(AND($L408&gt;60,$K408&gt;=EDATE($B408,2)),"超える","")))</f>
        <v/>
      </c>
      <c r="N408" s="67" t="n"/>
      <c r="O408" s="31">
        <f>IF($A408="","",IFERROR(MATCH($A408,'通知一覧'!$B$5:$B$204,0),"なし"))</f>
        <v/>
      </c>
      <c r="P408" s="31">
        <f>IF(NOT(ISNUMBER($O408)),"",IFERROR(MATCH(INDEX('通知一覧'!$C$5:$C$204,$O408),'支払先'!$B$5:$B$104,0),""))</f>
        <v/>
      </c>
      <c r="Q408" s="31">
        <f>IF(AND($A408&lt;&gt;"",$A408='支払通知書'!$K$2),ROW(),"")</f>
        <v/>
      </c>
    </row>
    <row r="409" ht="18" customHeight="1">
      <c r="A409" s="18" t="n"/>
      <c r="B409" s="24" t="n"/>
      <c r="C409" s="19" t="n"/>
      <c r="D409" s="25" t="n"/>
      <c r="E409" s="18" t="n"/>
      <c r="F409" s="25" t="n"/>
      <c r="G409" s="18" t="n"/>
      <c r="H409" s="18" t="n"/>
      <c r="I409" s="26">
        <f>IF(OR($A409="",$F409=""),"",ROUND(IF($D409="",1,$D409)*$F409,0))</f>
        <v/>
      </c>
      <c r="J409" s="27">
        <f>IF($A409="","",IF($O409="なし","※通知一覧にない通知No",IF($P409="","",INDEX('支払先'!$C$5:$C$104,$P409)&amp;"")))</f>
        <v/>
      </c>
      <c r="K409" s="28">
        <f>IF(NOT(ISNUMBER($O409)),"",IF(ISNUMBER(INDEX('通知一覧'!$F$5:$F$204,$O409)),INDEX('通知一覧'!$F$5:$F$204,$O409),""))</f>
        <v/>
      </c>
      <c r="L409" s="29">
        <f>IF(AND(ISNUMBER($B409),ISNUMBER($K409)),$K409-$B409+1,"")</f>
        <v/>
      </c>
      <c r="M409" s="30">
        <f>IF(OR($L409="",$P409=""),"",IF(INDEX('支払先'!$M$5:$M$104,$P409)="対象外","",IF(AND($L409&gt;60,$K409&gt;=EDATE($B409,2)),"超える","")))</f>
        <v/>
      </c>
      <c r="N409" s="67" t="n"/>
      <c r="O409" s="31">
        <f>IF($A409="","",IFERROR(MATCH($A409,'通知一覧'!$B$5:$B$204,0),"なし"))</f>
        <v/>
      </c>
      <c r="P409" s="31">
        <f>IF(NOT(ISNUMBER($O409)),"",IFERROR(MATCH(INDEX('通知一覧'!$C$5:$C$204,$O409),'支払先'!$B$5:$B$104,0),""))</f>
        <v/>
      </c>
      <c r="Q409" s="31">
        <f>IF(AND($A409&lt;&gt;"",$A409='支払通知書'!$K$2),ROW(),"")</f>
        <v/>
      </c>
    </row>
    <row r="410" ht="18" customHeight="1">
      <c r="A410" s="18" t="n"/>
      <c r="B410" s="24" t="n"/>
      <c r="C410" s="19" t="n"/>
      <c r="D410" s="25" t="n"/>
      <c r="E410" s="18" t="n"/>
      <c r="F410" s="25" t="n"/>
      <c r="G410" s="18" t="n"/>
      <c r="H410" s="18" t="n"/>
      <c r="I410" s="26">
        <f>IF(OR($A410="",$F410=""),"",ROUND(IF($D410="",1,$D410)*$F410,0))</f>
        <v/>
      </c>
      <c r="J410" s="27">
        <f>IF($A410="","",IF($O410="なし","※通知一覧にない通知No",IF($P410="","",INDEX('支払先'!$C$5:$C$104,$P410)&amp;"")))</f>
        <v/>
      </c>
      <c r="K410" s="28">
        <f>IF(NOT(ISNUMBER($O410)),"",IF(ISNUMBER(INDEX('通知一覧'!$F$5:$F$204,$O410)),INDEX('通知一覧'!$F$5:$F$204,$O410),""))</f>
        <v/>
      </c>
      <c r="L410" s="29">
        <f>IF(AND(ISNUMBER($B410),ISNUMBER($K410)),$K410-$B410+1,"")</f>
        <v/>
      </c>
      <c r="M410" s="30">
        <f>IF(OR($L410="",$P410=""),"",IF(INDEX('支払先'!$M$5:$M$104,$P410)="対象外","",IF(AND($L410&gt;60,$K410&gt;=EDATE($B410,2)),"超える","")))</f>
        <v/>
      </c>
      <c r="N410" s="67" t="n"/>
      <c r="O410" s="31">
        <f>IF($A410="","",IFERROR(MATCH($A410,'通知一覧'!$B$5:$B$204,0),"なし"))</f>
        <v/>
      </c>
      <c r="P410" s="31">
        <f>IF(NOT(ISNUMBER($O410)),"",IFERROR(MATCH(INDEX('通知一覧'!$C$5:$C$204,$O410),'支払先'!$B$5:$B$104,0),""))</f>
        <v/>
      </c>
      <c r="Q410" s="31">
        <f>IF(AND($A410&lt;&gt;"",$A410='支払通知書'!$K$2),ROW(),"")</f>
        <v/>
      </c>
    </row>
    <row r="411" ht="18" customHeight="1">
      <c r="A411" s="18" t="n"/>
      <c r="B411" s="24" t="n"/>
      <c r="C411" s="19" t="n"/>
      <c r="D411" s="25" t="n"/>
      <c r="E411" s="18" t="n"/>
      <c r="F411" s="25" t="n"/>
      <c r="G411" s="18" t="n"/>
      <c r="H411" s="18" t="n"/>
      <c r="I411" s="26">
        <f>IF(OR($A411="",$F411=""),"",ROUND(IF($D411="",1,$D411)*$F411,0))</f>
        <v/>
      </c>
      <c r="J411" s="27">
        <f>IF($A411="","",IF($O411="なし","※通知一覧にない通知No",IF($P411="","",INDEX('支払先'!$C$5:$C$104,$P411)&amp;"")))</f>
        <v/>
      </c>
      <c r="K411" s="28">
        <f>IF(NOT(ISNUMBER($O411)),"",IF(ISNUMBER(INDEX('通知一覧'!$F$5:$F$204,$O411)),INDEX('通知一覧'!$F$5:$F$204,$O411),""))</f>
        <v/>
      </c>
      <c r="L411" s="29">
        <f>IF(AND(ISNUMBER($B411),ISNUMBER($K411)),$K411-$B411+1,"")</f>
        <v/>
      </c>
      <c r="M411" s="30">
        <f>IF(OR($L411="",$P411=""),"",IF(INDEX('支払先'!$M$5:$M$104,$P411)="対象外","",IF(AND($L411&gt;60,$K411&gt;=EDATE($B411,2)),"超える","")))</f>
        <v/>
      </c>
      <c r="N411" s="67" t="n"/>
      <c r="O411" s="31">
        <f>IF($A411="","",IFERROR(MATCH($A411,'通知一覧'!$B$5:$B$204,0),"なし"))</f>
        <v/>
      </c>
      <c r="P411" s="31">
        <f>IF(NOT(ISNUMBER($O411)),"",IFERROR(MATCH(INDEX('通知一覧'!$C$5:$C$204,$O411),'支払先'!$B$5:$B$104,0),""))</f>
        <v/>
      </c>
      <c r="Q411" s="31">
        <f>IF(AND($A411&lt;&gt;"",$A411='支払通知書'!$K$2),ROW(),"")</f>
        <v/>
      </c>
    </row>
    <row r="412" ht="18" customHeight="1">
      <c r="A412" s="18" t="n"/>
      <c r="B412" s="24" t="n"/>
      <c r="C412" s="19" t="n"/>
      <c r="D412" s="25" t="n"/>
      <c r="E412" s="18" t="n"/>
      <c r="F412" s="25" t="n"/>
      <c r="G412" s="18" t="n"/>
      <c r="H412" s="18" t="n"/>
      <c r="I412" s="26">
        <f>IF(OR($A412="",$F412=""),"",ROUND(IF($D412="",1,$D412)*$F412,0))</f>
        <v/>
      </c>
      <c r="J412" s="27">
        <f>IF($A412="","",IF($O412="なし","※通知一覧にない通知No",IF($P412="","",INDEX('支払先'!$C$5:$C$104,$P412)&amp;"")))</f>
        <v/>
      </c>
      <c r="K412" s="28">
        <f>IF(NOT(ISNUMBER($O412)),"",IF(ISNUMBER(INDEX('通知一覧'!$F$5:$F$204,$O412)),INDEX('通知一覧'!$F$5:$F$204,$O412),""))</f>
        <v/>
      </c>
      <c r="L412" s="29">
        <f>IF(AND(ISNUMBER($B412),ISNUMBER($K412)),$K412-$B412+1,"")</f>
        <v/>
      </c>
      <c r="M412" s="30">
        <f>IF(OR($L412="",$P412=""),"",IF(INDEX('支払先'!$M$5:$M$104,$P412)="対象外","",IF(AND($L412&gt;60,$K412&gt;=EDATE($B412,2)),"超える","")))</f>
        <v/>
      </c>
      <c r="N412" s="67" t="n"/>
      <c r="O412" s="31">
        <f>IF($A412="","",IFERROR(MATCH($A412,'通知一覧'!$B$5:$B$204,0),"なし"))</f>
        <v/>
      </c>
      <c r="P412" s="31">
        <f>IF(NOT(ISNUMBER($O412)),"",IFERROR(MATCH(INDEX('通知一覧'!$C$5:$C$204,$O412),'支払先'!$B$5:$B$104,0),""))</f>
        <v/>
      </c>
      <c r="Q412" s="31">
        <f>IF(AND($A412&lt;&gt;"",$A412='支払通知書'!$K$2),ROW(),"")</f>
        <v/>
      </c>
    </row>
    <row r="413" ht="18" customHeight="1">
      <c r="A413" s="18" t="n"/>
      <c r="B413" s="24" t="n"/>
      <c r="C413" s="19" t="n"/>
      <c r="D413" s="25" t="n"/>
      <c r="E413" s="18" t="n"/>
      <c r="F413" s="25" t="n"/>
      <c r="G413" s="18" t="n"/>
      <c r="H413" s="18" t="n"/>
      <c r="I413" s="26">
        <f>IF(OR($A413="",$F413=""),"",ROUND(IF($D413="",1,$D413)*$F413,0))</f>
        <v/>
      </c>
      <c r="J413" s="27">
        <f>IF($A413="","",IF($O413="なし","※通知一覧にない通知No",IF($P413="","",INDEX('支払先'!$C$5:$C$104,$P413)&amp;"")))</f>
        <v/>
      </c>
      <c r="K413" s="28">
        <f>IF(NOT(ISNUMBER($O413)),"",IF(ISNUMBER(INDEX('通知一覧'!$F$5:$F$204,$O413)),INDEX('通知一覧'!$F$5:$F$204,$O413),""))</f>
        <v/>
      </c>
      <c r="L413" s="29">
        <f>IF(AND(ISNUMBER($B413),ISNUMBER($K413)),$K413-$B413+1,"")</f>
        <v/>
      </c>
      <c r="M413" s="30">
        <f>IF(OR($L413="",$P413=""),"",IF(INDEX('支払先'!$M$5:$M$104,$P413)="対象外","",IF(AND($L413&gt;60,$K413&gt;=EDATE($B413,2)),"超える","")))</f>
        <v/>
      </c>
      <c r="N413" s="67" t="n"/>
      <c r="O413" s="31">
        <f>IF($A413="","",IFERROR(MATCH($A413,'通知一覧'!$B$5:$B$204,0),"なし"))</f>
        <v/>
      </c>
      <c r="P413" s="31">
        <f>IF(NOT(ISNUMBER($O413)),"",IFERROR(MATCH(INDEX('通知一覧'!$C$5:$C$204,$O413),'支払先'!$B$5:$B$104,0),""))</f>
        <v/>
      </c>
      <c r="Q413" s="31">
        <f>IF(AND($A413&lt;&gt;"",$A413='支払通知書'!$K$2),ROW(),"")</f>
        <v/>
      </c>
    </row>
    <row r="414" ht="18" customHeight="1">
      <c r="A414" s="18" t="n"/>
      <c r="B414" s="24" t="n"/>
      <c r="C414" s="19" t="n"/>
      <c r="D414" s="25" t="n"/>
      <c r="E414" s="18" t="n"/>
      <c r="F414" s="25" t="n"/>
      <c r="G414" s="18" t="n"/>
      <c r="H414" s="18" t="n"/>
      <c r="I414" s="26">
        <f>IF(OR($A414="",$F414=""),"",ROUND(IF($D414="",1,$D414)*$F414,0))</f>
        <v/>
      </c>
      <c r="J414" s="27">
        <f>IF($A414="","",IF($O414="なし","※通知一覧にない通知No",IF($P414="","",INDEX('支払先'!$C$5:$C$104,$P414)&amp;"")))</f>
        <v/>
      </c>
      <c r="K414" s="28">
        <f>IF(NOT(ISNUMBER($O414)),"",IF(ISNUMBER(INDEX('通知一覧'!$F$5:$F$204,$O414)),INDEX('通知一覧'!$F$5:$F$204,$O414),""))</f>
        <v/>
      </c>
      <c r="L414" s="29">
        <f>IF(AND(ISNUMBER($B414),ISNUMBER($K414)),$K414-$B414+1,"")</f>
        <v/>
      </c>
      <c r="M414" s="30">
        <f>IF(OR($L414="",$P414=""),"",IF(INDEX('支払先'!$M$5:$M$104,$P414)="対象外","",IF(AND($L414&gt;60,$K414&gt;=EDATE($B414,2)),"超える","")))</f>
        <v/>
      </c>
      <c r="N414" s="67" t="n"/>
      <c r="O414" s="31">
        <f>IF($A414="","",IFERROR(MATCH($A414,'通知一覧'!$B$5:$B$204,0),"なし"))</f>
        <v/>
      </c>
      <c r="P414" s="31">
        <f>IF(NOT(ISNUMBER($O414)),"",IFERROR(MATCH(INDEX('通知一覧'!$C$5:$C$204,$O414),'支払先'!$B$5:$B$104,0),""))</f>
        <v/>
      </c>
      <c r="Q414" s="31">
        <f>IF(AND($A414&lt;&gt;"",$A414='支払通知書'!$K$2),ROW(),"")</f>
        <v/>
      </c>
    </row>
    <row r="415" ht="18" customHeight="1">
      <c r="A415" s="18" t="n"/>
      <c r="B415" s="24" t="n"/>
      <c r="C415" s="19" t="n"/>
      <c r="D415" s="25" t="n"/>
      <c r="E415" s="18" t="n"/>
      <c r="F415" s="25" t="n"/>
      <c r="G415" s="18" t="n"/>
      <c r="H415" s="18" t="n"/>
      <c r="I415" s="26">
        <f>IF(OR($A415="",$F415=""),"",ROUND(IF($D415="",1,$D415)*$F415,0))</f>
        <v/>
      </c>
      <c r="J415" s="27">
        <f>IF($A415="","",IF($O415="なし","※通知一覧にない通知No",IF($P415="","",INDEX('支払先'!$C$5:$C$104,$P415)&amp;"")))</f>
        <v/>
      </c>
      <c r="K415" s="28">
        <f>IF(NOT(ISNUMBER($O415)),"",IF(ISNUMBER(INDEX('通知一覧'!$F$5:$F$204,$O415)),INDEX('通知一覧'!$F$5:$F$204,$O415),""))</f>
        <v/>
      </c>
      <c r="L415" s="29">
        <f>IF(AND(ISNUMBER($B415),ISNUMBER($K415)),$K415-$B415+1,"")</f>
        <v/>
      </c>
      <c r="M415" s="30">
        <f>IF(OR($L415="",$P415=""),"",IF(INDEX('支払先'!$M$5:$M$104,$P415)="対象外","",IF(AND($L415&gt;60,$K415&gt;=EDATE($B415,2)),"超える","")))</f>
        <v/>
      </c>
      <c r="N415" s="67" t="n"/>
      <c r="O415" s="31">
        <f>IF($A415="","",IFERROR(MATCH($A415,'通知一覧'!$B$5:$B$204,0),"なし"))</f>
        <v/>
      </c>
      <c r="P415" s="31">
        <f>IF(NOT(ISNUMBER($O415)),"",IFERROR(MATCH(INDEX('通知一覧'!$C$5:$C$204,$O415),'支払先'!$B$5:$B$104,0),""))</f>
        <v/>
      </c>
      <c r="Q415" s="31">
        <f>IF(AND($A415&lt;&gt;"",$A415='支払通知書'!$K$2),ROW(),"")</f>
        <v/>
      </c>
    </row>
    <row r="416" ht="18" customHeight="1">
      <c r="A416" s="18" t="n"/>
      <c r="B416" s="24" t="n"/>
      <c r="C416" s="19" t="n"/>
      <c r="D416" s="25" t="n"/>
      <c r="E416" s="18" t="n"/>
      <c r="F416" s="25" t="n"/>
      <c r="G416" s="18" t="n"/>
      <c r="H416" s="18" t="n"/>
      <c r="I416" s="26">
        <f>IF(OR($A416="",$F416=""),"",ROUND(IF($D416="",1,$D416)*$F416,0))</f>
        <v/>
      </c>
      <c r="J416" s="27">
        <f>IF($A416="","",IF($O416="なし","※通知一覧にない通知No",IF($P416="","",INDEX('支払先'!$C$5:$C$104,$P416)&amp;"")))</f>
        <v/>
      </c>
      <c r="K416" s="28">
        <f>IF(NOT(ISNUMBER($O416)),"",IF(ISNUMBER(INDEX('通知一覧'!$F$5:$F$204,$O416)),INDEX('通知一覧'!$F$5:$F$204,$O416),""))</f>
        <v/>
      </c>
      <c r="L416" s="29">
        <f>IF(AND(ISNUMBER($B416),ISNUMBER($K416)),$K416-$B416+1,"")</f>
        <v/>
      </c>
      <c r="M416" s="30">
        <f>IF(OR($L416="",$P416=""),"",IF(INDEX('支払先'!$M$5:$M$104,$P416)="対象外","",IF(AND($L416&gt;60,$K416&gt;=EDATE($B416,2)),"超える","")))</f>
        <v/>
      </c>
      <c r="N416" s="67" t="n"/>
      <c r="O416" s="31">
        <f>IF($A416="","",IFERROR(MATCH($A416,'通知一覧'!$B$5:$B$204,0),"なし"))</f>
        <v/>
      </c>
      <c r="P416" s="31">
        <f>IF(NOT(ISNUMBER($O416)),"",IFERROR(MATCH(INDEX('通知一覧'!$C$5:$C$204,$O416),'支払先'!$B$5:$B$104,0),""))</f>
        <v/>
      </c>
      <c r="Q416" s="31">
        <f>IF(AND($A416&lt;&gt;"",$A416='支払通知書'!$K$2),ROW(),"")</f>
        <v/>
      </c>
    </row>
    <row r="417" ht="18" customHeight="1">
      <c r="A417" s="18" t="n"/>
      <c r="B417" s="24" t="n"/>
      <c r="C417" s="19" t="n"/>
      <c r="D417" s="25" t="n"/>
      <c r="E417" s="18" t="n"/>
      <c r="F417" s="25" t="n"/>
      <c r="G417" s="18" t="n"/>
      <c r="H417" s="18" t="n"/>
      <c r="I417" s="26">
        <f>IF(OR($A417="",$F417=""),"",ROUND(IF($D417="",1,$D417)*$F417,0))</f>
        <v/>
      </c>
      <c r="J417" s="27">
        <f>IF($A417="","",IF($O417="なし","※通知一覧にない通知No",IF($P417="","",INDEX('支払先'!$C$5:$C$104,$P417)&amp;"")))</f>
        <v/>
      </c>
      <c r="K417" s="28">
        <f>IF(NOT(ISNUMBER($O417)),"",IF(ISNUMBER(INDEX('通知一覧'!$F$5:$F$204,$O417)),INDEX('通知一覧'!$F$5:$F$204,$O417),""))</f>
        <v/>
      </c>
      <c r="L417" s="29">
        <f>IF(AND(ISNUMBER($B417),ISNUMBER($K417)),$K417-$B417+1,"")</f>
        <v/>
      </c>
      <c r="M417" s="30">
        <f>IF(OR($L417="",$P417=""),"",IF(INDEX('支払先'!$M$5:$M$104,$P417)="対象外","",IF(AND($L417&gt;60,$K417&gt;=EDATE($B417,2)),"超える","")))</f>
        <v/>
      </c>
      <c r="N417" s="67" t="n"/>
      <c r="O417" s="31">
        <f>IF($A417="","",IFERROR(MATCH($A417,'通知一覧'!$B$5:$B$204,0),"なし"))</f>
        <v/>
      </c>
      <c r="P417" s="31">
        <f>IF(NOT(ISNUMBER($O417)),"",IFERROR(MATCH(INDEX('通知一覧'!$C$5:$C$204,$O417),'支払先'!$B$5:$B$104,0),""))</f>
        <v/>
      </c>
      <c r="Q417" s="31">
        <f>IF(AND($A417&lt;&gt;"",$A417='支払通知書'!$K$2),ROW(),"")</f>
        <v/>
      </c>
    </row>
    <row r="418" ht="18" customHeight="1">
      <c r="A418" s="18" t="n"/>
      <c r="B418" s="24" t="n"/>
      <c r="C418" s="19" t="n"/>
      <c r="D418" s="25" t="n"/>
      <c r="E418" s="18" t="n"/>
      <c r="F418" s="25" t="n"/>
      <c r="G418" s="18" t="n"/>
      <c r="H418" s="18" t="n"/>
      <c r="I418" s="26">
        <f>IF(OR($A418="",$F418=""),"",ROUND(IF($D418="",1,$D418)*$F418,0))</f>
        <v/>
      </c>
      <c r="J418" s="27">
        <f>IF($A418="","",IF($O418="なし","※通知一覧にない通知No",IF($P418="","",INDEX('支払先'!$C$5:$C$104,$P418)&amp;"")))</f>
        <v/>
      </c>
      <c r="K418" s="28">
        <f>IF(NOT(ISNUMBER($O418)),"",IF(ISNUMBER(INDEX('通知一覧'!$F$5:$F$204,$O418)),INDEX('通知一覧'!$F$5:$F$204,$O418),""))</f>
        <v/>
      </c>
      <c r="L418" s="29">
        <f>IF(AND(ISNUMBER($B418),ISNUMBER($K418)),$K418-$B418+1,"")</f>
        <v/>
      </c>
      <c r="M418" s="30">
        <f>IF(OR($L418="",$P418=""),"",IF(INDEX('支払先'!$M$5:$M$104,$P418)="対象外","",IF(AND($L418&gt;60,$K418&gt;=EDATE($B418,2)),"超える","")))</f>
        <v/>
      </c>
      <c r="N418" s="67" t="n"/>
      <c r="O418" s="31">
        <f>IF($A418="","",IFERROR(MATCH($A418,'通知一覧'!$B$5:$B$204,0),"なし"))</f>
        <v/>
      </c>
      <c r="P418" s="31">
        <f>IF(NOT(ISNUMBER($O418)),"",IFERROR(MATCH(INDEX('通知一覧'!$C$5:$C$204,$O418),'支払先'!$B$5:$B$104,0),""))</f>
        <v/>
      </c>
      <c r="Q418" s="31">
        <f>IF(AND($A418&lt;&gt;"",$A418='支払通知書'!$K$2),ROW(),"")</f>
        <v/>
      </c>
    </row>
    <row r="419" ht="18" customHeight="1">
      <c r="A419" s="18" t="n"/>
      <c r="B419" s="24" t="n"/>
      <c r="C419" s="19" t="n"/>
      <c r="D419" s="25" t="n"/>
      <c r="E419" s="18" t="n"/>
      <c r="F419" s="25" t="n"/>
      <c r="G419" s="18" t="n"/>
      <c r="H419" s="18" t="n"/>
      <c r="I419" s="26">
        <f>IF(OR($A419="",$F419=""),"",ROUND(IF($D419="",1,$D419)*$F419,0))</f>
        <v/>
      </c>
      <c r="J419" s="27">
        <f>IF($A419="","",IF($O419="なし","※通知一覧にない通知No",IF($P419="","",INDEX('支払先'!$C$5:$C$104,$P419)&amp;"")))</f>
        <v/>
      </c>
      <c r="K419" s="28">
        <f>IF(NOT(ISNUMBER($O419)),"",IF(ISNUMBER(INDEX('通知一覧'!$F$5:$F$204,$O419)),INDEX('通知一覧'!$F$5:$F$204,$O419),""))</f>
        <v/>
      </c>
      <c r="L419" s="29">
        <f>IF(AND(ISNUMBER($B419),ISNUMBER($K419)),$K419-$B419+1,"")</f>
        <v/>
      </c>
      <c r="M419" s="30">
        <f>IF(OR($L419="",$P419=""),"",IF(INDEX('支払先'!$M$5:$M$104,$P419)="対象外","",IF(AND($L419&gt;60,$K419&gt;=EDATE($B419,2)),"超える","")))</f>
        <v/>
      </c>
      <c r="N419" s="67" t="n"/>
      <c r="O419" s="31">
        <f>IF($A419="","",IFERROR(MATCH($A419,'通知一覧'!$B$5:$B$204,0),"なし"))</f>
        <v/>
      </c>
      <c r="P419" s="31">
        <f>IF(NOT(ISNUMBER($O419)),"",IFERROR(MATCH(INDEX('通知一覧'!$C$5:$C$204,$O419),'支払先'!$B$5:$B$104,0),""))</f>
        <v/>
      </c>
      <c r="Q419" s="31">
        <f>IF(AND($A419&lt;&gt;"",$A419='支払通知書'!$K$2),ROW(),"")</f>
        <v/>
      </c>
    </row>
    <row r="420" ht="18" customHeight="1">
      <c r="A420" s="18" t="n"/>
      <c r="B420" s="24" t="n"/>
      <c r="C420" s="19" t="n"/>
      <c r="D420" s="25" t="n"/>
      <c r="E420" s="18" t="n"/>
      <c r="F420" s="25" t="n"/>
      <c r="G420" s="18" t="n"/>
      <c r="H420" s="18" t="n"/>
      <c r="I420" s="26">
        <f>IF(OR($A420="",$F420=""),"",ROUND(IF($D420="",1,$D420)*$F420,0))</f>
        <v/>
      </c>
      <c r="J420" s="27">
        <f>IF($A420="","",IF($O420="なし","※通知一覧にない通知No",IF($P420="","",INDEX('支払先'!$C$5:$C$104,$P420)&amp;"")))</f>
        <v/>
      </c>
      <c r="K420" s="28">
        <f>IF(NOT(ISNUMBER($O420)),"",IF(ISNUMBER(INDEX('通知一覧'!$F$5:$F$204,$O420)),INDEX('通知一覧'!$F$5:$F$204,$O420),""))</f>
        <v/>
      </c>
      <c r="L420" s="29">
        <f>IF(AND(ISNUMBER($B420),ISNUMBER($K420)),$K420-$B420+1,"")</f>
        <v/>
      </c>
      <c r="M420" s="30">
        <f>IF(OR($L420="",$P420=""),"",IF(INDEX('支払先'!$M$5:$M$104,$P420)="対象外","",IF(AND($L420&gt;60,$K420&gt;=EDATE($B420,2)),"超える","")))</f>
        <v/>
      </c>
      <c r="N420" s="67" t="n"/>
      <c r="O420" s="31">
        <f>IF($A420="","",IFERROR(MATCH($A420,'通知一覧'!$B$5:$B$204,0),"なし"))</f>
        <v/>
      </c>
      <c r="P420" s="31">
        <f>IF(NOT(ISNUMBER($O420)),"",IFERROR(MATCH(INDEX('通知一覧'!$C$5:$C$204,$O420),'支払先'!$B$5:$B$104,0),""))</f>
        <v/>
      </c>
      <c r="Q420" s="31">
        <f>IF(AND($A420&lt;&gt;"",$A420='支払通知書'!$K$2),ROW(),"")</f>
        <v/>
      </c>
    </row>
    <row r="421" ht="18" customHeight="1">
      <c r="A421" s="18" t="n"/>
      <c r="B421" s="24" t="n"/>
      <c r="C421" s="19" t="n"/>
      <c r="D421" s="25" t="n"/>
      <c r="E421" s="18" t="n"/>
      <c r="F421" s="25" t="n"/>
      <c r="G421" s="18" t="n"/>
      <c r="H421" s="18" t="n"/>
      <c r="I421" s="26">
        <f>IF(OR($A421="",$F421=""),"",ROUND(IF($D421="",1,$D421)*$F421,0))</f>
        <v/>
      </c>
      <c r="J421" s="27">
        <f>IF($A421="","",IF($O421="なし","※通知一覧にない通知No",IF($P421="","",INDEX('支払先'!$C$5:$C$104,$P421)&amp;"")))</f>
        <v/>
      </c>
      <c r="K421" s="28">
        <f>IF(NOT(ISNUMBER($O421)),"",IF(ISNUMBER(INDEX('通知一覧'!$F$5:$F$204,$O421)),INDEX('通知一覧'!$F$5:$F$204,$O421),""))</f>
        <v/>
      </c>
      <c r="L421" s="29">
        <f>IF(AND(ISNUMBER($B421),ISNUMBER($K421)),$K421-$B421+1,"")</f>
        <v/>
      </c>
      <c r="M421" s="30">
        <f>IF(OR($L421="",$P421=""),"",IF(INDEX('支払先'!$M$5:$M$104,$P421)="対象外","",IF(AND($L421&gt;60,$K421&gt;=EDATE($B421,2)),"超える","")))</f>
        <v/>
      </c>
      <c r="N421" s="67" t="n"/>
      <c r="O421" s="31">
        <f>IF($A421="","",IFERROR(MATCH($A421,'通知一覧'!$B$5:$B$204,0),"なし"))</f>
        <v/>
      </c>
      <c r="P421" s="31">
        <f>IF(NOT(ISNUMBER($O421)),"",IFERROR(MATCH(INDEX('通知一覧'!$C$5:$C$204,$O421),'支払先'!$B$5:$B$104,0),""))</f>
        <v/>
      </c>
      <c r="Q421" s="31">
        <f>IF(AND($A421&lt;&gt;"",$A421='支払通知書'!$K$2),ROW(),"")</f>
        <v/>
      </c>
    </row>
    <row r="422" ht="18" customHeight="1">
      <c r="A422" s="18" t="n"/>
      <c r="B422" s="24" t="n"/>
      <c r="C422" s="19" t="n"/>
      <c r="D422" s="25" t="n"/>
      <c r="E422" s="18" t="n"/>
      <c r="F422" s="25" t="n"/>
      <c r="G422" s="18" t="n"/>
      <c r="H422" s="18" t="n"/>
      <c r="I422" s="26">
        <f>IF(OR($A422="",$F422=""),"",ROUND(IF($D422="",1,$D422)*$F422,0))</f>
        <v/>
      </c>
      <c r="J422" s="27">
        <f>IF($A422="","",IF($O422="なし","※通知一覧にない通知No",IF($P422="","",INDEX('支払先'!$C$5:$C$104,$P422)&amp;"")))</f>
        <v/>
      </c>
      <c r="K422" s="28">
        <f>IF(NOT(ISNUMBER($O422)),"",IF(ISNUMBER(INDEX('通知一覧'!$F$5:$F$204,$O422)),INDEX('通知一覧'!$F$5:$F$204,$O422),""))</f>
        <v/>
      </c>
      <c r="L422" s="29">
        <f>IF(AND(ISNUMBER($B422),ISNUMBER($K422)),$K422-$B422+1,"")</f>
        <v/>
      </c>
      <c r="M422" s="30">
        <f>IF(OR($L422="",$P422=""),"",IF(INDEX('支払先'!$M$5:$M$104,$P422)="対象外","",IF(AND($L422&gt;60,$K422&gt;=EDATE($B422,2)),"超える","")))</f>
        <v/>
      </c>
      <c r="N422" s="67" t="n"/>
      <c r="O422" s="31">
        <f>IF($A422="","",IFERROR(MATCH($A422,'通知一覧'!$B$5:$B$204,0),"なし"))</f>
        <v/>
      </c>
      <c r="P422" s="31">
        <f>IF(NOT(ISNUMBER($O422)),"",IFERROR(MATCH(INDEX('通知一覧'!$C$5:$C$204,$O422),'支払先'!$B$5:$B$104,0),""))</f>
        <v/>
      </c>
      <c r="Q422" s="31">
        <f>IF(AND($A422&lt;&gt;"",$A422='支払通知書'!$K$2),ROW(),"")</f>
        <v/>
      </c>
    </row>
    <row r="423" ht="18" customHeight="1">
      <c r="A423" s="18" t="n"/>
      <c r="B423" s="24" t="n"/>
      <c r="C423" s="19" t="n"/>
      <c r="D423" s="25" t="n"/>
      <c r="E423" s="18" t="n"/>
      <c r="F423" s="25" t="n"/>
      <c r="G423" s="18" t="n"/>
      <c r="H423" s="18" t="n"/>
      <c r="I423" s="26">
        <f>IF(OR($A423="",$F423=""),"",ROUND(IF($D423="",1,$D423)*$F423,0))</f>
        <v/>
      </c>
      <c r="J423" s="27">
        <f>IF($A423="","",IF($O423="なし","※通知一覧にない通知No",IF($P423="","",INDEX('支払先'!$C$5:$C$104,$P423)&amp;"")))</f>
        <v/>
      </c>
      <c r="K423" s="28">
        <f>IF(NOT(ISNUMBER($O423)),"",IF(ISNUMBER(INDEX('通知一覧'!$F$5:$F$204,$O423)),INDEX('通知一覧'!$F$5:$F$204,$O423),""))</f>
        <v/>
      </c>
      <c r="L423" s="29">
        <f>IF(AND(ISNUMBER($B423),ISNUMBER($K423)),$K423-$B423+1,"")</f>
        <v/>
      </c>
      <c r="M423" s="30">
        <f>IF(OR($L423="",$P423=""),"",IF(INDEX('支払先'!$M$5:$M$104,$P423)="対象外","",IF(AND($L423&gt;60,$K423&gt;=EDATE($B423,2)),"超える","")))</f>
        <v/>
      </c>
      <c r="N423" s="67" t="n"/>
      <c r="O423" s="31">
        <f>IF($A423="","",IFERROR(MATCH($A423,'通知一覧'!$B$5:$B$204,0),"なし"))</f>
        <v/>
      </c>
      <c r="P423" s="31">
        <f>IF(NOT(ISNUMBER($O423)),"",IFERROR(MATCH(INDEX('通知一覧'!$C$5:$C$204,$O423),'支払先'!$B$5:$B$104,0),""))</f>
        <v/>
      </c>
      <c r="Q423" s="31">
        <f>IF(AND($A423&lt;&gt;"",$A423='支払通知書'!$K$2),ROW(),"")</f>
        <v/>
      </c>
    </row>
    <row r="424" ht="18" customHeight="1">
      <c r="A424" s="18" t="n"/>
      <c r="B424" s="24" t="n"/>
      <c r="C424" s="19" t="n"/>
      <c r="D424" s="25" t="n"/>
      <c r="E424" s="18" t="n"/>
      <c r="F424" s="25" t="n"/>
      <c r="G424" s="18" t="n"/>
      <c r="H424" s="18" t="n"/>
      <c r="I424" s="26">
        <f>IF(OR($A424="",$F424=""),"",ROUND(IF($D424="",1,$D424)*$F424,0))</f>
        <v/>
      </c>
      <c r="J424" s="27">
        <f>IF($A424="","",IF($O424="なし","※通知一覧にない通知No",IF($P424="","",INDEX('支払先'!$C$5:$C$104,$P424)&amp;"")))</f>
        <v/>
      </c>
      <c r="K424" s="28">
        <f>IF(NOT(ISNUMBER($O424)),"",IF(ISNUMBER(INDEX('通知一覧'!$F$5:$F$204,$O424)),INDEX('通知一覧'!$F$5:$F$204,$O424),""))</f>
        <v/>
      </c>
      <c r="L424" s="29">
        <f>IF(AND(ISNUMBER($B424),ISNUMBER($K424)),$K424-$B424+1,"")</f>
        <v/>
      </c>
      <c r="M424" s="30">
        <f>IF(OR($L424="",$P424=""),"",IF(INDEX('支払先'!$M$5:$M$104,$P424)="対象外","",IF(AND($L424&gt;60,$K424&gt;=EDATE($B424,2)),"超える","")))</f>
        <v/>
      </c>
      <c r="N424" s="67" t="n"/>
      <c r="O424" s="31">
        <f>IF($A424="","",IFERROR(MATCH($A424,'通知一覧'!$B$5:$B$204,0),"なし"))</f>
        <v/>
      </c>
      <c r="P424" s="31">
        <f>IF(NOT(ISNUMBER($O424)),"",IFERROR(MATCH(INDEX('通知一覧'!$C$5:$C$204,$O424),'支払先'!$B$5:$B$104,0),""))</f>
        <v/>
      </c>
      <c r="Q424" s="31">
        <f>IF(AND($A424&lt;&gt;"",$A424='支払通知書'!$K$2),ROW(),"")</f>
        <v/>
      </c>
    </row>
    <row r="425" ht="18" customHeight="1">
      <c r="A425" s="18" t="n"/>
      <c r="B425" s="24" t="n"/>
      <c r="C425" s="19" t="n"/>
      <c r="D425" s="25" t="n"/>
      <c r="E425" s="18" t="n"/>
      <c r="F425" s="25" t="n"/>
      <c r="G425" s="18" t="n"/>
      <c r="H425" s="18" t="n"/>
      <c r="I425" s="26">
        <f>IF(OR($A425="",$F425=""),"",ROUND(IF($D425="",1,$D425)*$F425,0))</f>
        <v/>
      </c>
      <c r="J425" s="27">
        <f>IF($A425="","",IF($O425="なし","※通知一覧にない通知No",IF($P425="","",INDEX('支払先'!$C$5:$C$104,$P425)&amp;"")))</f>
        <v/>
      </c>
      <c r="K425" s="28">
        <f>IF(NOT(ISNUMBER($O425)),"",IF(ISNUMBER(INDEX('通知一覧'!$F$5:$F$204,$O425)),INDEX('通知一覧'!$F$5:$F$204,$O425),""))</f>
        <v/>
      </c>
      <c r="L425" s="29">
        <f>IF(AND(ISNUMBER($B425),ISNUMBER($K425)),$K425-$B425+1,"")</f>
        <v/>
      </c>
      <c r="M425" s="30">
        <f>IF(OR($L425="",$P425=""),"",IF(INDEX('支払先'!$M$5:$M$104,$P425)="対象外","",IF(AND($L425&gt;60,$K425&gt;=EDATE($B425,2)),"超える","")))</f>
        <v/>
      </c>
      <c r="N425" s="67" t="n"/>
      <c r="O425" s="31">
        <f>IF($A425="","",IFERROR(MATCH($A425,'通知一覧'!$B$5:$B$204,0),"なし"))</f>
        <v/>
      </c>
      <c r="P425" s="31">
        <f>IF(NOT(ISNUMBER($O425)),"",IFERROR(MATCH(INDEX('通知一覧'!$C$5:$C$204,$O425),'支払先'!$B$5:$B$104,0),""))</f>
        <v/>
      </c>
      <c r="Q425" s="31">
        <f>IF(AND($A425&lt;&gt;"",$A425='支払通知書'!$K$2),ROW(),"")</f>
        <v/>
      </c>
    </row>
    <row r="426" ht="18" customHeight="1">
      <c r="A426" s="18" t="n"/>
      <c r="B426" s="24" t="n"/>
      <c r="C426" s="19" t="n"/>
      <c r="D426" s="25" t="n"/>
      <c r="E426" s="18" t="n"/>
      <c r="F426" s="25" t="n"/>
      <c r="G426" s="18" t="n"/>
      <c r="H426" s="18" t="n"/>
      <c r="I426" s="26">
        <f>IF(OR($A426="",$F426=""),"",ROUND(IF($D426="",1,$D426)*$F426,0))</f>
        <v/>
      </c>
      <c r="J426" s="27">
        <f>IF($A426="","",IF($O426="なし","※通知一覧にない通知No",IF($P426="","",INDEX('支払先'!$C$5:$C$104,$P426)&amp;"")))</f>
        <v/>
      </c>
      <c r="K426" s="28">
        <f>IF(NOT(ISNUMBER($O426)),"",IF(ISNUMBER(INDEX('通知一覧'!$F$5:$F$204,$O426)),INDEX('通知一覧'!$F$5:$F$204,$O426),""))</f>
        <v/>
      </c>
      <c r="L426" s="29">
        <f>IF(AND(ISNUMBER($B426),ISNUMBER($K426)),$K426-$B426+1,"")</f>
        <v/>
      </c>
      <c r="M426" s="30">
        <f>IF(OR($L426="",$P426=""),"",IF(INDEX('支払先'!$M$5:$M$104,$P426)="対象外","",IF(AND($L426&gt;60,$K426&gt;=EDATE($B426,2)),"超える","")))</f>
        <v/>
      </c>
      <c r="N426" s="67" t="n"/>
      <c r="O426" s="31">
        <f>IF($A426="","",IFERROR(MATCH($A426,'通知一覧'!$B$5:$B$204,0),"なし"))</f>
        <v/>
      </c>
      <c r="P426" s="31">
        <f>IF(NOT(ISNUMBER($O426)),"",IFERROR(MATCH(INDEX('通知一覧'!$C$5:$C$204,$O426),'支払先'!$B$5:$B$104,0),""))</f>
        <v/>
      </c>
      <c r="Q426" s="31">
        <f>IF(AND($A426&lt;&gt;"",$A426='支払通知書'!$K$2),ROW(),"")</f>
        <v/>
      </c>
    </row>
    <row r="427" ht="18" customHeight="1">
      <c r="A427" s="18" t="n"/>
      <c r="B427" s="24" t="n"/>
      <c r="C427" s="19" t="n"/>
      <c r="D427" s="25" t="n"/>
      <c r="E427" s="18" t="n"/>
      <c r="F427" s="25" t="n"/>
      <c r="G427" s="18" t="n"/>
      <c r="H427" s="18" t="n"/>
      <c r="I427" s="26">
        <f>IF(OR($A427="",$F427=""),"",ROUND(IF($D427="",1,$D427)*$F427,0))</f>
        <v/>
      </c>
      <c r="J427" s="27">
        <f>IF($A427="","",IF($O427="なし","※通知一覧にない通知No",IF($P427="","",INDEX('支払先'!$C$5:$C$104,$P427)&amp;"")))</f>
        <v/>
      </c>
      <c r="K427" s="28">
        <f>IF(NOT(ISNUMBER($O427)),"",IF(ISNUMBER(INDEX('通知一覧'!$F$5:$F$204,$O427)),INDEX('通知一覧'!$F$5:$F$204,$O427),""))</f>
        <v/>
      </c>
      <c r="L427" s="29">
        <f>IF(AND(ISNUMBER($B427),ISNUMBER($K427)),$K427-$B427+1,"")</f>
        <v/>
      </c>
      <c r="M427" s="30">
        <f>IF(OR($L427="",$P427=""),"",IF(INDEX('支払先'!$M$5:$M$104,$P427)="対象外","",IF(AND($L427&gt;60,$K427&gt;=EDATE($B427,2)),"超える","")))</f>
        <v/>
      </c>
      <c r="N427" s="67" t="n"/>
      <c r="O427" s="31">
        <f>IF($A427="","",IFERROR(MATCH($A427,'通知一覧'!$B$5:$B$204,0),"なし"))</f>
        <v/>
      </c>
      <c r="P427" s="31">
        <f>IF(NOT(ISNUMBER($O427)),"",IFERROR(MATCH(INDEX('通知一覧'!$C$5:$C$204,$O427),'支払先'!$B$5:$B$104,0),""))</f>
        <v/>
      </c>
      <c r="Q427" s="31">
        <f>IF(AND($A427&lt;&gt;"",$A427='支払通知書'!$K$2),ROW(),"")</f>
        <v/>
      </c>
    </row>
    <row r="428" ht="18" customHeight="1">
      <c r="A428" s="18" t="n"/>
      <c r="B428" s="24" t="n"/>
      <c r="C428" s="19" t="n"/>
      <c r="D428" s="25" t="n"/>
      <c r="E428" s="18" t="n"/>
      <c r="F428" s="25" t="n"/>
      <c r="G428" s="18" t="n"/>
      <c r="H428" s="18" t="n"/>
      <c r="I428" s="26">
        <f>IF(OR($A428="",$F428=""),"",ROUND(IF($D428="",1,$D428)*$F428,0))</f>
        <v/>
      </c>
      <c r="J428" s="27">
        <f>IF($A428="","",IF($O428="なし","※通知一覧にない通知No",IF($P428="","",INDEX('支払先'!$C$5:$C$104,$P428)&amp;"")))</f>
        <v/>
      </c>
      <c r="K428" s="28">
        <f>IF(NOT(ISNUMBER($O428)),"",IF(ISNUMBER(INDEX('通知一覧'!$F$5:$F$204,$O428)),INDEX('通知一覧'!$F$5:$F$204,$O428),""))</f>
        <v/>
      </c>
      <c r="L428" s="29">
        <f>IF(AND(ISNUMBER($B428),ISNUMBER($K428)),$K428-$B428+1,"")</f>
        <v/>
      </c>
      <c r="M428" s="30">
        <f>IF(OR($L428="",$P428=""),"",IF(INDEX('支払先'!$M$5:$M$104,$P428)="対象外","",IF(AND($L428&gt;60,$K428&gt;=EDATE($B428,2)),"超える","")))</f>
        <v/>
      </c>
      <c r="N428" s="67" t="n"/>
      <c r="O428" s="31">
        <f>IF($A428="","",IFERROR(MATCH($A428,'通知一覧'!$B$5:$B$204,0),"なし"))</f>
        <v/>
      </c>
      <c r="P428" s="31">
        <f>IF(NOT(ISNUMBER($O428)),"",IFERROR(MATCH(INDEX('通知一覧'!$C$5:$C$204,$O428),'支払先'!$B$5:$B$104,0),""))</f>
        <v/>
      </c>
      <c r="Q428" s="31">
        <f>IF(AND($A428&lt;&gt;"",$A428='支払通知書'!$K$2),ROW(),"")</f>
        <v/>
      </c>
    </row>
    <row r="429" ht="18" customHeight="1">
      <c r="A429" s="18" t="n"/>
      <c r="B429" s="24" t="n"/>
      <c r="C429" s="19" t="n"/>
      <c r="D429" s="25" t="n"/>
      <c r="E429" s="18" t="n"/>
      <c r="F429" s="25" t="n"/>
      <c r="G429" s="18" t="n"/>
      <c r="H429" s="18" t="n"/>
      <c r="I429" s="26">
        <f>IF(OR($A429="",$F429=""),"",ROUND(IF($D429="",1,$D429)*$F429,0))</f>
        <v/>
      </c>
      <c r="J429" s="27">
        <f>IF($A429="","",IF($O429="なし","※通知一覧にない通知No",IF($P429="","",INDEX('支払先'!$C$5:$C$104,$P429)&amp;"")))</f>
        <v/>
      </c>
      <c r="K429" s="28">
        <f>IF(NOT(ISNUMBER($O429)),"",IF(ISNUMBER(INDEX('通知一覧'!$F$5:$F$204,$O429)),INDEX('通知一覧'!$F$5:$F$204,$O429),""))</f>
        <v/>
      </c>
      <c r="L429" s="29">
        <f>IF(AND(ISNUMBER($B429),ISNUMBER($K429)),$K429-$B429+1,"")</f>
        <v/>
      </c>
      <c r="M429" s="30">
        <f>IF(OR($L429="",$P429=""),"",IF(INDEX('支払先'!$M$5:$M$104,$P429)="対象外","",IF(AND($L429&gt;60,$K429&gt;=EDATE($B429,2)),"超える","")))</f>
        <v/>
      </c>
      <c r="N429" s="67" t="n"/>
      <c r="O429" s="31">
        <f>IF($A429="","",IFERROR(MATCH($A429,'通知一覧'!$B$5:$B$204,0),"なし"))</f>
        <v/>
      </c>
      <c r="P429" s="31">
        <f>IF(NOT(ISNUMBER($O429)),"",IFERROR(MATCH(INDEX('通知一覧'!$C$5:$C$204,$O429),'支払先'!$B$5:$B$104,0),""))</f>
        <v/>
      </c>
      <c r="Q429" s="31">
        <f>IF(AND($A429&lt;&gt;"",$A429='支払通知書'!$K$2),ROW(),"")</f>
        <v/>
      </c>
    </row>
    <row r="430" ht="18" customHeight="1">
      <c r="A430" s="18" t="n"/>
      <c r="B430" s="24" t="n"/>
      <c r="C430" s="19" t="n"/>
      <c r="D430" s="25" t="n"/>
      <c r="E430" s="18" t="n"/>
      <c r="F430" s="25" t="n"/>
      <c r="G430" s="18" t="n"/>
      <c r="H430" s="18" t="n"/>
      <c r="I430" s="26">
        <f>IF(OR($A430="",$F430=""),"",ROUND(IF($D430="",1,$D430)*$F430,0))</f>
        <v/>
      </c>
      <c r="J430" s="27">
        <f>IF($A430="","",IF($O430="なし","※通知一覧にない通知No",IF($P430="","",INDEX('支払先'!$C$5:$C$104,$P430)&amp;"")))</f>
        <v/>
      </c>
      <c r="K430" s="28">
        <f>IF(NOT(ISNUMBER($O430)),"",IF(ISNUMBER(INDEX('通知一覧'!$F$5:$F$204,$O430)),INDEX('通知一覧'!$F$5:$F$204,$O430),""))</f>
        <v/>
      </c>
      <c r="L430" s="29">
        <f>IF(AND(ISNUMBER($B430),ISNUMBER($K430)),$K430-$B430+1,"")</f>
        <v/>
      </c>
      <c r="M430" s="30">
        <f>IF(OR($L430="",$P430=""),"",IF(INDEX('支払先'!$M$5:$M$104,$P430)="対象外","",IF(AND($L430&gt;60,$K430&gt;=EDATE($B430,2)),"超える","")))</f>
        <v/>
      </c>
      <c r="N430" s="67" t="n"/>
      <c r="O430" s="31">
        <f>IF($A430="","",IFERROR(MATCH($A430,'通知一覧'!$B$5:$B$204,0),"なし"))</f>
        <v/>
      </c>
      <c r="P430" s="31">
        <f>IF(NOT(ISNUMBER($O430)),"",IFERROR(MATCH(INDEX('通知一覧'!$C$5:$C$204,$O430),'支払先'!$B$5:$B$104,0),""))</f>
        <v/>
      </c>
      <c r="Q430" s="31">
        <f>IF(AND($A430&lt;&gt;"",$A430='支払通知書'!$K$2),ROW(),"")</f>
        <v/>
      </c>
    </row>
    <row r="431" ht="18" customHeight="1">
      <c r="A431" s="18" t="n"/>
      <c r="B431" s="24" t="n"/>
      <c r="C431" s="19" t="n"/>
      <c r="D431" s="25" t="n"/>
      <c r="E431" s="18" t="n"/>
      <c r="F431" s="25" t="n"/>
      <c r="G431" s="18" t="n"/>
      <c r="H431" s="18" t="n"/>
      <c r="I431" s="26">
        <f>IF(OR($A431="",$F431=""),"",ROUND(IF($D431="",1,$D431)*$F431,0))</f>
        <v/>
      </c>
      <c r="J431" s="27">
        <f>IF($A431="","",IF($O431="なし","※通知一覧にない通知No",IF($P431="","",INDEX('支払先'!$C$5:$C$104,$P431)&amp;"")))</f>
        <v/>
      </c>
      <c r="K431" s="28">
        <f>IF(NOT(ISNUMBER($O431)),"",IF(ISNUMBER(INDEX('通知一覧'!$F$5:$F$204,$O431)),INDEX('通知一覧'!$F$5:$F$204,$O431),""))</f>
        <v/>
      </c>
      <c r="L431" s="29">
        <f>IF(AND(ISNUMBER($B431),ISNUMBER($K431)),$K431-$B431+1,"")</f>
        <v/>
      </c>
      <c r="M431" s="30">
        <f>IF(OR($L431="",$P431=""),"",IF(INDEX('支払先'!$M$5:$M$104,$P431)="対象外","",IF(AND($L431&gt;60,$K431&gt;=EDATE($B431,2)),"超える","")))</f>
        <v/>
      </c>
      <c r="N431" s="67" t="n"/>
      <c r="O431" s="31">
        <f>IF($A431="","",IFERROR(MATCH($A431,'通知一覧'!$B$5:$B$204,0),"なし"))</f>
        <v/>
      </c>
      <c r="P431" s="31">
        <f>IF(NOT(ISNUMBER($O431)),"",IFERROR(MATCH(INDEX('通知一覧'!$C$5:$C$204,$O431),'支払先'!$B$5:$B$104,0),""))</f>
        <v/>
      </c>
      <c r="Q431" s="31">
        <f>IF(AND($A431&lt;&gt;"",$A431='支払通知書'!$K$2),ROW(),"")</f>
        <v/>
      </c>
    </row>
    <row r="432" ht="18" customHeight="1">
      <c r="A432" s="18" t="n"/>
      <c r="B432" s="24" t="n"/>
      <c r="C432" s="19" t="n"/>
      <c r="D432" s="25" t="n"/>
      <c r="E432" s="18" t="n"/>
      <c r="F432" s="25" t="n"/>
      <c r="G432" s="18" t="n"/>
      <c r="H432" s="18" t="n"/>
      <c r="I432" s="26">
        <f>IF(OR($A432="",$F432=""),"",ROUND(IF($D432="",1,$D432)*$F432,0))</f>
        <v/>
      </c>
      <c r="J432" s="27">
        <f>IF($A432="","",IF($O432="なし","※通知一覧にない通知No",IF($P432="","",INDEX('支払先'!$C$5:$C$104,$P432)&amp;"")))</f>
        <v/>
      </c>
      <c r="K432" s="28">
        <f>IF(NOT(ISNUMBER($O432)),"",IF(ISNUMBER(INDEX('通知一覧'!$F$5:$F$204,$O432)),INDEX('通知一覧'!$F$5:$F$204,$O432),""))</f>
        <v/>
      </c>
      <c r="L432" s="29">
        <f>IF(AND(ISNUMBER($B432),ISNUMBER($K432)),$K432-$B432+1,"")</f>
        <v/>
      </c>
      <c r="M432" s="30">
        <f>IF(OR($L432="",$P432=""),"",IF(INDEX('支払先'!$M$5:$M$104,$P432)="対象外","",IF(AND($L432&gt;60,$K432&gt;=EDATE($B432,2)),"超える","")))</f>
        <v/>
      </c>
      <c r="N432" s="67" t="n"/>
      <c r="O432" s="31">
        <f>IF($A432="","",IFERROR(MATCH($A432,'通知一覧'!$B$5:$B$204,0),"なし"))</f>
        <v/>
      </c>
      <c r="P432" s="31">
        <f>IF(NOT(ISNUMBER($O432)),"",IFERROR(MATCH(INDEX('通知一覧'!$C$5:$C$204,$O432),'支払先'!$B$5:$B$104,0),""))</f>
        <v/>
      </c>
      <c r="Q432" s="31">
        <f>IF(AND($A432&lt;&gt;"",$A432='支払通知書'!$K$2),ROW(),"")</f>
        <v/>
      </c>
    </row>
    <row r="433" ht="18" customHeight="1">
      <c r="A433" s="18" t="n"/>
      <c r="B433" s="24" t="n"/>
      <c r="C433" s="19" t="n"/>
      <c r="D433" s="25" t="n"/>
      <c r="E433" s="18" t="n"/>
      <c r="F433" s="25" t="n"/>
      <c r="G433" s="18" t="n"/>
      <c r="H433" s="18" t="n"/>
      <c r="I433" s="26">
        <f>IF(OR($A433="",$F433=""),"",ROUND(IF($D433="",1,$D433)*$F433,0))</f>
        <v/>
      </c>
      <c r="J433" s="27">
        <f>IF($A433="","",IF($O433="なし","※通知一覧にない通知No",IF($P433="","",INDEX('支払先'!$C$5:$C$104,$P433)&amp;"")))</f>
        <v/>
      </c>
      <c r="K433" s="28">
        <f>IF(NOT(ISNUMBER($O433)),"",IF(ISNUMBER(INDEX('通知一覧'!$F$5:$F$204,$O433)),INDEX('通知一覧'!$F$5:$F$204,$O433),""))</f>
        <v/>
      </c>
      <c r="L433" s="29">
        <f>IF(AND(ISNUMBER($B433),ISNUMBER($K433)),$K433-$B433+1,"")</f>
        <v/>
      </c>
      <c r="M433" s="30">
        <f>IF(OR($L433="",$P433=""),"",IF(INDEX('支払先'!$M$5:$M$104,$P433)="対象外","",IF(AND($L433&gt;60,$K433&gt;=EDATE($B433,2)),"超える","")))</f>
        <v/>
      </c>
      <c r="N433" s="67" t="n"/>
      <c r="O433" s="31">
        <f>IF($A433="","",IFERROR(MATCH($A433,'通知一覧'!$B$5:$B$204,0),"なし"))</f>
        <v/>
      </c>
      <c r="P433" s="31">
        <f>IF(NOT(ISNUMBER($O433)),"",IFERROR(MATCH(INDEX('通知一覧'!$C$5:$C$204,$O433),'支払先'!$B$5:$B$104,0),""))</f>
        <v/>
      </c>
      <c r="Q433" s="31">
        <f>IF(AND($A433&lt;&gt;"",$A433='支払通知書'!$K$2),ROW(),"")</f>
        <v/>
      </c>
    </row>
    <row r="434" ht="18" customHeight="1">
      <c r="A434" s="18" t="n"/>
      <c r="B434" s="24" t="n"/>
      <c r="C434" s="19" t="n"/>
      <c r="D434" s="25" t="n"/>
      <c r="E434" s="18" t="n"/>
      <c r="F434" s="25" t="n"/>
      <c r="G434" s="18" t="n"/>
      <c r="H434" s="18" t="n"/>
      <c r="I434" s="26">
        <f>IF(OR($A434="",$F434=""),"",ROUND(IF($D434="",1,$D434)*$F434,0))</f>
        <v/>
      </c>
      <c r="J434" s="27">
        <f>IF($A434="","",IF($O434="なし","※通知一覧にない通知No",IF($P434="","",INDEX('支払先'!$C$5:$C$104,$P434)&amp;"")))</f>
        <v/>
      </c>
      <c r="K434" s="28">
        <f>IF(NOT(ISNUMBER($O434)),"",IF(ISNUMBER(INDEX('通知一覧'!$F$5:$F$204,$O434)),INDEX('通知一覧'!$F$5:$F$204,$O434),""))</f>
        <v/>
      </c>
      <c r="L434" s="29">
        <f>IF(AND(ISNUMBER($B434),ISNUMBER($K434)),$K434-$B434+1,"")</f>
        <v/>
      </c>
      <c r="M434" s="30">
        <f>IF(OR($L434="",$P434=""),"",IF(INDEX('支払先'!$M$5:$M$104,$P434)="対象外","",IF(AND($L434&gt;60,$K434&gt;=EDATE($B434,2)),"超える","")))</f>
        <v/>
      </c>
      <c r="N434" s="67" t="n"/>
      <c r="O434" s="31">
        <f>IF($A434="","",IFERROR(MATCH($A434,'通知一覧'!$B$5:$B$204,0),"なし"))</f>
        <v/>
      </c>
      <c r="P434" s="31">
        <f>IF(NOT(ISNUMBER($O434)),"",IFERROR(MATCH(INDEX('通知一覧'!$C$5:$C$204,$O434),'支払先'!$B$5:$B$104,0),""))</f>
        <v/>
      </c>
      <c r="Q434" s="31">
        <f>IF(AND($A434&lt;&gt;"",$A434='支払通知書'!$K$2),ROW(),"")</f>
        <v/>
      </c>
    </row>
    <row r="435" ht="18" customHeight="1">
      <c r="A435" s="18" t="n"/>
      <c r="B435" s="24" t="n"/>
      <c r="C435" s="19" t="n"/>
      <c r="D435" s="25" t="n"/>
      <c r="E435" s="18" t="n"/>
      <c r="F435" s="25" t="n"/>
      <c r="G435" s="18" t="n"/>
      <c r="H435" s="18" t="n"/>
      <c r="I435" s="26">
        <f>IF(OR($A435="",$F435=""),"",ROUND(IF($D435="",1,$D435)*$F435,0))</f>
        <v/>
      </c>
      <c r="J435" s="27">
        <f>IF($A435="","",IF($O435="なし","※通知一覧にない通知No",IF($P435="","",INDEX('支払先'!$C$5:$C$104,$P435)&amp;"")))</f>
        <v/>
      </c>
      <c r="K435" s="28">
        <f>IF(NOT(ISNUMBER($O435)),"",IF(ISNUMBER(INDEX('通知一覧'!$F$5:$F$204,$O435)),INDEX('通知一覧'!$F$5:$F$204,$O435),""))</f>
        <v/>
      </c>
      <c r="L435" s="29">
        <f>IF(AND(ISNUMBER($B435),ISNUMBER($K435)),$K435-$B435+1,"")</f>
        <v/>
      </c>
      <c r="M435" s="30">
        <f>IF(OR($L435="",$P435=""),"",IF(INDEX('支払先'!$M$5:$M$104,$P435)="対象外","",IF(AND($L435&gt;60,$K435&gt;=EDATE($B435,2)),"超える","")))</f>
        <v/>
      </c>
      <c r="N435" s="67" t="n"/>
      <c r="O435" s="31">
        <f>IF($A435="","",IFERROR(MATCH($A435,'通知一覧'!$B$5:$B$204,0),"なし"))</f>
        <v/>
      </c>
      <c r="P435" s="31">
        <f>IF(NOT(ISNUMBER($O435)),"",IFERROR(MATCH(INDEX('通知一覧'!$C$5:$C$204,$O435),'支払先'!$B$5:$B$104,0),""))</f>
        <v/>
      </c>
      <c r="Q435" s="31">
        <f>IF(AND($A435&lt;&gt;"",$A435='支払通知書'!$K$2),ROW(),"")</f>
        <v/>
      </c>
    </row>
    <row r="436" ht="18" customHeight="1">
      <c r="A436" s="18" t="n"/>
      <c r="B436" s="24" t="n"/>
      <c r="C436" s="19" t="n"/>
      <c r="D436" s="25" t="n"/>
      <c r="E436" s="18" t="n"/>
      <c r="F436" s="25" t="n"/>
      <c r="G436" s="18" t="n"/>
      <c r="H436" s="18" t="n"/>
      <c r="I436" s="26">
        <f>IF(OR($A436="",$F436=""),"",ROUND(IF($D436="",1,$D436)*$F436,0))</f>
        <v/>
      </c>
      <c r="J436" s="27">
        <f>IF($A436="","",IF($O436="なし","※通知一覧にない通知No",IF($P436="","",INDEX('支払先'!$C$5:$C$104,$P436)&amp;"")))</f>
        <v/>
      </c>
      <c r="K436" s="28">
        <f>IF(NOT(ISNUMBER($O436)),"",IF(ISNUMBER(INDEX('通知一覧'!$F$5:$F$204,$O436)),INDEX('通知一覧'!$F$5:$F$204,$O436),""))</f>
        <v/>
      </c>
      <c r="L436" s="29">
        <f>IF(AND(ISNUMBER($B436),ISNUMBER($K436)),$K436-$B436+1,"")</f>
        <v/>
      </c>
      <c r="M436" s="30">
        <f>IF(OR($L436="",$P436=""),"",IF(INDEX('支払先'!$M$5:$M$104,$P436)="対象外","",IF(AND($L436&gt;60,$K436&gt;=EDATE($B436,2)),"超える","")))</f>
        <v/>
      </c>
      <c r="N436" s="67" t="n"/>
      <c r="O436" s="31">
        <f>IF($A436="","",IFERROR(MATCH($A436,'通知一覧'!$B$5:$B$204,0),"なし"))</f>
        <v/>
      </c>
      <c r="P436" s="31">
        <f>IF(NOT(ISNUMBER($O436)),"",IFERROR(MATCH(INDEX('通知一覧'!$C$5:$C$204,$O436),'支払先'!$B$5:$B$104,0),""))</f>
        <v/>
      </c>
      <c r="Q436" s="31">
        <f>IF(AND($A436&lt;&gt;"",$A436='支払通知書'!$K$2),ROW(),"")</f>
        <v/>
      </c>
    </row>
    <row r="437" ht="18" customHeight="1">
      <c r="A437" s="18" t="n"/>
      <c r="B437" s="24" t="n"/>
      <c r="C437" s="19" t="n"/>
      <c r="D437" s="25" t="n"/>
      <c r="E437" s="18" t="n"/>
      <c r="F437" s="25" t="n"/>
      <c r="G437" s="18" t="n"/>
      <c r="H437" s="18" t="n"/>
      <c r="I437" s="26">
        <f>IF(OR($A437="",$F437=""),"",ROUND(IF($D437="",1,$D437)*$F437,0))</f>
        <v/>
      </c>
      <c r="J437" s="27">
        <f>IF($A437="","",IF($O437="なし","※通知一覧にない通知No",IF($P437="","",INDEX('支払先'!$C$5:$C$104,$P437)&amp;"")))</f>
        <v/>
      </c>
      <c r="K437" s="28">
        <f>IF(NOT(ISNUMBER($O437)),"",IF(ISNUMBER(INDEX('通知一覧'!$F$5:$F$204,$O437)),INDEX('通知一覧'!$F$5:$F$204,$O437),""))</f>
        <v/>
      </c>
      <c r="L437" s="29">
        <f>IF(AND(ISNUMBER($B437),ISNUMBER($K437)),$K437-$B437+1,"")</f>
        <v/>
      </c>
      <c r="M437" s="30">
        <f>IF(OR($L437="",$P437=""),"",IF(INDEX('支払先'!$M$5:$M$104,$P437)="対象外","",IF(AND($L437&gt;60,$K437&gt;=EDATE($B437,2)),"超える","")))</f>
        <v/>
      </c>
      <c r="N437" s="67" t="n"/>
      <c r="O437" s="31">
        <f>IF($A437="","",IFERROR(MATCH($A437,'通知一覧'!$B$5:$B$204,0),"なし"))</f>
        <v/>
      </c>
      <c r="P437" s="31">
        <f>IF(NOT(ISNUMBER($O437)),"",IFERROR(MATCH(INDEX('通知一覧'!$C$5:$C$204,$O437),'支払先'!$B$5:$B$104,0),""))</f>
        <v/>
      </c>
      <c r="Q437" s="31">
        <f>IF(AND($A437&lt;&gt;"",$A437='支払通知書'!$K$2),ROW(),"")</f>
        <v/>
      </c>
    </row>
    <row r="438" ht="18" customHeight="1">
      <c r="A438" s="18" t="n"/>
      <c r="B438" s="24" t="n"/>
      <c r="C438" s="19" t="n"/>
      <c r="D438" s="25" t="n"/>
      <c r="E438" s="18" t="n"/>
      <c r="F438" s="25" t="n"/>
      <c r="G438" s="18" t="n"/>
      <c r="H438" s="18" t="n"/>
      <c r="I438" s="26">
        <f>IF(OR($A438="",$F438=""),"",ROUND(IF($D438="",1,$D438)*$F438,0))</f>
        <v/>
      </c>
      <c r="J438" s="27">
        <f>IF($A438="","",IF($O438="なし","※通知一覧にない通知No",IF($P438="","",INDEX('支払先'!$C$5:$C$104,$P438)&amp;"")))</f>
        <v/>
      </c>
      <c r="K438" s="28">
        <f>IF(NOT(ISNUMBER($O438)),"",IF(ISNUMBER(INDEX('通知一覧'!$F$5:$F$204,$O438)),INDEX('通知一覧'!$F$5:$F$204,$O438),""))</f>
        <v/>
      </c>
      <c r="L438" s="29">
        <f>IF(AND(ISNUMBER($B438),ISNUMBER($K438)),$K438-$B438+1,"")</f>
        <v/>
      </c>
      <c r="M438" s="30">
        <f>IF(OR($L438="",$P438=""),"",IF(INDEX('支払先'!$M$5:$M$104,$P438)="対象外","",IF(AND($L438&gt;60,$K438&gt;=EDATE($B438,2)),"超える","")))</f>
        <v/>
      </c>
      <c r="N438" s="67" t="n"/>
      <c r="O438" s="31">
        <f>IF($A438="","",IFERROR(MATCH($A438,'通知一覧'!$B$5:$B$204,0),"なし"))</f>
        <v/>
      </c>
      <c r="P438" s="31">
        <f>IF(NOT(ISNUMBER($O438)),"",IFERROR(MATCH(INDEX('通知一覧'!$C$5:$C$204,$O438),'支払先'!$B$5:$B$104,0),""))</f>
        <v/>
      </c>
      <c r="Q438" s="31">
        <f>IF(AND($A438&lt;&gt;"",$A438='支払通知書'!$K$2),ROW(),"")</f>
        <v/>
      </c>
    </row>
    <row r="439" ht="18" customHeight="1">
      <c r="A439" s="18" t="n"/>
      <c r="B439" s="24" t="n"/>
      <c r="C439" s="19" t="n"/>
      <c r="D439" s="25" t="n"/>
      <c r="E439" s="18" t="n"/>
      <c r="F439" s="25" t="n"/>
      <c r="G439" s="18" t="n"/>
      <c r="H439" s="18" t="n"/>
      <c r="I439" s="26">
        <f>IF(OR($A439="",$F439=""),"",ROUND(IF($D439="",1,$D439)*$F439,0))</f>
        <v/>
      </c>
      <c r="J439" s="27">
        <f>IF($A439="","",IF($O439="なし","※通知一覧にない通知No",IF($P439="","",INDEX('支払先'!$C$5:$C$104,$P439)&amp;"")))</f>
        <v/>
      </c>
      <c r="K439" s="28">
        <f>IF(NOT(ISNUMBER($O439)),"",IF(ISNUMBER(INDEX('通知一覧'!$F$5:$F$204,$O439)),INDEX('通知一覧'!$F$5:$F$204,$O439),""))</f>
        <v/>
      </c>
      <c r="L439" s="29">
        <f>IF(AND(ISNUMBER($B439),ISNUMBER($K439)),$K439-$B439+1,"")</f>
        <v/>
      </c>
      <c r="M439" s="30">
        <f>IF(OR($L439="",$P439=""),"",IF(INDEX('支払先'!$M$5:$M$104,$P439)="対象外","",IF(AND($L439&gt;60,$K439&gt;=EDATE($B439,2)),"超える","")))</f>
        <v/>
      </c>
      <c r="N439" s="67" t="n"/>
      <c r="O439" s="31">
        <f>IF($A439="","",IFERROR(MATCH($A439,'通知一覧'!$B$5:$B$204,0),"なし"))</f>
        <v/>
      </c>
      <c r="P439" s="31">
        <f>IF(NOT(ISNUMBER($O439)),"",IFERROR(MATCH(INDEX('通知一覧'!$C$5:$C$204,$O439),'支払先'!$B$5:$B$104,0),""))</f>
        <v/>
      </c>
      <c r="Q439" s="31">
        <f>IF(AND($A439&lt;&gt;"",$A439='支払通知書'!$K$2),ROW(),"")</f>
        <v/>
      </c>
    </row>
    <row r="440" ht="18" customHeight="1">
      <c r="A440" s="18" t="n"/>
      <c r="B440" s="24" t="n"/>
      <c r="C440" s="19" t="n"/>
      <c r="D440" s="25" t="n"/>
      <c r="E440" s="18" t="n"/>
      <c r="F440" s="25" t="n"/>
      <c r="G440" s="18" t="n"/>
      <c r="H440" s="18" t="n"/>
      <c r="I440" s="26">
        <f>IF(OR($A440="",$F440=""),"",ROUND(IF($D440="",1,$D440)*$F440,0))</f>
        <v/>
      </c>
      <c r="J440" s="27">
        <f>IF($A440="","",IF($O440="なし","※通知一覧にない通知No",IF($P440="","",INDEX('支払先'!$C$5:$C$104,$P440)&amp;"")))</f>
        <v/>
      </c>
      <c r="K440" s="28">
        <f>IF(NOT(ISNUMBER($O440)),"",IF(ISNUMBER(INDEX('通知一覧'!$F$5:$F$204,$O440)),INDEX('通知一覧'!$F$5:$F$204,$O440),""))</f>
        <v/>
      </c>
      <c r="L440" s="29">
        <f>IF(AND(ISNUMBER($B440),ISNUMBER($K440)),$K440-$B440+1,"")</f>
        <v/>
      </c>
      <c r="M440" s="30">
        <f>IF(OR($L440="",$P440=""),"",IF(INDEX('支払先'!$M$5:$M$104,$P440)="対象外","",IF(AND($L440&gt;60,$K440&gt;=EDATE($B440,2)),"超える","")))</f>
        <v/>
      </c>
      <c r="N440" s="67" t="n"/>
      <c r="O440" s="31">
        <f>IF($A440="","",IFERROR(MATCH($A440,'通知一覧'!$B$5:$B$204,0),"なし"))</f>
        <v/>
      </c>
      <c r="P440" s="31">
        <f>IF(NOT(ISNUMBER($O440)),"",IFERROR(MATCH(INDEX('通知一覧'!$C$5:$C$204,$O440),'支払先'!$B$5:$B$104,0),""))</f>
        <v/>
      </c>
      <c r="Q440" s="31">
        <f>IF(AND($A440&lt;&gt;"",$A440='支払通知書'!$K$2),ROW(),"")</f>
        <v/>
      </c>
    </row>
    <row r="441" ht="18" customHeight="1">
      <c r="A441" s="18" t="n"/>
      <c r="B441" s="24" t="n"/>
      <c r="C441" s="19" t="n"/>
      <c r="D441" s="25" t="n"/>
      <c r="E441" s="18" t="n"/>
      <c r="F441" s="25" t="n"/>
      <c r="G441" s="18" t="n"/>
      <c r="H441" s="18" t="n"/>
      <c r="I441" s="26">
        <f>IF(OR($A441="",$F441=""),"",ROUND(IF($D441="",1,$D441)*$F441,0))</f>
        <v/>
      </c>
      <c r="J441" s="27">
        <f>IF($A441="","",IF($O441="なし","※通知一覧にない通知No",IF($P441="","",INDEX('支払先'!$C$5:$C$104,$P441)&amp;"")))</f>
        <v/>
      </c>
      <c r="K441" s="28">
        <f>IF(NOT(ISNUMBER($O441)),"",IF(ISNUMBER(INDEX('通知一覧'!$F$5:$F$204,$O441)),INDEX('通知一覧'!$F$5:$F$204,$O441),""))</f>
        <v/>
      </c>
      <c r="L441" s="29">
        <f>IF(AND(ISNUMBER($B441),ISNUMBER($K441)),$K441-$B441+1,"")</f>
        <v/>
      </c>
      <c r="M441" s="30">
        <f>IF(OR($L441="",$P441=""),"",IF(INDEX('支払先'!$M$5:$M$104,$P441)="対象外","",IF(AND($L441&gt;60,$K441&gt;=EDATE($B441,2)),"超える","")))</f>
        <v/>
      </c>
      <c r="N441" s="67" t="n"/>
      <c r="O441" s="31">
        <f>IF($A441="","",IFERROR(MATCH($A441,'通知一覧'!$B$5:$B$204,0),"なし"))</f>
        <v/>
      </c>
      <c r="P441" s="31">
        <f>IF(NOT(ISNUMBER($O441)),"",IFERROR(MATCH(INDEX('通知一覧'!$C$5:$C$204,$O441),'支払先'!$B$5:$B$104,0),""))</f>
        <v/>
      </c>
      <c r="Q441" s="31">
        <f>IF(AND($A441&lt;&gt;"",$A441='支払通知書'!$K$2),ROW(),"")</f>
        <v/>
      </c>
    </row>
    <row r="442" ht="18" customHeight="1">
      <c r="A442" s="18" t="n"/>
      <c r="B442" s="24" t="n"/>
      <c r="C442" s="19" t="n"/>
      <c r="D442" s="25" t="n"/>
      <c r="E442" s="18" t="n"/>
      <c r="F442" s="25" t="n"/>
      <c r="G442" s="18" t="n"/>
      <c r="H442" s="18" t="n"/>
      <c r="I442" s="26">
        <f>IF(OR($A442="",$F442=""),"",ROUND(IF($D442="",1,$D442)*$F442,0))</f>
        <v/>
      </c>
      <c r="J442" s="27">
        <f>IF($A442="","",IF($O442="なし","※通知一覧にない通知No",IF($P442="","",INDEX('支払先'!$C$5:$C$104,$P442)&amp;"")))</f>
        <v/>
      </c>
      <c r="K442" s="28">
        <f>IF(NOT(ISNUMBER($O442)),"",IF(ISNUMBER(INDEX('通知一覧'!$F$5:$F$204,$O442)),INDEX('通知一覧'!$F$5:$F$204,$O442),""))</f>
        <v/>
      </c>
      <c r="L442" s="29">
        <f>IF(AND(ISNUMBER($B442),ISNUMBER($K442)),$K442-$B442+1,"")</f>
        <v/>
      </c>
      <c r="M442" s="30">
        <f>IF(OR($L442="",$P442=""),"",IF(INDEX('支払先'!$M$5:$M$104,$P442)="対象外","",IF(AND($L442&gt;60,$K442&gt;=EDATE($B442,2)),"超える","")))</f>
        <v/>
      </c>
      <c r="N442" s="67" t="n"/>
      <c r="O442" s="31">
        <f>IF($A442="","",IFERROR(MATCH($A442,'通知一覧'!$B$5:$B$204,0),"なし"))</f>
        <v/>
      </c>
      <c r="P442" s="31">
        <f>IF(NOT(ISNUMBER($O442)),"",IFERROR(MATCH(INDEX('通知一覧'!$C$5:$C$204,$O442),'支払先'!$B$5:$B$104,0),""))</f>
        <v/>
      </c>
      <c r="Q442" s="31">
        <f>IF(AND($A442&lt;&gt;"",$A442='支払通知書'!$K$2),ROW(),"")</f>
        <v/>
      </c>
    </row>
    <row r="443" ht="18" customHeight="1">
      <c r="A443" s="18" t="n"/>
      <c r="B443" s="24" t="n"/>
      <c r="C443" s="19" t="n"/>
      <c r="D443" s="25" t="n"/>
      <c r="E443" s="18" t="n"/>
      <c r="F443" s="25" t="n"/>
      <c r="G443" s="18" t="n"/>
      <c r="H443" s="18" t="n"/>
      <c r="I443" s="26">
        <f>IF(OR($A443="",$F443=""),"",ROUND(IF($D443="",1,$D443)*$F443,0))</f>
        <v/>
      </c>
      <c r="J443" s="27">
        <f>IF($A443="","",IF($O443="なし","※通知一覧にない通知No",IF($P443="","",INDEX('支払先'!$C$5:$C$104,$P443)&amp;"")))</f>
        <v/>
      </c>
      <c r="K443" s="28">
        <f>IF(NOT(ISNUMBER($O443)),"",IF(ISNUMBER(INDEX('通知一覧'!$F$5:$F$204,$O443)),INDEX('通知一覧'!$F$5:$F$204,$O443),""))</f>
        <v/>
      </c>
      <c r="L443" s="29">
        <f>IF(AND(ISNUMBER($B443),ISNUMBER($K443)),$K443-$B443+1,"")</f>
        <v/>
      </c>
      <c r="M443" s="30">
        <f>IF(OR($L443="",$P443=""),"",IF(INDEX('支払先'!$M$5:$M$104,$P443)="対象外","",IF(AND($L443&gt;60,$K443&gt;=EDATE($B443,2)),"超える","")))</f>
        <v/>
      </c>
      <c r="N443" s="67" t="n"/>
      <c r="O443" s="31">
        <f>IF($A443="","",IFERROR(MATCH($A443,'通知一覧'!$B$5:$B$204,0),"なし"))</f>
        <v/>
      </c>
      <c r="P443" s="31">
        <f>IF(NOT(ISNUMBER($O443)),"",IFERROR(MATCH(INDEX('通知一覧'!$C$5:$C$204,$O443),'支払先'!$B$5:$B$104,0),""))</f>
        <v/>
      </c>
      <c r="Q443" s="31">
        <f>IF(AND($A443&lt;&gt;"",$A443='支払通知書'!$K$2),ROW(),"")</f>
        <v/>
      </c>
    </row>
    <row r="444" ht="18" customHeight="1">
      <c r="A444" s="18" t="n"/>
      <c r="B444" s="24" t="n"/>
      <c r="C444" s="19" t="n"/>
      <c r="D444" s="25" t="n"/>
      <c r="E444" s="18" t="n"/>
      <c r="F444" s="25" t="n"/>
      <c r="G444" s="18" t="n"/>
      <c r="H444" s="18" t="n"/>
      <c r="I444" s="26">
        <f>IF(OR($A444="",$F444=""),"",ROUND(IF($D444="",1,$D444)*$F444,0))</f>
        <v/>
      </c>
      <c r="J444" s="27">
        <f>IF($A444="","",IF($O444="なし","※通知一覧にない通知No",IF($P444="","",INDEX('支払先'!$C$5:$C$104,$P444)&amp;"")))</f>
        <v/>
      </c>
      <c r="K444" s="28">
        <f>IF(NOT(ISNUMBER($O444)),"",IF(ISNUMBER(INDEX('通知一覧'!$F$5:$F$204,$O444)),INDEX('通知一覧'!$F$5:$F$204,$O444),""))</f>
        <v/>
      </c>
      <c r="L444" s="29">
        <f>IF(AND(ISNUMBER($B444),ISNUMBER($K444)),$K444-$B444+1,"")</f>
        <v/>
      </c>
      <c r="M444" s="30">
        <f>IF(OR($L444="",$P444=""),"",IF(INDEX('支払先'!$M$5:$M$104,$P444)="対象外","",IF(AND($L444&gt;60,$K444&gt;=EDATE($B444,2)),"超える","")))</f>
        <v/>
      </c>
      <c r="N444" s="67" t="n"/>
      <c r="O444" s="31">
        <f>IF($A444="","",IFERROR(MATCH($A444,'通知一覧'!$B$5:$B$204,0),"なし"))</f>
        <v/>
      </c>
      <c r="P444" s="31">
        <f>IF(NOT(ISNUMBER($O444)),"",IFERROR(MATCH(INDEX('通知一覧'!$C$5:$C$204,$O444),'支払先'!$B$5:$B$104,0),""))</f>
        <v/>
      </c>
      <c r="Q444" s="31">
        <f>IF(AND($A444&lt;&gt;"",$A444='支払通知書'!$K$2),ROW(),"")</f>
        <v/>
      </c>
    </row>
    <row r="445" ht="18" customHeight="1">
      <c r="A445" s="18" t="n"/>
      <c r="B445" s="24" t="n"/>
      <c r="C445" s="19" t="n"/>
      <c r="D445" s="25" t="n"/>
      <c r="E445" s="18" t="n"/>
      <c r="F445" s="25" t="n"/>
      <c r="G445" s="18" t="n"/>
      <c r="H445" s="18" t="n"/>
      <c r="I445" s="26">
        <f>IF(OR($A445="",$F445=""),"",ROUND(IF($D445="",1,$D445)*$F445,0))</f>
        <v/>
      </c>
      <c r="J445" s="27">
        <f>IF($A445="","",IF($O445="なし","※通知一覧にない通知No",IF($P445="","",INDEX('支払先'!$C$5:$C$104,$P445)&amp;"")))</f>
        <v/>
      </c>
      <c r="K445" s="28">
        <f>IF(NOT(ISNUMBER($O445)),"",IF(ISNUMBER(INDEX('通知一覧'!$F$5:$F$204,$O445)),INDEX('通知一覧'!$F$5:$F$204,$O445),""))</f>
        <v/>
      </c>
      <c r="L445" s="29">
        <f>IF(AND(ISNUMBER($B445),ISNUMBER($K445)),$K445-$B445+1,"")</f>
        <v/>
      </c>
      <c r="M445" s="30">
        <f>IF(OR($L445="",$P445=""),"",IF(INDEX('支払先'!$M$5:$M$104,$P445)="対象外","",IF(AND($L445&gt;60,$K445&gt;=EDATE($B445,2)),"超える","")))</f>
        <v/>
      </c>
      <c r="N445" s="67" t="n"/>
      <c r="O445" s="31">
        <f>IF($A445="","",IFERROR(MATCH($A445,'通知一覧'!$B$5:$B$204,0),"なし"))</f>
        <v/>
      </c>
      <c r="P445" s="31">
        <f>IF(NOT(ISNUMBER($O445)),"",IFERROR(MATCH(INDEX('通知一覧'!$C$5:$C$204,$O445),'支払先'!$B$5:$B$104,0),""))</f>
        <v/>
      </c>
      <c r="Q445" s="31">
        <f>IF(AND($A445&lt;&gt;"",$A445='支払通知書'!$K$2),ROW(),"")</f>
        <v/>
      </c>
    </row>
    <row r="446" ht="18" customHeight="1">
      <c r="A446" s="18" t="n"/>
      <c r="B446" s="24" t="n"/>
      <c r="C446" s="19" t="n"/>
      <c r="D446" s="25" t="n"/>
      <c r="E446" s="18" t="n"/>
      <c r="F446" s="25" t="n"/>
      <c r="G446" s="18" t="n"/>
      <c r="H446" s="18" t="n"/>
      <c r="I446" s="26">
        <f>IF(OR($A446="",$F446=""),"",ROUND(IF($D446="",1,$D446)*$F446,0))</f>
        <v/>
      </c>
      <c r="J446" s="27">
        <f>IF($A446="","",IF($O446="なし","※通知一覧にない通知No",IF($P446="","",INDEX('支払先'!$C$5:$C$104,$P446)&amp;"")))</f>
        <v/>
      </c>
      <c r="K446" s="28">
        <f>IF(NOT(ISNUMBER($O446)),"",IF(ISNUMBER(INDEX('通知一覧'!$F$5:$F$204,$O446)),INDEX('通知一覧'!$F$5:$F$204,$O446),""))</f>
        <v/>
      </c>
      <c r="L446" s="29">
        <f>IF(AND(ISNUMBER($B446),ISNUMBER($K446)),$K446-$B446+1,"")</f>
        <v/>
      </c>
      <c r="M446" s="30">
        <f>IF(OR($L446="",$P446=""),"",IF(INDEX('支払先'!$M$5:$M$104,$P446)="対象外","",IF(AND($L446&gt;60,$K446&gt;=EDATE($B446,2)),"超える","")))</f>
        <v/>
      </c>
      <c r="N446" s="67" t="n"/>
      <c r="O446" s="31">
        <f>IF($A446="","",IFERROR(MATCH($A446,'通知一覧'!$B$5:$B$204,0),"なし"))</f>
        <v/>
      </c>
      <c r="P446" s="31">
        <f>IF(NOT(ISNUMBER($O446)),"",IFERROR(MATCH(INDEX('通知一覧'!$C$5:$C$204,$O446),'支払先'!$B$5:$B$104,0),""))</f>
        <v/>
      </c>
      <c r="Q446" s="31">
        <f>IF(AND($A446&lt;&gt;"",$A446='支払通知書'!$K$2),ROW(),"")</f>
        <v/>
      </c>
    </row>
    <row r="447" ht="18" customHeight="1">
      <c r="A447" s="18" t="n"/>
      <c r="B447" s="24" t="n"/>
      <c r="C447" s="19" t="n"/>
      <c r="D447" s="25" t="n"/>
      <c r="E447" s="18" t="n"/>
      <c r="F447" s="25" t="n"/>
      <c r="G447" s="18" t="n"/>
      <c r="H447" s="18" t="n"/>
      <c r="I447" s="26">
        <f>IF(OR($A447="",$F447=""),"",ROUND(IF($D447="",1,$D447)*$F447,0))</f>
        <v/>
      </c>
      <c r="J447" s="27">
        <f>IF($A447="","",IF($O447="なし","※通知一覧にない通知No",IF($P447="","",INDEX('支払先'!$C$5:$C$104,$P447)&amp;"")))</f>
        <v/>
      </c>
      <c r="K447" s="28">
        <f>IF(NOT(ISNUMBER($O447)),"",IF(ISNUMBER(INDEX('通知一覧'!$F$5:$F$204,$O447)),INDEX('通知一覧'!$F$5:$F$204,$O447),""))</f>
        <v/>
      </c>
      <c r="L447" s="29">
        <f>IF(AND(ISNUMBER($B447),ISNUMBER($K447)),$K447-$B447+1,"")</f>
        <v/>
      </c>
      <c r="M447" s="30">
        <f>IF(OR($L447="",$P447=""),"",IF(INDEX('支払先'!$M$5:$M$104,$P447)="対象外","",IF(AND($L447&gt;60,$K447&gt;=EDATE($B447,2)),"超える","")))</f>
        <v/>
      </c>
      <c r="N447" s="67" t="n"/>
      <c r="O447" s="31">
        <f>IF($A447="","",IFERROR(MATCH($A447,'通知一覧'!$B$5:$B$204,0),"なし"))</f>
        <v/>
      </c>
      <c r="P447" s="31">
        <f>IF(NOT(ISNUMBER($O447)),"",IFERROR(MATCH(INDEX('通知一覧'!$C$5:$C$204,$O447),'支払先'!$B$5:$B$104,0),""))</f>
        <v/>
      </c>
      <c r="Q447" s="31">
        <f>IF(AND($A447&lt;&gt;"",$A447='支払通知書'!$K$2),ROW(),"")</f>
        <v/>
      </c>
    </row>
    <row r="448" ht="18" customHeight="1">
      <c r="A448" s="18" t="n"/>
      <c r="B448" s="24" t="n"/>
      <c r="C448" s="19" t="n"/>
      <c r="D448" s="25" t="n"/>
      <c r="E448" s="18" t="n"/>
      <c r="F448" s="25" t="n"/>
      <c r="G448" s="18" t="n"/>
      <c r="H448" s="18" t="n"/>
      <c r="I448" s="26">
        <f>IF(OR($A448="",$F448=""),"",ROUND(IF($D448="",1,$D448)*$F448,0))</f>
        <v/>
      </c>
      <c r="J448" s="27">
        <f>IF($A448="","",IF($O448="なし","※通知一覧にない通知No",IF($P448="","",INDEX('支払先'!$C$5:$C$104,$P448)&amp;"")))</f>
        <v/>
      </c>
      <c r="K448" s="28">
        <f>IF(NOT(ISNUMBER($O448)),"",IF(ISNUMBER(INDEX('通知一覧'!$F$5:$F$204,$O448)),INDEX('通知一覧'!$F$5:$F$204,$O448),""))</f>
        <v/>
      </c>
      <c r="L448" s="29">
        <f>IF(AND(ISNUMBER($B448),ISNUMBER($K448)),$K448-$B448+1,"")</f>
        <v/>
      </c>
      <c r="M448" s="30">
        <f>IF(OR($L448="",$P448=""),"",IF(INDEX('支払先'!$M$5:$M$104,$P448)="対象外","",IF(AND($L448&gt;60,$K448&gt;=EDATE($B448,2)),"超える","")))</f>
        <v/>
      </c>
      <c r="N448" s="67" t="n"/>
      <c r="O448" s="31">
        <f>IF($A448="","",IFERROR(MATCH($A448,'通知一覧'!$B$5:$B$204,0),"なし"))</f>
        <v/>
      </c>
      <c r="P448" s="31">
        <f>IF(NOT(ISNUMBER($O448)),"",IFERROR(MATCH(INDEX('通知一覧'!$C$5:$C$204,$O448),'支払先'!$B$5:$B$104,0),""))</f>
        <v/>
      </c>
      <c r="Q448" s="31">
        <f>IF(AND($A448&lt;&gt;"",$A448='支払通知書'!$K$2),ROW(),"")</f>
        <v/>
      </c>
    </row>
    <row r="449" ht="18" customHeight="1">
      <c r="A449" s="18" t="n"/>
      <c r="B449" s="24" t="n"/>
      <c r="C449" s="19" t="n"/>
      <c r="D449" s="25" t="n"/>
      <c r="E449" s="18" t="n"/>
      <c r="F449" s="25" t="n"/>
      <c r="G449" s="18" t="n"/>
      <c r="H449" s="18" t="n"/>
      <c r="I449" s="26">
        <f>IF(OR($A449="",$F449=""),"",ROUND(IF($D449="",1,$D449)*$F449,0))</f>
        <v/>
      </c>
      <c r="J449" s="27">
        <f>IF($A449="","",IF($O449="なし","※通知一覧にない通知No",IF($P449="","",INDEX('支払先'!$C$5:$C$104,$P449)&amp;"")))</f>
        <v/>
      </c>
      <c r="K449" s="28">
        <f>IF(NOT(ISNUMBER($O449)),"",IF(ISNUMBER(INDEX('通知一覧'!$F$5:$F$204,$O449)),INDEX('通知一覧'!$F$5:$F$204,$O449),""))</f>
        <v/>
      </c>
      <c r="L449" s="29">
        <f>IF(AND(ISNUMBER($B449),ISNUMBER($K449)),$K449-$B449+1,"")</f>
        <v/>
      </c>
      <c r="M449" s="30">
        <f>IF(OR($L449="",$P449=""),"",IF(INDEX('支払先'!$M$5:$M$104,$P449)="対象外","",IF(AND($L449&gt;60,$K449&gt;=EDATE($B449,2)),"超える","")))</f>
        <v/>
      </c>
      <c r="N449" s="67" t="n"/>
      <c r="O449" s="31">
        <f>IF($A449="","",IFERROR(MATCH($A449,'通知一覧'!$B$5:$B$204,0),"なし"))</f>
        <v/>
      </c>
      <c r="P449" s="31">
        <f>IF(NOT(ISNUMBER($O449)),"",IFERROR(MATCH(INDEX('通知一覧'!$C$5:$C$204,$O449),'支払先'!$B$5:$B$104,0),""))</f>
        <v/>
      </c>
      <c r="Q449" s="31">
        <f>IF(AND($A449&lt;&gt;"",$A449='支払通知書'!$K$2),ROW(),"")</f>
        <v/>
      </c>
    </row>
    <row r="450" ht="18" customHeight="1">
      <c r="A450" s="18" t="n"/>
      <c r="B450" s="24" t="n"/>
      <c r="C450" s="19" t="n"/>
      <c r="D450" s="25" t="n"/>
      <c r="E450" s="18" t="n"/>
      <c r="F450" s="25" t="n"/>
      <c r="G450" s="18" t="n"/>
      <c r="H450" s="18" t="n"/>
      <c r="I450" s="26">
        <f>IF(OR($A450="",$F450=""),"",ROUND(IF($D450="",1,$D450)*$F450,0))</f>
        <v/>
      </c>
      <c r="J450" s="27">
        <f>IF($A450="","",IF($O450="なし","※通知一覧にない通知No",IF($P450="","",INDEX('支払先'!$C$5:$C$104,$P450)&amp;"")))</f>
        <v/>
      </c>
      <c r="K450" s="28">
        <f>IF(NOT(ISNUMBER($O450)),"",IF(ISNUMBER(INDEX('通知一覧'!$F$5:$F$204,$O450)),INDEX('通知一覧'!$F$5:$F$204,$O450),""))</f>
        <v/>
      </c>
      <c r="L450" s="29">
        <f>IF(AND(ISNUMBER($B450),ISNUMBER($K450)),$K450-$B450+1,"")</f>
        <v/>
      </c>
      <c r="M450" s="30">
        <f>IF(OR($L450="",$P450=""),"",IF(INDEX('支払先'!$M$5:$M$104,$P450)="対象外","",IF(AND($L450&gt;60,$K450&gt;=EDATE($B450,2)),"超える","")))</f>
        <v/>
      </c>
      <c r="N450" s="67" t="n"/>
      <c r="O450" s="31">
        <f>IF($A450="","",IFERROR(MATCH($A450,'通知一覧'!$B$5:$B$204,0),"なし"))</f>
        <v/>
      </c>
      <c r="P450" s="31">
        <f>IF(NOT(ISNUMBER($O450)),"",IFERROR(MATCH(INDEX('通知一覧'!$C$5:$C$204,$O450),'支払先'!$B$5:$B$104,0),""))</f>
        <v/>
      </c>
      <c r="Q450" s="31">
        <f>IF(AND($A450&lt;&gt;"",$A450='支払通知書'!$K$2),ROW(),"")</f>
        <v/>
      </c>
    </row>
    <row r="451" ht="18" customHeight="1">
      <c r="A451" s="18" t="n"/>
      <c r="B451" s="24" t="n"/>
      <c r="C451" s="19" t="n"/>
      <c r="D451" s="25" t="n"/>
      <c r="E451" s="18" t="n"/>
      <c r="F451" s="25" t="n"/>
      <c r="G451" s="18" t="n"/>
      <c r="H451" s="18" t="n"/>
      <c r="I451" s="26">
        <f>IF(OR($A451="",$F451=""),"",ROUND(IF($D451="",1,$D451)*$F451,0))</f>
        <v/>
      </c>
      <c r="J451" s="27">
        <f>IF($A451="","",IF($O451="なし","※通知一覧にない通知No",IF($P451="","",INDEX('支払先'!$C$5:$C$104,$P451)&amp;"")))</f>
        <v/>
      </c>
      <c r="K451" s="28">
        <f>IF(NOT(ISNUMBER($O451)),"",IF(ISNUMBER(INDEX('通知一覧'!$F$5:$F$204,$O451)),INDEX('通知一覧'!$F$5:$F$204,$O451),""))</f>
        <v/>
      </c>
      <c r="L451" s="29">
        <f>IF(AND(ISNUMBER($B451),ISNUMBER($K451)),$K451-$B451+1,"")</f>
        <v/>
      </c>
      <c r="M451" s="30">
        <f>IF(OR($L451="",$P451=""),"",IF(INDEX('支払先'!$M$5:$M$104,$P451)="対象外","",IF(AND($L451&gt;60,$K451&gt;=EDATE($B451,2)),"超える","")))</f>
        <v/>
      </c>
      <c r="N451" s="67" t="n"/>
      <c r="O451" s="31">
        <f>IF($A451="","",IFERROR(MATCH($A451,'通知一覧'!$B$5:$B$204,0),"なし"))</f>
        <v/>
      </c>
      <c r="P451" s="31">
        <f>IF(NOT(ISNUMBER($O451)),"",IFERROR(MATCH(INDEX('通知一覧'!$C$5:$C$204,$O451),'支払先'!$B$5:$B$104,0),""))</f>
        <v/>
      </c>
      <c r="Q451" s="31">
        <f>IF(AND($A451&lt;&gt;"",$A451='支払通知書'!$K$2),ROW(),"")</f>
        <v/>
      </c>
    </row>
    <row r="452" ht="18" customHeight="1">
      <c r="A452" s="18" t="n"/>
      <c r="B452" s="24" t="n"/>
      <c r="C452" s="19" t="n"/>
      <c r="D452" s="25" t="n"/>
      <c r="E452" s="18" t="n"/>
      <c r="F452" s="25" t="n"/>
      <c r="G452" s="18" t="n"/>
      <c r="H452" s="18" t="n"/>
      <c r="I452" s="26">
        <f>IF(OR($A452="",$F452=""),"",ROUND(IF($D452="",1,$D452)*$F452,0))</f>
        <v/>
      </c>
      <c r="J452" s="27">
        <f>IF($A452="","",IF($O452="なし","※通知一覧にない通知No",IF($P452="","",INDEX('支払先'!$C$5:$C$104,$P452)&amp;"")))</f>
        <v/>
      </c>
      <c r="K452" s="28">
        <f>IF(NOT(ISNUMBER($O452)),"",IF(ISNUMBER(INDEX('通知一覧'!$F$5:$F$204,$O452)),INDEX('通知一覧'!$F$5:$F$204,$O452),""))</f>
        <v/>
      </c>
      <c r="L452" s="29">
        <f>IF(AND(ISNUMBER($B452),ISNUMBER($K452)),$K452-$B452+1,"")</f>
        <v/>
      </c>
      <c r="M452" s="30">
        <f>IF(OR($L452="",$P452=""),"",IF(INDEX('支払先'!$M$5:$M$104,$P452)="対象外","",IF(AND($L452&gt;60,$K452&gt;=EDATE($B452,2)),"超える","")))</f>
        <v/>
      </c>
      <c r="N452" s="67" t="n"/>
      <c r="O452" s="31">
        <f>IF($A452="","",IFERROR(MATCH($A452,'通知一覧'!$B$5:$B$204,0),"なし"))</f>
        <v/>
      </c>
      <c r="P452" s="31">
        <f>IF(NOT(ISNUMBER($O452)),"",IFERROR(MATCH(INDEX('通知一覧'!$C$5:$C$204,$O452),'支払先'!$B$5:$B$104,0),""))</f>
        <v/>
      </c>
      <c r="Q452" s="31">
        <f>IF(AND($A452&lt;&gt;"",$A452='支払通知書'!$K$2),ROW(),"")</f>
        <v/>
      </c>
    </row>
    <row r="453" ht="18" customHeight="1">
      <c r="A453" s="18" t="n"/>
      <c r="B453" s="24" t="n"/>
      <c r="C453" s="19" t="n"/>
      <c r="D453" s="25" t="n"/>
      <c r="E453" s="18" t="n"/>
      <c r="F453" s="25" t="n"/>
      <c r="G453" s="18" t="n"/>
      <c r="H453" s="18" t="n"/>
      <c r="I453" s="26">
        <f>IF(OR($A453="",$F453=""),"",ROUND(IF($D453="",1,$D453)*$F453,0))</f>
        <v/>
      </c>
      <c r="J453" s="27">
        <f>IF($A453="","",IF($O453="なし","※通知一覧にない通知No",IF($P453="","",INDEX('支払先'!$C$5:$C$104,$P453)&amp;"")))</f>
        <v/>
      </c>
      <c r="K453" s="28">
        <f>IF(NOT(ISNUMBER($O453)),"",IF(ISNUMBER(INDEX('通知一覧'!$F$5:$F$204,$O453)),INDEX('通知一覧'!$F$5:$F$204,$O453),""))</f>
        <v/>
      </c>
      <c r="L453" s="29">
        <f>IF(AND(ISNUMBER($B453),ISNUMBER($K453)),$K453-$B453+1,"")</f>
        <v/>
      </c>
      <c r="M453" s="30">
        <f>IF(OR($L453="",$P453=""),"",IF(INDEX('支払先'!$M$5:$M$104,$P453)="対象外","",IF(AND($L453&gt;60,$K453&gt;=EDATE($B453,2)),"超える","")))</f>
        <v/>
      </c>
      <c r="N453" s="67" t="n"/>
      <c r="O453" s="31">
        <f>IF($A453="","",IFERROR(MATCH($A453,'通知一覧'!$B$5:$B$204,0),"なし"))</f>
        <v/>
      </c>
      <c r="P453" s="31">
        <f>IF(NOT(ISNUMBER($O453)),"",IFERROR(MATCH(INDEX('通知一覧'!$C$5:$C$204,$O453),'支払先'!$B$5:$B$104,0),""))</f>
        <v/>
      </c>
      <c r="Q453" s="31">
        <f>IF(AND($A453&lt;&gt;"",$A453='支払通知書'!$K$2),ROW(),"")</f>
        <v/>
      </c>
    </row>
    <row r="454" ht="18" customHeight="1">
      <c r="A454" s="18" t="n"/>
      <c r="B454" s="24" t="n"/>
      <c r="C454" s="19" t="n"/>
      <c r="D454" s="25" t="n"/>
      <c r="E454" s="18" t="n"/>
      <c r="F454" s="25" t="n"/>
      <c r="G454" s="18" t="n"/>
      <c r="H454" s="18" t="n"/>
      <c r="I454" s="26">
        <f>IF(OR($A454="",$F454=""),"",ROUND(IF($D454="",1,$D454)*$F454,0))</f>
        <v/>
      </c>
      <c r="J454" s="27">
        <f>IF($A454="","",IF($O454="なし","※通知一覧にない通知No",IF($P454="","",INDEX('支払先'!$C$5:$C$104,$P454)&amp;"")))</f>
        <v/>
      </c>
      <c r="K454" s="28">
        <f>IF(NOT(ISNUMBER($O454)),"",IF(ISNUMBER(INDEX('通知一覧'!$F$5:$F$204,$O454)),INDEX('通知一覧'!$F$5:$F$204,$O454),""))</f>
        <v/>
      </c>
      <c r="L454" s="29">
        <f>IF(AND(ISNUMBER($B454),ISNUMBER($K454)),$K454-$B454+1,"")</f>
        <v/>
      </c>
      <c r="M454" s="30">
        <f>IF(OR($L454="",$P454=""),"",IF(INDEX('支払先'!$M$5:$M$104,$P454)="対象外","",IF(AND($L454&gt;60,$K454&gt;=EDATE($B454,2)),"超える","")))</f>
        <v/>
      </c>
      <c r="N454" s="67" t="n"/>
      <c r="O454" s="31">
        <f>IF($A454="","",IFERROR(MATCH($A454,'通知一覧'!$B$5:$B$204,0),"なし"))</f>
        <v/>
      </c>
      <c r="P454" s="31">
        <f>IF(NOT(ISNUMBER($O454)),"",IFERROR(MATCH(INDEX('通知一覧'!$C$5:$C$204,$O454),'支払先'!$B$5:$B$104,0),""))</f>
        <v/>
      </c>
      <c r="Q454" s="31">
        <f>IF(AND($A454&lt;&gt;"",$A454='支払通知書'!$K$2),ROW(),"")</f>
        <v/>
      </c>
    </row>
    <row r="455" ht="18" customHeight="1">
      <c r="A455" s="18" t="n"/>
      <c r="B455" s="24" t="n"/>
      <c r="C455" s="19" t="n"/>
      <c r="D455" s="25" t="n"/>
      <c r="E455" s="18" t="n"/>
      <c r="F455" s="25" t="n"/>
      <c r="G455" s="18" t="n"/>
      <c r="H455" s="18" t="n"/>
      <c r="I455" s="26">
        <f>IF(OR($A455="",$F455=""),"",ROUND(IF($D455="",1,$D455)*$F455,0))</f>
        <v/>
      </c>
      <c r="J455" s="27">
        <f>IF($A455="","",IF($O455="なし","※通知一覧にない通知No",IF($P455="","",INDEX('支払先'!$C$5:$C$104,$P455)&amp;"")))</f>
        <v/>
      </c>
      <c r="K455" s="28">
        <f>IF(NOT(ISNUMBER($O455)),"",IF(ISNUMBER(INDEX('通知一覧'!$F$5:$F$204,$O455)),INDEX('通知一覧'!$F$5:$F$204,$O455),""))</f>
        <v/>
      </c>
      <c r="L455" s="29">
        <f>IF(AND(ISNUMBER($B455),ISNUMBER($K455)),$K455-$B455+1,"")</f>
        <v/>
      </c>
      <c r="M455" s="30">
        <f>IF(OR($L455="",$P455=""),"",IF(INDEX('支払先'!$M$5:$M$104,$P455)="対象外","",IF(AND($L455&gt;60,$K455&gt;=EDATE($B455,2)),"超える","")))</f>
        <v/>
      </c>
      <c r="N455" s="67" t="n"/>
      <c r="O455" s="31">
        <f>IF($A455="","",IFERROR(MATCH($A455,'通知一覧'!$B$5:$B$204,0),"なし"))</f>
        <v/>
      </c>
      <c r="P455" s="31">
        <f>IF(NOT(ISNUMBER($O455)),"",IFERROR(MATCH(INDEX('通知一覧'!$C$5:$C$204,$O455),'支払先'!$B$5:$B$104,0),""))</f>
        <v/>
      </c>
      <c r="Q455" s="31">
        <f>IF(AND($A455&lt;&gt;"",$A455='支払通知書'!$K$2),ROW(),"")</f>
        <v/>
      </c>
    </row>
    <row r="456" ht="18" customHeight="1">
      <c r="A456" s="18" t="n"/>
      <c r="B456" s="24" t="n"/>
      <c r="C456" s="19" t="n"/>
      <c r="D456" s="25" t="n"/>
      <c r="E456" s="18" t="n"/>
      <c r="F456" s="25" t="n"/>
      <c r="G456" s="18" t="n"/>
      <c r="H456" s="18" t="n"/>
      <c r="I456" s="26">
        <f>IF(OR($A456="",$F456=""),"",ROUND(IF($D456="",1,$D456)*$F456,0))</f>
        <v/>
      </c>
      <c r="J456" s="27">
        <f>IF($A456="","",IF($O456="なし","※通知一覧にない通知No",IF($P456="","",INDEX('支払先'!$C$5:$C$104,$P456)&amp;"")))</f>
        <v/>
      </c>
      <c r="K456" s="28">
        <f>IF(NOT(ISNUMBER($O456)),"",IF(ISNUMBER(INDEX('通知一覧'!$F$5:$F$204,$O456)),INDEX('通知一覧'!$F$5:$F$204,$O456),""))</f>
        <v/>
      </c>
      <c r="L456" s="29">
        <f>IF(AND(ISNUMBER($B456),ISNUMBER($K456)),$K456-$B456+1,"")</f>
        <v/>
      </c>
      <c r="M456" s="30">
        <f>IF(OR($L456="",$P456=""),"",IF(INDEX('支払先'!$M$5:$M$104,$P456)="対象外","",IF(AND($L456&gt;60,$K456&gt;=EDATE($B456,2)),"超える","")))</f>
        <v/>
      </c>
      <c r="N456" s="67" t="n"/>
      <c r="O456" s="31">
        <f>IF($A456="","",IFERROR(MATCH($A456,'通知一覧'!$B$5:$B$204,0),"なし"))</f>
        <v/>
      </c>
      <c r="P456" s="31">
        <f>IF(NOT(ISNUMBER($O456)),"",IFERROR(MATCH(INDEX('通知一覧'!$C$5:$C$204,$O456),'支払先'!$B$5:$B$104,0),""))</f>
        <v/>
      </c>
      <c r="Q456" s="31">
        <f>IF(AND($A456&lt;&gt;"",$A456='支払通知書'!$K$2),ROW(),"")</f>
        <v/>
      </c>
    </row>
    <row r="457" ht="18" customHeight="1">
      <c r="A457" s="18" t="n"/>
      <c r="B457" s="24" t="n"/>
      <c r="C457" s="19" t="n"/>
      <c r="D457" s="25" t="n"/>
      <c r="E457" s="18" t="n"/>
      <c r="F457" s="25" t="n"/>
      <c r="G457" s="18" t="n"/>
      <c r="H457" s="18" t="n"/>
      <c r="I457" s="26">
        <f>IF(OR($A457="",$F457=""),"",ROUND(IF($D457="",1,$D457)*$F457,0))</f>
        <v/>
      </c>
      <c r="J457" s="27">
        <f>IF($A457="","",IF($O457="なし","※通知一覧にない通知No",IF($P457="","",INDEX('支払先'!$C$5:$C$104,$P457)&amp;"")))</f>
        <v/>
      </c>
      <c r="K457" s="28">
        <f>IF(NOT(ISNUMBER($O457)),"",IF(ISNUMBER(INDEX('通知一覧'!$F$5:$F$204,$O457)),INDEX('通知一覧'!$F$5:$F$204,$O457),""))</f>
        <v/>
      </c>
      <c r="L457" s="29">
        <f>IF(AND(ISNUMBER($B457),ISNUMBER($K457)),$K457-$B457+1,"")</f>
        <v/>
      </c>
      <c r="M457" s="30">
        <f>IF(OR($L457="",$P457=""),"",IF(INDEX('支払先'!$M$5:$M$104,$P457)="対象外","",IF(AND($L457&gt;60,$K457&gt;=EDATE($B457,2)),"超える","")))</f>
        <v/>
      </c>
      <c r="N457" s="67" t="n"/>
      <c r="O457" s="31">
        <f>IF($A457="","",IFERROR(MATCH($A457,'通知一覧'!$B$5:$B$204,0),"なし"))</f>
        <v/>
      </c>
      <c r="P457" s="31">
        <f>IF(NOT(ISNUMBER($O457)),"",IFERROR(MATCH(INDEX('通知一覧'!$C$5:$C$204,$O457),'支払先'!$B$5:$B$104,0),""))</f>
        <v/>
      </c>
      <c r="Q457" s="31">
        <f>IF(AND($A457&lt;&gt;"",$A457='支払通知書'!$K$2),ROW(),"")</f>
        <v/>
      </c>
    </row>
    <row r="458" ht="18" customHeight="1">
      <c r="A458" s="18" t="n"/>
      <c r="B458" s="24" t="n"/>
      <c r="C458" s="19" t="n"/>
      <c r="D458" s="25" t="n"/>
      <c r="E458" s="18" t="n"/>
      <c r="F458" s="25" t="n"/>
      <c r="G458" s="18" t="n"/>
      <c r="H458" s="18" t="n"/>
      <c r="I458" s="26">
        <f>IF(OR($A458="",$F458=""),"",ROUND(IF($D458="",1,$D458)*$F458,0))</f>
        <v/>
      </c>
      <c r="J458" s="27">
        <f>IF($A458="","",IF($O458="なし","※通知一覧にない通知No",IF($P458="","",INDEX('支払先'!$C$5:$C$104,$P458)&amp;"")))</f>
        <v/>
      </c>
      <c r="K458" s="28">
        <f>IF(NOT(ISNUMBER($O458)),"",IF(ISNUMBER(INDEX('通知一覧'!$F$5:$F$204,$O458)),INDEX('通知一覧'!$F$5:$F$204,$O458),""))</f>
        <v/>
      </c>
      <c r="L458" s="29">
        <f>IF(AND(ISNUMBER($B458),ISNUMBER($K458)),$K458-$B458+1,"")</f>
        <v/>
      </c>
      <c r="M458" s="30">
        <f>IF(OR($L458="",$P458=""),"",IF(INDEX('支払先'!$M$5:$M$104,$P458)="対象外","",IF(AND($L458&gt;60,$K458&gt;=EDATE($B458,2)),"超える","")))</f>
        <v/>
      </c>
      <c r="N458" s="67" t="n"/>
      <c r="O458" s="31">
        <f>IF($A458="","",IFERROR(MATCH($A458,'通知一覧'!$B$5:$B$204,0),"なし"))</f>
        <v/>
      </c>
      <c r="P458" s="31">
        <f>IF(NOT(ISNUMBER($O458)),"",IFERROR(MATCH(INDEX('通知一覧'!$C$5:$C$204,$O458),'支払先'!$B$5:$B$104,0),""))</f>
        <v/>
      </c>
      <c r="Q458" s="31">
        <f>IF(AND($A458&lt;&gt;"",$A458='支払通知書'!$K$2),ROW(),"")</f>
        <v/>
      </c>
    </row>
    <row r="459" ht="18" customHeight="1">
      <c r="A459" s="18" t="n"/>
      <c r="B459" s="24" t="n"/>
      <c r="C459" s="19" t="n"/>
      <c r="D459" s="25" t="n"/>
      <c r="E459" s="18" t="n"/>
      <c r="F459" s="25" t="n"/>
      <c r="G459" s="18" t="n"/>
      <c r="H459" s="18" t="n"/>
      <c r="I459" s="26">
        <f>IF(OR($A459="",$F459=""),"",ROUND(IF($D459="",1,$D459)*$F459,0))</f>
        <v/>
      </c>
      <c r="J459" s="27">
        <f>IF($A459="","",IF($O459="なし","※通知一覧にない通知No",IF($P459="","",INDEX('支払先'!$C$5:$C$104,$P459)&amp;"")))</f>
        <v/>
      </c>
      <c r="K459" s="28">
        <f>IF(NOT(ISNUMBER($O459)),"",IF(ISNUMBER(INDEX('通知一覧'!$F$5:$F$204,$O459)),INDEX('通知一覧'!$F$5:$F$204,$O459),""))</f>
        <v/>
      </c>
      <c r="L459" s="29">
        <f>IF(AND(ISNUMBER($B459),ISNUMBER($K459)),$K459-$B459+1,"")</f>
        <v/>
      </c>
      <c r="M459" s="30">
        <f>IF(OR($L459="",$P459=""),"",IF(INDEX('支払先'!$M$5:$M$104,$P459)="対象外","",IF(AND($L459&gt;60,$K459&gt;=EDATE($B459,2)),"超える","")))</f>
        <v/>
      </c>
      <c r="N459" s="67" t="n"/>
      <c r="O459" s="31">
        <f>IF($A459="","",IFERROR(MATCH($A459,'通知一覧'!$B$5:$B$204,0),"なし"))</f>
        <v/>
      </c>
      <c r="P459" s="31">
        <f>IF(NOT(ISNUMBER($O459)),"",IFERROR(MATCH(INDEX('通知一覧'!$C$5:$C$204,$O459),'支払先'!$B$5:$B$104,0),""))</f>
        <v/>
      </c>
      <c r="Q459" s="31">
        <f>IF(AND($A459&lt;&gt;"",$A459='支払通知書'!$K$2),ROW(),"")</f>
        <v/>
      </c>
    </row>
    <row r="460" ht="18" customHeight="1">
      <c r="A460" s="18" t="n"/>
      <c r="B460" s="24" t="n"/>
      <c r="C460" s="19" t="n"/>
      <c r="D460" s="25" t="n"/>
      <c r="E460" s="18" t="n"/>
      <c r="F460" s="25" t="n"/>
      <c r="G460" s="18" t="n"/>
      <c r="H460" s="18" t="n"/>
      <c r="I460" s="26">
        <f>IF(OR($A460="",$F460=""),"",ROUND(IF($D460="",1,$D460)*$F460,0))</f>
        <v/>
      </c>
      <c r="J460" s="27">
        <f>IF($A460="","",IF($O460="なし","※通知一覧にない通知No",IF($P460="","",INDEX('支払先'!$C$5:$C$104,$P460)&amp;"")))</f>
        <v/>
      </c>
      <c r="K460" s="28">
        <f>IF(NOT(ISNUMBER($O460)),"",IF(ISNUMBER(INDEX('通知一覧'!$F$5:$F$204,$O460)),INDEX('通知一覧'!$F$5:$F$204,$O460),""))</f>
        <v/>
      </c>
      <c r="L460" s="29">
        <f>IF(AND(ISNUMBER($B460),ISNUMBER($K460)),$K460-$B460+1,"")</f>
        <v/>
      </c>
      <c r="M460" s="30">
        <f>IF(OR($L460="",$P460=""),"",IF(INDEX('支払先'!$M$5:$M$104,$P460)="対象外","",IF(AND($L460&gt;60,$K460&gt;=EDATE($B460,2)),"超える","")))</f>
        <v/>
      </c>
      <c r="N460" s="67" t="n"/>
      <c r="O460" s="31">
        <f>IF($A460="","",IFERROR(MATCH($A460,'通知一覧'!$B$5:$B$204,0),"なし"))</f>
        <v/>
      </c>
      <c r="P460" s="31">
        <f>IF(NOT(ISNUMBER($O460)),"",IFERROR(MATCH(INDEX('通知一覧'!$C$5:$C$204,$O460),'支払先'!$B$5:$B$104,0),""))</f>
        <v/>
      </c>
      <c r="Q460" s="31">
        <f>IF(AND($A460&lt;&gt;"",$A460='支払通知書'!$K$2),ROW(),"")</f>
        <v/>
      </c>
    </row>
    <row r="461" ht="18" customHeight="1">
      <c r="A461" s="18" t="n"/>
      <c r="B461" s="24" t="n"/>
      <c r="C461" s="19" t="n"/>
      <c r="D461" s="25" t="n"/>
      <c r="E461" s="18" t="n"/>
      <c r="F461" s="25" t="n"/>
      <c r="G461" s="18" t="n"/>
      <c r="H461" s="18" t="n"/>
      <c r="I461" s="26">
        <f>IF(OR($A461="",$F461=""),"",ROUND(IF($D461="",1,$D461)*$F461,0))</f>
        <v/>
      </c>
      <c r="J461" s="27">
        <f>IF($A461="","",IF($O461="なし","※通知一覧にない通知No",IF($P461="","",INDEX('支払先'!$C$5:$C$104,$P461)&amp;"")))</f>
        <v/>
      </c>
      <c r="K461" s="28">
        <f>IF(NOT(ISNUMBER($O461)),"",IF(ISNUMBER(INDEX('通知一覧'!$F$5:$F$204,$O461)),INDEX('通知一覧'!$F$5:$F$204,$O461),""))</f>
        <v/>
      </c>
      <c r="L461" s="29">
        <f>IF(AND(ISNUMBER($B461),ISNUMBER($K461)),$K461-$B461+1,"")</f>
        <v/>
      </c>
      <c r="M461" s="30">
        <f>IF(OR($L461="",$P461=""),"",IF(INDEX('支払先'!$M$5:$M$104,$P461)="対象外","",IF(AND($L461&gt;60,$K461&gt;=EDATE($B461,2)),"超える","")))</f>
        <v/>
      </c>
      <c r="N461" s="67" t="n"/>
      <c r="O461" s="31">
        <f>IF($A461="","",IFERROR(MATCH($A461,'通知一覧'!$B$5:$B$204,0),"なし"))</f>
        <v/>
      </c>
      <c r="P461" s="31">
        <f>IF(NOT(ISNUMBER($O461)),"",IFERROR(MATCH(INDEX('通知一覧'!$C$5:$C$204,$O461),'支払先'!$B$5:$B$104,0),""))</f>
        <v/>
      </c>
      <c r="Q461" s="31">
        <f>IF(AND($A461&lt;&gt;"",$A461='支払通知書'!$K$2),ROW(),"")</f>
        <v/>
      </c>
    </row>
    <row r="462" ht="18" customHeight="1">
      <c r="A462" s="18" t="n"/>
      <c r="B462" s="24" t="n"/>
      <c r="C462" s="19" t="n"/>
      <c r="D462" s="25" t="n"/>
      <c r="E462" s="18" t="n"/>
      <c r="F462" s="25" t="n"/>
      <c r="G462" s="18" t="n"/>
      <c r="H462" s="18" t="n"/>
      <c r="I462" s="26">
        <f>IF(OR($A462="",$F462=""),"",ROUND(IF($D462="",1,$D462)*$F462,0))</f>
        <v/>
      </c>
      <c r="J462" s="27">
        <f>IF($A462="","",IF($O462="なし","※通知一覧にない通知No",IF($P462="","",INDEX('支払先'!$C$5:$C$104,$P462)&amp;"")))</f>
        <v/>
      </c>
      <c r="K462" s="28">
        <f>IF(NOT(ISNUMBER($O462)),"",IF(ISNUMBER(INDEX('通知一覧'!$F$5:$F$204,$O462)),INDEX('通知一覧'!$F$5:$F$204,$O462),""))</f>
        <v/>
      </c>
      <c r="L462" s="29">
        <f>IF(AND(ISNUMBER($B462),ISNUMBER($K462)),$K462-$B462+1,"")</f>
        <v/>
      </c>
      <c r="M462" s="30">
        <f>IF(OR($L462="",$P462=""),"",IF(INDEX('支払先'!$M$5:$M$104,$P462)="対象外","",IF(AND($L462&gt;60,$K462&gt;=EDATE($B462,2)),"超える","")))</f>
        <v/>
      </c>
      <c r="N462" s="67" t="n"/>
      <c r="O462" s="31">
        <f>IF($A462="","",IFERROR(MATCH($A462,'通知一覧'!$B$5:$B$204,0),"なし"))</f>
        <v/>
      </c>
      <c r="P462" s="31">
        <f>IF(NOT(ISNUMBER($O462)),"",IFERROR(MATCH(INDEX('通知一覧'!$C$5:$C$204,$O462),'支払先'!$B$5:$B$104,0),""))</f>
        <v/>
      </c>
      <c r="Q462" s="31">
        <f>IF(AND($A462&lt;&gt;"",$A462='支払通知書'!$K$2),ROW(),"")</f>
        <v/>
      </c>
    </row>
    <row r="463" ht="18" customHeight="1">
      <c r="A463" s="18" t="n"/>
      <c r="B463" s="24" t="n"/>
      <c r="C463" s="19" t="n"/>
      <c r="D463" s="25" t="n"/>
      <c r="E463" s="18" t="n"/>
      <c r="F463" s="25" t="n"/>
      <c r="G463" s="18" t="n"/>
      <c r="H463" s="18" t="n"/>
      <c r="I463" s="26">
        <f>IF(OR($A463="",$F463=""),"",ROUND(IF($D463="",1,$D463)*$F463,0))</f>
        <v/>
      </c>
      <c r="J463" s="27">
        <f>IF($A463="","",IF($O463="なし","※通知一覧にない通知No",IF($P463="","",INDEX('支払先'!$C$5:$C$104,$P463)&amp;"")))</f>
        <v/>
      </c>
      <c r="K463" s="28">
        <f>IF(NOT(ISNUMBER($O463)),"",IF(ISNUMBER(INDEX('通知一覧'!$F$5:$F$204,$O463)),INDEX('通知一覧'!$F$5:$F$204,$O463),""))</f>
        <v/>
      </c>
      <c r="L463" s="29">
        <f>IF(AND(ISNUMBER($B463),ISNUMBER($K463)),$K463-$B463+1,"")</f>
        <v/>
      </c>
      <c r="M463" s="30">
        <f>IF(OR($L463="",$P463=""),"",IF(INDEX('支払先'!$M$5:$M$104,$P463)="対象外","",IF(AND($L463&gt;60,$K463&gt;=EDATE($B463,2)),"超える","")))</f>
        <v/>
      </c>
      <c r="N463" s="67" t="n"/>
      <c r="O463" s="31">
        <f>IF($A463="","",IFERROR(MATCH($A463,'通知一覧'!$B$5:$B$204,0),"なし"))</f>
        <v/>
      </c>
      <c r="P463" s="31">
        <f>IF(NOT(ISNUMBER($O463)),"",IFERROR(MATCH(INDEX('通知一覧'!$C$5:$C$204,$O463),'支払先'!$B$5:$B$104,0),""))</f>
        <v/>
      </c>
      <c r="Q463" s="31">
        <f>IF(AND($A463&lt;&gt;"",$A463='支払通知書'!$K$2),ROW(),"")</f>
        <v/>
      </c>
    </row>
    <row r="464" ht="18" customHeight="1">
      <c r="A464" s="18" t="n"/>
      <c r="B464" s="24" t="n"/>
      <c r="C464" s="19" t="n"/>
      <c r="D464" s="25" t="n"/>
      <c r="E464" s="18" t="n"/>
      <c r="F464" s="25" t="n"/>
      <c r="G464" s="18" t="n"/>
      <c r="H464" s="18" t="n"/>
      <c r="I464" s="26">
        <f>IF(OR($A464="",$F464=""),"",ROUND(IF($D464="",1,$D464)*$F464,0))</f>
        <v/>
      </c>
      <c r="J464" s="27">
        <f>IF($A464="","",IF($O464="なし","※通知一覧にない通知No",IF($P464="","",INDEX('支払先'!$C$5:$C$104,$P464)&amp;"")))</f>
        <v/>
      </c>
      <c r="K464" s="28">
        <f>IF(NOT(ISNUMBER($O464)),"",IF(ISNUMBER(INDEX('通知一覧'!$F$5:$F$204,$O464)),INDEX('通知一覧'!$F$5:$F$204,$O464),""))</f>
        <v/>
      </c>
      <c r="L464" s="29">
        <f>IF(AND(ISNUMBER($B464),ISNUMBER($K464)),$K464-$B464+1,"")</f>
        <v/>
      </c>
      <c r="M464" s="30">
        <f>IF(OR($L464="",$P464=""),"",IF(INDEX('支払先'!$M$5:$M$104,$P464)="対象外","",IF(AND($L464&gt;60,$K464&gt;=EDATE($B464,2)),"超える","")))</f>
        <v/>
      </c>
      <c r="N464" s="67" t="n"/>
      <c r="O464" s="31">
        <f>IF($A464="","",IFERROR(MATCH($A464,'通知一覧'!$B$5:$B$204,0),"なし"))</f>
        <v/>
      </c>
      <c r="P464" s="31">
        <f>IF(NOT(ISNUMBER($O464)),"",IFERROR(MATCH(INDEX('通知一覧'!$C$5:$C$204,$O464),'支払先'!$B$5:$B$104,0),""))</f>
        <v/>
      </c>
      <c r="Q464" s="31">
        <f>IF(AND($A464&lt;&gt;"",$A464='支払通知書'!$K$2),ROW(),"")</f>
        <v/>
      </c>
    </row>
    <row r="465" ht="18" customHeight="1">
      <c r="A465" s="18" t="n"/>
      <c r="B465" s="24" t="n"/>
      <c r="C465" s="19" t="n"/>
      <c r="D465" s="25" t="n"/>
      <c r="E465" s="18" t="n"/>
      <c r="F465" s="25" t="n"/>
      <c r="G465" s="18" t="n"/>
      <c r="H465" s="18" t="n"/>
      <c r="I465" s="26">
        <f>IF(OR($A465="",$F465=""),"",ROUND(IF($D465="",1,$D465)*$F465,0))</f>
        <v/>
      </c>
      <c r="J465" s="27">
        <f>IF($A465="","",IF($O465="なし","※通知一覧にない通知No",IF($P465="","",INDEX('支払先'!$C$5:$C$104,$P465)&amp;"")))</f>
        <v/>
      </c>
      <c r="K465" s="28">
        <f>IF(NOT(ISNUMBER($O465)),"",IF(ISNUMBER(INDEX('通知一覧'!$F$5:$F$204,$O465)),INDEX('通知一覧'!$F$5:$F$204,$O465),""))</f>
        <v/>
      </c>
      <c r="L465" s="29">
        <f>IF(AND(ISNUMBER($B465),ISNUMBER($K465)),$K465-$B465+1,"")</f>
        <v/>
      </c>
      <c r="M465" s="30">
        <f>IF(OR($L465="",$P465=""),"",IF(INDEX('支払先'!$M$5:$M$104,$P465)="対象外","",IF(AND($L465&gt;60,$K465&gt;=EDATE($B465,2)),"超える","")))</f>
        <v/>
      </c>
      <c r="N465" s="67" t="n"/>
      <c r="O465" s="31">
        <f>IF($A465="","",IFERROR(MATCH($A465,'通知一覧'!$B$5:$B$204,0),"なし"))</f>
        <v/>
      </c>
      <c r="P465" s="31">
        <f>IF(NOT(ISNUMBER($O465)),"",IFERROR(MATCH(INDEX('通知一覧'!$C$5:$C$204,$O465),'支払先'!$B$5:$B$104,0),""))</f>
        <v/>
      </c>
      <c r="Q465" s="31">
        <f>IF(AND($A465&lt;&gt;"",$A465='支払通知書'!$K$2),ROW(),"")</f>
        <v/>
      </c>
    </row>
    <row r="466" ht="18" customHeight="1">
      <c r="A466" s="18" t="n"/>
      <c r="B466" s="24" t="n"/>
      <c r="C466" s="19" t="n"/>
      <c r="D466" s="25" t="n"/>
      <c r="E466" s="18" t="n"/>
      <c r="F466" s="25" t="n"/>
      <c r="G466" s="18" t="n"/>
      <c r="H466" s="18" t="n"/>
      <c r="I466" s="26">
        <f>IF(OR($A466="",$F466=""),"",ROUND(IF($D466="",1,$D466)*$F466,0))</f>
        <v/>
      </c>
      <c r="J466" s="27">
        <f>IF($A466="","",IF($O466="なし","※通知一覧にない通知No",IF($P466="","",INDEX('支払先'!$C$5:$C$104,$P466)&amp;"")))</f>
        <v/>
      </c>
      <c r="K466" s="28">
        <f>IF(NOT(ISNUMBER($O466)),"",IF(ISNUMBER(INDEX('通知一覧'!$F$5:$F$204,$O466)),INDEX('通知一覧'!$F$5:$F$204,$O466),""))</f>
        <v/>
      </c>
      <c r="L466" s="29">
        <f>IF(AND(ISNUMBER($B466),ISNUMBER($K466)),$K466-$B466+1,"")</f>
        <v/>
      </c>
      <c r="M466" s="30">
        <f>IF(OR($L466="",$P466=""),"",IF(INDEX('支払先'!$M$5:$M$104,$P466)="対象外","",IF(AND($L466&gt;60,$K466&gt;=EDATE($B466,2)),"超える","")))</f>
        <v/>
      </c>
      <c r="N466" s="67" t="n"/>
      <c r="O466" s="31">
        <f>IF($A466="","",IFERROR(MATCH($A466,'通知一覧'!$B$5:$B$204,0),"なし"))</f>
        <v/>
      </c>
      <c r="P466" s="31">
        <f>IF(NOT(ISNUMBER($O466)),"",IFERROR(MATCH(INDEX('通知一覧'!$C$5:$C$204,$O466),'支払先'!$B$5:$B$104,0),""))</f>
        <v/>
      </c>
      <c r="Q466" s="31">
        <f>IF(AND($A466&lt;&gt;"",$A466='支払通知書'!$K$2),ROW(),"")</f>
        <v/>
      </c>
    </row>
    <row r="467" ht="18" customHeight="1">
      <c r="A467" s="18" t="n"/>
      <c r="B467" s="24" t="n"/>
      <c r="C467" s="19" t="n"/>
      <c r="D467" s="25" t="n"/>
      <c r="E467" s="18" t="n"/>
      <c r="F467" s="25" t="n"/>
      <c r="G467" s="18" t="n"/>
      <c r="H467" s="18" t="n"/>
      <c r="I467" s="26">
        <f>IF(OR($A467="",$F467=""),"",ROUND(IF($D467="",1,$D467)*$F467,0))</f>
        <v/>
      </c>
      <c r="J467" s="27">
        <f>IF($A467="","",IF($O467="なし","※通知一覧にない通知No",IF($P467="","",INDEX('支払先'!$C$5:$C$104,$P467)&amp;"")))</f>
        <v/>
      </c>
      <c r="K467" s="28">
        <f>IF(NOT(ISNUMBER($O467)),"",IF(ISNUMBER(INDEX('通知一覧'!$F$5:$F$204,$O467)),INDEX('通知一覧'!$F$5:$F$204,$O467),""))</f>
        <v/>
      </c>
      <c r="L467" s="29">
        <f>IF(AND(ISNUMBER($B467),ISNUMBER($K467)),$K467-$B467+1,"")</f>
        <v/>
      </c>
      <c r="M467" s="30">
        <f>IF(OR($L467="",$P467=""),"",IF(INDEX('支払先'!$M$5:$M$104,$P467)="対象外","",IF(AND($L467&gt;60,$K467&gt;=EDATE($B467,2)),"超える","")))</f>
        <v/>
      </c>
      <c r="N467" s="67" t="n"/>
      <c r="O467" s="31">
        <f>IF($A467="","",IFERROR(MATCH($A467,'通知一覧'!$B$5:$B$204,0),"なし"))</f>
        <v/>
      </c>
      <c r="P467" s="31">
        <f>IF(NOT(ISNUMBER($O467)),"",IFERROR(MATCH(INDEX('通知一覧'!$C$5:$C$204,$O467),'支払先'!$B$5:$B$104,0),""))</f>
        <v/>
      </c>
      <c r="Q467" s="31">
        <f>IF(AND($A467&lt;&gt;"",$A467='支払通知書'!$K$2),ROW(),"")</f>
        <v/>
      </c>
    </row>
    <row r="468" ht="18" customHeight="1">
      <c r="A468" s="18" t="n"/>
      <c r="B468" s="24" t="n"/>
      <c r="C468" s="19" t="n"/>
      <c r="D468" s="25" t="n"/>
      <c r="E468" s="18" t="n"/>
      <c r="F468" s="25" t="n"/>
      <c r="G468" s="18" t="n"/>
      <c r="H468" s="18" t="n"/>
      <c r="I468" s="26">
        <f>IF(OR($A468="",$F468=""),"",ROUND(IF($D468="",1,$D468)*$F468,0))</f>
        <v/>
      </c>
      <c r="J468" s="27">
        <f>IF($A468="","",IF($O468="なし","※通知一覧にない通知No",IF($P468="","",INDEX('支払先'!$C$5:$C$104,$P468)&amp;"")))</f>
        <v/>
      </c>
      <c r="K468" s="28">
        <f>IF(NOT(ISNUMBER($O468)),"",IF(ISNUMBER(INDEX('通知一覧'!$F$5:$F$204,$O468)),INDEX('通知一覧'!$F$5:$F$204,$O468),""))</f>
        <v/>
      </c>
      <c r="L468" s="29">
        <f>IF(AND(ISNUMBER($B468),ISNUMBER($K468)),$K468-$B468+1,"")</f>
        <v/>
      </c>
      <c r="M468" s="30">
        <f>IF(OR($L468="",$P468=""),"",IF(INDEX('支払先'!$M$5:$M$104,$P468)="対象外","",IF(AND($L468&gt;60,$K468&gt;=EDATE($B468,2)),"超える","")))</f>
        <v/>
      </c>
      <c r="N468" s="67" t="n"/>
      <c r="O468" s="31">
        <f>IF($A468="","",IFERROR(MATCH($A468,'通知一覧'!$B$5:$B$204,0),"なし"))</f>
        <v/>
      </c>
      <c r="P468" s="31">
        <f>IF(NOT(ISNUMBER($O468)),"",IFERROR(MATCH(INDEX('通知一覧'!$C$5:$C$204,$O468),'支払先'!$B$5:$B$104,0),""))</f>
        <v/>
      </c>
      <c r="Q468" s="31">
        <f>IF(AND($A468&lt;&gt;"",$A468='支払通知書'!$K$2),ROW(),"")</f>
        <v/>
      </c>
    </row>
    <row r="469" ht="18" customHeight="1">
      <c r="A469" s="18" t="n"/>
      <c r="B469" s="24" t="n"/>
      <c r="C469" s="19" t="n"/>
      <c r="D469" s="25" t="n"/>
      <c r="E469" s="18" t="n"/>
      <c r="F469" s="25" t="n"/>
      <c r="G469" s="18" t="n"/>
      <c r="H469" s="18" t="n"/>
      <c r="I469" s="26">
        <f>IF(OR($A469="",$F469=""),"",ROUND(IF($D469="",1,$D469)*$F469,0))</f>
        <v/>
      </c>
      <c r="J469" s="27">
        <f>IF($A469="","",IF($O469="なし","※通知一覧にない通知No",IF($P469="","",INDEX('支払先'!$C$5:$C$104,$P469)&amp;"")))</f>
        <v/>
      </c>
      <c r="K469" s="28">
        <f>IF(NOT(ISNUMBER($O469)),"",IF(ISNUMBER(INDEX('通知一覧'!$F$5:$F$204,$O469)),INDEX('通知一覧'!$F$5:$F$204,$O469),""))</f>
        <v/>
      </c>
      <c r="L469" s="29">
        <f>IF(AND(ISNUMBER($B469),ISNUMBER($K469)),$K469-$B469+1,"")</f>
        <v/>
      </c>
      <c r="M469" s="30">
        <f>IF(OR($L469="",$P469=""),"",IF(INDEX('支払先'!$M$5:$M$104,$P469)="対象外","",IF(AND($L469&gt;60,$K469&gt;=EDATE($B469,2)),"超える","")))</f>
        <v/>
      </c>
      <c r="N469" s="67" t="n"/>
      <c r="O469" s="31">
        <f>IF($A469="","",IFERROR(MATCH($A469,'通知一覧'!$B$5:$B$204,0),"なし"))</f>
        <v/>
      </c>
      <c r="P469" s="31">
        <f>IF(NOT(ISNUMBER($O469)),"",IFERROR(MATCH(INDEX('通知一覧'!$C$5:$C$204,$O469),'支払先'!$B$5:$B$104,0),""))</f>
        <v/>
      </c>
      <c r="Q469" s="31">
        <f>IF(AND($A469&lt;&gt;"",$A469='支払通知書'!$K$2),ROW(),"")</f>
        <v/>
      </c>
    </row>
    <row r="470" ht="18" customHeight="1">
      <c r="A470" s="18" t="n"/>
      <c r="B470" s="24" t="n"/>
      <c r="C470" s="19" t="n"/>
      <c r="D470" s="25" t="n"/>
      <c r="E470" s="18" t="n"/>
      <c r="F470" s="25" t="n"/>
      <c r="G470" s="18" t="n"/>
      <c r="H470" s="18" t="n"/>
      <c r="I470" s="26">
        <f>IF(OR($A470="",$F470=""),"",ROUND(IF($D470="",1,$D470)*$F470,0))</f>
        <v/>
      </c>
      <c r="J470" s="27">
        <f>IF($A470="","",IF($O470="なし","※通知一覧にない通知No",IF($P470="","",INDEX('支払先'!$C$5:$C$104,$P470)&amp;"")))</f>
        <v/>
      </c>
      <c r="K470" s="28">
        <f>IF(NOT(ISNUMBER($O470)),"",IF(ISNUMBER(INDEX('通知一覧'!$F$5:$F$204,$O470)),INDEX('通知一覧'!$F$5:$F$204,$O470),""))</f>
        <v/>
      </c>
      <c r="L470" s="29">
        <f>IF(AND(ISNUMBER($B470),ISNUMBER($K470)),$K470-$B470+1,"")</f>
        <v/>
      </c>
      <c r="M470" s="30">
        <f>IF(OR($L470="",$P470=""),"",IF(INDEX('支払先'!$M$5:$M$104,$P470)="対象外","",IF(AND($L470&gt;60,$K470&gt;=EDATE($B470,2)),"超える","")))</f>
        <v/>
      </c>
      <c r="N470" s="67" t="n"/>
      <c r="O470" s="31">
        <f>IF($A470="","",IFERROR(MATCH($A470,'通知一覧'!$B$5:$B$204,0),"なし"))</f>
        <v/>
      </c>
      <c r="P470" s="31">
        <f>IF(NOT(ISNUMBER($O470)),"",IFERROR(MATCH(INDEX('通知一覧'!$C$5:$C$204,$O470),'支払先'!$B$5:$B$104,0),""))</f>
        <v/>
      </c>
      <c r="Q470" s="31">
        <f>IF(AND($A470&lt;&gt;"",$A470='支払通知書'!$K$2),ROW(),"")</f>
        <v/>
      </c>
    </row>
    <row r="471" ht="18" customHeight="1">
      <c r="A471" s="18" t="n"/>
      <c r="B471" s="24" t="n"/>
      <c r="C471" s="19" t="n"/>
      <c r="D471" s="25" t="n"/>
      <c r="E471" s="18" t="n"/>
      <c r="F471" s="25" t="n"/>
      <c r="G471" s="18" t="n"/>
      <c r="H471" s="18" t="n"/>
      <c r="I471" s="26">
        <f>IF(OR($A471="",$F471=""),"",ROUND(IF($D471="",1,$D471)*$F471,0))</f>
        <v/>
      </c>
      <c r="J471" s="27">
        <f>IF($A471="","",IF($O471="なし","※通知一覧にない通知No",IF($P471="","",INDEX('支払先'!$C$5:$C$104,$P471)&amp;"")))</f>
        <v/>
      </c>
      <c r="K471" s="28">
        <f>IF(NOT(ISNUMBER($O471)),"",IF(ISNUMBER(INDEX('通知一覧'!$F$5:$F$204,$O471)),INDEX('通知一覧'!$F$5:$F$204,$O471),""))</f>
        <v/>
      </c>
      <c r="L471" s="29">
        <f>IF(AND(ISNUMBER($B471),ISNUMBER($K471)),$K471-$B471+1,"")</f>
        <v/>
      </c>
      <c r="M471" s="30">
        <f>IF(OR($L471="",$P471=""),"",IF(INDEX('支払先'!$M$5:$M$104,$P471)="対象外","",IF(AND($L471&gt;60,$K471&gt;=EDATE($B471,2)),"超える","")))</f>
        <v/>
      </c>
      <c r="N471" s="67" t="n"/>
      <c r="O471" s="31">
        <f>IF($A471="","",IFERROR(MATCH($A471,'通知一覧'!$B$5:$B$204,0),"なし"))</f>
        <v/>
      </c>
      <c r="P471" s="31">
        <f>IF(NOT(ISNUMBER($O471)),"",IFERROR(MATCH(INDEX('通知一覧'!$C$5:$C$204,$O471),'支払先'!$B$5:$B$104,0),""))</f>
        <v/>
      </c>
      <c r="Q471" s="31">
        <f>IF(AND($A471&lt;&gt;"",$A471='支払通知書'!$K$2),ROW(),"")</f>
        <v/>
      </c>
    </row>
    <row r="472" ht="18" customHeight="1">
      <c r="A472" s="18" t="n"/>
      <c r="B472" s="24" t="n"/>
      <c r="C472" s="19" t="n"/>
      <c r="D472" s="25" t="n"/>
      <c r="E472" s="18" t="n"/>
      <c r="F472" s="25" t="n"/>
      <c r="G472" s="18" t="n"/>
      <c r="H472" s="18" t="n"/>
      <c r="I472" s="26">
        <f>IF(OR($A472="",$F472=""),"",ROUND(IF($D472="",1,$D472)*$F472,0))</f>
        <v/>
      </c>
      <c r="J472" s="27">
        <f>IF($A472="","",IF($O472="なし","※通知一覧にない通知No",IF($P472="","",INDEX('支払先'!$C$5:$C$104,$P472)&amp;"")))</f>
        <v/>
      </c>
      <c r="K472" s="28">
        <f>IF(NOT(ISNUMBER($O472)),"",IF(ISNUMBER(INDEX('通知一覧'!$F$5:$F$204,$O472)),INDEX('通知一覧'!$F$5:$F$204,$O472),""))</f>
        <v/>
      </c>
      <c r="L472" s="29">
        <f>IF(AND(ISNUMBER($B472),ISNUMBER($K472)),$K472-$B472+1,"")</f>
        <v/>
      </c>
      <c r="M472" s="30">
        <f>IF(OR($L472="",$P472=""),"",IF(INDEX('支払先'!$M$5:$M$104,$P472)="対象外","",IF(AND($L472&gt;60,$K472&gt;=EDATE($B472,2)),"超える","")))</f>
        <v/>
      </c>
      <c r="N472" s="67" t="n"/>
      <c r="O472" s="31">
        <f>IF($A472="","",IFERROR(MATCH($A472,'通知一覧'!$B$5:$B$204,0),"なし"))</f>
        <v/>
      </c>
      <c r="P472" s="31">
        <f>IF(NOT(ISNUMBER($O472)),"",IFERROR(MATCH(INDEX('通知一覧'!$C$5:$C$204,$O472),'支払先'!$B$5:$B$104,0),""))</f>
        <v/>
      </c>
      <c r="Q472" s="31">
        <f>IF(AND($A472&lt;&gt;"",$A472='支払通知書'!$K$2),ROW(),"")</f>
        <v/>
      </c>
    </row>
    <row r="473" ht="18" customHeight="1">
      <c r="A473" s="18" t="n"/>
      <c r="B473" s="24" t="n"/>
      <c r="C473" s="19" t="n"/>
      <c r="D473" s="25" t="n"/>
      <c r="E473" s="18" t="n"/>
      <c r="F473" s="25" t="n"/>
      <c r="G473" s="18" t="n"/>
      <c r="H473" s="18" t="n"/>
      <c r="I473" s="26">
        <f>IF(OR($A473="",$F473=""),"",ROUND(IF($D473="",1,$D473)*$F473,0))</f>
        <v/>
      </c>
      <c r="J473" s="27">
        <f>IF($A473="","",IF($O473="なし","※通知一覧にない通知No",IF($P473="","",INDEX('支払先'!$C$5:$C$104,$P473)&amp;"")))</f>
        <v/>
      </c>
      <c r="K473" s="28">
        <f>IF(NOT(ISNUMBER($O473)),"",IF(ISNUMBER(INDEX('通知一覧'!$F$5:$F$204,$O473)),INDEX('通知一覧'!$F$5:$F$204,$O473),""))</f>
        <v/>
      </c>
      <c r="L473" s="29">
        <f>IF(AND(ISNUMBER($B473),ISNUMBER($K473)),$K473-$B473+1,"")</f>
        <v/>
      </c>
      <c r="M473" s="30">
        <f>IF(OR($L473="",$P473=""),"",IF(INDEX('支払先'!$M$5:$M$104,$P473)="対象外","",IF(AND($L473&gt;60,$K473&gt;=EDATE($B473,2)),"超える","")))</f>
        <v/>
      </c>
      <c r="N473" s="67" t="n"/>
      <c r="O473" s="31">
        <f>IF($A473="","",IFERROR(MATCH($A473,'通知一覧'!$B$5:$B$204,0),"なし"))</f>
        <v/>
      </c>
      <c r="P473" s="31">
        <f>IF(NOT(ISNUMBER($O473)),"",IFERROR(MATCH(INDEX('通知一覧'!$C$5:$C$204,$O473),'支払先'!$B$5:$B$104,0),""))</f>
        <v/>
      </c>
      <c r="Q473" s="31">
        <f>IF(AND($A473&lt;&gt;"",$A473='支払通知書'!$K$2),ROW(),"")</f>
        <v/>
      </c>
    </row>
    <row r="474" ht="18" customHeight="1">
      <c r="A474" s="18" t="n"/>
      <c r="B474" s="24" t="n"/>
      <c r="C474" s="19" t="n"/>
      <c r="D474" s="25" t="n"/>
      <c r="E474" s="18" t="n"/>
      <c r="F474" s="25" t="n"/>
      <c r="G474" s="18" t="n"/>
      <c r="H474" s="18" t="n"/>
      <c r="I474" s="26">
        <f>IF(OR($A474="",$F474=""),"",ROUND(IF($D474="",1,$D474)*$F474,0))</f>
        <v/>
      </c>
      <c r="J474" s="27">
        <f>IF($A474="","",IF($O474="なし","※通知一覧にない通知No",IF($P474="","",INDEX('支払先'!$C$5:$C$104,$P474)&amp;"")))</f>
        <v/>
      </c>
      <c r="K474" s="28">
        <f>IF(NOT(ISNUMBER($O474)),"",IF(ISNUMBER(INDEX('通知一覧'!$F$5:$F$204,$O474)),INDEX('通知一覧'!$F$5:$F$204,$O474),""))</f>
        <v/>
      </c>
      <c r="L474" s="29">
        <f>IF(AND(ISNUMBER($B474),ISNUMBER($K474)),$K474-$B474+1,"")</f>
        <v/>
      </c>
      <c r="M474" s="30">
        <f>IF(OR($L474="",$P474=""),"",IF(INDEX('支払先'!$M$5:$M$104,$P474)="対象外","",IF(AND($L474&gt;60,$K474&gt;=EDATE($B474,2)),"超える","")))</f>
        <v/>
      </c>
      <c r="N474" s="67" t="n"/>
      <c r="O474" s="31">
        <f>IF($A474="","",IFERROR(MATCH($A474,'通知一覧'!$B$5:$B$204,0),"なし"))</f>
        <v/>
      </c>
      <c r="P474" s="31">
        <f>IF(NOT(ISNUMBER($O474)),"",IFERROR(MATCH(INDEX('通知一覧'!$C$5:$C$204,$O474),'支払先'!$B$5:$B$104,0),""))</f>
        <v/>
      </c>
      <c r="Q474" s="31">
        <f>IF(AND($A474&lt;&gt;"",$A474='支払通知書'!$K$2),ROW(),"")</f>
        <v/>
      </c>
    </row>
    <row r="475" ht="18" customHeight="1">
      <c r="A475" s="18" t="n"/>
      <c r="B475" s="24" t="n"/>
      <c r="C475" s="19" t="n"/>
      <c r="D475" s="25" t="n"/>
      <c r="E475" s="18" t="n"/>
      <c r="F475" s="25" t="n"/>
      <c r="G475" s="18" t="n"/>
      <c r="H475" s="18" t="n"/>
      <c r="I475" s="26">
        <f>IF(OR($A475="",$F475=""),"",ROUND(IF($D475="",1,$D475)*$F475,0))</f>
        <v/>
      </c>
      <c r="J475" s="27">
        <f>IF($A475="","",IF($O475="なし","※通知一覧にない通知No",IF($P475="","",INDEX('支払先'!$C$5:$C$104,$P475)&amp;"")))</f>
        <v/>
      </c>
      <c r="K475" s="28">
        <f>IF(NOT(ISNUMBER($O475)),"",IF(ISNUMBER(INDEX('通知一覧'!$F$5:$F$204,$O475)),INDEX('通知一覧'!$F$5:$F$204,$O475),""))</f>
        <v/>
      </c>
      <c r="L475" s="29">
        <f>IF(AND(ISNUMBER($B475),ISNUMBER($K475)),$K475-$B475+1,"")</f>
        <v/>
      </c>
      <c r="M475" s="30">
        <f>IF(OR($L475="",$P475=""),"",IF(INDEX('支払先'!$M$5:$M$104,$P475)="対象外","",IF(AND($L475&gt;60,$K475&gt;=EDATE($B475,2)),"超える","")))</f>
        <v/>
      </c>
      <c r="N475" s="67" t="n"/>
      <c r="O475" s="31">
        <f>IF($A475="","",IFERROR(MATCH($A475,'通知一覧'!$B$5:$B$204,0),"なし"))</f>
        <v/>
      </c>
      <c r="P475" s="31">
        <f>IF(NOT(ISNUMBER($O475)),"",IFERROR(MATCH(INDEX('通知一覧'!$C$5:$C$204,$O475),'支払先'!$B$5:$B$104,0),""))</f>
        <v/>
      </c>
      <c r="Q475" s="31">
        <f>IF(AND($A475&lt;&gt;"",$A475='支払通知書'!$K$2),ROW(),"")</f>
        <v/>
      </c>
    </row>
    <row r="476" ht="18" customHeight="1">
      <c r="A476" s="18" t="n"/>
      <c r="B476" s="24" t="n"/>
      <c r="C476" s="19" t="n"/>
      <c r="D476" s="25" t="n"/>
      <c r="E476" s="18" t="n"/>
      <c r="F476" s="25" t="n"/>
      <c r="G476" s="18" t="n"/>
      <c r="H476" s="18" t="n"/>
      <c r="I476" s="26">
        <f>IF(OR($A476="",$F476=""),"",ROUND(IF($D476="",1,$D476)*$F476,0))</f>
        <v/>
      </c>
      <c r="J476" s="27">
        <f>IF($A476="","",IF($O476="なし","※通知一覧にない通知No",IF($P476="","",INDEX('支払先'!$C$5:$C$104,$P476)&amp;"")))</f>
        <v/>
      </c>
      <c r="K476" s="28">
        <f>IF(NOT(ISNUMBER($O476)),"",IF(ISNUMBER(INDEX('通知一覧'!$F$5:$F$204,$O476)),INDEX('通知一覧'!$F$5:$F$204,$O476),""))</f>
        <v/>
      </c>
      <c r="L476" s="29">
        <f>IF(AND(ISNUMBER($B476),ISNUMBER($K476)),$K476-$B476+1,"")</f>
        <v/>
      </c>
      <c r="M476" s="30">
        <f>IF(OR($L476="",$P476=""),"",IF(INDEX('支払先'!$M$5:$M$104,$P476)="対象外","",IF(AND($L476&gt;60,$K476&gt;=EDATE($B476,2)),"超える","")))</f>
        <v/>
      </c>
      <c r="N476" s="67" t="n"/>
      <c r="O476" s="31">
        <f>IF($A476="","",IFERROR(MATCH($A476,'通知一覧'!$B$5:$B$204,0),"なし"))</f>
        <v/>
      </c>
      <c r="P476" s="31">
        <f>IF(NOT(ISNUMBER($O476)),"",IFERROR(MATCH(INDEX('通知一覧'!$C$5:$C$204,$O476),'支払先'!$B$5:$B$104,0),""))</f>
        <v/>
      </c>
      <c r="Q476" s="31">
        <f>IF(AND($A476&lt;&gt;"",$A476='支払通知書'!$K$2),ROW(),"")</f>
        <v/>
      </c>
    </row>
    <row r="477" ht="18" customHeight="1">
      <c r="A477" s="18" t="n"/>
      <c r="B477" s="24" t="n"/>
      <c r="C477" s="19" t="n"/>
      <c r="D477" s="25" t="n"/>
      <c r="E477" s="18" t="n"/>
      <c r="F477" s="25" t="n"/>
      <c r="G477" s="18" t="n"/>
      <c r="H477" s="18" t="n"/>
      <c r="I477" s="26">
        <f>IF(OR($A477="",$F477=""),"",ROUND(IF($D477="",1,$D477)*$F477,0))</f>
        <v/>
      </c>
      <c r="J477" s="27">
        <f>IF($A477="","",IF($O477="なし","※通知一覧にない通知No",IF($P477="","",INDEX('支払先'!$C$5:$C$104,$P477)&amp;"")))</f>
        <v/>
      </c>
      <c r="K477" s="28">
        <f>IF(NOT(ISNUMBER($O477)),"",IF(ISNUMBER(INDEX('通知一覧'!$F$5:$F$204,$O477)),INDEX('通知一覧'!$F$5:$F$204,$O477),""))</f>
        <v/>
      </c>
      <c r="L477" s="29">
        <f>IF(AND(ISNUMBER($B477),ISNUMBER($K477)),$K477-$B477+1,"")</f>
        <v/>
      </c>
      <c r="M477" s="30">
        <f>IF(OR($L477="",$P477=""),"",IF(INDEX('支払先'!$M$5:$M$104,$P477)="対象外","",IF(AND($L477&gt;60,$K477&gt;=EDATE($B477,2)),"超える","")))</f>
        <v/>
      </c>
      <c r="N477" s="67" t="n"/>
      <c r="O477" s="31">
        <f>IF($A477="","",IFERROR(MATCH($A477,'通知一覧'!$B$5:$B$204,0),"なし"))</f>
        <v/>
      </c>
      <c r="P477" s="31">
        <f>IF(NOT(ISNUMBER($O477)),"",IFERROR(MATCH(INDEX('通知一覧'!$C$5:$C$204,$O477),'支払先'!$B$5:$B$104,0),""))</f>
        <v/>
      </c>
      <c r="Q477" s="31">
        <f>IF(AND($A477&lt;&gt;"",$A477='支払通知書'!$K$2),ROW(),"")</f>
        <v/>
      </c>
    </row>
    <row r="478" ht="18" customHeight="1">
      <c r="A478" s="18" t="n"/>
      <c r="B478" s="24" t="n"/>
      <c r="C478" s="19" t="n"/>
      <c r="D478" s="25" t="n"/>
      <c r="E478" s="18" t="n"/>
      <c r="F478" s="25" t="n"/>
      <c r="G478" s="18" t="n"/>
      <c r="H478" s="18" t="n"/>
      <c r="I478" s="26">
        <f>IF(OR($A478="",$F478=""),"",ROUND(IF($D478="",1,$D478)*$F478,0))</f>
        <v/>
      </c>
      <c r="J478" s="27">
        <f>IF($A478="","",IF($O478="なし","※通知一覧にない通知No",IF($P478="","",INDEX('支払先'!$C$5:$C$104,$P478)&amp;"")))</f>
        <v/>
      </c>
      <c r="K478" s="28">
        <f>IF(NOT(ISNUMBER($O478)),"",IF(ISNUMBER(INDEX('通知一覧'!$F$5:$F$204,$O478)),INDEX('通知一覧'!$F$5:$F$204,$O478),""))</f>
        <v/>
      </c>
      <c r="L478" s="29">
        <f>IF(AND(ISNUMBER($B478),ISNUMBER($K478)),$K478-$B478+1,"")</f>
        <v/>
      </c>
      <c r="M478" s="30">
        <f>IF(OR($L478="",$P478=""),"",IF(INDEX('支払先'!$M$5:$M$104,$P478)="対象外","",IF(AND($L478&gt;60,$K478&gt;=EDATE($B478,2)),"超える","")))</f>
        <v/>
      </c>
      <c r="N478" s="67" t="n"/>
      <c r="O478" s="31">
        <f>IF($A478="","",IFERROR(MATCH($A478,'通知一覧'!$B$5:$B$204,0),"なし"))</f>
        <v/>
      </c>
      <c r="P478" s="31">
        <f>IF(NOT(ISNUMBER($O478)),"",IFERROR(MATCH(INDEX('通知一覧'!$C$5:$C$204,$O478),'支払先'!$B$5:$B$104,0),""))</f>
        <v/>
      </c>
      <c r="Q478" s="31">
        <f>IF(AND($A478&lt;&gt;"",$A478='支払通知書'!$K$2),ROW(),"")</f>
        <v/>
      </c>
    </row>
    <row r="479" ht="18" customHeight="1">
      <c r="A479" s="18" t="n"/>
      <c r="B479" s="24" t="n"/>
      <c r="C479" s="19" t="n"/>
      <c r="D479" s="25" t="n"/>
      <c r="E479" s="18" t="n"/>
      <c r="F479" s="25" t="n"/>
      <c r="G479" s="18" t="n"/>
      <c r="H479" s="18" t="n"/>
      <c r="I479" s="26">
        <f>IF(OR($A479="",$F479=""),"",ROUND(IF($D479="",1,$D479)*$F479,0))</f>
        <v/>
      </c>
      <c r="J479" s="27">
        <f>IF($A479="","",IF($O479="なし","※通知一覧にない通知No",IF($P479="","",INDEX('支払先'!$C$5:$C$104,$P479)&amp;"")))</f>
        <v/>
      </c>
      <c r="K479" s="28">
        <f>IF(NOT(ISNUMBER($O479)),"",IF(ISNUMBER(INDEX('通知一覧'!$F$5:$F$204,$O479)),INDEX('通知一覧'!$F$5:$F$204,$O479),""))</f>
        <v/>
      </c>
      <c r="L479" s="29">
        <f>IF(AND(ISNUMBER($B479),ISNUMBER($K479)),$K479-$B479+1,"")</f>
        <v/>
      </c>
      <c r="M479" s="30">
        <f>IF(OR($L479="",$P479=""),"",IF(INDEX('支払先'!$M$5:$M$104,$P479)="対象外","",IF(AND($L479&gt;60,$K479&gt;=EDATE($B479,2)),"超える","")))</f>
        <v/>
      </c>
      <c r="N479" s="67" t="n"/>
      <c r="O479" s="31">
        <f>IF($A479="","",IFERROR(MATCH($A479,'通知一覧'!$B$5:$B$204,0),"なし"))</f>
        <v/>
      </c>
      <c r="P479" s="31">
        <f>IF(NOT(ISNUMBER($O479)),"",IFERROR(MATCH(INDEX('通知一覧'!$C$5:$C$204,$O479),'支払先'!$B$5:$B$104,0),""))</f>
        <v/>
      </c>
      <c r="Q479" s="31">
        <f>IF(AND($A479&lt;&gt;"",$A479='支払通知書'!$K$2),ROW(),"")</f>
        <v/>
      </c>
    </row>
    <row r="480" ht="18" customHeight="1">
      <c r="A480" s="18" t="n"/>
      <c r="B480" s="24" t="n"/>
      <c r="C480" s="19" t="n"/>
      <c r="D480" s="25" t="n"/>
      <c r="E480" s="18" t="n"/>
      <c r="F480" s="25" t="n"/>
      <c r="G480" s="18" t="n"/>
      <c r="H480" s="18" t="n"/>
      <c r="I480" s="26">
        <f>IF(OR($A480="",$F480=""),"",ROUND(IF($D480="",1,$D480)*$F480,0))</f>
        <v/>
      </c>
      <c r="J480" s="27">
        <f>IF($A480="","",IF($O480="なし","※通知一覧にない通知No",IF($P480="","",INDEX('支払先'!$C$5:$C$104,$P480)&amp;"")))</f>
        <v/>
      </c>
      <c r="K480" s="28">
        <f>IF(NOT(ISNUMBER($O480)),"",IF(ISNUMBER(INDEX('通知一覧'!$F$5:$F$204,$O480)),INDEX('通知一覧'!$F$5:$F$204,$O480),""))</f>
        <v/>
      </c>
      <c r="L480" s="29">
        <f>IF(AND(ISNUMBER($B480),ISNUMBER($K480)),$K480-$B480+1,"")</f>
        <v/>
      </c>
      <c r="M480" s="30">
        <f>IF(OR($L480="",$P480=""),"",IF(INDEX('支払先'!$M$5:$M$104,$P480)="対象外","",IF(AND($L480&gt;60,$K480&gt;=EDATE($B480,2)),"超える","")))</f>
        <v/>
      </c>
      <c r="N480" s="67" t="n"/>
      <c r="O480" s="31">
        <f>IF($A480="","",IFERROR(MATCH($A480,'通知一覧'!$B$5:$B$204,0),"なし"))</f>
        <v/>
      </c>
      <c r="P480" s="31">
        <f>IF(NOT(ISNUMBER($O480)),"",IFERROR(MATCH(INDEX('通知一覧'!$C$5:$C$204,$O480),'支払先'!$B$5:$B$104,0),""))</f>
        <v/>
      </c>
      <c r="Q480" s="31">
        <f>IF(AND($A480&lt;&gt;"",$A480='支払通知書'!$K$2),ROW(),"")</f>
        <v/>
      </c>
    </row>
    <row r="481" ht="18" customHeight="1">
      <c r="A481" s="18" t="n"/>
      <c r="B481" s="24" t="n"/>
      <c r="C481" s="19" t="n"/>
      <c r="D481" s="25" t="n"/>
      <c r="E481" s="18" t="n"/>
      <c r="F481" s="25" t="n"/>
      <c r="G481" s="18" t="n"/>
      <c r="H481" s="18" t="n"/>
      <c r="I481" s="26">
        <f>IF(OR($A481="",$F481=""),"",ROUND(IF($D481="",1,$D481)*$F481,0))</f>
        <v/>
      </c>
      <c r="J481" s="27">
        <f>IF($A481="","",IF($O481="なし","※通知一覧にない通知No",IF($P481="","",INDEX('支払先'!$C$5:$C$104,$P481)&amp;"")))</f>
        <v/>
      </c>
      <c r="K481" s="28">
        <f>IF(NOT(ISNUMBER($O481)),"",IF(ISNUMBER(INDEX('通知一覧'!$F$5:$F$204,$O481)),INDEX('通知一覧'!$F$5:$F$204,$O481),""))</f>
        <v/>
      </c>
      <c r="L481" s="29">
        <f>IF(AND(ISNUMBER($B481),ISNUMBER($K481)),$K481-$B481+1,"")</f>
        <v/>
      </c>
      <c r="M481" s="30">
        <f>IF(OR($L481="",$P481=""),"",IF(INDEX('支払先'!$M$5:$M$104,$P481)="対象外","",IF(AND($L481&gt;60,$K481&gt;=EDATE($B481,2)),"超える","")))</f>
        <v/>
      </c>
      <c r="N481" s="67" t="n"/>
      <c r="O481" s="31">
        <f>IF($A481="","",IFERROR(MATCH($A481,'通知一覧'!$B$5:$B$204,0),"なし"))</f>
        <v/>
      </c>
      <c r="P481" s="31">
        <f>IF(NOT(ISNUMBER($O481)),"",IFERROR(MATCH(INDEX('通知一覧'!$C$5:$C$204,$O481),'支払先'!$B$5:$B$104,0),""))</f>
        <v/>
      </c>
      <c r="Q481" s="31">
        <f>IF(AND($A481&lt;&gt;"",$A481='支払通知書'!$K$2),ROW(),"")</f>
        <v/>
      </c>
    </row>
    <row r="482" ht="18" customHeight="1">
      <c r="A482" s="18" t="n"/>
      <c r="B482" s="24" t="n"/>
      <c r="C482" s="19" t="n"/>
      <c r="D482" s="25" t="n"/>
      <c r="E482" s="18" t="n"/>
      <c r="F482" s="25" t="n"/>
      <c r="G482" s="18" t="n"/>
      <c r="H482" s="18" t="n"/>
      <c r="I482" s="26">
        <f>IF(OR($A482="",$F482=""),"",ROUND(IF($D482="",1,$D482)*$F482,0))</f>
        <v/>
      </c>
      <c r="J482" s="27">
        <f>IF($A482="","",IF($O482="なし","※通知一覧にない通知No",IF($P482="","",INDEX('支払先'!$C$5:$C$104,$P482)&amp;"")))</f>
        <v/>
      </c>
      <c r="K482" s="28">
        <f>IF(NOT(ISNUMBER($O482)),"",IF(ISNUMBER(INDEX('通知一覧'!$F$5:$F$204,$O482)),INDEX('通知一覧'!$F$5:$F$204,$O482),""))</f>
        <v/>
      </c>
      <c r="L482" s="29">
        <f>IF(AND(ISNUMBER($B482),ISNUMBER($K482)),$K482-$B482+1,"")</f>
        <v/>
      </c>
      <c r="M482" s="30">
        <f>IF(OR($L482="",$P482=""),"",IF(INDEX('支払先'!$M$5:$M$104,$P482)="対象外","",IF(AND($L482&gt;60,$K482&gt;=EDATE($B482,2)),"超える","")))</f>
        <v/>
      </c>
      <c r="N482" s="67" t="n"/>
      <c r="O482" s="31">
        <f>IF($A482="","",IFERROR(MATCH($A482,'通知一覧'!$B$5:$B$204,0),"なし"))</f>
        <v/>
      </c>
      <c r="P482" s="31">
        <f>IF(NOT(ISNUMBER($O482)),"",IFERROR(MATCH(INDEX('通知一覧'!$C$5:$C$204,$O482),'支払先'!$B$5:$B$104,0),""))</f>
        <v/>
      </c>
      <c r="Q482" s="31">
        <f>IF(AND($A482&lt;&gt;"",$A482='支払通知書'!$K$2),ROW(),"")</f>
        <v/>
      </c>
    </row>
    <row r="483" ht="18" customHeight="1">
      <c r="A483" s="18" t="n"/>
      <c r="B483" s="24" t="n"/>
      <c r="C483" s="19" t="n"/>
      <c r="D483" s="25" t="n"/>
      <c r="E483" s="18" t="n"/>
      <c r="F483" s="25" t="n"/>
      <c r="G483" s="18" t="n"/>
      <c r="H483" s="18" t="n"/>
      <c r="I483" s="26">
        <f>IF(OR($A483="",$F483=""),"",ROUND(IF($D483="",1,$D483)*$F483,0))</f>
        <v/>
      </c>
      <c r="J483" s="27">
        <f>IF($A483="","",IF($O483="なし","※通知一覧にない通知No",IF($P483="","",INDEX('支払先'!$C$5:$C$104,$P483)&amp;"")))</f>
        <v/>
      </c>
      <c r="K483" s="28">
        <f>IF(NOT(ISNUMBER($O483)),"",IF(ISNUMBER(INDEX('通知一覧'!$F$5:$F$204,$O483)),INDEX('通知一覧'!$F$5:$F$204,$O483),""))</f>
        <v/>
      </c>
      <c r="L483" s="29">
        <f>IF(AND(ISNUMBER($B483),ISNUMBER($K483)),$K483-$B483+1,"")</f>
        <v/>
      </c>
      <c r="M483" s="30">
        <f>IF(OR($L483="",$P483=""),"",IF(INDEX('支払先'!$M$5:$M$104,$P483)="対象外","",IF(AND($L483&gt;60,$K483&gt;=EDATE($B483,2)),"超える","")))</f>
        <v/>
      </c>
      <c r="N483" s="67" t="n"/>
      <c r="O483" s="31">
        <f>IF($A483="","",IFERROR(MATCH($A483,'通知一覧'!$B$5:$B$204,0),"なし"))</f>
        <v/>
      </c>
      <c r="P483" s="31">
        <f>IF(NOT(ISNUMBER($O483)),"",IFERROR(MATCH(INDEX('通知一覧'!$C$5:$C$204,$O483),'支払先'!$B$5:$B$104,0),""))</f>
        <v/>
      </c>
      <c r="Q483" s="31">
        <f>IF(AND($A483&lt;&gt;"",$A483='支払通知書'!$K$2),ROW(),"")</f>
        <v/>
      </c>
    </row>
    <row r="484" ht="18" customHeight="1">
      <c r="A484" s="18" t="n"/>
      <c r="B484" s="24" t="n"/>
      <c r="C484" s="19" t="n"/>
      <c r="D484" s="25" t="n"/>
      <c r="E484" s="18" t="n"/>
      <c r="F484" s="25" t="n"/>
      <c r="G484" s="18" t="n"/>
      <c r="H484" s="18" t="n"/>
      <c r="I484" s="26">
        <f>IF(OR($A484="",$F484=""),"",ROUND(IF($D484="",1,$D484)*$F484,0))</f>
        <v/>
      </c>
      <c r="J484" s="27">
        <f>IF($A484="","",IF($O484="なし","※通知一覧にない通知No",IF($P484="","",INDEX('支払先'!$C$5:$C$104,$P484)&amp;"")))</f>
        <v/>
      </c>
      <c r="K484" s="28">
        <f>IF(NOT(ISNUMBER($O484)),"",IF(ISNUMBER(INDEX('通知一覧'!$F$5:$F$204,$O484)),INDEX('通知一覧'!$F$5:$F$204,$O484),""))</f>
        <v/>
      </c>
      <c r="L484" s="29">
        <f>IF(AND(ISNUMBER($B484),ISNUMBER($K484)),$K484-$B484+1,"")</f>
        <v/>
      </c>
      <c r="M484" s="30">
        <f>IF(OR($L484="",$P484=""),"",IF(INDEX('支払先'!$M$5:$M$104,$P484)="対象外","",IF(AND($L484&gt;60,$K484&gt;=EDATE($B484,2)),"超える","")))</f>
        <v/>
      </c>
      <c r="N484" s="67" t="n"/>
      <c r="O484" s="31">
        <f>IF($A484="","",IFERROR(MATCH($A484,'通知一覧'!$B$5:$B$204,0),"なし"))</f>
        <v/>
      </c>
      <c r="P484" s="31">
        <f>IF(NOT(ISNUMBER($O484)),"",IFERROR(MATCH(INDEX('通知一覧'!$C$5:$C$204,$O484),'支払先'!$B$5:$B$104,0),""))</f>
        <v/>
      </c>
      <c r="Q484" s="31">
        <f>IF(AND($A484&lt;&gt;"",$A484='支払通知書'!$K$2),ROW(),"")</f>
        <v/>
      </c>
    </row>
    <row r="485" ht="18" customHeight="1">
      <c r="A485" s="18" t="n"/>
      <c r="B485" s="24" t="n"/>
      <c r="C485" s="19" t="n"/>
      <c r="D485" s="25" t="n"/>
      <c r="E485" s="18" t="n"/>
      <c r="F485" s="25" t="n"/>
      <c r="G485" s="18" t="n"/>
      <c r="H485" s="18" t="n"/>
      <c r="I485" s="26">
        <f>IF(OR($A485="",$F485=""),"",ROUND(IF($D485="",1,$D485)*$F485,0))</f>
        <v/>
      </c>
      <c r="J485" s="27">
        <f>IF($A485="","",IF($O485="なし","※通知一覧にない通知No",IF($P485="","",INDEX('支払先'!$C$5:$C$104,$P485)&amp;"")))</f>
        <v/>
      </c>
      <c r="K485" s="28">
        <f>IF(NOT(ISNUMBER($O485)),"",IF(ISNUMBER(INDEX('通知一覧'!$F$5:$F$204,$O485)),INDEX('通知一覧'!$F$5:$F$204,$O485),""))</f>
        <v/>
      </c>
      <c r="L485" s="29">
        <f>IF(AND(ISNUMBER($B485),ISNUMBER($K485)),$K485-$B485+1,"")</f>
        <v/>
      </c>
      <c r="M485" s="30">
        <f>IF(OR($L485="",$P485=""),"",IF(INDEX('支払先'!$M$5:$M$104,$P485)="対象外","",IF(AND($L485&gt;60,$K485&gt;=EDATE($B485,2)),"超える","")))</f>
        <v/>
      </c>
      <c r="N485" s="67" t="n"/>
      <c r="O485" s="31">
        <f>IF($A485="","",IFERROR(MATCH($A485,'通知一覧'!$B$5:$B$204,0),"なし"))</f>
        <v/>
      </c>
      <c r="P485" s="31">
        <f>IF(NOT(ISNUMBER($O485)),"",IFERROR(MATCH(INDEX('通知一覧'!$C$5:$C$204,$O485),'支払先'!$B$5:$B$104,0),""))</f>
        <v/>
      </c>
      <c r="Q485" s="31">
        <f>IF(AND($A485&lt;&gt;"",$A485='支払通知書'!$K$2),ROW(),"")</f>
        <v/>
      </c>
    </row>
    <row r="486" ht="18" customHeight="1">
      <c r="A486" s="18" t="n"/>
      <c r="B486" s="24" t="n"/>
      <c r="C486" s="19" t="n"/>
      <c r="D486" s="25" t="n"/>
      <c r="E486" s="18" t="n"/>
      <c r="F486" s="25" t="n"/>
      <c r="G486" s="18" t="n"/>
      <c r="H486" s="18" t="n"/>
      <c r="I486" s="26">
        <f>IF(OR($A486="",$F486=""),"",ROUND(IF($D486="",1,$D486)*$F486,0))</f>
        <v/>
      </c>
      <c r="J486" s="27">
        <f>IF($A486="","",IF($O486="なし","※通知一覧にない通知No",IF($P486="","",INDEX('支払先'!$C$5:$C$104,$P486)&amp;"")))</f>
        <v/>
      </c>
      <c r="K486" s="28">
        <f>IF(NOT(ISNUMBER($O486)),"",IF(ISNUMBER(INDEX('通知一覧'!$F$5:$F$204,$O486)),INDEX('通知一覧'!$F$5:$F$204,$O486),""))</f>
        <v/>
      </c>
      <c r="L486" s="29">
        <f>IF(AND(ISNUMBER($B486),ISNUMBER($K486)),$K486-$B486+1,"")</f>
        <v/>
      </c>
      <c r="M486" s="30">
        <f>IF(OR($L486="",$P486=""),"",IF(INDEX('支払先'!$M$5:$M$104,$P486)="対象外","",IF(AND($L486&gt;60,$K486&gt;=EDATE($B486,2)),"超える","")))</f>
        <v/>
      </c>
      <c r="N486" s="67" t="n"/>
      <c r="O486" s="31">
        <f>IF($A486="","",IFERROR(MATCH($A486,'通知一覧'!$B$5:$B$204,0),"なし"))</f>
        <v/>
      </c>
      <c r="P486" s="31">
        <f>IF(NOT(ISNUMBER($O486)),"",IFERROR(MATCH(INDEX('通知一覧'!$C$5:$C$204,$O486),'支払先'!$B$5:$B$104,0),""))</f>
        <v/>
      </c>
      <c r="Q486" s="31">
        <f>IF(AND($A486&lt;&gt;"",$A486='支払通知書'!$K$2),ROW(),"")</f>
        <v/>
      </c>
    </row>
    <row r="487" ht="18" customHeight="1">
      <c r="A487" s="18" t="n"/>
      <c r="B487" s="24" t="n"/>
      <c r="C487" s="19" t="n"/>
      <c r="D487" s="25" t="n"/>
      <c r="E487" s="18" t="n"/>
      <c r="F487" s="25" t="n"/>
      <c r="G487" s="18" t="n"/>
      <c r="H487" s="18" t="n"/>
      <c r="I487" s="26">
        <f>IF(OR($A487="",$F487=""),"",ROUND(IF($D487="",1,$D487)*$F487,0))</f>
        <v/>
      </c>
      <c r="J487" s="27">
        <f>IF($A487="","",IF($O487="なし","※通知一覧にない通知No",IF($P487="","",INDEX('支払先'!$C$5:$C$104,$P487)&amp;"")))</f>
        <v/>
      </c>
      <c r="K487" s="28">
        <f>IF(NOT(ISNUMBER($O487)),"",IF(ISNUMBER(INDEX('通知一覧'!$F$5:$F$204,$O487)),INDEX('通知一覧'!$F$5:$F$204,$O487),""))</f>
        <v/>
      </c>
      <c r="L487" s="29">
        <f>IF(AND(ISNUMBER($B487),ISNUMBER($K487)),$K487-$B487+1,"")</f>
        <v/>
      </c>
      <c r="M487" s="30">
        <f>IF(OR($L487="",$P487=""),"",IF(INDEX('支払先'!$M$5:$M$104,$P487)="対象外","",IF(AND($L487&gt;60,$K487&gt;=EDATE($B487,2)),"超える","")))</f>
        <v/>
      </c>
      <c r="N487" s="67" t="n"/>
      <c r="O487" s="31">
        <f>IF($A487="","",IFERROR(MATCH($A487,'通知一覧'!$B$5:$B$204,0),"なし"))</f>
        <v/>
      </c>
      <c r="P487" s="31">
        <f>IF(NOT(ISNUMBER($O487)),"",IFERROR(MATCH(INDEX('通知一覧'!$C$5:$C$204,$O487),'支払先'!$B$5:$B$104,0),""))</f>
        <v/>
      </c>
      <c r="Q487" s="31">
        <f>IF(AND($A487&lt;&gt;"",$A487='支払通知書'!$K$2),ROW(),"")</f>
        <v/>
      </c>
    </row>
    <row r="488" ht="18" customHeight="1">
      <c r="A488" s="18" t="n"/>
      <c r="B488" s="24" t="n"/>
      <c r="C488" s="19" t="n"/>
      <c r="D488" s="25" t="n"/>
      <c r="E488" s="18" t="n"/>
      <c r="F488" s="25" t="n"/>
      <c r="G488" s="18" t="n"/>
      <c r="H488" s="18" t="n"/>
      <c r="I488" s="26">
        <f>IF(OR($A488="",$F488=""),"",ROUND(IF($D488="",1,$D488)*$F488,0))</f>
        <v/>
      </c>
      <c r="J488" s="27">
        <f>IF($A488="","",IF($O488="なし","※通知一覧にない通知No",IF($P488="","",INDEX('支払先'!$C$5:$C$104,$P488)&amp;"")))</f>
        <v/>
      </c>
      <c r="K488" s="28">
        <f>IF(NOT(ISNUMBER($O488)),"",IF(ISNUMBER(INDEX('通知一覧'!$F$5:$F$204,$O488)),INDEX('通知一覧'!$F$5:$F$204,$O488),""))</f>
        <v/>
      </c>
      <c r="L488" s="29">
        <f>IF(AND(ISNUMBER($B488),ISNUMBER($K488)),$K488-$B488+1,"")</f>
        <v/>
      </c>
      <c r="M488" s="30">
        <f>IF(OR($L488="",$P488=""),"",IF(INDEX('支払先'!$M$5:$M$104,$P488)="対象外","",IF(AND($L488&gt;60,$K488&gt;=EDATE($B488,2)),"超える","")))</f>
        <v/>
      </c>
      <c r="N488" s="67" t="n"/>
      <c r="O488" s="31">
        <f>IF($A488="","",IFERROR(MATCH($A488,'通知一覧'!$B$5:$B$204,0),"なし"))</f>
        <v/>
      </c>
      <c r="P488" s="31">
        <f>IF(NOT(ISNUMBER($O488)),"",IFERROR(MATCH(INDEX('通知一覧'!$C$5:$C$204,$O488),'支払先'!$B$5:$B$104,0),""))</f>
        <v/>
      </c>
      <c r="Q488" s="31">
        <f>IF(AND($A488&lt;&gt;"",$A488='支払通知書'!$K$2),ROW(),"")</f>
        <v/>
      </c>
    </row>
    <row r="489" ht="18" customHeight="1">
      <c r="A489" s="18" t="n"/>
      <c r="B489" s="24" t="n"/>
      <c r="C489" s="19" t="n"/>
      <c r="D489" s="25" t="n"/>
      <c r="E489" s="18" t="n"/>
      <c r="F489" s="25" t="n"/>
      <c r="G489" s="18" t="n"/>
      <c r="H489" s="18" t="n"/>
      <c r="I489" s="26">
        <f>IF(OR($A489="",$F489=""),"",ROUND(IF($D489="",1,$D489)*$F489,0))</f>
        <v/>
      </c>
      <c r="J489" s="27">
        <f>IF($A489="","",IF($O489="なし","※通知一覧にない通知No",IF($P489="","",INDEX('支払先'!$C$5:$C$104,$P489)&amp;"")))</f>
        <v/>
      </c>
      <c r="K489" s="28">
        <f>IF(NOT(ISNUMBER($O489)),"",IF(ISNUMBER(INDEX('通知一覧'!$F$5:$F$204,$O489)),INDEX('通知一覧'!$F$5:$F$204,$O489),""))</f>
        <v/>
      </c>
      <c r="L489" s="29">
        <f>IF(AND(ISNUMBER($B489),ISNUMBER($K489)),$K489-$B489+1,"")</f>
        <v/>
      </c>
      <c r="M489" s="30">
        <f>IF(OR($L489="",$P489=""),"",IF(INDEX('支払先'!$M$5:$M$104,$P489)="対象外","",IF(AND($L489&gt;60,$K489&gt;=EDATE($B489,2)),"超える","")))</f>
        <v/>
      </c>
      <c r="N489" s="67" t="n"/>
      <c r="O489" s="31">
        <f>IF($A489="","",IFERROR(MATCH($A489,'通知一覧'!$B$5:$B$204,0),"なし"))</f>
        <v/>
      </c>
      <c r="P489" s="31">
        <f>IF(NOT(ISNUMBER($O489)),"",IFERROR(MATCH(INDEX('通知一覧'!$C$5:$C$204,$O489),'支払先'!$B$5:$B$104,0),""))</f>
        <v/>
      </c>
      <c r="Q489" s="31">
        <f>IF(AND($A489&lt;&gt;"",$A489='支払通知書'!$K$2),ROW(),"")</f>
        <v/>
      </c>
    </row>
    <row r="490" ht="18" customHeight="1">
      <c r="A490" s="18" t="n"/>
      <c r="B490" s="24" t="n"/>
      <c r="C490" s="19" t="n"/>
      <c r="D490" s="25" t="n"/>
      <c r="E490" s="18" t="n"/>
      <c r="F490" s="25" t="n"/>
      <c r="G490" s="18" t="n"/>
      <c r="H490" s="18" t="n"/>
      <c r="I490" s="26">
        <f>IF(OR($A490="",$F490=""),"",ROUND(IF($D490="",1,$D490)*$F490,0))</f>
        <v/>
      </c>
      <c r="J490" s="27">
        <f>IF($A490="","",IF($O490="なし","※通知一覧にない通知No",IF($P490="","",INDEX('支払先'!$C$5:$C$104,$P490)&amp;"")))</f>
        <v/>
      </c>
      <c r="K490" s="28">
        <f>IF(NOT(ISNUMBER($O490)),"",IF(ISNUMBER(INDEX('通知一覧'!$F$5:$F$204,$O490)),INDEX('通知一覧'!$F$5:$F$204,$O490),""))</f>
        <v/>
      </c>
      <c r="L490" s="29">
        <f>IF(AND(ISNUMBER($B490),ISNUMBER($K490)),$K490-$B490+1,"")</f>
        <v/>
      </c>
      <c r="M490" s="30">
        <f>IF(OR($L490="",$P490=""),"",IF(INDEX('支払先'!$M$5:$M$104,$P490)="対象外","",IF(AND($L490&gt;60,$K490&gt;=EDATE($B490,2)),"超える","")))</f>
        <v/>
      </c>
      <c r="N490" s="67" t="n"/>
      <c r="O490" s="31">
        <f>IF($A490="","",IFERROR(MATCH($A490,'通知一覧'!$B$5:$B$204,0),"なし"))</f>
        <v/>
      </c>
      <c r="P490" s="31">
        <f>IF(NOT(ISNUMBER($O490)),"",IFERROR(MATCH(INDEX('通知一覧'!$C$5:$C$204,$O490),'支払先'!$B$5:$B$104,0),""))</f>
        <v/>
      </c>
      <c r="Q490" s="31">
        <f>IF(AND($A490&lt;&gt;"",$A490='支払通知書'!$K$2),ROW(),"")</f>
        <v/>
      </c>
    </row>
    <row r="491" ht="18" customHeight="1">
      <c r="A491" s="18" t="n"/>
      <c r="B491" s="24" t="n"/>
      <c r="C491" s="19" t="n"/>
      <c r="D491" s="25" t="n"/>
      <c r="E491" s="18" t="n"/>
      <c r="F491" s="25" t="n"/>
      <c r="G491" s="18" t="n"/>
      <c r="H491" s="18" t="n"/>
      <c r="I491" s="26">
        <f>IF(OR($A491="",$F491=""),"",ROUND(IF($D491="",1,$D491)*$F491,0))</f>
        <v/>
      </c>
      <c r="J491" s="27">
        <f>IF($A491="","",IF($O491="なし","※通知一覧にない通知No",IF($P491="","",INDEX('支払先'!$C$5:$C$104,$P491)&amp;"")))</f>
        <v/>
      </c>
      <c r="K491" s="28">
        <f>IF(NOT(ISNUMBER($O491)),"",IF(ISNUMBER(INDEX('通知一覧'!$F$5:$F$204,$O491)),INDEX('通知一覧'!$F$5:$F$204,$O491),""))</f>
        <v/>
      </c>
      <c r="L491" s="29">
        <f>IF(AND(ISNUMBER($B491),ISNUMBER($K491)),$K491-$B491+1,"")</f>
        <v/>
      </c>
      <c r="M491" s="30">
        <f>IF(OR($L491="",$P491=""),"",IF(INDEX('支払先'!$M$5:$M$104,$P491)="対象外","",IF(AND($L491&gt;60,$K491&gt;=EDATE($B491,2)),"超える","")))</f>
        <v/>
      </c>
      <c r="N491" s="67" t="n"/>
      <c r="O491" s="31">
        <f>IF($A491="","",IFERROR(MATCH($A491,'通知一覧'!$B$5:$B$204,0),"なし"))</f>
        <v/>
      </c>
      <c r="P491" s="31">
        <f>IF(NOT(ISNUMBER($O491)),"",IFERROR(MATCH(INDEX('通知一覧'!$C$5:$C$204,$O491),'支払先'!$B$5:$B$104,0),""))</f>
        <v/>
      </c>
      <c r="Q491" s="31">
        <f>IF(AND($A491&lt;&gt;"",$A491='支払通知書'!$K$2),ROW(),"")</f>
        <v/>
      </c>
    </row>
    <row r="492" ht="18" customHeight="1">
      <c r="A492" s="18" t="n"/>
      <c r="B492" s="24" t="n"/>
      <c r="C492" s="19" t="n"/>
      <c r="D492" s="25" t="n"/>
      <c r="E492" s="18" t="n"/>
      <c r="F492" s="25" t="n"/>
      <c r="G492" s="18" t="n"/>
      <c r="H492" s="18" t="n"/>
      <c r="I492" s="26">
        <f>IF(OR($A492="",$F492=""),"",ROUND(IF($D492="",1,$D492)*$F492,0))</f>
        <v/>
      </c>
      <c r="J492" s="27">
        <f>IF($A492="","",IF($O492="なし","※通知一覧にない通知No",IF($P492="","",INDEX('支払先'!$C$5:$C$104,$P492)&amp;"")))</f>
        <v/>
      </c>
      <c r="K492" s="28">
        <f>IF(NOT(ISNUMBER($O492)),"",IF(ISNUMBER(INDEX('通知一覧'!$F$5:$F$204,$O492)),INDEX('通知一覧'!$F$5:$F$204,$O492),""))</f>
        <v/>
      </c>
      <c r="L492" s="29">
        <f>IF(AND(ISNUMBER($B492),ISNUMBER($K492)),$K492-$B492+1,"")</f>
        <v/>
      </c>
      <c r="M492" s="30">
        <f>IF(OR($L492="",$P492=""),"",IF(INDEX('支払先'!$M$5:$M$104,$P492)="対象外","",IF(AND($L492&gt;60,$K492&gt;=EDATE($B492,2)),"超える","")))</f>
        <v/>
      </c>
      <c r="N492" s="67" t="n"/>
      <c r="O492" s="31">
        <f>IF($A492="","",IFERROR(MATCH($A492,'通知一覧'!$B$5:$B$204,0),"なし"))</f>
        <v/>
      </c>
      <c r="P492" s="31">
        <f>IF(NOT(ISNUMBER($O492)),"",IFERROR(MATCH(INDEX('通知一覧'!$C$5:$C$204,$O492),'支払先'!$B$5:$B$104,0),""))</f>
        <v/>
      </c>
      <c r="Q492" s="31">
        <f>IF(AND($A492&lt;&gt;"",$A492='支払通知書'!$K$2),ROW(),"")</f>
        <v/>
      </c>
    </row>
    <row r="493" ht="18" customHeight="1">
      <c r="A493" s="18" t="n"/>
      <c r="B493" s="24" t="n"/>
      <c r="C493" s="19" t="n"/>
      <c r="D493" s="25" t="n"/>
      <c r="E493" s="18" t="n"/>
      <c r="F493" s="25" t="n"/>
      <c r="G493" s="18" t="n"/>
      <c r="H493" s="18" t="n"/>
      <c r="I493" s="26">
        <f>IF(OR($A493="",$F493=""),"",ROUND(IF($D493="",1,$D493)*$F493,0))</f>
        <v/>
      </c>
      <c r="J493" s="27">
        <f>IF($A493="","",IF($O493="なし","※通知一覧にない通知No",IF($P493="","",INDEX('支払先'!$C$5:$C$104,$P493)&amp;"")))</f>
        <v/>
      </c>
      <c r="K493" s="28">
        <f>IF(NOT(ISNUMBER($O493)),"",IF(ISNUMBER(INDEX('通知一覧'!$F$5:$F$204,$O493)),INDEX('通知一覧'!$F$5:$F$204,$O493),""))</f>
        <v/>
      </c>
      <c r="L493" s="29">
        <f>IF(AND(ISNUMBER($B493),ISNUMBER($K493)),$K493-$B493+1,"")</f>
        <v/>
      </c>
      <c r="M493" s="30">
        <f>IF(OR($L493="",$P493=""),"",IF(INDEX('支払先'!$M$5:$M$104,$P493)="対象外","",IF(AND($L493&gt;60,$K493&gt;=EDATE($B493,2)),"超える","")))</f>
        <v/>
      </c>
      <c r="N493" s="67" t="n"/>
      <c r="O493" s="31">
        <f>IF($A493="","",IFERROR(MATCH($A493,'通知一覧'!$B$5:$B$204,0),"なし"))</f>
        <v/>
      </c>
      <c r="P493" s="31">
        <f>IF(NOT(ISNUMBER($O493)),"",IFERROR(MATCH(INDEX('通知一覧'!$C$5:$C$204,$O493),'支払先'!$B$5:$B$104,0),""))</f>
        <v/>
      </c>
      <c r="Q493" s="31">
        <f>IF(AND($A493&lt;&gt;"",$A493='支払通知書'!$K$2),ROW(),"")</f>
        <v/>
      </c>
    </row>
    <row r="494" ht="18" customHeight="1">
      <c r="A494" s="18" t="n"/>
      <c r="B494" s="24" t="n"/>
      <c r="C494" s="19" t="n"/>
      <c r="D494" s="25" t="n"/>
      <c r="E494" s="18" t="n"/>
      <c r="F494" s="25" t="n"/>
      <c r="G494" s="18" t="n"/>
      <c r="H494" s="18" t="n"/>
      <c r="I494" s="26">
        <f>IF(OR($A494="",$F494=""),"",ROUND(IF($D494="",1,$D494)*$F494,0))</f>
        <v/>
      </c>
      <c r="J494" s="27">
        <f>IF($A494="","",IF($O494="なし","※通知一覧にない通知No",IF($P494="","",INDEX('支払先'!$C$5:$C$104,$P494)&amp;"")))</f>
        <v/>
      </c>
      <c r="K494" s="28">
        <f>IF(NOT(ISNUMBER($O494)),"",IF(ISNUMBER(INDEX('通知一覧'!$F$5:$F$204,$O494)),INDEX('通知一覧'!$F$5:$F$204,$O494),""))</f>
        <v/>
      </c>
      <c r="L494" s="29">
        <f>IF(AND(ISNUMBER($B494),ISNUMBER($K494)),$K494-$B494+1,"")</f>
        <v/>
      </c>
      <c r="M494" s="30">
        <f>IF(OR($L494="",$P494=""),"",IF(INDEX('支払先'!$M$5:$M$104,$P494)="対象外","",IF(AND($L494&gt;60,$K494&gt;=EDATE($B494,2)),"超える","")))</f>
        <v/>
      </c>
      <c r="N494" s="67" t="n"/>
      <c r="O494" s="31">
        <f>IF($A494="","",IFERROR(MATCH($A494,'通知一覧'!$B$5:$B$204,0),"なし"))</f>
        <v/>
      </c>
      <c r="P494" s="31">
        <f>IF(NOT(ISNUMBER($O494)),"",IFERROR(MATCH(INDEX('通知一覧'!$C$5:$C$204,$O494),'支払先'!$B$5:$B$104,0),""))</f>
        <v/>
      </c>
      <c r="Q494" s="31">
        <f>IF(AND($A494&lt;&gt;"",$A494='支払通知書'!$K$2),ROW(),"")</f>
        <v/>
      </c>
    </row>
    <row r="495" ht="18" customHeight="1">
      <c r="A495" s="18" t="n"/>
      <c r="B495" s="24" t="n"/>
      <c r="C495" s="19" t="n"/>
      <c r="D495" s="25" t="n"/>
      <c r="E495" s="18" t="n"/>
      <c r="F495" s="25" t="n"/>
      <c r="G495" s="18" t="n"/>
      <c r="H495" s="18" t="n"/>
      <c r="I495" s="26">
        <f>IF(OR($A495="",$F495=""),"",ROUND(IF($D495="",1,$D495)*$F495,0))</f>
        <v/>
      </c>
      <c r="J495" s="27">
        <f>IF($A495="","",IF($O495="なし","※通知一覧にない通知No",IF($P495="","",INDEX('支払先'!$C$5:$C$104,$P495)&amp;"")))</f>
        <v/>
      </c>
      <c r="K495" s="28">
        <f>IF(NOT(ISNUMBER($O495)),"",IF(ISNUMBER(INDEX('通知一覧'!$F$5:$F$204,$O495)),INDEX('通知一覧'!$F$5:$F$204,$O495),""))</f>
        <v/>
      </c>
      <c r="L495" s="29">
        <f>IF(AND(ISNUMBER($B495),ISNUMBER($K495)),$K495-$B495+1,"")</f>
        <v/>
      </c>
      <c r="M495" s="30">
        <f>IF(OR($L495="",$P495=""),"",IF(INDEX('支払先'!$M$5:$M$104,$P495)="対象外","",IF(AND($L495&gt;60,$K495&gt;=EDATE($B495,2)),"超える","")))</f>
        <v/>
      </c>
      <c r="N495" s="67" t="n"/>
      <c r="O495" s="31">
        <f>IF($A495="","",IFERROR(MATCH($A495,'通知一覧'!$B$5:$B$204,0),"なし"))</f>
        <v/>
      </c>
      <c r="P495" s="31">
        <f>IF(NOT(ISNUMBER($O495)),"",IFERROR(MATCH(INDEX('通知一覧'!$C$5:$C$204,$O495),'支払先'!$B$5:$B$104,0),""))</f>
        <v/>
      </c>
      <c r="Q495" s="31">
        <f>IF(AND($A495&lt;&gt;"",$A495='支払通知書'!$K$2),ROW(),"")</f>
        <v/>
      </c>
    </row>
    <row r="496" ht="18" customHeight="1">
      <c r="A496" s="18" t="n"/>
      <c r="B496" s="24" t="n"/>
      <c r="C496" s="19" t="n"/>
      <c r="D496" s="25" t="n"/>
      <c r="E496" s="18" t="n"/>
      <c r="F496" s="25" t="n"/>
      <c r="G496" s="18" t="n"/>
      <c r="H496" s="18" t="n"/>
      <c r="I496" s="26">
        <f>IF(OR($A496="",$F496=""),"",ROUND(IF($D496="",1,$D496)*$F496,0))</f>
        <v/>
      </c>
      <c r="J496" s="27">
        <f>IF($A496="","",IF($O496="なし","※通知一覧にない通知No",IF($P496="","",INDEX('支払先'!$C$5:$C$104,$P496)&amp;"")))</f>
        <v/>
      </c>
      <c r="K496" s="28">
        <f>IF(NOT(ISNUMBER($O496)),"",IF(ISNUMBER(INDEX('通知一覧'!$F$5:$F$204,$O496)),INDEX('通知一覧'!$F$5:$F$204,$O496),""))</f>
        <v/>
      </c>
      <c r="L496" s="29">
        <f>IF(AND(ISNUMBER($B496),ISNUMBER($K496)),$K496-$B496+1,"")</f>
        <v/>
      </c>
      <c r="M496" s="30">
        <f>IF(OR($L496="",$P496=""),"",IF(INDEX('支払先'!$M$5:$M$104,$P496)="対象外","",IF(AND($L496&gt;60,$K496&gt;=EDATE($B496,2)),"超える","")))</f>
        <v/>
      </c>
      <c r="N496" s="67" t="n"/>
      <c r="O496" s="31">
        <f>IF($A496="","",IFERROR(MATCH($A496,'通知一覧'!$B$5:$B$204,0),"なし"))</f>
        <v/>
      </c>
      <c r="P496" s="31">
        <f>IF(NOT(ISNUMBER($O496)),"",IFERROR(MATCH(INDEX('通知一覧'!$C$5:$C$204,$O496),'支払先'!$B$5:$B$104,0),""))</f>
        <v/>
      </c>
      <c r="Q496" s="31">
        <f>IF(AND($A496&lt;&gt;"",$A496='支払通知書'!$K$2),ROW(),"")</f>
        <v/>
      </c>
    </row>
    <row r="497" ht="18" customHeight="1">
      <c r="A497" s="18" t="n"/>
      <c r="B497" s="24" t="n"/>
      <c r="C497" s="19" t="n"/>
      <c r="D497" s="25" t="n"/>
      <c r="E497" s="18" t="n"/>
      <c r="F497" s="25" t="n"/>
      <c r="G497" s="18" t="n"/>
      <c r="H497" s="18" t="n"/>
      <c r="I497" s="26">
        <f>IF(OR($A497="",$F497=""),"",ROUND(IF($D497="",1,$D497)*$F497,0))</f>
        <v/>
      </c>
      <c r="J497" s="27">
        <f>IF($A497="","",IF($O497="なし","※通知一覧にない通知No",IF($P497="","",INDEX('支払先'!$C$5:$C$104,$P497)&amp;"")))</f>
        <v/>
      </c>
      <c r="K497" s="28">
        <f>IF(NOT(ISNUMBER($O497)),"",IF(ISNUMBER(INDEX('通知一覧'!$F$5:$F$204,$O497)),INDEX('通知一覧'!$F$5:$F$204,$O497),""))</f>
        <v/>
      </c>
      <c r="L497" s="29">
        <f>IF(AND(ISNUMBER($B497),ISNUMBER($K497)),$K497-$B497+1,"")</f>
        <v/>
      </c>
      <c r="M497" s="30">
        <f>IF(OR($L497="",$P497=""),"",IF(INDEX('支払先'!$M$5:$M$104,$P497)="対象外","",IF(AND($L497&gt;60,$K497&gt;=EDATE($B497,2)),"超える","")))</f>
        <v/>
      </c>
      <c r="N497" s="67" t="n"/>
      <c r="O497" s="31">
        <f>IF($A497="","",IFERROR(MATCH($A497,'通知一覧'!$B$5:$B$204,0),"なし"))</f>
        <v/>
      </c>
      <c r="P497" s="31">
        <f>IF(NOT(ISNUMBER($O497)),"",IFERROR(MATCH(INDEX('通知一覧'!$C$5:$C$204,$O497),'支払先'!$B$5:$B$104,0),""))</f>
        <v/>
      </c>
      <c r="Q497" s="31">
        <f>IF(AND($A497&lt;&gt;"",$A497='支払通知書'!$K$2),ROW(),"")</f>
        <v/>
      </c>
    </row>
    <row r="498" ht="18" customHeight="1">
      <c r="A498" s="18" t="n"/>
      <c r="B498" s="24" t="n"/>
      <c r="C498" s="19" t="n"/>
      <c r="D498" s="25" t="n"/>
      <c r="E498" s="18" t="n"/>
      <c r="F498" s="25" t="n"/>
      <c r="G498" s="18" t="n"/>
      <c r="H498" s="18" t="n"/>
      <c r="I498" s="26">
        <f>IF(OR($A498="",$F498=""),"",ROUND(IF($D498="",1,$D498)*$F498,0))</f>
        <v/>
      </c>
      <c r="J498" s="27">
        <f>IF($A498="","",IF($O498="なし","※通知一覧にない通知No",IF($P498="","",INDEX('支払先'!$C$5:$C$104,$P498)&amp;"")))</f>
        <v/>
      </c>
      <c r="K498" s="28">
        <f>IF(NOT(ISNUMBER($O498)),"",IF(ISNUMBER(INDEX('通知一覧'!$F$5:$F$204,$O498)),INDEX('通知一覧'!$F$5:$F$204,$O498),""))</f>
        <v/>
      </c>
      <c r="L498" s="29">
        <f>IF(AND(ISNUMBER($B498),ISNUMBER($K498)),$K498-$B498+1,"")</f>
        <v/>
      </c>
      <c r="M498" s="30">
        <f>IF(OR($L498="",$P498=""),"",IF(INDEX('支払先'!$M$5:$M$104,$P498)="対象外","",IF(AND($L498&gt;60,$K498&gt;=EDATE($B498,2)),"超える","")))</f>
        <v/>
      </c>
      <c r="N498" s="67" t="n"/>
      <c r="O498" s="31">
        <f>IF($A498="","",IFERROR(MATCH($A498,'通知一覧'!$B$5:$B$204,0),"なし"))</f>
        <v/>
      </c>
      <c r="P498" s="31">
        <f>IF(NOT(ISNUMBER($O498)),"",IFERROR(MATCH(INDEX('通知一覧'!$C$5:$C$204,$O498),'支払先'!$B$5:$B$104,0),""))</f>
        <v/>
      </c>
      <c r="Q498" s="31">
        <f>IF(AND($A498&lt;&gt;"",$A498='支払通知書'!$K$2),ROW(),"")</f>
        <v/>
      </c>
    </row>
    <row r="499" ht="18" customHeight="1">
      <c r="A499" s="18" t="n"/>
      <c r="B499" s="24" t="n"/>
      <c r="C499" s="19" t="n"/>
      <c r="D499" s="25" t="n"/>
      <c r="E499" s="18" t="n"/>
      <c r="F499" s="25" t="n"/>
      <c r="G499" s="18" t="n"/>
      <c r="H499" s="18" t="n"/>
      <c r="I499" s="26">
        <f>IF(OR($A499="",$F499=""),"",ROUND(IF($D499="",1,$D499)*$F499,0))</f>
        <v/>
      </c>
      <c r="J499" s="27">
        <f>IF($A499="","",IF($O499="なし","※通知一覧にない通知No",IF($P499="","",INDEX('支払先'!$C$5:$C$104,$P499)&amp;"")))</f>
        <v/>
      </c>
      <c r="K499" s="28">
        <f>IF(NOT(ISNUMBER($O499)),"",IF(ISNUMBER(INDEX('通知一覧'!$F$5:$F$204,$O499)),INDEX('通知一覧'!$F$5:$F$204,$O499),""))</f>
        <v/>
      </c>
      <c r="L499" s="29">
        <f>IF(AND(ISNUMBER($B499),ISNUMBER($K499)),$K499-$B499+1,"")</f>
        <v/>
      </c>
      <c r="M499" s="30">
        <f>IF(OR($L499="",$P499=""),"",IF(INDEX('支払先'!$M$5:$M$104,$P499)="対象外","",IF(AND($L499&gt;60,$K499&gt;=EDATE($B499,2)),"超える","")))</f>
        <v/>
      </c>
      <c r="N499" s="67" t="n"/>
      <c r="O499" s="31">
        <f>IF($A499="","",IFERROR(MATCH($A499,'通知一覧'!$B$5:$B$204,0),"なし"))</f>
        <v/>
      </c>
      <c r="P499" s="31">
        <f>IF(NOT(ISNUMBER($O499)),"",IFERROR(MATCH(INDEX('通知一覧'!$C$5:$C$204,$O499),'支払先'!$B$5:$B$104,0),""))</f>
        <v/>
      </c>
      <c r="Q499" s="31">
        <f>IF(AND($A499&lt;&gt;"",$A499='支払通知書'!$K$2),ROW(),"")</f>
        <v/>
      </c>
    </row>
    <row r="500" ht="18" customHeight="1">
      <c r="A500" s="18" t="n"/>
      <c r="B500" s="24" t="n"/>
      <c r="C500" s="19" t="n"/>
      <c r="D500" s="25" t="n"/>
      <c r="E500" s="18" t="n"/>
      <c r="F500" s="25" t="n"/>
      <c r="G500" s="18" t="n"/>
      <c r="H500" s="18" t="n"/>
      <c r="I500" s="26">
        <f>IF(OR($A500="",$F500=""),"",ROUND(IF($D500="",1,$D500)*$F500,0))</f>
        <v/>
      </c>
      <c r="J500" s="27">
        <f>IF($A500="","",IF($O500="なし","※通知一覧にない通知No",IF($P500="","",INDEX('支払先'!$C$5:$C$104,$P500)&amp;"")))</f>
        <v/>
      </c>
      <c r="K500" s="28">
        <f>IF(NOT(ISNUMBER($O500)),"",IF(ISNUMBER(INDEX('通知一覧'!$F$5:$F$204,$O500)),INDEX('通知一覧'!$F$5:$F$204,$O500),""))</f>
        <v/>
      </c>
      <c r="L500" s="29">
        <f>IF(AND(ISNUMBER($B500),ISNUMBER($K500)),$K500-$B500+1,"")</f>
        <v/>
      </c>
      <c r="M500" s="30">
        <f>IF(OR($L500="",$P500=""),"",IF(INDEX('支払先'!$M$5:$M$104,$P500)="対象外","",IF(AND($L500&gt;60,$K500&gt;=EDATE($B500,2)),"超える","")))</f>
        <v/>
      </c>
      <c r="N500" s="67" t="n"/>
      <c r="O500" s="31">
        <f>IF($A500="","",IFERROR(MATCH($A500,'通知一覧'!$B$5:$B$204,0),"なし"))</f>
        <v/>
      </c>
      <c r="P500" s="31">
        <f>IF(NOT(ISNUMBER($O500)),"",IFERROR(MATCH(INDEX('通知一覧'!$C$5:$C$204,$O500),'支払先'!$B$5:$B$104,0),""))</f>
        <v/>
      </c>
      <c r="Q500" s="31">
        <f>IF(AND($A500&lt;&gt;"",$A500='支払通知書'!$K$2),ROW(),"")</f>
        <v/>
      </c>
    </row>
    <row r="501" ht="18" customHeight="1">
      <c r="A501" s="18" t="n"/>
      <c r="B501" s="24" t="n"/>
      <c r="C501" s="19" t="n"/>
      <c r="D501" s="25" t="n"/>
      <c r="E501" s="18" t="n"/>
      <c r="F501" s="25" t="n"/>
      <c r="G501" s="18" t="n"/>
      <c r="H501" s="18" t="n"/>
      <c r="I501" s="26">
        <f>IF(OR($A501="",$F501=""),"",ROUND(IF($D501="",1,$D501)*$F501,0))</f>
        <v/>
      </c>
      <c r="J501" s="27">
        <f>IF($A501="","",IF($O501="なし","※通知一覧にない通知No",IF($P501="","",INDEX('支払先'!$C$5:$C$104,$P501)&amp;"")))</f>
        <v/>
      </c>
      <c r="K501" s="28">
        <f>IF(NOT(ISNUMBER($O501)),"",IF(ISNUMBER(INDEX('通知一覧'!$F$5:$F$204,$O501)),INDEX('通知一覧'!$F$5:$F$204,$O501),""))</f>
        <v/>
      </c>
      <c r="L501" s="29">
        <f>IF(AND(ISNUMBER($B501),ISNUMBER($K501)),$K501-$B501+1,"")</f>
        <v/>
      </c>
      <c r="M501" s="30">
        <f>IF(OR($L501="",$P501=""),"",IF(INDEX('支払先'!$M$5:$M$104,$P501)="対象外","",IF(AND($L501&gt;60,$K501&gt;=EDATE($B501,2)),"超える","")))</f>
        <v/>
      </c>
      <c r="N501" s="67" t="n"/>
      <c r="O501" s="31">
        <f>IF($A501="","",IFERROR(MATCH($A501,'通知一覧'!$B$5:$B$204,0),"なし"))</f>
        <v/>
      </c>
      <c r="P501" s="31">
        <f>IF(NOT(ISNUMBER($O501)),"",IFERROR(MATCH(INDEX('通知一覧'!$C$5:$C$204,$O501),'支払先'!$B$5:$B$104,0),""))</f>
        <v/>
      </c>
      <c r="Q501" s="31">
        <f>IF(AND($A501&lt;&gt;"",$A501='支払通知書'!$K$2),ROW(),"")</f>
        <v/>
      </c>
    </row>
    <row r="502" ht="18" customHeight="1">
      <c r="A502" s="18" t="n"/>
      <c r="B502" s="24" t="n"/>
      <c r="C502" s="19" t="n"/>
      <c r="D502" s="25" t="n"/>
      <c r="E502" s="18" t="n"/>
      <c r="F502" s="25" t="n"/>
      <c r="G502" s="18" t="n"/>
      <c r="H502" s="18" t="n"/>
      <c r="I502" s="26">
        <f>IF(OR($A502="",$F502=""),"",ROUND(IF($D502="",1,$D502)*$F502,0))</f>
        <v/>
      </c>
      <c r="J502" s="27">
        <f>IF($A502="","",IF($O502="なし","※通知一覧にない通知No",IF($P502="","",INDEX('支払先'!$C$5:$C$104,$P502)&amp;"")))</f>
        <v/>
      </c>
      <c r="K502" s="28">
        <f>IF(NOT(ISNUMBER($O502)),"",IF(ISNUMBER(INDEX('通知一覧'!$F$5:$F$204,$O502)),INDEX('通知一覧'!$F$5:$F$204,$O502),""))</f>
        <v/>
      </c>
      <c r="L502" s="29">
        <f>IF(AND(ISNUMBER($B502),ISNUMBER($K502)),$K502-$B502+1,"")</f>
        <v/>
      </c>
      <c r="M502" s="30">
        <f>IF(OR($L502="",$P502=""),"",IF(INDEX('支払先'!$M$5:$M$104,$P502)="対象外","",IF(AND($L502&gt;60,$K502&gt;=EDATE($B502,2)),"超える","")))</f>
        <v/>
      </c>
      <c r="N502" s="67" t="n"/>
      <c r="O502" s="31">
        <f>IF($A502="","",IFERROR(MATCH($A502,'通知一覧'!$B$5:$B$204,0),"なし"))</f>
        <v/>
      </c>
      <c r="P502" s="31">
        <f>IF(NOT(ISNUMBER($O502)),"",IFERROR(MATCH(INDEX('通知一覧'!$C$5:$C$204,$O502),'支払先'!$B$5:$B$104,0),""))</f>
        <v/>
      </c>
      <c r="Q502" s="31">
        <f>IF(AND($A502&lt;&gt;"",$A502='支払通知書'!$K$2),ROW(),"")</f>
        <v/>
      </c>
    </row>
    <row r="503" ht="18" customHeight="1">
      <c r="A503" s="18" t="n"/>
      <c r="B503" s="24" t="n"/>
      <c r="C503" s="19" t="n"/>
      <c r="D503" s="25" t="n"/>
      <c r="E503" s="18" t="n"/>
      <c r="F503" s="25" t="n"/>
      <c r="G503" s="18" t="n"/>
      <c r="H503" s="18" t="n"/>
      <c r="I503" s="26">
        <f>IF(OR($A503="",$F503=""),"",ROUND(IF($D503="",1,$D503)*$F503,0))</f>
        <v/>
      </c>
      <c r="J503" s="27">
        <f>IF($A503="","",IF($O503="なし","※通知一覧にない通知No",IF($P503="","",INDEX('支払先'!$C$5:$C$104,$P503)&amp;"")))</f>
        <v/>
      </c>
      <c r="K503" s="28">
        <f>IF(NOT(ISNUMBER($O503)),"",IF(ISNUMBER(INDEX('通知一覧'!$F$5:$F$204,$O503)),INDEX('通知一覧'!$F$5:$F$204,$O503),""))</f>
        <v/>
      </c>
      <c r="L503" s="29">
        <f>IF(AND(ISNUMBER($B503),ISNUMBER($K503)),$K503-$B503+1,"")</f>
        <v/>
      </c>
      <c r="M503" s="30">
        <f>IF(OR($L503="",$P503=""),"",IF(INDEX('支払先'!$M$5:$M$104,$P503)="対象外","",IF(AND($L503&gt;60,$K503&gt;=EDATE($B503,2)),"超える","")))</f>
        <v/>
      </c>
      <c r="N503" s="67" t="n"/>
      <c r="O503" s="31">
        <f>IF($A503="","",IFERROR(MATCH($A503,'通知一覧'!$B$5:$B$204,0),"なし"))</f>
        <v/>
      </c>
      <c r="P503" s="31">
        <f>IF(NOT(ISNUMBER($O503)),"",IFERROR(MATCH(INDEX('通知一覧'!$C$5:$C$204,$O503),'支払先'!$B$5:$B$104,0),""))</f>
        <v/>
      </c>
      <c r="Q503" s="31">
        <f>IF(AND($A503&lt;&gt;"",$A503='支払通知書'!$K$2),ROW(),"")</f>
        <v/>
      </c>
    </row>
    <row r="504" ht="18" customHeight="1">
      <c r="A504" s="18" t="n"/>
      <c r="B504" s="24" t="n"/>
      <c r="C504" s="19" t="n"/>
      <c r="D504" s="25" t="n"/>
      <c r="E504" s="18" t="n"/>
      <c r="F504" s="25" t="n"/>
      <c r="G504" s="18" t="n"/>
      <c r="H504" s="18" t="n"/>
      <c r="I504" s="26">
        <f>IF(OR($A504="",$F504=""),"",ROUND(IF($D504="",1,$D504)*$F504,0))</f>
        <v/>
      </c>
      <c r="J504" s="27">
        <f>IF($A504="","",IF($O504="なし","※通知一覧にない通知No",IF($P504="","",INDEX('支払先'!$C$5:$C$104,$P504)&amp;"")))</f>
        <v/>
      </c>
      <c r="K504" s="28">
        <f>IF(NOT(ISNUMBER($O504)),"",IF(ISNUMBER(INDEX('通知一覧'!$F$5:$F$204,$O504)),INDEX('通知一覧'!$F$5:$F$204,$O504),""))</f>
        <v/>
      </c>
      <c r="L504" s="29">
        <f>IF(AND(ISNUMBER($B504),ISNUMBER($K504)),$K504-$B504+1,"")</f>
        <v/>
      </c>
      <c r="M504" s="30">
        <f>IF(OR($L504="",$P504=""),"",IF(INDEX('支払先'!$M$5:$M$104,$P504)="対象外","",IF(AND($L504&gt;60,$K504&gt;=EDATE($B504,2)),"超える","")))</f>
        <v/>
      </c>
      <c r="N504" s="67" t="n"/>
      <c r="O504" s="31">
        <f>IF($A504="","",IFERROR(MATCH($A504,'通知一覧'!$B$5:$B$204,0),"なし"))</f>
        <v/>
      </c>
      <c r="P504" s="31">
        <f>IF(NOT(ISNUMBER($O504)),"",IFERROR(MATCH(INDEX('通知一覧'!$C$5:$C$204,$O504),'支払先'!$B$5:$B$104,0),""))</f>
        <v/>
      </c>
      <c r="Q504" s="31">
        <f>IF(AND($A504&lt;&gt;"",$A504='支払通知書'!$K$2),ROW(),"")</f>
        <v/>
      </c>
    </row>
    <row r="505" ht="18" customHeight="1">
      <c r="A505" s="18" t="n"/>
      <c r="B505" s="24" t="n"/>
      <c r="C505" s="19" t="n"/>
      <c r="D505" s="25" t="n"/>
      <c r="E505" s="18" t="n"/>
      <c r="F505" s="25" t="n"/>
      <c r="G505" s="18" t="n"/>
      <c r="H505" s="18" t="n"/>
      <c r="I505" s="26">
        <f>IF(OR($A505="",$F505=""),"",ROUND(IF($D505="",1,$D505)*$F505,0))</f>
        <v/>
      </c>
      <c r="J505" s="27">
        <f>IF($A505="","",IF($O505="なし","※通知一覧にない通知No",IF($P505="","",INDEX('支払先'!$C$5:$C$104,$P505)&amp;"")))</f>
        <v/>
      </c>
      <c r="K505" s="28">
        <f>IF(NOT(ISNUMBER($O505)),"",IF(ISNUMBER(INDEX('通知一覧'!$F$5:$F$204,$O505)),INDEX('通知一覧'!$F$5:$F$204,$O505),""))</f>
        <v/>
      </c>
      <c r="L505" s="29">
        <f>IF(AND(ISNUMBER($B505),ISNUMBER($K505)),$K505-$B505+1,"")</f>
        <v/>
      </c>
      <c r="M505" s="30">
        <f>IF(OR($L505="",$P505=""),"",IF(INDEX('支払先'!$M$5:$M$104,$P505)="対象外","",IF(AND($L505&gt;60,$K505&gt;=EDATE($B505,2)),"超える","")))</f>
        <v/>
      </c>
      <c r="N505" s="67" t="n"/>
      <c r="O505" s="31">
        <f>IF($A505="","",IFERROR(MATCH($A505,'通知一覧'!$B$5:$B$204,0),"なし"))</f>
        <v/>
      </c>
      <c r="P505" s="31">
        <f>IF(NOT(ISNUMBER($O505)),"",IFERROR(MATCH(INDEX('通知一覧'!$C$5:$C$204,$O505),'支払先'!$B$5:$B$104,0),""))</f>
        <v/>
      </c>
      <c r="Q505" s="31">
        <f>IF(AND($A505&lt;&gt;"",$A505='支払通知書'!$K$2),ROW(),"")</f>
        <v/>
      </c>
    </row>
    <row r="506" ht="18" customHeight="1">
      <c r="A506" s="18" t="n"/>
      <c r="B506" s="24" t="n"/>
      <c r="C506" s="19" t="n"/>
      <c r="D506" s="25" t="n"/>
      <c r="E506" s="18" t="n"/>
      <c r="F506" s="25" t="n"/>
      <c r="G506" s="18" t="n"/>
      <c r="H506" s="18" t="n"/>
      <c r="I506" s="26">
        <f>IF(OR($A506="",$F506=""),"",ROUND(IF($D506="",1,$D506)*$F506,0))</f>
        <v/>
      </c>
      <c r="J506" s="27">
        <f>IF($A506="","",IF($O506="なし","※通知一覧にない通知No",IF($P506="","",INDEX('支払先'!$C$5:$C$104,$P506)&amp;"")))</f>
        <v/>
      </c>
      <c r="K506" s="28">
        <f>IF(NOT(ISNUMBER($O506)),"",IF(ISNUMBER(INDEX('通知一覧'!$F$5:$F$204,$O506)),INDEX('通知一覧'!$F$5:$F$204,$O506),""))</f>
        <v/>
      </c>
      <c r="L506" s="29">
        <f>IF(AND(ISNUMBER($B506),ISNUMBER($K506)),$K506-$B506+1,"")</f>
        <v/>
      </c>
      <c r="M506" s="30">
        <f>IF(OR($L506="",$P506=""),"",IF(INDEX('支払先'!$M$5:$M$104,$P506)="対象外","",IF(AND($L506&gt;60,$K506&gt;=EDATE($B506,2)),"超える","")))</f>
        <v/>
      </c>
      <c r="N506" s="67" t="n"/>
      <c r="O506" s="31">
        <f>IF($A506="","",IFERROR(MATCH($A506,'通知一覧'!$B$5:$B$204,0),"なし"))</f>
        <v/>
      </c>
      <c r="P506" s="31">
        <f>IF(NOT(ISNUMBER($O506)),"",IFERROR(MATCH(INDEX('通知一覧'!$C$5:$C$204,$O506),'支払先'!$B$5:$B$104,0),""))</f>
        <v/>
      </c>
      <c r="Q506" s="31">
        <f>IF(AND($A506&lt;&gt;"",$A506='支払通知書'!$K$2),ROW(),"")</f>
        <v/>
      </c>
    </row>
    <row r="507" ht="18" customHeight="1">
      <c r="A507" s="18" t="n"/>
      <c r="B507" s="24" t="n"/>
      <c r="C507" s="19" t="n"/>
      <c r="D507" s="25" t="n"/>
      <c r="E507" s="18" t="n"/>
      <c r="F507" s="25" t="n"/>
      <c r="G507" s="18" t="n"/>
      <c r="H507" s="18" t="n"/>
      <c r="I507" s="26">
        <f>IF(OR($A507="",$F507=""),"",ROUND(IF($D507="",1,$D507)*$F507,0))</f>
        <v/>
      </c>
      <c r="J507" s="27">
        <f>IF($A507="","",IF($O507="なし","※通知一覧にない通知No",IF($P507="","",INDEX('支払先'!$C$5:$C$104,$P507)&amp;"")))</f>
        <v/>
      </c>
      <c r="K507" s="28">
        <f>IF(NOT(ISNUMBER($O507)),"",IF(ISNUMBER(INDEX('通知一覧'!$F$5:$F$204,$O507)),INDEX('通知一覧'!$F$5:$F$204,$O507),""))</f>
        <v/>
      </c>
      <c r="L507" s="29">
        <f>IF(AND(ISNUMBER($B507),ISNUMBER($K507)),$K507-$B507+1,"")</f>
        <v/>
      </c>
      <c r="M507" s="30">
        <f>IF(OR($L507="",$P507=""),"",IF(INDEX('支払先'!$M$5:$M$104,$P507)="対象外","",IF(AND($L507&gt;60,$K507&gt;=EDATE($B507,2)),"超える","")))</f>
        <v/>
      </c>
      <c r="N507" s="67" t="n"/>
      <c r="O507" s="31">
        <f>IF($A507="","",IFERROR(MATCH($A507,'通知一覧'!$B$5:$B$204,0),"なし"))</f>
        <v/>
      </c>
      <c r="P507" s="31">
        <f>IF(NOT(ISNUMBER($O507)),"",IFERROR(MATCH(INDEX('通知一覧'!$C$5:$C$204,$O507),'支払先'!$B$5:$B$104,0),""))</f>
        <v/>
      </c>
      <c r="Q507" s="31">
        <f>IF(AND($A507&lt;&gt;"",$A507='支払通知書'!$K$2),ROW(),"")</f>
        <v/>
      </c>
    </row>
    <row r="508" ht="18" customHeight="1">
      <c r="A508" s="18" t="n"/>
      <c r="B508" s="24" t="n"/>
      <c r="C508" s="19" t="n"/>
      <c r="D508" s="25" t="n"/>
      <c r="E508" s="18" t="n"/>
      <c r="F508" s="25" t="n"/>
      <c r="G508" s="18" t="n"/>
      <c r="H508" s="18" t="n"/>
      <c r="I508" s="26">
        <f>IF(OR($A508="",$F508=""),"",ROUND(IF($D508="",1,$D508)*$F508,0))</f>
        <v/>
      </c>
      <c r="J508" s="27">
        <f>IF($A508="","",IF($O508="なし","※通知一覧にない通知No",IF($P508="","",INDEX('支払先'!$C$5:$C$104,$P508)&amp;"")))</f>
        <v/>
      </c>
      <c r="K508" s="28">
        <f>IF(NOT(ISNUMBER($O508)),"",IF(ISNUMBER(INDEX('通知一覧'!$F$5:$F$204,$O508)),INDEX('通知一覧'!$F$5:$F$204,$O508),""))</f>
        <v/>
      </c>
      <c r="L508" s="29">
        <f>IF(AND(ISNUMBER($B508),ISNUMBER($K508)),$K508-$B508+1,"")</f>
        <v/>
      </c>
      <c r="M508" s="30">
        <f>IF(OR($L508="",$P508=""),"",IF(INDEX('支払先'!$M$5:$M$104,$P508)="対象外","",IF(AND($L508&gt;60,$K508&gt;=EDATE($B508,2)),"超える","")))</f>
        <v/>
      </c>
      <c r="N508" s="67" t="n"/>
      <c r="O508" s="31">
        <f>IF($A508="","",IFERROR(MATCH($A508,'通知一覧'!$B$5:$B$204,0),"なし"))</f>
        <v/>
      </c>
      <c r="P508" s="31">
        <f>IF(NOT(ISNUMBER($O508)),"",IFERROR(MATCH(INDEX('通知一覧'!$C$5:$C$204,$O508),'支払先'!$B$5:$B$104,0),""))</f>
        <v/>
      </c>
      <c r="Q508" s="31">
        <f>IF(AND($A508&lt;&gt;"",$A508='支払通知書'!$K$2),ROW(),"")</f>
        <v/>
      </c>
    </row>
    <row r="509" ht="18" customHeight="1">
      <c r="A509" s="18" t="n"/>
      <c r="B509" s="24" t="n"/>
      <c r="C509" s="19" t="n"/>
      <c r="D509" s="25" t="n"/>
      <c r="E509" s="18" t="n"/>
      <c r="F509" s="25" t="n"/>
      <c r="G509" s="18" t="n"/>
      <c r="H509" s="18" t="n"/>
      <c r="I509" s="26">
        <f>IF(OR($A509="",$F509=""),"",ROUND(IF($D509="",1,$D509)*$F509,0))</f>
        <v/>
      </c>
      <c r="J509" s="27">
        <f>IF($A509="","",IF($O509="なし","※通知一覧にない通知No",IF($P509="","",INDEX('支払先'!$C$5:$C$104,$P509)&amp;"")))</f>
        <v/>
      </c>
      <c r="K509" s="28">
        <f>IF(NOT(ISNUMBER($O509)),"",IF(ISNUMBER(INDEX('通知一覧'!$F$5:$F$204,$O509)),INDEX('通知一覧'!$F$5:$F$204,$O509),""))</f>
        <v/>
      </c>
      <c r="L509" s="29">
        <f>IF(AND(ISNUMBER($B509),ISNUMBER($K509)),$K509-$B509+1,"")</f>
        <v/>
      </c>
      <c r="M509" s="30">
        <f>IF(OR($L509="",$P509=""),"",IF(INDEX('支払先'!$M$5:$M$104,$P509)="対象外","",IF(AND($L509&gt;60,$K509&gt;=EDATE($B509,2)),"超える","")))</f>
        <v/>
      </c>
      <c r="N509" s="67" t="n"/>
      <c r="O509" s="31">
        <f>IF($A509="","",IFERROR(MATCH($A509,'通知一覧'!$B$5:$B$204,0),"なし"))</f>
        <v/>
      </c>
      <c r="P509" s="31">
        <f>IF(NOT(ISNUMBER($O509)),"",IFERROR(MATCH(INDEX('通知一覧'!$C$5:$C$204,$O509),'支払先'!$B$5:$B$104,0),""))</f>
        <v/>
      </c>
      <c r="Q509" s="31">
        <f>IF(AND($A509&lt;&gt;"",$A509='支払通知書'!$K$2),ROW(),"")</f>
        <v/>
      </c>
    </row>
    <row r="510" ht="18" customHeight="1">
      <c r="A510" s="18" t="n"/>
      <c r="B510" s="24" t="n"/>
      <c r="C510" s="19" t="n"/>
      <c r="D510" s="25" t="n"/>
      <c r="E510" s="18" t="n"/>
      <c r="F510" s="25" t="n"/>
      <c r="G510" s="18" t="n"/>
      <c r="H510" s="18" t="n"/>
      <c r="I510" s="26">
        <f>IF(OR($A510="",$F510=""),"",ROUND(IF($D510="",1,$D510)*$F510,0))</f>
        <v/>
      </c>
      <c r="J510" s="27">
        <f>IF($A510="","",IF($O510="なし","※通知一覧にない通知No",IF($P510="","",INDEX('支払先'!$C$5:$C$104,$P510)&amp;"")))</f>
        <v/>
      </c>
      <c r="K510" s="28">
        <f>IF(NOT(ISNUMBER($O510)),"",IF(ISNUMBER(INDEX('通知一覧'!$F$5:$F$204,$O510)),INDEX('通知一覧'!$F$5:$F$204,$O510),""))</f>
        <v/>
      </c>
      <c r="L510" s="29">
        <f>IF(AND(ISNUMBER($B510),ISNUMBER($K510)),$K510-$B510+1,"")</f>
        <v/>
      </c>
      <c r="M510" s="30">
        <f>IF(OR($L510="",$P510=""),"",IF(INDEX('支払先'!$M$5:$M$104,$P510)="対象外","",IF(AND($L510&gt;60,$K510&gt;=EDATE($B510,2)),"超える","")))</f>
        <v/>
      </c>
      <c r="N510" s="67" t="n"/>
      <c r="O510" s="31">
        <f>IF($A510="","",IFERROR(MATCH($A510,'通知一覧'!$B$5:$B$204,0),"なし"))</f>
        <v/>
      </c>
      <c r="P510" s="31">
        <f>IF(NOT(ISNUMBER($O510)),"",IFERROR(MATCH(INDEX('通知一覧'!$C$5:$C$204,$O510),'支払先'!$B$5:$B$104,0),""))</f>
        <v/>
      </c>
      <c r="Q510" s="31">
        <f>IF(AND($A510&lt;&gt;"",$A510='支払通知書'!$K$2),ROW(),"")</f>
        <v/>
      </c>
    </row>
    <row r="511" ht="18" customHeight="1">
      <c r="A511" s="18" t="n"/>
      <c r="B511" s="24" t="n"/>
      <c r="C511" s="19" t="n"/>
      <c r="D511" s="25" t="n"/>
      <c r="E511" s="18" t="n"/>
      <c r="F511" s="25" t="n"/>
      <c r="G511" s="18" t="n"/>
      <c r="H511" s="18" t="n"/>
      <c r="I511" s="26">
        <f>IF(OR($A511="",$F511=""),"",ROUND(IF($D511="",1,$D511)*$F511,0))</f>
        <v/>
      </c>
      <c r="J511" s="27">
        <f>IF($A511="","",IF($O511="なし","※通知一覧にない通知No",IF($P511="","",INDEX('支払先'!$C$5:$C$104,$P511)&amp;"")))</f>
        <v/>
      </c>
      <c r="K511" s="28">
        <f>IF(NOT(ISNUMBER($O511)),"",IF(ISNUMBER(INDEX('通知一覧'!$F$5:$F$204,$O511)),INDEX('通知一覧'!$F$5:$F$204,$O511),""))</f>
        <v/>
      </c>
      <c r="L511" s="29">
        <f>IF(AND(ISNUMBER($B511),ISNUMBER($K511)),$K511-$B511+1,"")</f>
        <v/>
      </c>
      <c r="M511" s="30">
        <f>IF(OR($L511="",$P511=""),"",IF(INDEX('支払先'!$M$5:$M$104,$P511)="対象外","",IF(AND($L511&gt;60,$K511&gt;=EDATE($B511,2)),"超える","")))</f>
        <v/>
      </c>
      <c r="N511" s="67" t="n"/>
      <c r="O511" s="31">
        <f>IF($A511="","",IFERROR(MATCH($A511,'通知一覧'!$B$5:$B$204,0),"なし"))</f>
        <v/>
      </c>
      <c r="P511" s="31">
        <f>IF(NOT(ISNUMBER($O511)),"",IFERROR(MATCH(INDEX('通知一覧'!$C$5:$C$204,$O511),'支払先'!$B$5:$B$104,0),""))</f>
        <v/>
      </c>
      <c r="Q511" s="31">
        <f>IF(AND($A511&lt;&gt;"",$A511='支払通知書'!$K$2),ROW(),"")</f>
        <v/>
      </c>
    </row>
    <row r="512" ht="18" customHeight="1">
      <c r="A512" s="18" t="n"/>
      <c r="B512" s="24" t="n"/>
      <c r="C512" s="19" t="n"/>
      <c r="D512" s="25" t="n"/>
      <c r="E512" s="18" t="n"/>
      <c r="F512" s="25" t="n"/>
      <c r="G512" s="18" t="n"/>
      <c r="H512" s="18" t="n"/>
      <c r="I512" s="26">
        <f>IF(OR($A512="",$F512=""),"",ROUND(IF($D512="",1,$D512)*$F512,0))</f>
        <v/>
      </c>
      <c r="J512" s="27">
        <f>IF($A512="","",IF($O512="なし","※通知一覧にない通知No",IF($P512="","",INDEX('支払先'!$C$5:$C$104,$P512)&amp;"")))</f>
        <v/>
      </c>
      <c r="K512" s="28">
        <f>IF(NOT(ISNUMBER($O512)),"",IF(ISNUMBER(INDEX('通知一覧'!$F$5:$F$204,$O512)),INDEX('通知一覧'!$F$5:$F$204,$O512),""))</f>
        <v/>
      </c>
      <c r="L512" s="29">
        <f>IF(AND(ISNUMBER($B512),ISNUMBER($K512)),$K512-$B512+1,"")</f>
        <v/>
      </c>
      <c r="M512" s="30">
        <f>IF(OR($L512="",$P512=""),"",IF(INDEX('支払先'!$M$5:$M$104,$P512)="対象外","",IF(AND($L512&gt;60,$K512&gt;=EDATE($B512,2)),"超える","")))</f>
        <v/>
      </c>
      <c r="N512" s="67" t="n"/>
      <c r="O512" s="31">
        <f>IF($A512="","",IFERROR(MATCH($A512,'通知一覧'!$B$5:$B$204,0),"なし"))</f>
        <v/>
      </c>
      <c r="P512" s="31">
        <f>IF(NOT(ISNUMBER($O512)),"",IFERROR(MATCH(INDEX('通知一覧'!$C$5:$C$204,$O512),'支払先'!$B$5:$B$104,0),""))</f>
        <v/>
      </c>
      <c r="Q512" s="31">
        <f>IF(AND($A512&lt;&gt;"",$A512='支払通知書'!$K$2),ROW(),"")</f>
        <v/>
      </c>
    </row>
    <row r="513" ht="18" customHeight="1">
      <c r="A513" s="18" t="n"/>
      <c r="B513" s="24" t="n"/>
      <c r="C513" s="19" t="n"/>
      <c r="D513" s="25" t="n"/>
      <c r="E513" s="18" t="n"/>
      <c r="F513" s="25" t="n"/>
      <c r="G513" s="18" t="n"/>
      <c r="H513" s="18" t="n"/>
      <c r="I513" s="26">
        <f>IF(OR($A513="",$F513=""),"",ROUND(IF($D513="",1,$D513)*$F513,0))</f>
        <v/>
      </c>
      <c r="J513" s="27">
        <f>IF($A513="","",IF($O513="なし","※通知一覧にない通知No",IF($P513="","",INDEX('支払先'!$C$5:$C$104,$P513)&amp;"")))</f>
        <v/>
      </c>
      <c r="K513" s="28">
        <f>IF(NOT(ISNUMBER($O513)),"",IF(ISNUMBER(INDEX('通知一覧'!$F$5:$F$204,$O513)),INDEX('通知一覧'!$F$5:$F$204,$O513),""))</f>
        <v/>
      </c>
      <c r="L513" s="29">
        <f>IF(AND(ISNUMBER($B513),ISNUMBER($K513)),$K513-$B513+1,"")</f>
        <v/>
      </c>
      <c r="M513" s="30">
        <f>IF(OR($L513="",$P513=""),"",IF(INDEX('支払先'!$M$5:$M$104,$P513)="対象外","",IF(AND($L513&gt;60,$K513&gt;=EDATE($B513,2)),"超える","")))</f>
        <v/>
      </c>
      <c r="N513" s="67" t="n"/>
      <c r="O513" s="31">
        <f>IF($A513="","",IFERROR(MATCH($A513,'通知一覧'!$B$5:$B$204,0),"なし"))</f>
        <v/>
      </c>
      <c r="P513" s="31">
        <f>IF(NOT(ISNUMBER($O513)),"",IFERROR(MATCH(INDEX('通知一覧'!$C$5:$C$204,$O513),'支払先'!$B$5:$B$104,0),""))</f>
        <v/>
      </c>
      <c r="Q513" s="31">
        <f>IF(AND($A513&lt;&gt;"",$A513='支払通知書'!$K$2),ROW(),"")</f>
        <v/>
      </c>
    </row>
    <row r="514" ht="18" customHeight="1">
      <c r="A514" s="18" t="n"/>
      <c r="B514" s="24" t="n"/>
      <c r="C514" s="19" t="n"/>
      <c r="D514" s="25" t="n"/>
      <c r="E514" s="18" t="n"/>
      <c r="F514" s="25" t="n"/>
      <c r="G514" s="18" t="n"/>
      <c r="H514" s="18" t="n"/>
      <c r="I514" s="26">
        <f>IF(OR($A514="",$F514=""),"",ROUND(IF($D514="",1,$D514)*$F514,0))</f>
        <v/>
      </c>
      <c r="J514" s="27">
        <f>IF($A514="","",IF($O514="なし","※通知一覧にない通知No",IF($P514="","",INDEX('支払先'!$C$5:$C$104,$P514)&amp;"")))</f>
        <v/>
      </c>
      <c r="K514" s="28">
        <f>IF(NOT(ISNUMBER($O514)),"",IF(ISNUMBER(INDEX('通知一覧'!$F$5:$F$204,$O514)),INDEX('通知一覧'!$F$5:$F$204,$O514),""))</f>
        <v/>
      </c>
      <c r="L514" s="29">
        <f>IF(AND(ISNUMBER($B514),ISNUMBER($K514)),$K514-$B514+1,"")</f>
        <v/>
      </c>
      <c r="M514" s="30">
        <f>IF(OR($L514="",$P514=""),"",IF(INDEX('支払先'!$M$5:$M$104,$P514)="対象外","",IF(AND($L514&gt;60,$K514&gt;=EDATE($B514,2)),"超える","")))</f>
        <v/>
      </c>
      <c r="N514" s="67" t="n"/>
      <c r="O514" s="31">
        <f>IF($A514="","",IFERROR(MATCH($A514,'通知一覧'!$B$5:$B$204,0),"なし"))</f>
        <v/>
      </c>
      <c r="P514" s="31">
        <f>IF(NOT(ISNUMBER($O514)),"",IFERROR(MATCH(INDEX('通知一覧'!$C$5:$C$204,$O514),'支払先'!$B$5:$B$104,0),""))</f>
        <v/>
      </c>
      <c r="Q514" s="31">
        <f>IF(AND($A514&lt;&gt;"",$A514='支払通知書'!$K$2),ROW(),"")</f>
        <v/>
      </c>
    </row>
    <row r="515" ht="18" customHeight="1">
      <c r="A515" s="18" t="n"/>
      <c r="B515" s="24" t="n"/>
      <c r="C515" s="19" t="n"/>
      <c r="D515" s="25" t="n"/>
      <c r="E515" s="18" t="n"/>
      <c r="F515" s="25" t="n"/>
      <c r="G515" s="18" t="n"/>
      <c r="H515" s="18" t="n"/>
      <c r="I515" s="26">
        <f>IF(OR($A515="",$F515=""),"",ROUND(IF($D515="",1,$D515)*$F515,0))</f>
        <v/>
      </c>
      <c r="J515" s="27">
        <f>IF($A515="","",IF($O515="なし","※通知一覧にない通知No",IF($P515="","",INDEX('支払先'!$C$5:$C$104,$P515)&amp;"")))</f>
        <v/>
      </c>
      <c r="K515" s="28">
        <f>IF(NOT(ISNUMBER($O515)),"",IF(ISNUMBER(INDEX('通知一覧'!$F$5:$F$204,$O515)),INDEX('通知一覧'!$F$5:$F$204,$O515),""))</f>
        <v/>
      </c>
      <c r="L515" s="29">
        <f>IF(AND(ISNUMBER($B515),ISNUMBER($K515)),$K515-$B515+1,"")</f>
        <v/>
      </c>
      <c r="M515" s="30">
        <f>IF(OR($L515="",$P515=""),"",IF(INDEX('支払先'!$M$5:$M$104,$P515)="対象外","",IF(AND($L515&gt;60,$K515&gt;=EDATE($B515,2)),"超える","")))</f>
        <v/>
      </c>
      <c r="N515" s="67" t="n"/>
      <c r="O515" s="31">
        <f>IF($A515="","",IFERROR(MATCH($A515,'通知一覧'!$B$5:$B$204,0),"なし"))</f>
        <v/>
      </c>
      <c r="P515" s="31">
        <f>IF(NOT(ISNUMBER($O515)),"",IFERROR(MATCH(INDEX('通知一覧'!$C$5:$C$204,$O515),'支払先'!$B$5:$B$104,0),""))</f>
        <v/>
      </c>
      <c r="Q515" s="31">
        <f>IF(AND($A515&lt;&gt;"",$A515='支払通知書'!$K$2),ROW(),"")</f>
        <v/>
      </c>
    </row>
    <row r="516" ht="18" customHeight="1">
      <c r="A516" s="18" t="n"/>
      <c r="B516" s="24" t="n"/>
      <c r="C516" s="19" t="n"/>
      <c r="D516" s="25" t="n"/>
      <c r="E516" s="18" t="n"/>
      <c r="F516" s="25" t="n"/>
      <c r="G516" s="18" t="n"/>
      <c r="H516" s="18" t="n"/>
      <c r="I516" s="26">
        <f>IF(OR($A516="",$F516=""),"",ROUND(IF($D516="",1,$D516)*$F516,0))</f>
        <v/>
      </c>
      <c r="J516" s="27">
        <f>IF($A516="","",IF($O516="なし","※通知一覧にない通知No",IF($P516="","",INDEX('支払先'!$C$5:$C$104,$P516)&amp;"")))</f>
        <v/>
      </c>
      <c r="K516" s="28">
        <f>IF(NOT(ISNUMBER($O516)),"",IF(ISNUMBER(INDEX('通知一覧'!$F$5:$F$204,$O516)),INDEX('通知一覧'!$F$5:$F$204,$O516),""))</f>
        <v/>
      </c>
      <c r="L516" s="29">
        <f>IF(AND(ISNUMBER($B516),ISNUMBER($K516)),$K516-$B516+1,"")</f>
        <v/>
      </c>
      <c r="M516" s="30">
        <f>IF(OR($L516="",$P516=""),"",IF(INDEX('支払先'!$M$5:$M$104,$P516)="対象外","",IF(AND($L516&gt;60,$K516&gt;=EDATE($B516,2)),"超える","")))</f>
        <v/>
      </c>
      <c r="N516" s="67" t="n"/>
      <c r="O516" s="31">
        <f>IF($A516="","",IFERROR(MATCH($A516,'通知一覧'!$B$5:$B$204,0),"なし"))</f>
        <v/>
      </c>
      <c r="P516" s="31">
        <f>IF(NOT(ISNUMBER($O516)),"",IFERROR(MATCH(INDEX('通知一覧'!$C$5:$C$204,$O516),'支払先'!$B$5:$B$104,0),""))</f>
        <v/>
      </c>
      <c r="Q516" s="31">
        <f>IF(AND($A516&lt;&gt;"",$A516='支払通知書'!$K$2),ROW(),"")</f>
        <v/>
      </c>
    </row>
    <row r="517" ht="18" customHeight="1">
      <c r="A517" s="18" t="n"/>
      <c r="B517" s="24" t="n"/>
      <c r="C517" s="19" t="n"/>
      <c r="D517" s="25" t="n"/>
      <c r="E517" s="18" t="n"/>
      <c r="F517" s="25" t="n"/>
      <c r="G517" s="18" t="n"/>
      <c r="H517" s="18" t="n"/>
      <c r="I517" s="26">
        <f>IF(OR($A517="",$F517=""),"",ROUND(IF($D517="",1,$D517)*$F517,0))</f>
        <v/>
      </c>
      <c r="J517" s="27">
        <f>IF($A517="","",IF($O517="なし","※通知一覧にない通知No",IF($P517="","",INDEX('支払先'!$C$5:$C$104,$P517)&amp;"")))</f>
        <v/>
      </c>
      <c r="K517" s="28">
        <f>IF(NOT(ISNUMBER($O517)),"",IF(ISNUMBER(INDEX('通知一覧'!$F$5:$F$204,$O517)),INDEX('通知一覧'!$F$5:$F$204,$O517),""))</f>
        <v/>
      </c>
      <c r="L517" s="29">
        <f>IF(AND(ISNUMBER($B517),ISNUMBER($K517)),$K517-$B517+1,"")</f>
        <v/>
      </c>
      <c r="M517" s="30">
        <f>IF(OR($L517="",$P517=""),"",IF(INDEX('支払先'!$M$5:$M$104,$P517)="対象外","",IF(AND($L517&gt;60,$K517&gt;=EDATE($B517,2)),"超える","")))</f>
        <v/>
      </c>
      <c r="N517" s="67" t="n"/>
      <c r="O517" s="31">
        <f>IF($A517="","",IFERROR(MATCH($A517,'通知一覧'!$B$5:$B$204,0),"なし"))</f>
        <v/>
      </c>
      <c r="P517" s="31">
        <f>IF(NOT(ISNUMBER($O517)),"",IFERROR(MATCH(INDEX('通知一覧'!$C$5:$C$204,$O517),'支払先'!$B$5:$B$104,0),""))</f>
        <v/>
      </c>
      <c r="Q517" s="31">
        <f>IF(AND($A517&lt;&gt;"",$A517='支払通知書'!$K$2),ROW(),"")</f>
        <v/>
      </c>
    </row>
    <row r="518" ht="18" customHeight="1">
      <c r="A518" s="18" t="n"/>
      <c r="B518" s="24" t="n"/>
      <c r="C518" s="19" t="n"/>
      <c r="D518" s="25" t="n"/>
      <c r="E518" s="18" t="n"/>
      <c r="F518" s="25" t="n"/>
      <c r="G518" s="18" t="n"/>
      <c r="H518" s="18" t="n"/>
      <c r="I518" s="26">
        <f>IF(OR($A518="",$F518=""),"",ROUND(IF($D518="",1,$D518)*$F518,0))</f>
        <v/>
      </c>
      <c r="J518" s="27">
        <f>IF($A518="","",IF($O518="なし","※通知一覧にない通知No",IF($P518="","",INDEX('支払先'!$C$5:$C$104,$P518)&amp;"")))</f>
        <v/>
      </c>
      <c r="K518" s="28">
        <f>IF(NOT(ISNUMBER($O518)),"",IF(ISNUMBER(INDEX('通知一覧'!$F$5:$F$204,$O518)),INDEX('通知一覧'!$F$5:$F$204,$O518),""))</f>
        <v/>
      </c>
      <c r="L518" s="29">
        <f>IF(AND(ISNUMBER($B518),ISNUMBER($K518)),$K518-$B518+1,"")</f>
        <v/>
      </c>
      <c r="M518" s="30">
        <f>IF(OR($L518="",$P518=""),"",IF(INDEX('支払先'!$M$5:$M$104,$P518)="対象外","",IF(AND($L518&gt;60,$K518&gt;=EDATE($B518,2)),"超える","")))</f>
        <v/>
      </c>
      <c r="N518" s="67" t="n"/>
      <c r="O518" s="31">
        <f>IF($A518="","",IFERROR(MATCH($A518,'通知一覧'!$B$5:$B$204,0),"なし"))</f>
        <v/>
      </c>
      <c r="P518" s="31">
        <f>IF(NOT(ISNUMBER($O518)),"",IFERROR(MATCH(INDEX('通知一覧'!$C$5:$C$204,$O518),'支払先'!$B$5:$B$104,0),""))</f>
        <v/>
      </c>
      <c r="Q518" s="31">
        <f>IF(AND($A518&lt;&gt;"",$A518='支払通知書'!$K$2),ROW(),"")</f>
        <v/>
      </c>
    </row>
    <row r="519" ht="18" customHeight="1">
      <c r="A519" s="18" t="n"/>
      <c r="B519" s="24" t="n"/>
      <c r="C519" s="19" t="n"/>
      <c r="D519" s="25" t="n"/>
      <c r="E519" s="18" t="n"/>
      <c r="F519" s="25" t="n"/>
      <c r="G519" s="18" t="n"/>
      <c r="H519" s="18" t="n"/>
      <c r="I519" s="26">
        <f>IF(OR($A519="",$F519=""),"",ROUND(IF($D519="",1,$D519)*$F519,0))</f>
        <v/>
      </c>
      <c r="J519" s="27">
        <f>IF($A519="","",IF($O519="なし","※通知一覧にない通知No",IF($P519="","",INDEX('支払先'!$C$5:$C$104,$P519)&amp;"")))</f>
        <v/>
      </c>
      <c r="K519" s="28">
        <f>IF(NOT(ISNUMBER($O519)),"",IF(ISNUMBER(INDEX('通知一覧'!$F$5:$F$204,$O519)),INDEX('通知一覧'!$F$5:$F$204,$O519),""))</f>
        <v/>
      </c>
      <c r="L519" s="29">
        <f>IF(AND(ISNUMBER($B519),ISNUMBER($K519)),$K519-$B519+1,"")</f>
        <v/>
      </c>
      <c r="M519" s="30">
        <f>IF(OR($L519="",$P519=""),"",IF(INDEX('支払先'!$M$5:$M$104,$P519)="対象外","",IF(AND($L519&gt;60,$K519&gt;=EDATE($B519,2)),"超える","")))</f>
        <v/>
      </c>
      <c r="N519" s="67" t="n"/>
      <c r="O519" s="31">
        <f>IF($A519="","",IFERROR(MATCH($A519,'通知一覧'!$B$5:$B$204,0),"なし"))</f>
        <v/>
      </c>
      <c r="P519" s="31">
        <f>IF(NOT(ISNUMBER($O519)),"",IFERROR(MATCH(INDEX('通知一覧'!$C$5:$C$204,$O519),'支払先'!$B$5:$B$104,0),""))</f>
        <v/>
      </c>
      <c r="Q519" s="31">
        <f>IF(AND($A519&lt;&gt;"",$A519='支払通知書'!$K$2),ROW(),"")</f>
        <v/>
      </c>
    </row>
    <row r="520" ht="18" customHeight="1">
      <c r="A520" s="18" t="n"/>
      <c r="B520" s="24" t="n"/>
      <c r="C520" s="19" t="n"/>
      <c r="D520" s="25" t="n"/>
      <c r="E520" s="18" t="n"/>
      <c r="F520" s="25" t="n"/>
      <c r="G520" s="18" t="n"/>
      <c r="H520" s="18" t="n"/>
      <c r="I520" s="26">
        <f>IF(OR($A520="",$F520=""),"",ROUND(IF($D520="",1,$D520)*$F520,0))</f>
        <v/>
      </c>
      <c r="J520" s="27">
        <f>IF($A520="","",IF($O520="なし","※通知一覧にない通知No",IF($P520="","",INDEX('支払先'!$C$5:$C$104,$P520)&amp;"")))</f>
        <v/>
      </c>
      <c r="K520" s="28">
        <f>IF(NOT(ISNUMBER($O520)),"",IF(ISNUMBER(INDEX('通知一覧'!$F$5:$F$204,$O520)),INDEX('通知一覧'!$F$5:$F$204,$O520),""))</f>
        <v/>
      </c>
      <c r="L520" s="29">
        <f>IF(AND(ISNUMBER($B520),ISNUMBER($K520)),$K520-$B520+1,"")</f>
        <v/>
      </c>
      <c r="M520" s="30">
        <f>IF(OR($L520="",$P520=""),"",IF(INDEX('支払先'!$M$5:$M$104,$P520)="対象外","",IF(AND($L520&gt;60,$K520&gt;=EDATE($B520,2)),"超える","")))</f>
        <v/>
      </c>
      <c r="N520" s="67" t="n"/>
      <c r="O520" s="31">
        <f>IF($A520="","",IFERROR(MATCH($A520,'通知一覧'!$B$5:$B$204,0),"なし"))</f>
        <v/>
      </c>
      <c r="P520" s="31">
        <f>IF(NOT(ISNUMBER($O520)),"",IFERROR(MATCH(INDEX('通知一覧'!$C$5:$C$204,$O520),'支払先'!$B$5:$B$104,0),""))</f>
        <v/>
      </c>
      <c r="Q520" s="31">
        <f>IF(AND($A520&lt;&gt;"",$A520='支払通知書'!$K$2),ROW(),"")</f>
        <v/>
      </c>
    </row>
    <row r="521" ht="18" customHeight="1">
      <c r="A521" s="18" t="n"/>
      <c r="B521" s="24" t="n"/>
      <c r="C521" s="19" t="n"/>
      <c r="D521" s="25" t="n"/>
      <c r="E521" s="18" t="n"/>
      <c r="F521" s="25" t="n"/>
      <c r="G521" s="18" t="n"/>
      <c r="H521" s="18" t="n"/>
      <c r="I521" s="26">
        <f>IF(OR($A521="",$F521=""),"",ROUND(IF($D521="",1,$D521)*$F521,0))</f>
        <v/>
      </c>
      <c r="J521" s="27">
        <f>IF($A521="","",IF($O521="なし","※通知一覧にない通知No",IF($P521="","",INDEX('支払先'!$C$5:$C$104,$P521)&amp;"")))</f>
        <v/>
      </c>
      <c r="K521" s="28">
        <f>IF(NOT(ISNUMBER($O521)),"",IF(ISNUMBER(INDEX('通知一覧'!$F$5:$F$204,$O521)),INDEX('通知一覧'!$F$5:$F$204,$O521),""))</f>
        <v/>
      </c>
      <c r="L521" s="29">
        <f>IF(AND(ISNUMBER($B521),ISNUMBER($K521)),$K521-$B521+1,"")</f>
        <v/>
      </c>
      <c r="M521" s="30">
        <f>IF(OR($L521="",$P521=""),"",IF(INDEX('支払先'!$M$5:$M$104,$P521)="対象外","",IF(AND($L521&gt;60,$K521&gt;=EDATE($B521,2)),"超える","")))</f>
        <v/>
      </c>
      <c r="N521" s="67" t="n"/>
      <c r="O521" s="31">
        <f>IF($A521="","",IFERROR(MATCH($A521,'通知一覧'!$B$5:$B$204,0),"なし"))</f>
        <v/>
      </c>
      <c r="P521" s="31">
        <f>IF(NOT(ISNUMBER($O521)),"",IFERROR(MATCH(INDEX('通知一覧'!$C$5:$C$204,$O521),'支払先'!$B$5:$B$104,0),""))</f>
        <v/>
      </c>
      <c r="Q521" s="31">
        <f>IF(AND($A521&lt;&gt;"",$A521='支払通知書'!$K$2),ROW(),"")</f>
        <v/>
      </c>
    </row>
    <row r="522" ht="18" customHeight="1">
      <c r="A522" s="18" t="n"/>
      <c r="B522" s="24" t="n"/>
      <c r="C522" s="19" t="n"/>
      <c r="D522" s="25" t="n"/>
      <c r="E522" s="18" t="n"/>
      <c r="F522" s="25" t="n"/>
      <c r="G522" s="18" t="n"/>
      <c r="H522" s="18" t="n"/>
      <c r="I522" s="26">
        <f>IF(OR($A522="",$F522=""),"",ROUND(IF($D522="",1,$D522)*$F522,0))</f>
        <v/>
      </c>
      <c r="J522" s="27">
        <f>IF($A522="","",IF($O522="なし","※通知一覧にない通知No",IF($P522="","",INDEX('支払先'!$C$5:$C$104,$P522)&amp;"")))</f>
        <v/>
      </c>
      <c r="K522" s="28">
        <f>IF(NOT(ISNUMBER($O522)),"",IF(ISNUMBER(INDEX('通知一覧'!$F$5:$F$204,$O522)),INDEX('通知一覧'!$F$5:$F$204,$O522),""))</f>
        <v/>
      </c>
      <c r="L522" s="29">
        <f>IF(AND(ISNUMBER($B522),ISNUMBER($K522)),$K522-$B522+1,"")</f>
        <v/>
      </c>
      <c r="M522" s="30">
        <f>IF(OR($L522="",$P522=""),"",IF(INDEX('支払先'!$M$5:$M$104,$P522)="対象外","",IF(AND($L522&gt;60,$K522&gt;=EDATE($B522,2)),"超える","")))</f>
        <v/>
      </c>
      <c r="N522" s="67" t="n"/>
      <c r="O522" s="31">
        <f>IF($A522="","",IFERROR(MATCH($A522,'通知一覧'!$B$5:$B$204,0),"なし"))</f>
        <v/>
      </c>
      <c r="P522" s="31">
        <f>IF(NOT(ISNUMBER($O522)),"",IFERROR(MATCH(INDEX('通知一覧'!$C$5:$C$204,$O522),'支払先'!$B$5:$B$104,0),""))</f>
        <v/>
      </c>
      <c r="Q522" s="31">
        <f>IF(AND($A522&lt;&gt;"",$A522='支払通知書'!$K$2),ROW(),"")</f>
        <v/>
      </c>
    </row>
    <row r="523" ht="18" customHeight="1">
      <c r="A523" s="18" t="n"/>
      <c r="B523" s="24" t="n"/>
      <c r="C523" s="19" t="n"/>
      <c r="D523" s="25" t="n"/>
      <c r="E523" s="18" t="n"/>
      <c r="F523" s="25" t="n"/>
      <c r="G523" s="18" t="n"/>
      <c r="H523" s="18" t="n"/>
      <c r="I523" s="26">
        <f>IF(OR($A523="",$F523=""),"",ROUND(IF($D523="",1,$D523)*$F523,0))</f>
        <v/>
      </c>
      <c r="J523" s="27">
        <f>IF($A523="","",IF($O523="なし","※通知一覧にない通知No",IF($P523="","",INDEX('支払先'!$C$5:$C$104,$P523)&amp;"")))</f>
        <v/>
      </c>
      <c r="K523" s="28">
        <f>IF(NOT(ISNUMBER($O523)),"",IF(ISNUMBER(INDEX('通知一覧'!$F$5:$F$204,$O523)),INDEX('通知一覧'!$F$5:$F$204,$O523),""))</f>
        <v/>
      </c>
      <c r="L523" s="29">
        <f>IF(AND(ISNUMBER($B523),ISNUMBER($K523)),$K523-$B523+1,"")</f>
        <v/>
      </c>
      <c r="M523" s="30">
        <f>IF(OR($L523="",$P523=""),"",IF(INDEX('支払先'!$M$5:$M$104,$P523)="対象外","",IF(AND($L523&gt;60,$K523&gt;=EDATE($B523,2)),"超える","")))</f>
        <v/>
      </c>
      <c r="N523" s="67" t="n"/>
      <c r="O523" s="31">
        <f>IF($A523="","",IFERROR(MATCH($A523,'通知一覧'!$B$5:$B$204,0),"なし"))</f>
        <v/>
      </c>
      <c r="P523" s="31">
        <f>IF(NOT(ISNUMBER($O523)),"",IFERROR(MATCH(INDEX('通知一覧'!$C$5:$C$204,$O523),'支払先'!$B$5:$B$104,0),""))</f>
        <v/>
      </c>
      <c r="Q523" s="31">
        <f>IF(AND($A523&lt;&gt;"",$A523='支払通知書'!$K$2),ROW(),"")</f>
        <v/>
      </c>
    </row>
    <row r="524" ht="18" customHeight="1">
      <c r="A524" s="18" t="n"/>
      <c r="B524" s="24" t="n"/>
      <c r="C524" s="19" t="n"/>
      <c r="D524" s="25" t="n"/>
      <c r="E524" s="18" t="n"/>
      <c r="F524" s="25" t="n"/>
      <c r="G524" s="18" t="n"/>
      <c r="H524" s="18" t="n"/>
      <c r="I524" s="26">
        <f>IF(OR($A524="",$F524=""),"",ROUND(IF($D524="",1,$D524)*$F524,0))</f>
        <v/>
      </c>
      <c r="J524" s="27">
        <f>IF($A524="","",IF($O524="なし","※通知一覧にない通知No",IF($P524="","",INDEX('支払先'!$C$5:$C$104,$P524)&amp;"")))</f>
        <v/>
      </c>
      <c r="K524" s="28">
        <f>IF(NOT(ISNUMBER($O524)),"",IF(ISNUMBER(INDEX('通知一覧'!$F$5:$F$204,$O524)),INDEX('通知一覧'!$F$5:$F$204,$O524),""))</f>
        <v/>
      </c>
      <c r="L524" s="29">
        <f>IF(AND(ISNUMBER($B524),ISNUMBER($K524)),$K524-$B524+1,"")</f>
        <v/>
      </c>
      <c r="M524" s="30">
        <f>IF(OR($L524="",$P524=""),"",IF(INDEX('支払先'!$M$5:$M$104,$P524)="対象外","",IF(AND($L524&gt;60,$K524&gt;=EDATE($B524,2)),"超える","")))</f>
        <v/>
      </c>
      <c r="N524" s="67" t="n"/>
      <c r="O524" s="31">
        <f>IF($A524="","",IFERROR(MATCH($A524,'通知一覧'!$B$5:$B$204,0),"なし"))</f>
        <v/>
      </c>
      <c r="P524" s="31">
        <f>IF(NOT(ISNUMBER($O524)),"",IFERROR(MATCH(INDEX('通知一覧'!$C$5:$C$204,$O524),'支払先'!$B$5:$B$104,0),""))</f>
        <v/>
      </c>
      <c r="Q524" s="31">
        <f>IF(AND($A524&lt;&gt;"",$A524='支払通知書'!$K$2),ROW(),"")</f>
        <v/>
      </c>
    </row>
    <row r="525" ht="18" customHeight="1">
      <c r="A525" s="18" t="n"/>
      <c r="B525" s="24" t="n"/>
      <c r="C525" s="19" t="n"/>
      <c r="D525" s="25" t="n"/>
      <c r="E525" s="18" t="n"/>
      <c r="F525" s="25" t="n"/>
      <c r="G525" s="18" t="n"/>
      <c r="H525" s="18" t="n"/>
      <c r="I525" s="26">
        <f>IF(OR($A525="",$F525=""),"",ROUND(IF($D525="",1,$D525)*$F525,0))</f>
        <v/>
      </c>
      <c r="J525" s="27">
        <f>IF($A525="","",IF($O525="なし","※通知一覧にない通知No",IF($P525="","",INDEX('支払先'!$C$5:$C$104,$P525)&amp;"")))</f>
        <v/>
      </c>
      <c r="K525" s="28">
        <f>IF(NOT(ISNUMBER($O525)),"",IF(ISNUMBER(INDEX('通知一覧'!$F$5:$F$204,$O525)),INDEX('通知一覧'!$F$5:$F$204,$O525),""))</f>
        <v/>
      </c>
      <c r="L525" s="29">
        <f>IF(AND(ISNUMBER($B525),ISNUMBER($K525)),$K525-$B525+1,"")</f>
        <v/>
      </c>
      <c r="M525" s="30">
        <f>IF(OR($L525="",$P525=""),"",IF(INDEX('支払先'!$M$5:$M$104,$P525)="対象外","",IF(AND($L525&gt;60,$K525&gt;=EDATE($B525,2)),"超える","")))</f>
        <v/>
      </c>
      <c r="N525" s="67" t="n"/>
      <c r="O525" s="31">
        <f>IF($A525="","",IFERROR(MATCH($A525,'通知一覧'!$B$5:$B$204,0),"なし"))</f>
        <v/>
      </c>
      <c r="P525" s="31">
        <f>IF(NOT(ISNUMBER($O525)),"",IFERROR(MATCH(INDEX('通知一覧'!$C$5:$C$204,$O525),'支払先'!$B$5:$B$104,0),""))</f>
        <v/>
      </c>
      <c r="Q525" s="31">
        <f>IF(AND($A525&lt;&gt;"",$A525='支払通知書'!$K$2),ROW(),"")</f>
        <v/>
      </c>
    </row>
    <row r="526" ht="18" customHeight="1">
      <c r="A526" s="18" t="n"/>
      <c r="B526" s="24" t="n"/>
      <c r="C526" s="19" t="n"/>
      <c r="D526" s="25" t="n"/>
      <c r="E526" s="18" t="n"/>
      <c r="F526" s="25" t="n"/>
      <c r="G526" s="18" t="n"/>
      <c r="H526" s="18" t="n"/>
      <c r="I526" s="26">
        <f>IF(OR($A526="",$F526=""),"",ROUND(IF($D526="",1,$D526)*$F526,0))</f>
        <v/>
      </c>
      <c r="J526" s="27">
        <f>IF($A526="","",IF($O526="なし","※通知一覧にない通知No",IF($P526="","",INDEX('支払先'!$C$5:$C$104,$P526)&amp;"")))</f>
        <v/>
      </c>
      <c r="K526" s="28">
        <f>IF(NOT(ISNUMBER($O526)),"",IF(ISNUMBER(INDEX('通知一覧'!$F$5:$F$204,$O526)),INDEX('通知一覧'!$F$5:$F$204,$O526),""))</f>
        <v/>
      </c>
      <c r="L526" s="29">
        <f>IF(AND(ISNUMBER($B526),ISNUMBER($K526)),$K526-$B526+1,"")</f>
        <v/>
      </c>
      <c r="M526" s="30">
        <f>IF(OR($L526="",$P526=""),"",IF(INDEX('支払先'!$M$5:$M$104,$P526)="対象外","",IF(AND($L526&gt;60,$K526&gt;=EDATE($B526,2)),"超える","")))</f>
        <v/>
      </c>
      <c r="N526" s="67" t="n"/>
      <c r="O526" s="31">
        <f>IF($A526="","",IFERROR(MATCH($A526,'通知一覧'!$B$5:$B$204,0),"なし"))</f>
        <v/>
      </c>
      <c r="P526" s="31">
        <f>IF(NOT(ISNUMBER($O526)),"",IFERROR(MATCH(INDEX('通知一覧'!$C$5:$C$204,$O526),'支払先'!$B$5:$B$104,0),""))</f>
        <v/>
      </c>
      <c r="Q526" s="31">
        <f>IF(AND($A526&lt;&gt;"",$A526='支払通知書'!$K$2),ROW(),"")</f>
        <v/>
      </c>
    </row>
    <row r="527" ht="18" customHeight="1">
      <c r="A527" s="18" t="n"/>
      <c r="B527" s="24" t="n"/>
      <c r="C527" s="19" t="n"/>
      <c r="D527" s="25" t="n"/>
      <c r="E527" s="18" t="n"/>
      <c r="F527" s="25" t="n"/>
      <c r="G527" s="18" t="n"/>
      <c r="H527" s="18" t="n"/>
      <c r="I527" s="26">
        <f>IF(OR($A527="",$F527=""),"",ROUND(IF($D527="",1,$D527)*$F527,0))</f>
        <v/>
      </c>
      <c r="J527" s="27">
        <f>IF($A527="","",IF($O527="なし","※通知一覧にない通知No",IF($P527="","",INDEX('支払先'!$C$5:$C$104,$P527)&amp;"")))</f>
        <v/>
      </c>
      <c r="K527" s="28">
        <f>IF(NOT(ISNUMBER($O527)),"",IF(ISNUMBER(INDEX('通知一覧'!$F$5:$F$204,$O527)),INDEX('通知一覧'!$F$5:$F$204,$O527),""))</f>
        <v/>
      </c>
      <c r="L527" s="29">
        <f>IF(AND(ISNUMBER($B527),ISNUMBER($K527)),$K527-$B527+1,"")</f>
        <v/>
      </c>
      <c r="M527" s="30">
        <f>IF(OR($L527="",$P527=""),"",IF(INDEX('支払先'!$M$5:$M$104,$P527)="対象外","",IF(AND($L527&gt;60,$K527&gt;=EDATE($B527,2)),"超える","")))</f>
        <v/>
      </c>
      <c r="N527" s="67" t="n"/>
      <c r="O527" s="31">
        <f>IF($A527="","",IFERROR(MATCH($A527,'通知一覧'!$B$5:$B$204,0),"なし"))</f>
        <v/>
      </c>
      <c r="P527" s="31">
        <f>IF(NOT(ISNUMBER($O527)),"",IFERROR(MATCH(INDEX('通知一覧'!$C$5:$C$204,$O527),'支払先'!$B$5:$B$104,0),""))</f>
        <v/>
      </c>
      <c r="Q527" s="31">
        <f>IF(AND($A527&lt;&gt;"",$A527='支払通知書'!$K$2),ROW(),"")</f>
        <v/>
      </c>
    </row>
    <row r="528" ht="18" customHeight="1">
      <c r="A528" s="18" t="n"/>
      <c r="B528" s="24" t="n"/>
      <c r="C528" s="19" t="n"/>
      <c r="D528" s="25" t="n"/>
      <c r="E528" s="18" t="n"/>
      <c r="F528" s="25" t="n"/>
      <c r="G528" s="18" t="n"/>
      <c r="H528" s="18" t="n"/>
      <c r="I528" s="26">
        <f>IF(OR($A528="",$F528=""),"",ROUND(IF($D528="",1,$D528)*$F528,0))</f>
        <v/>
      </c>
      <c r="J528" s="27">
        <f>IF($A528="","",IF($O528="なし","※通知一覧にない通知No",IF($P528="","",INDEX('支払先'!$C$5:$C$104,$P528)&amp;"")))</f>
        <v/>
      </c>
      <c r="K528" s="28">
        <f>IF(NOT(ISNUMBER($O528)),"",IF(ISNUMBER(INDEX('通知一覧'!$F$5:$F$204,$O528)),INDEX('通知一覧'!$F$5:$F$204,$O528),""))</f>
        <v/>
      </c>
      <c r="L528" s="29">
        <f>IF(AND(ISNUMBER($B528),ISNUMBER($K528)),$K528-$B528+1,"")</f>
        <v/>
      </c>
      <c r="M528" s="30">
        <f>IF(OR($L528="",$P528=""),"",IF(INDEX('支払先'!$M$5:$M$104,$P528)="対象外","",IF(AND($L528&gt;60,$K528&gt;=EDATE($B528,2)),"超える","")))</f>
        <v/>
      </c>
      <c r="N528" s="67" t="n"/>
      <c r="O528" s="31">
        <f>IF($A528="","",IFERROR(MATCH($A528,'通知一覧'!$B$5:$B$204,0),"なし"))</f>
        <v/>
      </c>
      <c r="P528" s="31">
        <f>IF(NOT(ISNUMBER($O528)),"",IFERROR(MATCH(INDEX('通知一覧'!$C$5:$C$204,$O528),'支払先'!$B$5:$B$104,0),""))</f>
        <v/>
      </c>
      <c r="Q528" s="31">
        <f>IF(AND($A528&lt;&gt;"",$A528='支払通知書'!$K$2),ROW(),"")</f>
        <v/>
      </c>
    </row>
    <row r="529" ht="18" customHeight="1">
      <c r="A529" s="18" t="n"/>
      <c r="B529" s="24" t="n"/>
      <c r="C529" s="19" t="n"/>
      <c r="D529" s="25" t="n"/>
      <c r="E529" s="18" t="n"/>
      <c r="F529" s="25" t="n"/>
      <c r="G529" s="18" t="n"/>
      <c r="H529" s="18" t="n"/>
      <c r="I529" s="26">
        <f>IF(OR($A529="",$F529=""),"",ROUND(IF($D529="",1,$D529)*$F529,0))</f>
        <v/>
      </c>
      <c r="J529" s="27">
        <f>IF($A529="","",IF($O529="なし","※通知一覧にない通知No",IF($P529="","",INDEX('支払先'!$C$5:$C$104,$P529)&amp;"")))</f>
        <v/>
      </c>
      <c r="K529" s="28">
        <f>IF(NOT(ISNUMBER($O529)),"",IF(ISNUMBER(INDEX('通知一覧'!$F$5:$F$204,$O529)),INDEX('通知一覧'!$F$5:$F$204,$O529),""))</f>
        <v/>
      </c>
      <c r="L529" s="29">
        <f>IF(AND(ISNUMBER($B529),ISNUMBER($K529)),$K529-$B529+1,"")</f>
        <v/>
      </c>
      <c r="M529" s="30">
        <f>IF(OR($L529="",$P529=""),"",IF(INDEX('支払先'!$M$5:$M$104,$P529)="対象外","",IF(AND($L529&gt;60,$K529&gt;=EDATE($B529,2)),"超える","")))</f>
        <v/>
      </c>
      <c r="N529" s="67" t="n"/>
      <c r="O529" s="31">
        <f>IF($A529="","",IFERROR(MATCH($A529,'通知一覧'!$B$5:$B$204,0),"なし"))</f>
        <v/>
      </c>
      <c r="P529" s="31">
        <f>IF(NOT(ISNUMBER($O529)),"",IFERROR(MATCH(INDEX('通知一覧'!$C$5:$C$204,$O529),'支払先'!$B$5:$B$104,0),""))</f>
        <v/>
      </c>
      <c r="Q529" s="31">
        <f>IF(AND($A529&lt;&gt;"",$A529='支払通知書'!$K$2),ROW(),"")</f>
        <v/>
      </c>
    </row>
    <row r="530" ht="18" customHeight="1">
      <c r="A530" s="18" t="n"/>
      <c r="B530" s="24" t="n"/>
      <c r="C530" s="19" t="n"/>
      <c r="D530" s="25" t="n"/>
      <c r="E530" s="18" t="n"/>
      <c r="F530" s="25" t="n"/>
      <c r="G530" s="18" t="n"/>
      <c r="H530" s="18" t="n"/>
      <c r="I530" s="26">
        <f>IF(OR($A530="",$F530=""),"",ROUND(IF($D530="",1,$D530)*$F530,0))</f>
        <v/>
      </c>
      <c r="J530" s="27">
        <f>IF($A530="","",IF($O530="なし","※通知一覧にない通知No",IF($P530="","",INDEX('支払先'!$C$5:$C$104,$P530)&amp;"")))</f>
        <v/>
      </c>
      <c r="K530" s="28">
        <f>IF(NOT(ISNUMBER($O530)),"",IF(ISNUMBER(INDEX('通知一覧'!$F$5:$F$204,$O530)),INDEX('通知一覧'!$F$5:$F$204,$O530),""))</f>
        <v/>
      </c>
      <c r="L530" s="29">
        <f>IF(AND(ISNUMBER($B530),ISNUMBER($K530)),$K530-$B530+1,"")</f>
        <v/>
      </c>
      <c r="M530" s="30">
        <f>IF(OR($L530="",$P530=""),"",IF(INDEX('支払先'!$M$5:$M$104,$P530)="対象外","",IF(AND($L530&gt;60,$K530&gt;=EDATE($B530,2)),"超える","")))</f>
        <v/>
      </c>
      <c r="N530" s="67" t="n"/>
      <c r="O530" s="31">
        <f>IF($A530="","",IFERROR(MATCH($A530,'通知一覧'!$B$5:$B$204,0),"なし"))</f>
        <v/>
      </c>
      <c r="P530" s="31">
        <f>IF(NOT(ISNUMBER($O530)),"",IFERROR(MATCH(INDEX('通知一覧'!$C$5:$C$204,$O530),'支払先'!$B$5:$B$104,0),""))</f>
        <v/>
      </c>
      <c r="Q530" s="31">
        <f>IF(AND($A530&lt;&gt;"",$A530='支払通知書'!$K$2),ROW(),"")</f>
        <v/>
      </c>
    </row>
    <row r="531" ht="18" customHeight="1">
      <c r="A531" s="18" t="n"/>
      <c r="B531" s="24" t="n"/>
      <c r="C531" s="19" t="n"/>
      <c r="D531" s="25" t="n"/>
      <c r="E531" s="18" t="n"/>
      <c r="F531" s="25" t="n"/>
      <c r="G531" s="18" t="n"/>
      <c r="H531" s="18" t="n"/>
      <c r="I531" s="26">
        <f>IF(OR($A531="",$F531=""),"",ROUND(IF($D531="",1,$D531)*$F531,0))</f>
        <v/>
      </c>
      <c r="J531" s="27">
        <f>IF($A531="","",IF($O531="なし","※通知一覧にない通知No",IF($P531="","",INDEX('支払先'!$C$5:$C$104,$P531)&amp;"")))</f>
        <v/>
      </c>
      <c r="K531" s="28">
        <f>IF(NOT(ISNUMBER($O531)),"",IF(ISNUMBER(INDEX('通知一覧'!$F$5:$F$204,$O531)),INDEX('通知一覧'!$F$5:$F$204,$O531),""))</f>
        <v/>
      </c>
      <c r="L531" s="29">
        <f>IF(AND(ISNUMBER($B531),ISNUMBER($K531)),$K531-$B531+1,"")</f>
        <v/>
      </c>
      <c r="M531" s="30">
        <f>IF(OR($L531="",$P531=""),"",IF(INDEX('支払先'!$M$5:$M$104,$P531)="対象外","",IF(AND($L531&gt;60,$K531&gt;=EDATE($B531,2)),"超える","")))</f>
        <v/>
      </c>
      <c r="N531" s="67" t="n"/>
      <c r="O531" s="31">
        <f>IF($A531="","",IFERROR(MATCH($A531,'通知一覧'!$B$5:$B$204,0),"なし"))</f>
        <v/>
      </c>
      <c r="P531" s="31">
        <f>IF(NOT(ISNUMBER($O531)),"",IFERROR(MATCH(INDEX('通知一覧'!$C$5:$C$204,$O531),'支払先'!$B$5:$B$104,0),""))</f>
        <v/>
      </c>
      <c r="Q531" s="31">
        <f>IF(AND($A531&lt;&gt;"",$A531='支払通知書'!$K$2),ROW(),"")</f>
        <v/>
      </c>
    </row>
    <row r="532" ht="18" customHeight="1">
      <c r="A532" s="18" t="n"/>
      <c r="B532" s="24" t="n"/>
      <c r="C532" s="19" t="n"/>
      <c r="D532" s="25" t="n"/>
      <c r="E532" s="18" t="n"/>
      <c r="F532" s="25" t="n"/>
      <c r="G532" s="18" t="n"/>
      <c r="H532" s="18" t="n"/>
      <c r="I532" s="26">
        <f>IF(OR($A532="",$F532=""),"",ROUND(IF($D532="",1,$D532)*$F532,0))</f>
        <v/>
      </c>
      <c r="J532" s="27">
        <f>IF($A532="","",IF($O532="なし","※通知一覧にない通知No",IF($P532="","",INDEX('支払先'!$C$5:$C$104,$P532)&amp;"")))</f>
        <v/>
      </c>
      <c r="K532" s="28">
        <f>IF(NOT(ISNUMBER($O532)),"",IF(ISNUMBER(INDEX('通知一覧'!$F$5:$F$204,$O532)),INDEX('通知一覧'!$F$5:$F$204,$O532),""))</f>
        <v/>
      </c>
      <c r="L532" s="29">
        <f>IF(AND(ISNUMBER($B532),ISNUMBER($K532)),$K532-$B532+1,"")</f>
        <v/>
      </c>
      <c r="M532" s="30">
        <f>IF(OR($L532="",$P532=""),"",IF(INDEX('支払先'!$M$5:$M$104,$P532)="対象外","",IF(AND($L532&gt;60,$K532&gt;=EDATE($B532,2)),"超える","")))</f>
        <v/>
      </c>
      <c r="N532" s="67" t="n"/>
      <c r="O532" s="31">
        <f>IF($A532="","",IFERROR(MATCH($A532,'通知一覧'!$B$5:$B$204,0),"なし"))</f>
        <v/>
      </c>
      <c r="P532" s="31">
        <f>IF(NOT(ISNUMBER($O532)),"",IFERROR(MATCH(INDEX('通知一覧'!$C$5:$C$204,$O532),'支払先'!$B$5:$B$104,0),""))</f>
        <v/>
      </c>
      <c r="Q532" s="31">
        <f>IF(AND($A532&lt;&gt;"",$A532='支払通知書'!$K$2),ROW(),"")</f>
        <v/>
      </c>
    </row>
    <row r="533" ht="18" customHeight="1">
      <c r="A533" s="18" t="n"/>
      <c r="B533" s="24" t="n"/>
      <c r="C533" s="19" t="n"/>
      <c r="D533" s="25" t="n"/>
      <c r="E533" s="18" t="n"/>
      <c r="F533" s="25" t="n"/>
      <c r="G533" s="18" t="n"/>
      <c r="H533" s="18" t="n"/>
      <c r="I533" s="26">
        <f>IF(OR($A533="",$F533=""),"",ROUND(IF($D533="",1,$D533)*$F533,0))</f>
        <v/>
      </c>
      <c r="J533" s="27">
        <f>IF($A533="","",IF($O533="なし","※通知一覧にない通知No",IF($P533="","",INDEX('支払先'!$C$5:$C$104,$P533)&amp;"")))</f>
        <v/>
      </c>
      <c r="K533" s="28">
        <f>IF(NOT(ISNUMBER($O533)),"",IF(ISNUMBER(INDEX('通知一覧'!$F$5:$F$204,$O533)),INDEX('通知一覧'!$F$5:$F$204,$O533),""))</f>
        <v/>
      </c>
      <c r="L533" s="29">
        <f>IF(AND(ISNUMBER($B533),ISNUMBER($K533)),$K533-$B533+1,"")</f>
        <v/>
      </c>
      <c r="M533" s="30">
        <f>IF(OR($L533="",$P533=""),"",IF(INDEX('支払先'!$M$5:$M$104,$P533)="対象外","",IF(AND($L533&gt;60,$K533&gt;=EDATE($B533,2)),"超える","")))</f>
        <v/>
      </c>
      <c r="N533" s="67" t="n"/>
      <c r="O533" s="31">
        <f>IF($A533="","",IFERROR(MATCH($A533,'通知一覧'!$B$5:$B$204,0),"なし"))</f>
        <v/>
      </c>
      <c r="P533" s="31">
        <f>IF(NOT(ISNUMBER($O533)),"",IFERROR(MATCH(INDEX('通知一覧'!$C$5:$C$204,$O533),'支払先'!$B$5:$B$104,0),""))</f>
        <v/>
      </c>
      <c r="Q533" s="31">
        <f>IF(AND($A533&lt;&gt;"",$A533='支払通知書'!$K$2),ROW(),"")</f>
        <v/>
      </c>
    </row>
    <row r="534" ht="18" customHeight="1">
      <c r="A534" s="18" t="n"/>
      <c r="B534" s="24" t="n"/>
      <c r="C534" s="19" t="n"/>
      <c r="D534" s="25" t="n"/>
      <c r="E534" s="18" t="n"/>
      <c r="F534" s="25" t="n"/>
      <c r="G534" s="18" t="n"/>
      <c r="H534" s="18" t="n"/>
      <c r="I534" s="26">
        <f>IF(OR($A534="",$F534=""),"",ROUND(IF($D534="",1,$D534)*$F534,0))</f>
        <v/>
      </c>
      <c r="J534" s="27">
        <f>IF($A534="","",IF($O534="なし","※通知一覧にない通知No",IF($P534="","",INDEX('支払先'!$C$5:$C$104,$P534)&amp;"")))</f>
        <v/>
      </c>
      <c r="K534" s="28">
        <f>IF(NOT(ISNUMBER($O534)),"",IF(ISNUMBER(INDEX('通知一覧'!$F$5:$F$204,$O534)),INDEX('通知一覧'!$F$5:$F$204,$O534),""))</f>
        <v/>
      </c>
      <c r="L534" s="29">
        <f>IF(AND(ISNUMBER($B534),ISNUMBER($K534)),$K534-$B534+1,"")</f>
        <v/>
      </c>
      <c r="M534" s="30">
        <f>IF(OR($L534="",$P534=""),"",IF(INDEX('支払先'!$M$5:$M$104,$P534)="対象外","",IF(AND($L534&gt;60,$K534&gt;=EDATE($B534,2)),"超える","")))</f>
        <v/>
      </c>
      <c r="N534" s="67" t="n"/>
      <c r="O534" s="31">
        <f>IF($A534="","",IFERROR(MATCH($A534,'通知一覧'!$B$5:$B$204,0),"なし"))</f>
        <v/>
      </c>
      <c r="P534" s="31">
        <f>IF(NOT(ISNUMBER($O534)),"",IFERROR(MATCH(INDEX('通知一覧'!$C$5:$C$204,$O534),'支払先'!$B$5:$B$104,0),""))</f>
        <v/>
      </c>
      <c r="Q534" s="31">
        <f>IF(AND($A534&lt;&gt;"",$A534='支払通知書'!$K$2),ROW(),"")</f>
        <v/>
      </c>
    </row>
    <row r="535" ht="18" customHeight="1">
      <c r="A535" s="18" t="n"/>
      <c r="B535" s="24" t="n"/>
      <c r="C535" s="19" t="n"/>
      <c r="D535" s="25" t="n"/>
      <c r="E535" s="18" t="n"/>
      <c r="F535" s="25" t="n"/>
      <c r="G535" s="18" t="n"/>
      <c r="H535" s="18" t="n"/>
      <c r="I535" s="26">
        <f>IF(OR($A535="",$F535=""),"",ROUND(IF($D535="",1,$D535)*$F535,0))</f>
        <v/>
      </c>
      <c r="J535" s="27">
        <f>IF($A535="","",IF($O535="なし","※通知一覧にない通知No",IF($P535="","",INDEX('支払先'!$C$5:$C$104,$P535)&amp;"")))</f>
        <v/>
      </c>
      <c r="K535" s="28">
        <f>IF(NOT(ISNUMBER($O535)),"",IF(ISNUMBER(INDEX('通知一覧'!$F$5:$F$204,$O535)),INDEX('通知一覧'!$F$5:$F$204,$O535),""))</f>
        <v/>
      </c>
      <c r="L535" s="29">
        <f>IF(AND(ISNUMBER($B535),ISNUMBER($K535)),$K535-$B535+1,"")</f>
        <v/>
      </c>
      <c r="M535" s="30">
        <f>IF(OR($L535="",$P535=""),"",IF(INDEX('支払先'!$M$5:$M$104,$P535)="対象外","",IF(AND($L535&gt;60,$K535&gt;=EDATE($B535,2)),"超える","")))</f>
        <v/>
      </c>
      <c r="N535" s="67" t="n"/>
      <c r="O535" s="31">
        <f>IF($A535="","",IFERROR(MATCH($A535,'通知一覧'!$B$5:$B$204,0),"なし"))</f>
        <v/>
      </c>
      <c r="P535" s="31">
        <f>IF(NOT(ISNUMBER($O535)),"",IFERROR(MATCH(INDEX('通知一覧'!$C$5:$C$204,$O535),'支払先'!$B$5:$B$104,0),""))</f>
        <v/>
      </c>
      <c r="Q535" s="31">
        <f>IF(AND($A535&lt;&gt;"",$A535='支払通知書'!$K$2),ROW(),"")</f>
        <v/>
      </c>
    </row>
    <row r="536" ht="18" customHeight="1">
      <c r="A536" s="18" t="n"/>
      <c r="B536" s="24" t="n"/>
      <c r="C536" s="19" t="n"/>
      <c r="D536" s="25" t="n"/>
      <c r="E536" s="18" t="n"/>
      <c r="F536" s="25" t="n"/>
      <c r="G536" s="18" t="n"/>
      <c r="H536" s="18" t="n"/>
      <c r="I536" s="26">
        <f>IF(OR($A536="",$F536=""),"",ROUND(IF($D536="",1,$D536)*$F536,0))</f>
        <v/>
      </c>
      <c r="J536" s="27">
        <f>IF($A536="","",IF($O536="なし","※通知一覧にない通知No",IF($P536="","",INDEX('支払先'!$C$5:$C$104,$P536)&amp;"")))</f>
        <v/>
      </c>
      <c r="K536" s="28">
        <f>IF(NOT(ISNUMBER($O536)),"",IF(ISNUMBER(INDEX('通知一覧'!$F$5:$F$204,$O536)),INDEX('通知一覧'!$F$5:$F$204,$O536),""))</f>
        <v/>
      </c>
      <c r="L536" s="29">
        <f>IF(AND(ISNUMBER($B536),ISNUMBER($K536)),$K536-$B536+1,"")</f>
        <v/>
      </c>
      <c r="M536" s="30">
        <f>IF(OR($L536="",$P536=""),"",IF(INDEX('支払先'!$M$5:$M$104,$P536)="対象外","",IF(AND($L536&gt;60,$K536&gt;=EDATE($B536,2)),"超える","")))</f>
        <v/>
      </c>
      <c r="N536" s="67" t="n"/>
      <c r="O536" s="31">
        <f>IF($A536="","",IFERROR(MATCH($A536,'通知一覧'!$B$5:$B$204,0),"なし"))</f>
        <v/>
      </c>
      <c r="P536" s="31">
        <f>IF(NOT(ISNUMBER($O536)),"",IFERROR(MATCH(INDEX('通知一覧'!$C$5:$C$204,$O536),'支払先'!$B$5:$B$104,0),""))</f>
        <v/>
      </c>
      <c r="Q536" s="31">
        <f>IF(AND($A536&lt;&gt;"",$A536='支払通知書'!$K$2),ROW(),"")</f>
        <v/>
      </c>
    </row>
    <row r="537" ht="18" customHeight="1">
      <c r="A537" s="18" t="n"/>
      <c r="B537" s="24" t="n"/>
      <c r="C537" s="19" t="n"/>
      <c r="D537" s="25" t="n"/>
      <c r="E537" s="18" t="n"/>
      <c r="F537" s="25" t="n"/>
      <c r="G537" s="18" t="n"/>
      <c r="H537" s="18" t="n"/>
      <c r="I537" s="26">
        <f>IF(OR($A537="",$F537=""),"",ROUND(IF($D537="",1,$D537)*$F537,0))</f>
        <v/>
      </c>
      <c r="J537" s="27">
        <f>IF($A537="","",IF($O537="なし","※通知一覧にない通知No",IF($P537="","",INDEX('支払先'!$C$5:$C$104,$P537)&amp;"")))</f>
        <v/>
      </c>
      <c r="K537" s="28">
        <f>IF(NOT(ISNUMBER($O537)),"",IF(ISNUMBER(INDEX('通知一覧'!$F$5:$F$204,$O537)),INDEX('通知一覧'!$F$5:$F$204,$O537),""))</f>
        <v/>
      </c>
      <c r="L537" s="29">
        <f>IF(AND(ISNUMBER($B537),ISNUMBER($K537)),$K537-$B537+1,"")</f>
        <v/>
      </c>
      <c r="M537" s="30">
        <f>IF(OR($L537="",$P537=""),"",IF(INDEX('支払先'!$M$5:$M$104,$P537)="対象外","",IF(AND($L537&gt;60,$K537&gt;=EDATE($B537,2)),"超える","")))</f>
        <v/>
      </c>
      <c r="N537" s="67" t="n"/>
      <c r="O537" s="31">
        <f>IF($A537="","",IFERROR(MATCH($A537,'通知一覧'!$B$5:$B$204,0),"なし"))</f>
        <v/>
      </c>
      <c r="P537" s="31">
        <f>IF(NOT(ISNUMBER($O537)),"",IFERROR(MATCH(INDEX('通知一覧'!$C$5:$C$204,$O537),'支払先'!$B$5:$B$104,0),""))</f>
        <v/>
      </c>
      <c r="Q537" s="31">
        <f>IF(AND($A537&lt;&gt;"",$A537='支払通知書'!$K$2),ROW(),"")</f>
        <v/>
      </c>
    </row>
    <row r="538" ht="18" customHeight="1">
      <c r="A538" s="18" t="n"/>
      <c r="B538" s="24" t="n"/>
      <c r="C538" s="19" t="n"/>
      <c r="D538" s="25" t="n"/>
      <c r="E538" s="18" t="n"/>
      <c r="F538" s="25" t="n"/>
      <c r="G538" s="18" t="n"/>
      <c r="H538" s="18" t="n"/>
      <c r="I538" s="26">
        <f>IF(OR($A538="",$F538=""),"",ROUND(IF($D538="",1,$D538)*$F538,0))</f>
        <v/>
      </c>
      <c r="J538" s="27">
        <f>IF($A538="","",IF($O538="なし","※通知一覧にない通知No",IF($P538="","",INDEX('支払先'!$C$5:$C$104,$P538)&amp;"")))</f>
        <v/>
      </c>
      <c r="K538" s="28">
        <f>IF(NOT(ISNUMBER($O538)),"",IF(ISNUMBER(INDEX('通知一覧'!$F$5:$F$204,$O538)),INDEX('通知一覧'!$F$5:$F$204,$O538),""))</f>
        <v/>
      </c>
      <c r="L538" s="29">
        <f>IF(AND(ISNUMBER($B538),ISNUMBER($K538)),$K538-$B538+1,"")</f>
        <v/>
      </c>
      <c r="M538" s="30">
        <f>IF(OR($L538="",$P538=""),"",IF(INDEX('支払先'!$M$5:$M$104,$P538)="対象外","",IF(AND($L538&gt;60,$K538&gt;=EDATE($B538,2)),"超える","")))</f>
        <v/>
      </c>
      <c r="N538" s="67" t="n"/>
      <c r="O538" s="31">
        <f>IF($A538="","",IFERROR(MATCH($A538,'通知一覧'!$B$5:$B$204,0),"なし"))</f>
        <v/>
      </c>
      <c r="P538" s="31">
        <f>IF(NOT(ISNUMBER($O538)),"",IFERROR(MATCH(INDEX('通知一覧'!$C$5:$C$204,$O538),'支払先'!$B$5:$B$104,0),""))</f>
        <v/>
      </c>
      <c r="Q538" s="31">
        <f>IF(AND($A538&lt;&gt;"",$A538='支払通知書'!$K$2),ROW(),"")</f>
        <v/>
      </c>
    </row>
    <row r="539" ht="18" customHeight="1">
      <c r="A539" s="18" t="n"/>
      <c r="B539" s="24" t="n"/>
      <c r="C539" s="19" t="n"/>
      <c r="D539" s="25" t="n"/>
      <c r="E539" s="18" t="n"/>
      <c r="F539" s="25" t="n"/>
      <c r="G539" s="18" t="n"/>
      <c r="H539" s="18" t="n"/>
      <c r="I539" s="26">
        <f>IF(OR($A539="",$F539=""),"",ROUND(IF($D539="",1,$D539)*$F539,0))</f>
        <v/>
      </c>
      <c r="J539" s="27">
        <f>IF($A539="","",IF($O539="なし","※通知一覧にない通知No",IF($P539="","",INDEX('支払先'!$C$5:$C$104,$P539)&amp;"")))</f>
        <v/>
      </c>
      <c r="K539" s="28">
        <f>IF(NOT(ISNUMBER($O539)),"",IF(ISNUMBER(INDEX('通知一覧'!$F$5:$F$204,$O539)),INDEX('通知一覧'!$F$5:$F$204,$O539),""))</f>
        <v/>
      </c>
      <c r="L539" s="29">
        <f>IF(AND(ISNUMBER($B539),ISNUMBER($K539)),$K539-$B539+1,"")</f>
        <v/>
      </c>
      <c r="M539" s="30">
        <f>IF(OR($L539="",$P539=""),"",IF(INDEX('支払先'!$M$5:$M$104,$P539)="対象外","",IF(AND($L539&gt;60,$K539&gt;=EDATE($B539,2)),"超える","")))</f>
        <v/>
      </c>
      <c r="N539" s="67" t="n"/>
      <c r="O539" s="31">
        <f>IF($A539="","",IFERROR(MATCH($A539,'通知一覧'!$B$5:$B$204,0),"なし"))</f>
        <v/>
      </c>
      <c r="P539" s="31">
        <f>IF(NOT(ISNUMBER($O539)),"",IFERROR(MATCH(INDEX('通知一覧'!$C$5:$C$204,$O539),'支払先'!$B$5:$B$104,0),""))</f>
        <v/>
      </c>
      <c r="Q539" s="31">
        <f>IF(AND($A539&lt;&gt;"",$A539='支払通知書'!$K$2),ROW(),"")</f>
        <v/>
      </c>
    </row>
    <row r="540" ht="18" customHeight="1">
      <c r="A540" s="18" t="n"/>
      <c r="B540" s="24" t="n"/>
      <c r="C540" s="19" t="n"/>
      <c r="D540" s="25" t="n"/>
      <c r="E540" s="18" t="n"/>
      <c r="F540" s="25" t="n"/>
      <c r="G540" s="18" t="n"/>
      <c r="H540" s="18" t="n"/>
      <c r="I540" s="26">
        <f>IF(OR($A540="",$F540=""),"",ROUND(IF($D540="",1,$D540)*$F540,0))</f>
        <v/>
      </c>
      <c r="J540" s="27">
        <f>IF($A540="","",IF($O540="なし","※通知一覧にない通知No",IF($P540="","",INDEX('支払先'!$C$5:$C$104,$P540)&amp;"")))</f>
        <v/>
      </c>
      <c r="K540" s="28">
        <f>IF(NOT(ISNUMBER($O540)),"",IF(ISNUMBER(INDEX('通知一覧'!$F$5:$F$204,$O540)),INDEX('通知一覧'!$F$5:$F$204,$O540),""))</f>
        <v/>
      </c>
      <c r="L540" s="29">
        <f>IF(AND(ISNUMBER($B540),ISNUMBER($K540)),$K540-$B540+1,"")</f>
        <v/>
      </c>
      <c r="M540" s="30">
        <f>IF(OR($L540="",$P540=""),"",IF(INDEX('支払先'!$M$5:$M$104,$P540)="対象外","",IF(AND($L540&gt;60,$K540&gt;=EDATE($B540,2)),"超える","")))</f>
        <v/>
      </c>
      <c r="N540" s="67" t="n"/>
      <c r="O540" s="31">
        <f>IF($A540="","",IFERROR(MATCH($A540,'通知一覧'!$B$5:$B$204,0),"なし"))</f>
        <v/>
      </c>
      <c r="P540" s="31">
        <f>IF(NOT(ISNUMBER($O540)),"",IFERROR(MATCH(INDEX('通知一覧'!$C$5:$C$204,$O540),'支払先'!$B$5:$B$104,0),""))</f>
        <v/>
      </c>
      <c r="Q540" s="31">
        <f>IF(AND($A540&lt;&gt;"",$A540='支払通知書'!$K$2),ROW(),"")</f>
        <v/>
      </c>
    </row>
    <row r="541" ht="18" customHeight="1">
      <c r="A541" s="18" t="n"/>
      <c r="B541" s="24" t="n"/>
      <c r="C541" s="19" t="n"/>
      <c r="D541" s="25" t="n"/>
      <c r="E541" s="18" t="n"/>
      <c r="F541" s="25" t="n"/>
      <c r="G541" s="18" t="n"/>
      <c r="H541" s="18" t="n"/>
      <c r="I541" s="26">
        <f>IF(OR($A541="",$F541=""),"",ROUND(IF($D541="",1,$D541)*$F541,0))</f>
        <v/>
      </c>
      <c r="J541" s="27">
        <f>IF($A541="","",IF($O541="なし","※通知一覧にない通知No",IF($P541="","",INDEX('支払先'!$C$5:$C$104,$P541)&amp;"")))</f>
        <v/>
      </c>
      <c r="K541" s="28">
        <f>IF(NOT(ISNUMBER($O541)),"",IF(ISNUMBER(INDEX('通知一覧'!$F$5:$F$204,$O541)),INDEX('通知一覧'!$F$5:$F$204,$O541),""))</f>
        <v/>
      </c>
      <c r="L541" s="29">
        <f>IF(AND(ISNUMBER($B541),ISNUMBER($K541)),$K541-$B541+1,"")</f>
        <v/>
      </c>
      <c r="M541" s="30">
        <f>IF(OR($L541="",$P541=""),"",IF(INDEX('支払先'!$M$5:$M$104,$P541)="対象外","",IF(AND($L541&gt;60,$K541&gt;=EDATE($B541,2)),"超える","")))</f>
        <v/>
      </c>
      <c r="N541" s="67" t="n"/>
      <c r="O541" s="31">
        <f>IF($A541="","",IFERROR(MATCH($A541,'通知一覧'!$B$5:$B$204,0),"なし"))</f>
        <v/>
      </c>
      <c r="P541" s="31">
        <f>IF(NOT(ISNUMBER($O541)),"",IFERROR(MATCH(INDEX('通知一覧'!$C$5:$C$204,$O541),'支払先'!$B$5:$B$104,0),""))</f>
        <v/>
      </c>
      <c r="Q541" s="31">
        <f>IF(AND($A541&lt;&gt;"",$A541='支払通知書'!$K$2),ROW(),"")</f>
        <v/>
      </c>
    </row>
    <row r="542" ht="18" customHeight="1">
      <c r="A542" s="18" t="n"/>
      <c r="B542" s="24" t="n"/>
      <c r="C542" s="19" t="n"/>
      <c r="D542" s="25" t="n"/>
      <c r="E542" s="18" t="n"/>
      <c r="F542" s="25" t="n"/>
      <c r="G542" s="18" t="n"/>
      <c r="H542" s="18" t="n"/>
      <c r="I542" s="26">
        <f>IF(OR($A542="",$F542=""),"",ROUND(IF($D542="",1,$D542)*$F542,0))</f>
        <v/>
      </c>
      <c r="J542" s="27">
        <f>IF($A542="","",IF($O542="なし","※通知一覧にない通知No",IF($P542="","",INDEX('支払先'!$C$5:$C$104,$P542)&amp;"")))</f>
        <v/>
      </c>
      <c r="K542" s="28">
        <f>IF(NOT(ISNUMBER($O542)),"",IF(ISNUMBER(INDEX('通知一覧'!$F$5:$F$204,$O542)),INDEX('通知一覧'!$F$5:$F$204,$O542),""))</f>
        <v/>
      </c>
      <c r="L542" s="29">
        <f>IF(AND(ISNUMBER($B542),ISNUMBER($K542)),$K542-$B542+1,"")</f>
        <v/>
      </c>
      <c r="M542" s="30">
        <f>IF(OR($L542="",$P542=""),"",IF(INDEX('支払先'!$M$5:$M$104,$P542)="対象外","",IF(AND($L542&gt;60,$K542&gt;=EDATE($B542,2)),"超える","")))</f>
        <v/>
      </c>
      <c r="N542" s="67" t="n"/>
      <c r="O542" s="31">
        <f>IF($A542="","",IFERROR(MATCH($A542,'通知一覧'!$B$5:$B$204,0),"なし"))</f>
        <v/>
      </c>
      <c r="P542" s="31">
        <f>IF(NOT(ISNUMBER($O542)),"",IFERROR(MATCH(INDEX('通知一覧'!$C$5:$C$204,$O542),'支払先'!$B$5:$B$104,0),""))</f>
        <v/>
      </c>
      <c r="Q542" s="31">
        <f>IF(AND($A542&lt;&gt;"",$A542='支払通知書'!$K$2),ROW(),"")</f>
        <v/>
      </c>
    </row>
    <row r="543" ht="18" customHeight="1">
      <c r="A543" s="18" t="n"/>
      <c r="B543" s="24" t="n"/>
      <c r="C543" s="19" t="n"/>
      <c r="D543" s="25" t="n"/>
      <c r="E543" s="18" t="n"/>
      <c r="F543" s="25" t="n"/>
      <c r="G543" s="18" t="n"/>
      <c r="H543" s="18" t="n"/>
      <c r="I543" s="26">
        <f>IF(OR($A543="",$F543=""),"",ROUND(IF($D543="",1,$D543)*$F543,0))</f>
        <v/>
      </c>
      <c r="J543" s="27">
        <f>IF($A543="","",IF($O543="なし","※通知一覧にない通知No",IF($P543="","",INDEX('支払先'!$C$5:$C$104,$P543)&amp;"")))</f>
        <v/>
      </c>
      <c r="K543" s="28">
        <f>IF(NOT(ISNUMBER($O543)),"",IF(ISNUMBER(INDEX('通知一覧'!$F$5:$F$204,$O543)),INDEX('通知一覧'!$F$5:$F$204,$O543),""))</f>
        <v/>
      </c>
      <c r="L543" s="29">
        <f>IF(AND(ISNUMBER($B543),ISNUMBER($K543)),$K543-$B543+1,"")</f>
        <v/>
      </c>
      <c r="M543" s="30">
        <f>IF(OR($L543="",$P543=""),"",IF(INDEX('支払先'!$M$5:$M$104,$P543)="対象外","",IF(AND($L543&gt;60,$K543&gt;=EDATE($B543,2)),"超える","")))</f>
        <v/>
      </c>
      <c r="N543" s="67" t="n"/>
      <c r="O543" s="31">
        <f>IF($A543="","",IFERROR(MATCH($A543,'通知一覧'!$B$5:$B$204,0),"なし"))</f>
        <v/>
      </c>
      <c r="P543" s="31">
        <f>IF(NOT(ISNUMBER($O543)),"",IFERROR(MATCH(INDEX('通知一覧'!$C$5:$C$204,$O543),'支払先'!$B$5:$B$104,0),""))</f>
        <v/>
      </c>
      <c r="Q543" s="31">
        <f>IF(AND($A543&lt;&gt;"",$A543='支払通知書'!$K$2),ROW(),"")</f>
        <v/>
      </c>
    </row>
    <row r="544" ht="18" customHeight="1">
      <c r="A544" s="18" t="n"/>
      <c r="B544" s="24" t="n"/>
      <c r="C544" s="19" t="n"/>
      <c r="D544" s="25" t="n"/>
      <c r="E544" s="18" t="n"/>
      <c r="F544" s="25" t="n"/>
      <c r="G544" s="18" t="n"/>
      <c r="H544" s="18" t="n"/>
      <c r="I544" s="26">
        <f>IF(OR($A544="",$F544=""),"",ROUND(IF($D544="",1,$D544)*$F544,0))</f>
        <v/>
      </c>
      <c r="J544" s="27">
        <f>IF($A544="","",IF($O544="なし","※通知一覧にない通知No",IF($P544="","",INDEX('支払先'!$C$5:$C$104,$P544)&amp;"")))</f>
        <v/>
      </c>
      <c r="K544" s="28">
        <f>IF(NOT(ISNUMBER($O544)),"",IF(ISNUMBER(INDEX('通知一覧'!$F$5:$F$204,$O544)),INDEX('通知一覧'!$F$5:$F$204,$O544),""))</f>
        <v/>
      </c>
      <c r="L544" s="29">
        <f>IF(AND(ISNUMBER($B544),ISNUMBER($K544)),$K544-$B544+1,"")</f>
        <v/>
      </c>
      <c r="M544" s="30">
        <f>IF(OR($L544="",$P544=""),"",IF(INDEX('支払先'!$M$5:$M$104,$P544)="対象外","",IF(AND($L544&gt;60,$K544&gt;=EDATE($B544,2)),"超える","")))</f>
        <v/>
      </c>
      <c r="N544" s="67" t="n"/>
      <c r="O544" s="31">
        <f>IF($A544="","",IFERROR(MATCH($A544,'通知一覧'!$B$5:$B$204,0),"なし"))</f>
        <v/>
      </c>
      <c r="P544" s="31">
        <f>IF(NOT(ISNUMBER($O544)),"",IFERROR(MATCH(INDEX('通知一覧'!$C$5:$C$204,$O544),'支払先'!$B$5:$B$104,0),""))</f>
        <v/>
      </c>
      <c r="Q544" s="31">
        <f>IF(AND($A544&lt;&gt;"",$A544='支払通知書'!$K$2),ROW(),"")</f>
        <v/>
      </c>
    </row>
    <row r="545" ht="18" customHeight="1">
      <c r="A545" s="18" t="n"/>
      <c r="B545" s="24" t="n"/>
      <c r="C545" s="19" t="n"/>
      <c r="D545" s="25" t="n"/>
      <c r="E545" s="18" t="n"/>
      <c r="F545" s="25" t="n"/>
      <c r="G545" s="18" t="n"/>
      <c r="H545" s="18" t="n"/>
      <c r="I545" s="26">
        <f>IF(OR($A545="",$F545=""),"",ROUND(IF($D545="",1,$D545)*$F545,0))</f>
        <v/>
      </c>
      <c r="J545" s="27">
        <f>IF($A545="","",IF($O545="なし","※通知一覧にない通知No",IF($P545="","",INDEX('支払先'!$C$5:$C$104,$P545)&amp;"")))</f>
        <v/>
      </c>
      <c r="K545" s="28">
        <f>IF(NOT(ISNUMBER($O545)),"",IF(ISNUMBER(INDEX('通知一覧'!$F$5:$F$204,$O545)),INDEX('通知一覧'!$F$5:$F$204,$O545),""))</f>
        <v/>
      </c>
      <c r="L545" s="29">
        <f>IF(AND(ISNUMBER($B545),ISNUMBER($K545)),$K545-$B545+1,"")</f>
        <v/>
      </c>
      <c r="M545" s="30">
        <f>IF(OR($L545="",$P545=""),"",IF(INDEX('支払先'!$M$5:$M$104,$P545)="対象外","",IF(AND($L545&gt;60,$K545&gt;=EDATE($B545,2)),"超える","")))</f>
        <v/>
      </c>
      <c r="N545" s="67" t="n"/>
      <c r="O545" s="31">
        <f>IF($A545="","",IFERROR(MATCH($A545,'通知一覧'!$B$5:$B$204,0),"なし"))</f>
        <v/>
      </c>
      <c r="P545" s="31">
        <f>IF(NOT(ISNUMBER($O545)),"",IFERROR(MATCH(INDEX('通知一覧'!$C$5:$C$204,$O545),'支払先'!$B$5:$B$104,0),""))</f>
        <v/>
      </c>
      <c r="Q545" s="31">
        <f>IF(AND($A545&lt;&gt;"",$A545='支払通知書'!$K$2),ROW(),"")</f>
        <v/>
      </c>
    </row>
    <row r="546" ht="18" customHeight="1">
      <c r="A546" s="18" t="n"/>
      <c r="B546" s="24" t="n"/>
      <c r="C546" s="19" t="n"/>
      <c r="D546" s="25" t="n"/>
      <c r="E546" s="18" t="n"/>
      <c r="F546" s="25" t="n"/>
      <c r="G546" s="18" t="n"/>
      <c r="H546" s="18" t="n"/>
      <c r="I546" s="26">
        <f>IF(OR($A546="",$F546=""),"",ROUND(IF($D546="",1,$D546)*$F546,0))</f>
        <v/>
      </c>
      <c r="J546" s="27">
        <f>IF($A546="","",IF($O546="なし","※通知一覧にない通知No",IF($P546="","",INDEX('支払先'!$C$5:$C$104,$P546)&amp;"")))</f>
        <v/>
      </c>
      <c r="K546" s="28">
        <f>IF(NOT(ISNUMBER($O546)),"",IF(ISNUMBER(INDEX('通知一覧'!$F$5:$F$204,$O546)),INDEX('通知一覧'!$F$5:$F$204,$O546),""))</f>
        <v/>
      </c>
      <c r="L546" s="29">
        <f>IF(AND(ISNUMBER($B546),ISNUMBER($K546)),$K546-$B546+1,"")</f>
        <v/>
      </c>
      <c r="M546" s="30">
        <f>IF(OR($L546="",$P546=""),"",IF(INDEX('支払先'!$M$5:$M$104,$P546)="対象外","",IF(AND($L546&gt;60,$K546&gt;=EDATE($B546,2)),"超える","")))</f>
        <v/>
      </c>
      <c r="N546" s="67" t="n"/>
      <c r="O546" s="31">
        <f>IF($A546="","",IFERROR(MATCH($A546,'通知一覧'!$B$5:$B$204,0),"なし"))</f>
        <v/>
      </c>
      <c r="P546" s="31">
        <f>IF(NOT(ISNUMBER($O546)),"",IFERROR(MATCH(INDEX('通知一覧'!$C$5:$C$204,$O546),'支払先'!$B$5:$B$104,0),""))</f>
        <v/>
      </c>
      <c r="Q546" s="31">
        <f>IF(AND($A546&lt;&gt;"",$A546='支払通知書'!$K$2),ROW(),"")</f>
        <v/>
      </c>
    </row>
    <row r="547" ht="18" customHeight="1">
      <c r="A547" s="18" t="n"/>
      <c r="B547" s="24" t="n"/>
      <c r="C547" s="19" t="n"/>
      <c r="D547" s="25" t="n"/>
      <c r="E547" s="18" t="n"/>
      <c r="F547" s="25" t="n"/>
      <c r="G547" s="18" t="n"/>
      <c r="H547" s="18" t="n"/>
      <c r="I547" s="26">
        <f>IF(OR($A547="",$F547=""),"",ROUND(IF($D547="",1,$D547)*$F547,0))</f>
        <v/>
      </c>
      <c r="J547" s="27">
        <f>IF($A547="","",IF($O547="なし","※通知一覧にない通知No",IF($P547="","",INDEX('支払先'!$C$5:$C$104,$P547)&amp;"")))</f>
        <v/>
      </c>
      <c r="K547" s="28">
        <f>IF(NOT(ISNUMBER($O547)),"",IF(ISNUMBER(INDEX('通知一覧'!$F$5:$F$204,$O547)),INDEX('通知一覧'!$F$5:$F$204,$O547),""))</f>
        <v/>
      </c>
      <c r="L547" s="29">
        <f>IF(AND(ISNUMBER($B547),ISNUMBER($K547)),$K547-$B547+1,"")</f>
        <v/>
      </c>
      <c r="M547" s="30">
        <f>IF(OR($L547="",$P547=""),"",IF(INDEX('支払先'!$M$5:$M$104,$P547)="対象外","",IF(AND($L547&gt;60,$K547&gt;=EDATE($B547,2)),"超える","")))</f>
        <v/>
      </c>
      <c r="N547" s="67" t="n"/>
      <c r="O547" s="31">
        <f>IF($A547="","",IFERROR(MATCH($A547,'通知一覧'!$B$5:$B$204,0),"なし"))</f>
        <v/>
      </c>
      <c r="P547" s="31">
        <f>IF(NOT(ISNUMBER($O547)),"",IFERROR(MATCH(INDEX('通知一覧'!$C$5:$C$204,$O547),'支払先'!$B$5:$B$104,0),""))</f>
        <v/>
      </c>
      <c r="Q547" s="31">
        <f>IF(AND($A547&lt;&gt;"",$A547='支払通知書'!$K$2),ROW(),"")</f>
        <v/>
      </c>
    </row>
    <row r="548" ht="18" customHeight="1">
      <c r="A548" s="18" t="n"/>
      <c r="B548" s="24" t="n"/>
      <c r="C548" s="19" t="n"/>
      <c r="D548" s="25" t="n"/>
      <c r="E548" s="18" t="n"/>
      <c r="F548" s="25" t="n"/>
      <c r="G548" s="18" t="n"/>
      <c r="H548" s="18" t="n"/>
      <c r="I548" s="26">
        <f>IF(OR($A548="",$F548=""),"",ROUND(IF($D548="",1,$D548)*$F548,0))</f>
        <v/>
      </c>
      <c r="J548" s="27">
        <f>IF($A548="","",IF($O548="なし","※通知一覧にない通知No",IF($P548="","",INDEX('支払先'!$C$5:$C$104,$P548)&amp;"")))</f>
        <v/>
      </c>
      <c r="K548" s="28">
        <f>IF(NOT(ISNUMBER($O548)),"",IF(ISNUMBER(INDEX('通知一覧'!$F$5:$F$204,$O548)),INDEX('通知一覧'!$F$5:$F$204,$O548),""))</f>
        <v/>
      </c>
      <c r="L548" s="29">
        <f>IF(AND(ISNUMBER($B548),ISNUMBER($K548)),$K548-$B548+1,"")</f>
        <v/>
      </c>
      <c r="M548" s="30">
        <f>IF(OR($L548="",$P548=""),"",IF(INDEX('支払先'!$M$5:$M$104,$P548)="対象外","",IF(AND($L548&gt;60,$K548&gt;=EDATE($B548,2)),"超える","")))</f>
        <v/>
      </c>
      <c r="N548" s="67" t="n"/>
      <c r="O548" s="31">
        <f>IF($A548="","",IFERROR(MATCH($A548,'通知一覧'!$B$5:$B$204,0),"なし"))</f>
        <v/>
      </c>
      <c r="P548" s="31">
        <f>IF(NOT(ISNUMBER($O548)),"",IFERROR(MATCH(INDEX('通知一覧'!$C$5:$C$204,$O548),'支払先'!$B$5:$B$104,0),""))</f>
        <v/>
      </c>
      <c r="Q548" s="31">
        <f>IF(AND($A548&lt;&gt;"",$A548='支払通知書'!$K$2),ROW(),"")</f>
        <v/>
      </c>
    </row>
    <row r="549" ht="18" customHeight="1">
      <c r="A549" s="18" t="n"/>
      <c r="B549" s="24" t="n"/>
      <c r="C549" s="19" t="n"/>
      <c r="D549" s="25" t="n"/>
      <c r="E549" s="18" t="n"/>
      <c r="F549" s="25" t="n"/>
      <c r="G549" s="18" t="n"/>
      <c r="H549" s="18" t="n"/>
      <c r="I549" s="26">
        <f>IF(OR($A549="",$F549=""),"",ROUND(IF($D549="",1,$D549)*$F549,0))</f>
        <v/>
      </c>
      <c r="J549" s="27">
        <f>IF($A549="","",IF($O549="なし","※通知一覧にない通知No",IF($P549="","",INDEX('支払先'!$C$5:$C$104,$P549)&amp;"")))</f>
        <v/>
      </c>
      <c r="K549" s="28">
        <f>IF(NOT(ISNUMBER($O549)),"",IF(ISNUMBER(INDEX('通知一覧'!$F$5:$F$204,$O549)),INDEX('通知一覧'!$F$5:$F$204,$O549),""))</f>
        <v/>
      </c>
      <c r="L549" s="29">
        <f>IF(AND(ISNUMBER($B549),ISNUMBER($K549)),$K549-$B549+1,"")</f>
        <v/>
      </c>
      <c r="M549" s="30">
        <f>IF(OR($L549="",$P549=""),"",IF(INDEX('支払先'!$M$5:$M$104,$P549)="対象外","",IF(AND($L549&gt;60,$K549&gt;=EDATE($B549,2)),"超える","")))</f>
        <v/>
      </c>
      <c r="N549" s="67" t="n"/>
      <c r="O549" s="31">
        <f>IF($A549="","",IFERROR(MATCH($A549,'通知一覧'!$B$5:$B$204,0),"なし"))</f>
        <v/>
      </c>
      <c r="P549" s="31">
        <f>IF(NOT(ISNUMBER($O549)),"",IFERROR(MATCH(INDEX('通知一覧'!$C$5:$C$204,$O549),'支払先'!$B$5:$B$104,0),""))</f>
        <v/>
      </c>
      <c r="Q549" s="31">
        <f>IF(AND($A549&lt;&gt;"",$A549='支払通知書'!$K$2),ROW(),"")</f>
        <v/>
      </c>
    </row>
    <row r="550" ht="18" customHeight="1">
      <c r="A550" s="18" t="n"/>
      <c r="B550" s="24" t="n"/>
      <c r="C550" s="19" t="n"/>
      <c r="D550" s="25" t="n"/>
      <c r="E550" s="18" t="n"/>
      <c r="F550" s="25" t="n"/>
      <c r="G550" s="18" t="n"/>
      <c r="H550" s="18" t="n"/>
      <c r="I550" s="26">
        <f>IF(OR($A550="",$F550=""),"",ROUND(IF($D550="",1,$D550)*$F550,0))</f>
        <v/>
      </c>
      <c r="J550" s="27">
        <f>IF($A550="","",IF($O550="なし","※通知一覧にない通知No",IF($P550="","",INDEX('支払先'!$C$5:$C$104,$P550)&amp;"")))</f>
        <v/>
      </c>
      <c r="K550" s="28">
        <f>IF(NOT(ISNUMBER($O550)),"",IF(ISNUMBER(INDEX('通知一覧'!$F$5:$F$204,$O550)),INDEX('通知一覧'!$F$5:$F$204,$O550),""))</f>
        <v/>
      </c>
      <c r="L550" s="29">
        <f>IF(AND(ISNUMBER($B550),ISNUMBER($K550)),$K550-$B550+1,"")</f>
        <v/>
      </c>
      <c r="M550" s="30">
        <f>IF(OR($L550="",$P550=""),"",IF(INDEX('支払先'!$M$5:$M$104,$P550)="対象外","",IF(AND($L550&gt;60,$K550&gt;=EDATE($B550,2)),"超える","")))</f>
        <v/>
      </c>
      <c r="N550" s="67" t="n"/>
      <c r="O550" s="31">
        <f>IF($A550="","",IFERROR(MATCH($A550,'通知一覧'!$B$5:$B$204,0),"なし"))</f>
        <v/>
      </c>
      <c r="P550" s="31">
        <f>IF(NOT(ISNUMBER($O550)),"",IFERROR(MATCH(INDEX('通知一覧'!$C$5:$C$204,$O550),'支払先'!$B$5:$B$104,0),""))</f>
        <v/>
      </c>
      <c r="Q550" s="31">
        <f>IF(AND($A550&lt;&gt;"",$A550='支払通知書'!$K$2),ROW(),"")</f>
        <v/>
      </c>
    </row>
    <row r="551" ht="18" customHeight="1">
      <c r="A551" s="18" t="n"/>
      <c r="B551" s="24" t="n"/>
      <c r="C551" s="19" t="n"/>
      <c r="D551" s="25" t="n"/>
      <c r="E551" s="18" t="n"/>
      <c r="F551" s="25" t="n"/>
      <c r="G551" s="18" t="n"/>
      <c r="H551" s="18" t="n"/>
      <c r="I551" s="26">
        <f>IF(OR($A551="",$F551=""),"",ROUND(IF($D551="",1,$D551)*$F551,0))</f>
        <v/>
      </c>
      <c r="J551" s="27">
        <f>IF($A551="","",IF($O551="なし","※通知一覧にない通知No",IF($P551="","",INDEX('支払先'!$C$5:$C$104,$P551)&amp;"")))</f>
        <v/>
      </c>
      <c r="K551" s="28">
        <f>IF(NOT(ISNUMBER($O551)),"",IF(ISNUMBER(INDEX('通知一覧'!$F$5:$F$204,$O551)),INDEX('通知一覧'!$F$5:$F$204,$O551),""))</f>
        <v/>
      </c>
      <c r="L551" s="29">
        <f>IF(AND(ISNUMBER($B551),ISNUMBER($K551)),$K551-$B551+1,"")</f>
        <v/>
      </c>
      <c r="M551" s="30">
        <f>IF(OR($L551="",$P551=""),"",IF(INDEX('支払先'!$M$5:$M$104,$P551)="対象外","",IF(AND($L551&gt;60,$K551&gt;=EDATE($B551,2)),"超える","")))</f>
        <v/>
      </c>
      <c r="N551" s="67" t="n"/>
      <c r="O551" s="31">
        <f>IF($A551="","",IFERROR(MATCH($A551,'通知一覧'!$B$5:$B$204,0),"なし"))</f>
        <v/>
      </c>
      <c r="P551" s="31">
        <f>IF(NOT(ISNUMBER($O551)),"",IFERROR(MATCH(INDEX('通知一覧'!$C$5:$C$204,$O551),'支払先'!$B$5:$B$104,0),""))</f>
        <v/>
      </c>
      <c r="Q551" s="31">
        <f>IF(AND($A551&lt;&gt;"",$A551='支払通知書'!$K$2),ROW(),"")</f>
        <v/>
      </c>
    </row>
    <row r="552" ht="18" customHeight="1">
      <c r="A552" s="18" t="n"/>
      <c r="B552" s="24" t="n"/>
      <c r="C552" s="19" t="n"/>
      <c r="D552" s="25" t="n"/>
      <c r="E552" s="18" t="n"/>
      <c r="F552" s="25" t="n"/>
      <c r="G552" s="18" t="n"/>
      <c r="H552" s="18" t="n"/>
      <c r="I552" s="26">
        <f>IF(OR($A552="",$F552=""),"",ROUND(IF($D552="",1,$D552)*$F552,0))</f>
        <v/>
      </c>
      <c r="J552" s="27">
        <f>IF($A552="","",IF($O552="なし","※通知一覧にない通知No",IF($P552="","",INDEX('支払先'!$C$5:$C$104,$P552)&amp;"")))</f>
        <v/>
      </c>
      <c r="K552" s="28">
        <f>IF(NOT(ISNUMBER($O552)),"",IF(ISNUMBER(INDEX('通知一覧'!$F$5:$F$204,$O552)),INDEX('通知一覧'!$F$5:$F$204,$O552),""))</f>
        <v/>
      </c>
      <c r="L552" s="29">
        <f>IF(AND(ISNUMBER($B552),ISNUMBER($K552)),$K552-$B552+1,"")</f>
        <v/>
      </c>
      <c r="M552" s="30">
        <f>IF(OR($L552="",$P552=""),"",IF(INDEX('支払先'!$M$5:$M$104,$P552)="対象外","",IF(AND($L552&gt;60,$K552&gt;=EDATE($B552,2)),"超える","")))</f>
        <v/>
      </c>
      <c r="N552" s="67" t="n"/>
      <c r="O552" s="31">
        <f>IF($A552="","",IFERROR(MATCH($A552,'通知一覧'!$B$5:$B$204,0),"なし"))</f>
        <v/>
      </c>
      <c r="P552" s="31">
        <f>IF(NOT(ISNUMBER($O552)),"",IFERROR(MATCH(INDEX('通知一覧'!$C$5:$C$204,$O552),'支払先'!$B$5:$B$104,0),""))</f>
        <v/>
      </c>
      <c r="Q552" s="31">
        <f>IF(AND($A552&lt;&gt;"",$A552='支払通知書'!$K$2),ROW(),"")</f>
        <v/>
      </c>
    </row>
    <row r="553" ht="18" customHeight="1">
      <c r="A553" s="18" t="n"/>
      <c r="B553" s="24" t="n"/>
      <c r="C553" s="19" t="n"/>
      <c r="D553" s="25" t="n"/>
      <c r="E553" s="18" t="n"/>
      <c r="F553" s="25" t="n"/>
      <c r="G553" s="18" t="n"/>
      <c r="H553" s="18" t="n"/>
      <c r="I553" s="26">
        <f>IF(OR($A553="",$F553=""),"",ROUND(IF($D553="",1,$D553)*$F553,0))</f>
        <v/>
      </c>
      <c r="J553" s="27">
        <f>IF($A553="","",IF($O553="なし","※通知一覧にない通知No",IF($P553="","",INDEX('支払先'!$C$5:$C$104,$P553)&amp;"")))</f>
        <v/>
      </c>
      <c r="K553" s="28">
        <f>IF(NOT(ISNUMBER($O553)),"",IF(ISNUMBER(INDEX('通知一覧'!$F$5:$F$204,$O553)),INDEX('通知一覧'!$F$5:$F$204,$O553),""))</f>
        <v/>
      </c>
      <c r="L553" s="29">
        <f>IF(AND(ISNUMBER($B553),ISNUMBER($K553)),$K553-$B553+1,"")</f>
        <v/>
      </c>
      <c r="M553" s="30">
        <f>IF(OR($L553="",$P553=""),"",IF(INDEX('支払先'!$M$5:$M$104,$P553)="対象外","",IF(AND($L553&gt;60,$K553&gt;=EDATE($B553,2)),"超える","")))</f>
        <v/>
      </c>
      <c r="N553" s="67" t="n"/>
      <c r="O553" s="31">
        <f>IF($A553="","",IFERROR(MATCH($A553,'通知一覧'!$B$5:$B$204,0),"なし"))</f>
        <v/>
      </c>
      <c r="P553" s="31">
        <f>IF(NOT(ISNUMBER($O553)),"",IFERROR(MATCH(INDEX('通知一覧'!$C$5:$C$204,$O553),'支払先'!$B$5:$B$104,0),""))</f>
        <v/>
      </c>
      <c r="Q553" s="31">
        <f>IF(AND($A553&lt;&gt;"",$A553='支払通知書'!$K$2),ROW(),"")</f>
        <v/>
      </c>
    </row>
    <row r="554" ht="18" customHeight="1">
      <c r="A554" s="18" t="n"/>
      <c r="B554" s="24" t="n"/>
      <c r="C554" s="19" t="n"/>
      <c r="D554" s="25" t="n"/>
      <c r="E554" s="18" t="n"/>
      <c r="F554" s="25" t="n"/>
      <c r="G554" s="18" t="n"/>
      <c r="H554" s="18" t="n"/>
      <c r="I554" s="26">
        <f>IF(OR($A554="",$F554=""),"",ROUND(IF($D554="",1,$D554)*$F554,0))</f>
        <v/>
      </c>
      <c r="J554" s="27">
        <f>IF($A554="","",IF($O554="なし","※通知一覧にない通知No",IF($P554="","",INDEX('支払先'!$C$5:$C$104,$P554)&amp;"")))</f>
        <v/>
      </c>
      <c r="K554" s="28">
        <f>IF(NOT(ISNUMBER($O554)),"",IF(ISNUMBER(INDEX('通知一覧'!$F$5:$F$204,$O554)),INDEX('通知一覧'!$F$5:$F$204,$O554),""))</f>
        <v/>
      </c>
      <c r="L554" s="29">
        <f>IF(AND(ISNUMBER($B554),ISNUMBER($K554)),$K554-$B554+1,"")</f>
        <v/>
      </c>
      <c r="M554" s="30">
        <f>IF(OR($L554="",$P554=""),"",IF(INDEX('支払先'!$M$5:$M$104,$P554)="対象外","",IF(AND($L554&gt;60,$K554&gt;=EDATE($B554,2)),"超える","")))</f>
        <v/>
      </c>
      <c r="N554" s="67" t="n"/>
      <c r="O554" s="31">
        <f>IF($A554="","",IFERROR(MATCH($A554,'通知一覧'!$B$5:$B$204,0),"なし"))</f>
        <v/>
      </c>
      <c r="P554" s="31">
        <f>IF(NOT(ISNUMBER($O554)),"",IFERROR(MATCH(INDEX('通知一覧'!$C$5:$C$204,$O554),'支払先'!$B$5:$B$104,0),""))</f>
        <v/>
      </c>
      <c r="Q554" s="31">
        <f>IF(AND($A554&lt;&gt;"",$A554='支払通知書'!$K$2),ROW(),"")</f>
        <v/>
      </c>
    </row>
    <row r="555" ht="18" customHeight="1">
      <c r="A555" s="18" t="n"/>
      <c r="B555" s="24" t="n"/>
      <c r="C555" s="19" t="n"/>
      <c r="D555" s="25" t="n"/>
      <c r="E555" s="18" t="n"/>
      <c r="F555" s="25" t="n"/>
      <c r="G555" s="18" t="n"/>
      <c r="H555" s="18" t="n"/>
      <c r="I555" s="26">
        <f>IF(OR($A555="",$F555=""),"",ROUND(IF($D555="",1,$D555)*$F555,0))</f>
        <v/>
      </c>
      <c r="J555" s="27">
        <f>IF($A555="","",IF($O555="なし","※通知一覧にない通知No",IF($P555="","",INDEX('支払先'!$C$5:$C$104,$P555)&amp;"")))</f>
        <v/>
      </c>
      <c r="K555" s="28">
        <f>IF(NOT(ISNUMBER($O555)),"",IF(ISNUMBER(INDEX('通知一覧'!$F$5:$F$204,$O555)),INDEX('通知一覧'!$F$5:$F$204,$O555),""))</f>
        <v/>
      </c>
      <c r="L555" s="29">
        <f>IF(AND(ISNUMBER($B555),ISNUMBER($K555)),$K555-$B555+1,"")</f>
        <v/>
      </c>
      <c r="M555" s="30">
        <f>IF(OR($L555="",$P555=""),"",IF(INDEX('支払先'!$M$5:$M$104,$P555)="対象外","",IF(AND($L555&gt;60,$K555&gt;=EDATE($B555,2)),"超える","")))</f>
        <v/>
      </c>
      <c r="N555" s="67" t="n"/>
      <c r="O555" s="31">
        <f>IF($A555="","",IFERROR(MATCH($A555,'通知一覧'!$B$5:$B$204,0),"なし"))</f>
        <v/>
      </c>
      <c r="P555" s="31">
        <f>IF(NOT(ISNUMBER($O555)),"",IFERROR(MATCH(INDEX('通知一覧'!$C$5:$C$204,$O555),'支払先'!$B$5:$B$104,0),""))</f>
        <v/>
      </c>
      <c r="Q555" s="31">
        <f>IF(AND($A555&lt;&gt;"",$A555='支払通知書'!$K$2),ROW(),"")</f>
        <v/>
      </c>
    </row>
    <row r="556" ht="18" customHeight="1">
      <c r="A556" s="18" t="n"/>
      <c r="B556" s="24" t="n"/>
      <c r="C556" s="19" t="n"/>
      <c r="D556" s="25" t="n"/>
      <c r="E556" s="18" t="n"/>
      <c r="F556" s="25" t="n"/>
      <c r="G556" s="18" t="n"/>
      <c r="H556" s="18" t="n"/>
      <c r="I556" s="26">
        <f>IF(OR($A556="",$F556=""),"",ROUND(IF($D556="",1,$D556)*$F556,0))</f>
        <v/>
      </c>
      <c r="J556" s="27">
        <f>IF($A556="","",IF($O556="なし","※通知一覧にない通知No",IF($P556="","",INDEX('支払先'!$C$5:$C$104,$P556)&amp;"")))</f>
        <v/>
      </c>
      <c r="K556" s="28">
        <f>IF(NOT(ISNUMBER($O556)),"",IF(ISNUMBER(INDEX('通知一覧'!$F$5:$F$204,$O556)),INDEX('通知一覧'!$F$5:$F$204,$O556),""))</f>
        <v/>
      </c>
      <c r="L556" s="29">
        <f>IF(AND(ISNUMBER($B556),ISNUMBER($K556)),$K556-$B556+1,"")</f>
        <v/>
      </c>
      <c r="M556" s="30">
        <f>IF(OR($L556="",$P556=""),"",IF(INDEX('支払先'!$M$5:$M$104,$P556)="対象外","",IF(AND($L556&gt;60,$K556&gt;=EDATE($B556,2)),"超える","")))</f>
        <v/>
      </c>
      <c r="N556" s="67" t="n"/>
      <c r="O556" s="31">
        <f>IF($A556="","",IFERROR(MATCH($A556,'通知一覧'!$B$5:$B$204,0),"なし"))</f>
        <v/>
      </c>
      <c r="P556" s="31">
        <f>IF(NOT(ISNUMBER($O556)),"",IFERROR(MATCH(INDEX('通知一覧'!$C$5:$C$204,$O556),'支払先'!$B$5:$B$104,0),""))</f>
        <v/>
      </c>
      <c r="Q556" s="31">
        <f>IF(AND($A556&lt;&gt;"",$A556='支払通知書'!$K$2),ROW(),"")</f>
        <v/>
      </c>
    </row>
    <row r="557" ht="18" customHeight="1">
      <c r="A557" s="18" t="n"/>
      <c r="B557" s="24" t="n"/>
      <c r="C557" s="19" t="n"/>
      <c r="D557" s="25" t="n"/>
      <c r="E557" s="18" t="n"/>
      <c r="F557" s="25" t="n"/>
      <c r="G557" s="18" t="n"/>
      <c r="H557" s="18" t="n"/>
      <c r="I557" s="26">
        <f>IF(OR($A557="",$F557=""),"",ROUND(IF($D557="",1,$D557)*$F557,0))</f>
        <v/>
      </c>
      <c r="J557" s="27">
        <f>IF($A557="","",IF($O557="なし","※通知一覧にない通知No",IF($P557="","",INDEX('支払先'!$C$5:$C$104,$P557)&amp;"")))</f>
        <v/>
      </c>
      <c r="K557" s="28">
        <f>IF(NOT(ISNUMBER($O557)),"",IF(ISNUMBER(INDEX('通知一覧'!$F$5:$F$204,$O557)),INDEX('通知一覧'!$F$5:$F$204,$O557),""))</f>
        <v/>
      </c>
      <c r="L557" s="29">
        <f>IF(AND(ISNUMBER($B557),ISNUMBER($K557)),$K557-$B557+1,"")</f>
        <v/>
      </c>
      <c r="M557" s="30">
        <f>IF(OR($L557="",$P557=""),"",IF(INDEX('支払先'!$M$5:$M$104,$P557)="対象外","",IF(AND($L557&gt;60,$K557&gt;=EDATE($B557,2)),"超える","")))</f>
        <v/>
      </c>
      <c r="N557" s="67" t="n"/>
      <c r="O557" s="31">
        <f>IF($A557="","",IFERROR(MATCH($A557,'通知一覧'!$B$5:$B$204,0),"なし"))</f>
        <v/>
      </c>
      <c r="P557" s="31">
        <f>IF(NOT(ISNUMBER($O557)),"",IFERROR(MATCH(INDEX('通知一覧'!$C$5:$C$204,$O557),'支払先'!$B$5:$B$104,0),""))</f>
        <v/>
      </c>
      <c r="Q557" s="31">
        <f>IF(AND($A557&lt;&gt;"",$A557='支払通知書'!$K$2),ROW(),"")</f>
        <v/>
      </c>
    </row>
    <row r="558" ht="18" customHeight="1">
      <c r="A558" s="18" t="n"/>
      <c r="B558" s="24" t="n"/>
      <c r="C558" s="19" t="n"/>
      <c r="D558" s="25" t="n"/>
      <c r="E558" s="18" t="n"/>
      <c r="F558" s="25" t="n"/>
      <c r="G558" s="18" t="n"/>
      <c r="H558" s="18" t="n"/>
      <c r="I558" s="26">
        <f>IF(OR($A558="",$F558=""),"",ROUND(IF($D558="",1,$D558)*$F558,0))</f>
        <v/>
      </c>
      <c r="J558" s="27">
        <f>IF($A558="","",IF($O558="なし","※通知一覧にない通知No",IF($P558="","",INDEX('支払先'!$C$5:$C$104,$P558)&amp;"")))</f>
        <v/>
      </c>
      <c r="K558" s="28">
        <f>IF(NOT(ISNUMBER($O558)),"",IF(ISNUMBER(INDEX('通知一覧'!$F$5:$F$204,$O558)),INDEX('通知一覧'!$F$5:$F$204,$O558),""))</f>
        <v/>
      </c>
      <c r="L558" s="29">
        <f>IF(AND(ISNUMBER($B558),ISNUMBER($K558)),$K558-$B558+1,"")</f>
        <v/>
      </c>
      <c r="M558" s="30">
        <f>IF(OR($L558="",$P558=""),"",IF(INDEX('支払先'!$M$5:$M$104,$P558)="対象外","",IF(AND($L558&gt;60,$K558&gt;=EDATE($B558,2)),"超える","")))</f>
        <v/>
      </c>
      <c r="N558" s="67" t="n"/>
      <c r="O558" s="31">
        <f>IF($A558="","",IFERROR(MATCH($A558,'通知一覧'!$B$5:$B$204,0),"なし"))</f>
        <v/>
      </c>
      <c r="P558" s="31">
        <f>IF(NOT(ISNUMBER($O558)),"",IFERROR(MATCH(INDEX('通知一覧'!$C$5:$C$204,$O558),'支払先'!$B$5:$B$104,0),""))</f>
        <v/>
      </c>
      <c r="Q558" s="31">
        <f>IF(AND($A558&lt;&gt;"",$A558='支払通知書'!$K$2),ROW(),"")</f>
        <v/>
      </c>
    </row>
    <row r="559" ht="18" customHeight="1">
      <c r="A559" s="18" t="n"/>
      <c r="B559" s="24" t="n"/>
      <c r="C559" s="19" t="n"/>
      <c r="D559" s="25" t="n"/>
      <c r="E559" s="18" t="n"/>
      <c r="F559" s="25" t="n"/>
      <c r="G559" s="18" t="n"/>
      <c r="H559" s="18" t="n"/>
      <c r="I559" s="26">
        <f>IF(OR($A559="",$F559=""),"",ROUND(IF($D559="",1,$D559)*$F559,0))</f>
        <v/>
      </c>
      <c r="J559" s="27">
        <f>IF($A559="","",IF($O559="なし","※通知一覧にない通知No",IF($P559="","",INDEX('支払先'!$C$5:$C$104,$P559)&amp;"")))</f>
        <v/>
      </c>
      <c r="K559" s="28">
        <f>IF(NOT(ISNUMBER($O559)),"",IF(ISNUMBER(INDEX('通知一覧'!$F$5:$F$204,$O559)),INDEX('通知一覧'!$F$5:$F$204,$O559),""))</f>
        <v/>
      </c>
      <c r="L559" s="29">
        <f>IF(AND(ISNUMBER($B559),ISNUMBER($K559)),$K559-$B559+1,"")</f>
        <v/>
      </c>
      <c r="M559" s="30">
        <f>IF(OR($L559="",$P559=""),"",IF(INDEX('支払先'!$M$5:$M$104,$P559)="対象外","",IF(AND($L559&gt;60,$K559&gt;=EDATE($B559,2)),"超える","")))</f>
        <v/>
      </c>
      <c r="N559" s="67" t="n"/>
      <c r="O559" s="31">
        <f>IF($A559="","",IFERROR(MATCH($A559,'通知一覧'!$B$5:$B$204,0),"なし"))</f>
        <v/>
      </c>
      <c r="P559" s="31">
        <f>IF(NOT(ISNUMBER($O559)),"",IFERROR(MATCH(INDEX('通知一覧'!$C$5:$C$204,$O559),'支払先'!$B$5:$B$104,0),""))</f>
        <v/>
      </c>
      <c r="Q559" s="31">
        <f>IF(AND($A559&lt;&gt;"",$A559='支払通知書'!$K$2),ROW(),"")</f>
        <v/>
      </c>
    </row>
    <row r="560" ht="18" customHeight="1">
      <c r="A560" s="18" t="n"/>
      <c r="B560" s="24" t="n"/>
      <c r="C560" s="19" t="n"/>
      <c r="D560" s="25" t="n"/>
      <c r="E560" s="18" t="n"/>
      <c r="F560" s="25" t="n"/>
      <c r="G560" s="18" t="n"/>
      <c r="H560" s="18" t="n"/>
      <c r="I560" s="26">
        <f>IF(OR($A560="",$F560=""),"",ROUND(IF($D560="",1,$D560)*$F560,0))</f>
        <v/>
      </c>
      <c r="J560" s="27">
        <f>IF($A560="","",IF($O560="なし","※通知一覧にない通知No",IF($P560="","",INDEX('支払先'!$C$5:$C$104,$P560)&amp;"")))</f>
        <v/>
      </c>
      <c r="K560" s="28">
        <f>IF(NOT(ISNUMBER($O560)),"",IF(ISNUMBER(INDEX('通知一覧'!$F$5:$F$204,$O560)),INDEX('通知一覧'!$F$5:$F$204,$O560),""))</f>
        <v/>
      </c>
      <c r="L560" s="29">
        <f>IF(AND(ISNUMBER($B560),ISNUMBER($K560)),$K560-$B560+1,"")</f>
        <v/>
      </c>
      <c r="M560" s="30">
        <f>IF(OR($L560="",$P560=""),"",IF(INDEX('支払先'!$M$5:$M$104,$P560)="対象外","",IF(AND($L560&gt;60,$K560&gt;=EDATE($B560,2)),"超える","")))</f>
        <v/>
      </c>
      <c r="N560" s="67" t="n"/>
      <c r="O560" s="31">
        <f>IF($A560="","",IFERROR(MATCH($A560,'通知一覧'!$B$5:$B$204,0),"なし"))</f>
        <v/>
      </c>
      <c r="P560" s="31">
        <f>IF(NOT(ISNUMBER($O560)),"",IFERROR(MATCH(INDEX('通知一覧'!$C$5:$C$204,$O560),'支払先'!$B$5:$B$104,0),""))</f>
        <v/>
      </c>
      <c r="Q560" s="31">
        <f>IF(AND($A560&lt;&gt;"",$A560='支払通知書'!$K$2),ROW(),"")</f>
        <v/>
      </c>
    </row>
    <row r="561" ht="18" customHeight="1">
      <c r="A561" s="18" t="n"/>
      <c r="B561" s="24" t="n"/>
      <c r="C561" s="19" t="n"/>
      <c r="D561" s="25" t="n"/>
      <c r="E561" s="18" t="n"/>
      <c r="F561" s="25" t="n"/>
      <c r="G561" s="18" t="n"/>
      <c r="H561" s="18" t="n"/>
      <c r="I561" s="26">
        <f>IF(OR($A561="",$F561=""),"",ROUND(IF($D561="",1,$D561)*$F561,0))</f>
        <v/>
      </c>
      <c r="J561" s="27">
        <f>IF($A561="","",IF($O561="なし","※通知一覧にない通知No",IF($P561="","",INDEX('支払先'!$C$5:$C$104,$P561)&amp;"")))</f>
        <v/>
      </c>
      <c r="K561" s="28">
        <f>IF(NOT(ISNUMBER($O561)),"",IF(ISNUMBER(INDEX('通知一覧'!$F$5:$F$204,$O561)),INDEX('通知一覧'!$F$5:$F$204,$O561),""))</f>
        <v/>
      </c>
      <c r="L561" s="29">
        <f>IF(AND(ISNUMBER($B561),ISNUMBER($K561)),$K561-$B561+1,"")</f>
        <v/>
      </c>
      <c r="M561" s="30">
        <f>IF(OR($L561="",$P561=""),"",IF(INDEX('支払先'!$M$5:$M$104,$P561)="対象外","",IF(AND($L561&gt;60,$K561&gt;=EDATE($B561,2)),"超える","")))</f>
        <v/>
      </c>
      <c r="N561" s="67" t="n"/>
      <c r="O561" s="31">
        <f>IF($A561="","",IFERROR(MATCH($A561,'通知一覧'!$B$5:$B$204,0),"なし"))</f>
        <v/>
      </c>
      <c r="P561" s="31">
        <f>IF(NOT(ISNUMBER($O561)),"",IFERROR(MATCH(INDEX('通知一覧'!$C$5:$C$204,$O561),'支払先'!$B$5:$B$104,0),""))</f>
        <v/>
      </c>
      <c r="Q561" s="31">
        <f>IF(AND($A561&lt;&gt;"",$A561='支払通知書'!$K$2),ROW(),"")</f>
        <v/>
      </c>
    </row>
    <row r="562" ht="18" customHeight="1">
      <c r="A562" s="18" t="n"/>
      <c r="B562" s="24" t="n"/>
      <c r="C562" s="19" t="n"/>
      <c r="D562" s="25" t="n"/>
      <c r="E562" s="18" t="n"/>
      <c r="F562" s="25" t="n"/>
      <c r="G562" s="18" t="n"/>
      <c r="H562" s="18" t="n"/>
      <c r="I562" s="26">
        <f>IF(OR($A562="",$F562=""),"",ROUND(IF($D562="",1,$D562)*$F562,0))</f>
        <v/>
      </c>
      <c r="J562" s="27">
        <f>IF($A562="","",IF($O562="なし","※通知一覧にない通知No",IF($P562="","",INDEX('支払先'!$C$5:$C$104,$P562)&amp;"")))</f>
        <v/>
      </c>
      <c r="K562" s="28">
        <f>IF(NOT(ISNUMBER($O562)),"",IF(ISNUMBER(INDEX('通知一覧'!$F$5:$F$204,$O562)),INDEX('通知一覧'!$F$5:$F$204,$O562),""))</f>
        <v/>
      </c>
      <c r="L562" s="29">
        <f>IF(AND(ISNUMBER($B562),ISNUMBER($K562)),$K562-$B562+1,"")</f>
        <v/>
      </c>
      <c r="M562" s="30">
        <f>IF(OR($L562="",$P562=""),"",IF(INDEX('支払先'!$M$5:$M$104,$P562)="対象外","",IF(AND($L562&gt;60,$K562&gt;=EDATE($B562,2)),"超える","")))</f>
        <v/>
      </c>
      <c r="N562" s="67" t="n"/>
      <c r="O562" s="31">
        <f>IF($A562="","",IFERROR(MATCH($A562,'通知一覧'!$B$5:$B$204,0),"なし"))</f>
        <v/>
      </c>
      <c r="P562" s="31">
        <f>IF(NOT(ISNUMBER($O562)),"",IFERROR(MATCH(INDEX('通知一覧'!$C$5:$C$204,$O562),'支払先'!$B$5:$B$104,0),""))</f>
        <v/>
      </c>
      <c r="Q562" s="31">
        <f>IF(AND($A562&lt;&gt;"",$A562='支払通知書'!$K$2),ROW(),"")</f>
        <v/>
      </c>
    </row>
    <row r="563" ht="18" customHeight="1">
      <c r="A563" s="18" t="n"/>
      <c r="B563" s="24" t="n"/>
      <c r="C563" s="19" t="n"/>
      <c r="D563" s="25" t="n"/>
      <c r="E563" s="18" t="n"/>
      <c r="F563" s="25" t="n"/>
      <c r="G563" s="18" t="n"/>
      <c r="H563" s="18" t="n"/>
      <c r="I563" s="26">
        <f>IF(OR($A563="",$F563=""),"",ROUND(IF($D563="",1,$D563)*$F563,0))</f>
        <v/>
      </c>
      <c r="J563" s="27">
        <f>IF($A563="","",IF($O563="なし","※通知一覧にない通知No",IF($P563="","",INDEX('支払先'!$C$5:$C$104,$P563)&amp;"")))</f>
        <v/>
      </c>
      <c r="K563" s="28">
        <f>IF(NOT(ISNUMBER($O563)),"",IF(ISNUMBER(INDEX('通知一覧'!$F$5:$F$204,$O563)),INDEX('通知一覧'!$F$5:$F$204,$O563),""))</f>
        <v/>
      </c>
      <c r="L563" s="29">
        <f>IF(AND(ISNUMBER($B563),ISNUMBER($K563)),$K563-$B563+1,"")</f>
        <v/>
      </c>
      <c r="M563" s="30">
        <f>IF(OR($L563="",$P563=""),"",IF(INDEX('支払先'!$M$5:$M$104,$P563)="対象外","",IF(AND($L563&gt;60,$K563&gt;=EDATE($B563,2)),"超える","")))</f>
        <v/>
      </c>
      <c r="N563" s="67" t="n"/>
      <c r="O563" s="31">
        <f>IF($A563="","",IFERROR(MATCH($A563,'通知一覧'!$B$5:$B$204,0),"なし"))</f>
        <v/>
      </c>
      <c r="P563" s="31">
        <f>IF(NOT(ISNUMBER($O563)),"",IFERROR(MATCH(INDEX('通知一覧'!$C$5:$C$204,$O563),'支払先'!$B$5:$B$104,0),""))</f>
        <v/>
      </c>
      <c r="Q563" s="31">
        <f>IF(AND($A563&lt;&gt;"",$A563='支払通知書'!$K$2),ROW(),"")</f>
        <v/>
      </c>
    </row>
    <row r="564" ht="18" customHeight="1">
      <c r="A564" s="18" t="n"/>
      <c r="B564" s="24" t="n"/>
      <c r="C564" s="19" t="n"/>
      <c r="D564" s="25" t="n"/>
      <c r="E564" s="18" t="n"/>
      <c r="F564" s="25" t="n"/>
      <c r="G564" s="18" t="n"/>
      <c r="H564" s="18" t="n"/>
      <c r="I564" s="26">
        <f>IF(OR($A564="",$F564=""),"",ROUND(IF($D564="",1,$D564)*$F564,0))</f>
        <v/>
      </c>
      <c r="J564" s="27">
        <f>IF($A564="","",IF($O564="なし","※通知一覧にない通知No",IF($P564="","",INDEX('支払先'!$C$5:$C$104,$P564)&amp;"")))</f>
        <v/>
      </c>
      <c r="K564" s="28">
        <f>IF(NOT(ISNUMBER($O564)),"",IF(ISNUMBER(INDEX('通知一覧'!$F$5:$F$204,$O564)),INDEX('通知一覧'!$F$5:$F$204,$O564),""))</f>
        <v/>
      </c>
      <c r="L564" s="29">
        <f>IF(AND(ISNUMBER($B564),ISNUMBER($K564)),$K564-$B564+1,"")</f>
        <v/>
      </c>
      <c r="M564" s="30">
        <f>IF(OR($L564="",$P564=""),"",IF(INDEX('支払先'!$M$5:$M$104,$P564)="対象外","",IF(AND($L564&gt;60,$K564&gt;=EDATE($B564,2)),"超える","")))</f>
        <v/>
      </c>
      <c r="N564" s="67" t="n"/>
      <c r="O564" s="31">
        <f>IF($A564="","",IFERROR(MATCH($A564,'通知一覧'!$B$5:$B$204,0),"なし"))</f>
        <v/>
      </c>
      <c r="P564" s="31">
        <f>IF(NOT(ISNUMBER($O564)),"",IFERROR(MATCH(INDEX('通知一覧'!$C$5:$C$204,$O564),'支払先'!$B$5:$B$104,0),""))</f>
        <v/>
      </c>
      <c r="Q564" s="31">
        <f>IF(AND($A564&lt;&gt;"",$A564='支払通知書'!$K$2),ROW(),"")</f>
        <v/>
      </c>
    </row>
    <row r="565" ht="18" customHeight="1">
      <c r="A565" s="18" t="n"/>
      <c r="B565" s="24" t="n"/>
      <c r="C565" s="19" t="n"/>
      <c r="D565" s="25" t="n"/>
      <c r="E565" s="18" t="n"/>
      <c r="F565" s="25" t="n"/>
      <c r="G565" s="18" t="n"/>
      <c r="H565" s="18" t="n"/>
      <c r="I565" s="26">
        <f>IF(OR($A565="",$F565=""),"",ROUND(IF($D565="",1,$D565)*$F565,0))</f>
        <v/>
      </c>
      <c r="J565" s="27">
        <f>IF($A565="","",IF($O565="なし","※通知一覧にない通知No",IF($P565="","",INDEX('支払先'!$C$5:$C$104,$P565)&amp;"")))</f>
        <v/>
      </c>
      <c r="K565" s="28">
        <f>IF(NOT(ISNUMBER($O565)),"",IF(ISNUMBER(INDEX('通知一覧'!$F$5:$F$204,$O565)),INDEX('通知一覧'!$F$5:$F$204,$O565),""))</f>
        <v/>
      </c>
      <c r="L565" s="29">
        <f>IF(AND(ISNUMBER($B565),ISNUMBER($K565)),$K565-$B565+1,"")</f>
        <v/>
      </c>
      <c r="M565" s="30">
        <f>IF(OR($L565="",$P565=""),"",IF(INDEX('支払先'!$M$5:$M$104,$P565)="対象外","",IF(AND($L565&gt;60,$K565&gt;=EDATE($B565,2)),"超える","")))</f>
        <v/>
      </c>
      <c r="N565" s="67" t="n"/>
      <c r="O565" s="31">
        <f>IF($A565="","",IFERROR(MATCH($A565,'通知一覧'!$B$5:$B$204,0),"なし"))</f>
        <v/>
      </c>
      <c r="P565" s="31">
        <f>IF(NOT(ISNUMBER($O565)),"",IFERROR(MATCH(INDEX('通知一覧'!$C$5:$C$204,$O565),'支払先'!$B$5:$B$104,0),""))</f>
        <v/>
      </c>
      <c r="Q565" s="31">
        <f>IF(AND($A565&lt;&gt;"",$A565='支払通知書'!$K$2),ROW(),"")</f>
        <v/>
      </c>
    </row>
    <row r="566" ht="18" customHeight="1">
      <c r="A566" s="18" t="n"/>
      <c r="B566" s="24" t="n"/>
      <c r="C566" s="19" t="n"/>
      <c r="D566" s="25" t="n"/>
      <c r="E566" s="18" t="n"/>
      <c r="F566" s="25" t="n"/>
      <c r="G566" s="18" t="n"/>
      <c r="H566" s="18" t="n"/>
      <c r="I566" s="26">
        <f>IF(OR($A566="",$F566=""),"",ROUND(IF($D566="",1,$D566)*$F566,0))</f>
        <v/>
      </c>
      <c r="J566" s="27">
        <f>IF($A566="","",IF($O566="なし","※通知一覧にない通知No",IF($P566="","",INDEX('支払先'!$C$5:$C$104,$P566)&amp;"")))</f>
        <v/>
      </c>
      <c r="K566" s="28">
        <f>IF(NOT(ISNUMBER($O566)),"",IF(ISNUMBER(INDEX('通知一覧'!$F$5:$F$204,$O566)),INDEX('通知一覧'!$F$5:$F$204,$O566),""))</f>
        <v/>
      </c>
      <c r="L566" s="29">
        <f>IF(AND(ISNUMBER($B566),ISNUMBER($K566)),$K566-$B566+1,"")</f>
        <v/>
      </c>
      <c r="M566" s="30">
        <f>IF(OR($L566="",$P566=""),"",IF(INDEX('支払先'!$M$5:$M$104,$P566)="対象外","",IF(AND($L566&gt;60,$K566&gt;=EDATE($B566,2)),"超える","")))</f>
        <v/>
      </c>
      <c r="N566" s="67" t="n"/>
      <c r="O566" s="31">
        <f>IF($A566="","",IFERROR(MATCH($A566,'通知一覧'!$B$5:$B$204,0),"なし"))</f>
        <v/>
      </c>
      <c r="P566" s="31">
        <f>IF(NOT(ISNUMBER($O566)),"",IFERROR(MATCH(INDEX('通知一覧'!$C$5:$C$204,$O566),'支払先'!$B$5:$B$104,0),""))</f>
        <v/>
      </c>
      <c r="Q566" s="31">
        <f>IF(AND($A566&lt;&gt;"",$A566='支払通知書'!$K$2),ROW(),"")</f>
        <v/>
      </c>
    </row>
    <row r="567" ht="18" customHeight="1">
      <c r="A567" s="18" t="n"/>
      <c r="B567" s="24" t="n"/>
      <c r="C567" s="19" t="n"/>
      <c r="D567" s="25" t="n"/>
      <c r="E567" s="18" t="n"/>
      <c r="F567" s="25" t="n"/>
      <c r="G567" s="18" t="n"/>
      <c r="H567" s="18" t="n"/>
      <c r="I567" s="26">
        <f>IF(OR($A567="",$F567=""),"",ROUND(IF($D567="",1,$D567)*$F567,0))</f>
        <v/>
      </c>
      <c r="J567" s="27">
        <f>IF($A567="","",IF($O567="なし","※通知一覧にない通知No",IF($P567="","",INDEX('支払先'!$C$5:$C$104,$P567)&amp;"")))</f>
        <v/>
      </c>
      <c r="K567" s="28">
        <f>IF(NOT(ISNUMBER($O567)),"",IF(ISNUMBER(INDEX('通知一覧'!$F$5:$F$204,$O567)),INDEX('通知一覧'!$F$5:$F$204,$O567),""))</f>
        <v/>
      </c>
      <c r="L567" s="29">
        <f>IF(AND(ISNUMBER($B567),ISNUMBER($K567)),$K567-$B567+1,"")</f>
        <v/>
      </c>
      <c r="M567" s="30">
        <f>IF(OR($L567="",$P567=""),"",IF(INDEX('支払先'!$M$5:$M$104,$P567)="対象外","",IF(AND($L567&gt;60,$K567&gt;=EDATE($B567,2)),"超える","")))</f>
        <v/>
      </c>
      <c r="N567" s="67" t="n"/>
      <c r="O567" s="31">
        <f>IF($A567="","",IFERROR(MATCH($A567,'通知一覧'!$B$5:$B$204,0),"なし"))</f>
        <v/>
      </c>
      <c r="P567" s="31">
        <f>IF(NOT(ISNUMBER($O567)),"",IFERROR(MATCH(INDEX('通知一覧'!$C$5:$C$204,$O567),'支払先'!$B$5:$B$104,0),""))</f>
        <v/>
      </c>
      <c r="Q567" s="31">
        <f>IF(AND($A567&lt;&gt;"",$A567='支払通知書'!$K$2),ROW(),"")</f>
        <v/>
      </c>
    </row>
    <row r="568" ht="18" customHeight="1">
      <c r="A568" s="18" t="n"/>
      <c r="B568" s="24" t="n"/>
      <c r="C568" s="19" t="n"/>
      <c r="D568" s="25" t="n"/>
      <c r="E568" s="18" t="n"/>
      <c r="F568" s="25" t="n"/>
      <c r="G568" s="18" t="n"/>
      <c r="H568" s="18" t="n"/>
      <c r="I568" s="26">
        <f>IF(OR($A568="",$F568=""),"",ROUND(IF($D568="",1,$D568)*$F568,0))</f>
        <v/>
      </c>
      <c r="J568" s="27">
        <f>IF($A568="","",IF($O568="なし","※通知一覧にない通知No",IF($P568="","",INDEX('支払先'!$C$5:$C$104,$P568)&amp;"")))</f>
        <v/>
      </c>
      <c r="K568" s="28">
        <f>IF(NOT(ISNUMBER($O568)),"",IF(ISNUMBER(INDEX('通知一覧'!$F$5:$F$204,$O568)),INDEX('通知一覧'!$F$5:$F$204,$O568),""))</f>
        <v/>
      </c>
      <c r="L568" s="29">
        <f>IF(AND(ISNUMBER($B568),ISNUMBER($K568)),$K568-$B568+1,"")</f>
        <v/>
      </c>
      <c r="M568" s="30">
        <f>IF(OR($L568="",$P568=""),"",IF(INDEX('支払先'!$M$5:$M$104,$P568)="対象外","",IF(AND($L568&gt;60,$K568&gt;=EDATE($B568,2)),"超える","")))</f>
        <v/>
      </c>
      <c r="N568" s="67" t="n"/>
      <c r="O568" s="31">
        <f>IF($A568="","",IFERROR(MATCH($A568,'通知一覧'!$B$5:$B$204,0),"なし"))</f>
        <v/>
      </c>
      <c r="P568" s="31">
        <f>IF(NOT(ISNUMBER($O568)),"",IFERROR(MATCH(INDEX('通知一覧'!$C$5:$C$204,$O568),'支払先'!$B$5:$B$104,0),""))</f>
        <v/>
      </c>
      <c r="Q568" s="31">
        <f>IF(AND($A568&lt;&gt;"",$A568='支払通知書'!$K$2),ROW(),"")</f>
        <v/>
      </c>
    </row>
    <row r="569" ht="18" customHeight="1">
      <c r="A569" s="18" t="n"/>
      <c r="B569" s="24" t="n"/>
      <c r="C569" s="19" t="n"/>
      <c r="D569" s="25" t="n"/>
      <c r="E569" s="18" t="n"/>
      <c r="F569" s="25" t="n"/>
      <c r="G569" s="18" t="n"/>
      <c r="H569" s="18" t="n"/>
      <c r="I569" s="26">
        <f>IF(OR($A569="",$F569=""),"",ROUND(IF($D569="",1,$D569)*$F569,0))</f>
        <v/>
      </c>
      <c r="J569" s="27">
        <f>IF($A569="","",IF($O569="なし","※通知一覧にない通知No",IF($P569="","",INDEX('支払先'!$C$5:$C$104,$P569)&amp;"")))</f>
        <v/>
      </c>
      <c r="K569" s="28">
        <f>IF(NOT(ISNUMBER($O569)),"",IF(ISNUMBER(INDEX('通知一覧'!$F$5:$F$204,$O569)),INDEX('通知一覧'!$F$5:$F$204,$O569),""))</f>
        <v/>
      </c>
      <c r="L569" s="29">
        <f>IF(AND(ISNUMBER($B569),ISNUMBER($K569)),$K569-$B569+1,"")</f>
        <v/>
      </c>
      <c r="M569" s="30">
        <f>IF(OR($L569="",$P569=""),"",IF(INDEX('支払先'!$M$5:$M$104,$P569)="対象外","",IF(AND($L569&gt;60,$K569&gt;=EDATE($B569,2)),"超える","")))</f>
        <v/>
      </c>
      <c r="N569" s="67" t="n"/>
      <c r="O569" s="31">
        <f>IF($A569="","",IFERROR(MATCH($A569,'通知一覧'!$B$5:$B$204,0),"なし"))</f>
        <v/>
      </c>
      <c r="P569" s="31">
        <f>IF(NOT(ISNUMBER($O569)),"",IFERROR(MATCH(INDEX('通知一覧'!$C$5:$C$204,$O569),'支払先'!$B$5:$B$104,0),""))</f>
        <v/>
      </c>
      <c r="Q569" s="31">
        <f>IF(AND($A569&lt;&gt;"",$A569='支払通知書'!$K$2),ROW(),"")</f>
        <v/>
      </c>
    </row>
    <row r="570" ht="18" customHeight="1">
      <c r="A570" s="18" t="n"/>
      <c r="B570" s="24" t="n"/>
      <c r="C570" s="19" t="n"/>
      <c r="D570" s="25" t="n"/>
      <c r="E570" s="18" t="n"/>
      <c r="F570" s="25" t="n"/>
      <c r="G570" s="18" t="n"/>
      <c r="H570" s="18" t="n"/>
      <c r="I570" s="26">
        <f>IF(OR($A570="",$F570=""),"",ROUND(IF($D570="",1,$D570)*$F570,0))</f>
        <v/>
      </c>
      <c r="J570" s="27">
        <f>IF($A570="","",IF($O570="なし","※通知一覧にない通知No",IF($P570="","",INDEX('支払先'!$C$5:$C$104,$P570)&amp;"")))</f>
        <v/>
      </c>
      <c r="K570" s="28">
        <f>IF(NOT(ISNUMBER($O570)),"",IF(ISNUMBER(INDEX('通知一覧'!$F$5:$F$204,$O570)),INDEX('通知一覧'!$F$5:$F$204,$O570),""))</f>
        <v/>
      </c>
      <c r="L570" s="29">
        <f>IF(AND(ISNUMBER($B570),ISNUMBER($K570)),$K570-$B570+1,"")</f>
        <v/>
      </c>
      <c r="M570" s="30">
        <f>IF(OR($L570="",$P570=""),"",IF(INDEX('支払先'!$M$5:$M$104,$P570)="対象外","",IF(AND($L570&gt;60,$K570&gt;=EDATE($B570,2)),"超える","")))</f>
        <v/>
      </c>
      <c r="N570" s="67" t="n"/>
      <c r="O570" s="31">
        <f>IF($A570="","",IFERROR(MATCH($A570,'通知一覧'!$B$5:$B$204,0),"なし"))</f>
        <v/>
      </c>
      <c r="P570" s="31">
        <f>IF(NOT(ISNUMBER($O570)),"",IFERROR(MATCH(INDEX('通知一覧'!$C$5:$C$204,$O570),'支払先'!$B$5:$B$104,0),""))</f>
        <v/>
      </c>
      <c r="Q570" s="31">
        <f>IF(AND($A570&lt;&gt;"",$A570='支払通知書'!$K$2),ROW(),"")</f>
        <v/>
      </c>
    </row>
    <row r="571" ht="18" customHeight="1">
      <c r="A571" s="18" t="n"/>
      <c r="B571" s="24" t="n"/>
      <c r="C571" s="19" t="n"/>
      <c r="D571" s="25" t="n"/>
      <c r="E571" s="18" t="n"/>
      <c r="F571" s="25" t="n"/>
      <c r="G571" s="18" t="n"/>
      <c r="H571" s="18" t="n"/>
      <c r="I571" s="26">
        <f>IF(OR($A571="",$F571=""),"",ROUND(IF($D571="",1,$D571)*$F571,0))</f>
        <v/>
      </c>
      <c r="J571" s="27">
        <f>IF($A571="","",IF($O571="なし","※通知一覧にない通知No",IF($P571="","",INDEX('支払先'!$C$5:$C$104,$P571)&amp;"")))</f>
        <v/>
      </c>
      <c r="K571" s="28">
        <f>IF(NOT(ISNUMBER($O571)),"",IF(ISNUMBER(INDEX('通知一覧'!$F$5:$F$204,$O571)),INDEX('通知一覧'!$F$5:$F$204,$O571),""))</f>
        <v/>
      </c>
      <c r="L571" s="29">
        <f>IF(AND(ISNUMBER($B571),ISNUMBER($K571)),$K571-$B571+1,"")</f>
        <v/>
      </c>
      <c r="M571" s="30">
        <f>IF(OR($L571="",$P571=""),"",IF(INDEX('支払先'!$M$5:$M$104,$P571)="対象外","",IF(AND($L571&gt;60,$K571&gt;=EDATE($B571,2)),"超える","")))</f>
        <v/>
      </c>
      <c r="N571" s="67" t="n"/>
      <c r="O571" s="31">
        <f>IF($A571="","",IFERROR(MATCH($A571,'通知一覧'!$B$5:$B$204,0),"なし"))</f>
        <v/>
      </c>
      <c r="P571" s="31">
        <f>IF(NOT(ISNUMBER($O571)),"",IFERROR(MATCH(INDEX('通知一覧'!$C$5:$C$204,$O571),'支払先'!$B$5:$B$104,0),""))</f>
        <v/>
      </c>
      <c r="Q571" s="31">
        <f>IF(AND($A571&lt;&gt;"",$A571='支払通知書'!$K$2),ROW(),"")</f>
        <v/>
      </c>
    </row>
    <row r="572" ht="18" customHeight="1">
      <c r="A572" s="18" t="n"/>
      <c r="B572" s="24" t="n"/>
      <c r="C572" s="19" t="n"/>
      <c r="D572" s="25" t="n"/>
      <c r="E572" s="18" t="n"/>
      <c r="F572" s="25" t="n"/>
      <c r="G572" s="18" t="n"/>
      <c r="H572" s="18" t="n"/>
      <c r="I572" s="26">
        <f>IF(OR($A572="",$F572=""),"",ROUND(IF($D572="",1,$D572)*$F572,0))</f>
        <v/>
      </c>
      <c r="J572" s="27">
        <f>IF($A572="","",IF($O572="なし","※通知一覧にない通知No",IF($P572="","",INDEX('支払先'!$C$5:$C$104,$P572)&amp;"")))</f>
        <v/>
      </c>
      <c r="K572" s="28">
        <f>IF(NOT(ISNUMBER($O572)),"",IF(ISNUMBER(INDEX('通知一覧'!$F$5:$F$204,$O572)),INDEX('通知一覧'!$F$5:$F$204,$O572),""))</f>
        <v/>
      </c>
      <c r="L572" s="29">
        <f>IF(AND(ISNUMBER($B572),ISNUMBER($K572)),$K572-$B572+1,"")</f>
        <v/>
      </c>
      <c r="M572" s="30">
        <f>IF(OR($L572="",$P572=""),"",IF(INDEX('支払先'!$M$5:$M$104,$P572)="対象外","",IF(AND($L572&gt;60,$K572&gt;=EDATE($B572,2)),"超える","")))</f>
        <v/>
      </c>
      <c r="N572" s="67" t="n"/>
      <c r="O572" s="31">
        <f>IF($A572="","",IFERROR(MATCH($A572,'通知一覧'!$B$5:$B$204,0),"なし"))</f>
        <v/>
      </c>
      <c r="P572" s="31">
        <f>IF(NOT(ISNUMBER($O572)),"",IFERROR(MATCH(INDEX('通知一覧'!$C$5:$C$204,$O572),'支払先'!$B$5:$B$104,0),""))</f>
        <v/>
      </c>
      <c r="Q572" s="31">
        <f>IF(AND($A572&lt;&gt;"",$A572='支払通知書'!$K$2),ROW(),"")</f>
        <v/>
      </c>
    </row>
    <row r="573" ht="18" customHeight="1">
      <c r="A573" s="18" t="n"/>
      <c r="B573" s="24" t="n"/>
      <c r="C573" s="19" t="n"/>
      <c r="D573" s="25" t="n"/>
      <c r="E573" s="18" t="n"/>
      <c r="F573" s="25" t="n"/>
      <c r="G573" s="18" t="n"/>
      <c r="H573" s="18" t="n"/>
      <c r="I573" s="26">
        <f>IF(OR($A573="",$F573=""),"",ROUND(IF($D573="",1,$D573)*$F573,0))</f>
        <v/>
      </c>
      <c r="J573" s="27">
        <f>IF($A573="","",IF($O573="なし","※通知一覧にない通知No",IF($P573="","",INDEX('支払先'!$C$5:$C$104,$P573)&amp;"")))</f>
        <v/>
      </c>
      <c r="K573" s="28">
        <f>IF(NOT(ISNUMBER($O573)),"",IF(ISNUMBER(INDEX('通知一覧'!$F$5:$F$204,$O573)),INDEX('通知一覧'!$F$5:$F$204,$O573),""))</f>
        <v/>
      </c>
      <c r="L573" s="29">
        <f>IF(AND(ISNUMBER($B573),ISNUMBER($K573)),$K573-$B573+1,"")</f>
        <v/>
      </c>
      <c r="M573" s="30">
        <f>IF(OR($L573="",$P573=""),"",IF(INDEX('支払先'!$M$5:$M$104,$P573)="対象外","",IF(AND($L573&gt;60,$K573&gt;=EDATE($B573,2)),"超える","")))</f>
        <v/>
      </c>
      <c r="N573" s="67" t="n"/>
      <c r="O573" s="31">
        <f>IF($A573="","",IFERROR(MATCH($A573,'通知一覧'!$B$5:$B$204,0),"なし"))</f>
        <v/>
      </c>
      <c r="P573" s="31">
        <f>IF(NOT(ISNUMBER($O573)),"",IFERROR(MATCH(INDEX('通知一覧'!$C$5:$C$204,$O573),'支払先'!$B$5:$B$104,0),""))</f>
        <v/>
      </c>
      <c r="Q573" s="31">
        <f>IF(AND($A573&lt;&gt;"",$A573='支払通知書'!$K$2),ROW(),"")</f>
        <v/>
      </c>
    </row>
    <row r="574" ht="18" customHeight="1">
      <c r="A574" s="18" t="n"/>
      <c r="B574" s="24" t="n"/>
      <c r="C574" s="19" t="n"/>
      <c r="D574" s="25" t="n"/>
      <c r="E574" s="18" t="n"/>
      <c r="F574" s="25" t="n"/>
      <c r="G574" s="18" t="n"/>
      <c r="H574" s="18" t="n"/>
      <c r="I574" s="26">
        <f>IF(OR($A574="",$F574=""),"",ROUND(IF($D574="",1,$D574)*$F574,0))</f>
        <v/>
      </c>
      <c r="J574" s="27">
        <f>IF($A574="","",IF($O574="なし","※通知一覧にない通知No",IF($P574="","",INDEX('支払先'!$C$5:$C$104,$P574)&amp;"")))</f>
        <v/>
      </c>
      <c r="K574" s="28">
        <f>IF(NOT(ISNUMBER($O574)),"",IF(ISNUMBER(INDEX('通知一覧'!$F$5:$F$204,$O574)),INDEX('通知一覧'!$F$5:$F$204,$O574),""))</f>
        <v/>
      </c>
      <c r="L574" s="29">
        <f>IF(AND(ISNUMBER($B574),ISNUMBER($K574)),$K574-$B574+1,"")</f>
        <v/>
      </c>
      <c r="M574" s="30">
        <f>IF(OR($L574="",$P574=""),"",IF(INDEX('支払先'!$M$5:$M$104,$P574)="対象外","",IF(AND($L574&gt;60,$K574&gt;=EDATE($B574,2)),"超える","")))</f>
        <v/>
      </c>
      <c r="N574" s="67" t="n"/>
      <c r="O574" s="31">
        <f>IF($A574="","",IFERROR(MATCH($A574,'通知一覧'!$B$5:$B$204,0),"なし"))</f>
        <v/>
      </c>
      <c r="P574" s="31">
        <f>IF(NOT(ISNUMBER($O574)),"",IFERROR(MATCH(INDEX('通知一覧'!$C$5:$C$204,$O574),'支払先'!$B$5:$B$104,0),""))</f>
        <v/>
      </c>
      <c r="Q574" s="31">
        <f>IF(AND($A574&lt;&gt;"",$A574='支払通知書'!$K$2),ROW(),"")</f>
        <v/>
      </c>
    </row>
    <row r="575" ht="18" customHeight="1">
      <c r="A575" s="18" t="n"/>
      <c r="B575" s="24" t="n"/>
      <c r="C575" s="19" t="n"/>
      <c r="D575" s="25" t="n"/>
      <c r="E575" s="18" t="n"/>
      <c r="F575" s="25" t="n"/>
      <c r="G575" s="18" t="n"/>
      <c r="H575" s="18" t="n"/>
      <c r="I575" s="26">
        <f>IF(OR($A575="",$F575=""),"",ROUND(IF($D575="",1,$D575)*$F575,0))</f>
        <v/>
      </c>
      <c r="J575" s="27">
        <f>IF($A575="","",IF($O575="なし","※通知一覧にない通知No",IF($P575="","",INDEX('支払先'!$C$5:$C$104,$P575)&amp;"")))</f>
        <v/>
      </c>
      <c r="K575" s="28">
        <f>IF(NOT(ISNUMBER($O575)),"",IF(ISNUMBER(INDEX('通知一覧'!$F$5:$F$204,$O575)),INDEX('通知一覧'!$F$5:$F$204,$O575),""))</f>
        <v/>
      </c>
      <c r="L575" s="29">
        <f>IF(AND(ISNUMBER($B575),ISNUMBER($K575)),$K575-$B575+1,"")</f>
        <v/>
      </c>
      <c r="M575" s="30">
        <f>IF(OR($L575="",$P575=""),"",IF(INDEX('支払先'!$M$5:$M$104,$P575)="対象外","",IF(AND($L575&gt;60,$K575&gt;=EDATE($B575,2)),"超える","")))</f>
        <v/>
      </c>
      <c r="N575" s="67" t="n"/>
      <c r="O575" s="31">
        <f>IF($A575="","",IFERROR(MATCH($A575,'通知一覧'!$B$5:$B$204,0),"なし"))</f>
        <v/>
      </c>
      <c r="P575" s="31">
        <f>IF(NOT(ISNUMBER($O575)),"",IFERROR(MATCH(INDEX('通知一覧'!$C$5:$C$204,$O575),'支払先'!$B$5:$B$104,0),""))</f>
        <v/>
      </c>
      <c r="Q575" s="31">
        <f>IF(AND($A575&lt;&gt;"",$A575='支払通知書'!$K$2),ROW(),"")</f>
        <v/>
      </c>
    </row>
    <row r="576" ht="18" customHeight="1">
      <c r="A576" s="18" t="n"/>
      <c r="B576" s="24" t="n"/>
      <c r="C576" s="19" t="n"/>
      <c r="D576" s="25" t="n"/>
      <c r="E576" s="18" t="n"/>
      <c r="F576" s="25" t="n"/>
      <c r="G576" s="18" t="n"/>
      <c r="H576" s="18" t="n"/>
      <c r="I576" s="26">
        <f>IF(OR($A576="",$F576=""),"",ROUND(IF($D576="",1,$D576)*$F576,0))</f>
        <v/>
      </c>
      <c r="J576" s="27">
        <f>IF($A576="","",IF($O576="なし","※通知一覧にない通知No",IF($P576="","",INDEX('支払先'!$C$5:$C$104,$P576)&amp;"")))</f>
        <v/>
      </c>
      <c r="K576" s="28">
        <f>IF(NOT(ISNUMBER($O576)),"",IF(ISNUMBER(INDEX('通知一覧'!$F$5:$F$204,$O576)),INDEX('通知一覧'!$F$5:$F$204,$O576),""))</f>
        <v/>
      </c>
      <c r="L576" s="29">
        <f>IF(AND(ISNUMBER($B576),ISNUMBER($K576)),$K576-$B576+1,"")</f>
        <v/>
      </c>
      <c r="M576" s="30">
        <f>IF(OR($L576="",$P576=""),"",IF(INDEX('支払先'!$M$5:$M$104,$P576)="対象外","",IF(AND($L576&gt;60,$K576&gt;=EDATE($B576,2)),"超える","")))</f>
        <v/>
      </c>
      <c r="N576" s="67" t="n"/>
      <c r="O576" s="31">
        <f>IF($A576="","",IFERROR(MATCH($A576,'通知一覧'!$B$5:$B$204,0),"なし"))</f>
        <v/>
      </c>
      <c r="P576" s="31">
        <f>IF(NOT(ISNUMBER($O576)),"",IFERROR(MATCH(INDEX('通知一覧'!$C$5:$C$204,$O576),'支払先'!$B$5:$B$104,0),""))</f>
        <v/>
      </c>
      <c r="Q576" s="31">
        <f>IF(AND($A576&lt;&gt;"",$A576='支払通知書'!$K$2),ROW(),"")</f>
        <v/>
      </c>
    </row>
    <row r="577" ht="18" customHeight="1">
      <c r="A577" s="18" t="n"/>
      <c r="B577" s="24" t="n"/>
      <c r="C577" s="19" t="n"/>
      <c r="D577" s="25" t="n"/>
      <c r="E577" s="18" t="n"/>
      <c r="F577" s="25" t="n"/>
      <c r="G577" s="18" t="n"/>
      <c r="H577" s="18" t="n"/>
      <c r="I577" s="26">
        <f>IF(OR($A577="",$F577=""),"",ROUND(IF($D577="",1,$D577)*$F577,0))</f>
        <v/>
      </c>
      <c r="J577" s="27">
        <f>IF($A577="","",IF($O577="なし","※通知一覧にない通知No",IF($P577="","",INDEX('支払先'!$C$5:$C$104,$P577)&amp;"")))</f>
        <v/>
      </c>
      <c r="K577" s="28">
        <f>IF(NOT(ISNUMBER($O577)),"",IF(ISNUMBER(INDEX('通知一覧'!$F$5:$F$204,$O577)),INDEX('通知一覧'!$F$5:$F$204,$O577),""))</f>
        <v/>
      </c>
      <c r="L577" s="29">
        <f>IF(AND(ISNUMBER($B577),ISNUMBER($K577)),$K577-$B577+1,"")</f>
        <v/>
      </c>
      <c r="M577" s="30">
        <f>IF(OR($L577="",$P577=""),"",IF(INDEX('支払先'!$M$5:$M$104,$P577)="対象外","",IF(AND($L577&gt;60,$K577&gt;=EDATE($B577,2)),"超える","")))</f>
        <v/>
      </c>
      <c r="N577" s="67" t="n"/>
      <c r="O577" s="31">
        <f>IF($A577="","",IFERROR(MATCH($A577,'通知一覧'!$B$5:$B$204,0),"なし"))</f>
        <v/>
      </c>
      <c r="P577" s="31">
        <f>IF(NOT(ISNUMBER($O577)),"",IFERROR(MATCH(INDEX('通知一覧'!$C$5:$C$204,$O577),'支払先'!$B$5:$B$104,0),""))</f>
        <v/>
      </c>
      <c r="Q577" s="31">
        <f>IF(AND($A577&lt;&gt;"",$A577='支払通知書'!$K$2),ROW(),"")</f>
        <v/>
      </c>
    </row>
    <row r="578" ht="18" customHeight="1">
      <c r="A578" s="18" t="n"/>
      <c r="B578" s="24" t="n"/>
      <c r="C578" s="19" t="n"/>
      <c r="D578" s="25" t="n"/>
      <c r="E578" s="18" t="n"/>
      <c r="F578" s="25" t="n"/>
      <c r="G578" s="18" t="n"/>
      <c r="H578" s="18" t="n"/>
      <c r="I578" s="26">
        <f>IF(OR($A578="",$F578=""),"",ROUND(IF($D578="",1,$D578)*$F578,0))</f>
        <v/>
      </c>
      <c r="J578" s="27">
        <f>IF($A578="","",IF($O578="なし","※通知一覧にない通知No",IF($P578="","",INDEX('支払先'!$C$5:$C$104,$P578)&amp;"")))</f>
        <v/>
      </c>
      <c r="K578" s="28">
        <f>IF(NOT(ISNUMBER($O578)),"",IF(ISNUMBER(INDEX('通知一覧'!$F$5:$F$204,$O578)),INDEX('通知一覧'!$F$5:$F$204,$O578),""))</f>
        <v/>
      </c>
      <c r="L578" s="29">
        <f>IF(AND(ISNUMBER($B578),ISNUMBER($K578)),$K578-$B578+1,"")</f>
        <v/>
      </c>
      <c r="M578" s="30">
        <f>IF(OR($L578="",$P578=""),"",IF(INDEX('支払先'!$M$5:$M$104,$P578)="対象外","",IF(AND($L578&gt;60,$K578&gt;=EDATE($B578,2)),"超える","")))</f>
        <v/>
      </c>
      <c r="N578" s="67" t="n"/>
      <c r="O578" s="31">
        <f>IF($A578="","",IFERROR(MATCH($A578,'通知一覧'!$B$5:$B$204,0),"なし"))</f>
        <v/>
      </c>
      <c r="P578" s="31">
        <f>IF(NOT(ISNUMBER($O578)),"",IFERROR(MATCH(INDEX('通知一覧'!$C$5:$C$204,$O578),'支払先'!$B$5:$B$104,0),""))</f>
        <v/>
      </c>
      <c r="Q578" s="31">
        <f>IF(AND($A578&lt;&gt;"",$A578='支払通知書'!$K$2),ROW(),"")</f>
        <v/>
      </c>
    </row>
    <row r="579" ht="18" customHeight="1">
      <c r="A579" s="18" t="n"/>
      <c r="B579" s="24" t="n"/>
      <c r="C579" s="19" t="n"/>
      <c r="D579" s="25" t="n"/>
      <c r="E579" s="18" t="n"/>
      <c r="F579" s="25" t="n"/>
      <c r="G579" s="18" t="n"/>
      <c r="H579" s="18" t="n"/>
      <c r="I579" s="26">
        <f>IF(OR($A579="",$F579=""),"",ROUND(IF($D579="",1,$D579)*$F579,0))</f>
        <v/>
      </c>
      <c r="J579" s="27">
        <f>IF($A579="","",IF($O579="なし","※通知一覧にない通知No",IF($P579="","",INDEX('支払先'!$C$5:$C$104,$P579)&amp;"")))</f>
        <v/>
      </c>
      <c r="K579" s="28">
        <f>IF(NOT(ISNUMBER($O579)),"",IF(ISNUMBER(INDEX('通知一覧'!$F$5:$F$204,$O579)),INDEX('通知一覧'!$F$5:$F$204,$O579),""))</f>
        <v/>
      </c>
      <c r="L579" s="29">
        <f>IF(AND(ISNUMBER($B579),ISNUMBER($K579)),$K579-$B579+1,"")</f>
        <v/>
      </c>
      <c r="M579" s="30">
        <f>IF(OR($L579="",$P579=""),"",IF(INDEX('支払先'!$M$5:$M$104,$P579)="対象外","",IF(AND($L579&gt;60,$K579&gt;=EDATE($B579,2)),"超える","")))</f>
        <v/>
      </c>
      <c r="N579" s="67" t="n"/>
      <c r="O579" s="31">
        <f>IF($A579="","",IFERROR(MATCH($A579,'通知一覧'!$B$5:$B$204,0),"なし"))</f>
        <v/>
      </c>
      <c r="P579" s="31">
        <f>IF(NOT(ISNUMBER($O579)),"",IFERROR(MATCH(INDEX('通知一覧'!$C$5:$C$204,$O579),'支払先'!$B$5:$B$104,0),""))</f>
        <v/>
      </c>
      <c r="Q579" s="31">
        <f>IF(AND($A579&lt;&gt;"",$A579='支払通知書'!$K$2),ROW(),"")</f>
        <v/>
      </c>
    </row>
    <row r="580" ht="18" customHeight="1">
      <c r="A580" s="18" t="n"/>
      <c r="B580" s="24" t="n"/>
      <c r="C580" s="19" t="n"/>
      <c r="D580" s="25" t="n"/>
      <c r="E580" s="18" t="n"/>
      <c r="F580" s="25" t="n"/>
      <c r="G580" s="18" t="n"/>
      <c r="H580" s="18" t="n"/>
      <c r="I580" s="26">
        <f>IF(OR($A580="",$F580=""),"",ROUND(IF($D580="",1,$D580)*$F580,0))</f>
        <v/>
      </c>
      <c r="J580" s="27">
        <f>IF($A580="","",IF($O580="なし","※通知一覧にない通知No",IF($P580="","",INDEX('支払先'!$C$5:$C$104,$P580)&amp;"")))</f>
        <v/>
      </c>
      <c r="K580" s="28">
        <f>IF(NOT(ISNUMBER($O580)),"",IF(ISNUMBER(INDEX('通知一覧'!$F$5:$F$204,$O580)),INDEX('通知一覧'!$F$5:$F$204,$O580),""))</f>
        <v/>
      </c>
      <c r="L580" s="29">
        <f>IF(AND(ISNUMBER($B580),ISNUMBER($K580)),$K580-$B580+1,"")</f>
        <v/>
      </c>
      <c r="M580" s="30">
        <f>IF(OR($L580="",$P580=""),"",IF(INDEX('支払先'!$M$5:$M$104,$P580)="対象外","",IF(AND($L580&gt;60,$K580&gt;=EDATE($B580,2)),"超える","")))</f>
        <v/>
      </c>
      <c r="N580" s="67" t="n"/>
      <c r="O580" s="31">
        <f>IF($A580="","",IFERROR(MATCH($A580,'通知一覧'!$B$5:$B$204,0),"なし"))</f>
        <v/>
      </c>
      <c r="P580" s="31">
        <f>IF(NOT(ISNUMBER($O580)),"",IFERROR(MATCH(INDEX('通知一覧'!$C$5:$C$204,$O580),'支払先'!$B$5:$B$104,0),""))</f>
        <v/>
      </c>
      <c r="Q580" s="31">
        <f>IF(AND($A580&lt;&gt;"",$A580='支払通知書'!$K$2),ROW(),"")</f>
        <v/>
      </c>
    </row>
    <row r="581" ht="18" customHeight="1">
      <c r="A581" s="18" t="n"/>
      <c r="B581" s="24" t="n"/>
      <c r="C581" s="19" t="n"/>
      <c r="D581" s="25" t="n"/>
      <c r="E581" s="18" t="n"/>
      <c r="F581" s="25" t="n"/>
      <c r="G581" s="18" t="n"/>
      <c r="H581" s="18" t="n"/>
      <c r="I581" s="26">
        <f>IF(OR($A581="",$F581=""),"",ROUND(IF($D581="",1,$D581)*$F581,0))</f>
        <v/>
      </c>
      <c r="J581" s="27">
        <f>IF($A581="","",IF($O581="なし","※通知一覧にない通知No",IF($P581="","",INDEX('支払先'!$C$5:$C$104,$P581)&amp;"")))</f>
        <v/>
      </c>
      <c r="K581" s="28">
        <f>IF(NOT(ISNUMBER($O581)),"",IF(ISNUMBER(INDEX('通知一覧'!$F$5:$F$204,$O581)),INDEX('通知一覧'!$F$5:$F$204,$O581),""))</f>
        <v/>
      </c>
      <c r="L581" s="29">
        <f>IF(AND(ISNUMBER($B581),ISNUMBER($K581)),$K581-$B581+1,"")</f>
        <v/>
      </c>
      <c r="M581" s="30">
        <f>IF(OR($L581="",$P581=""),"",IF(INDEX('支払先'!$M$5:$M$104,$P581)="対象外","",IF(AND($L581&gt;60,$K581&gt;=EDATE($B581,2)),"超える","")))</f>
        <v/>
      </c>
      <c r="N581" s="67" t="n"/>
      <c r="O581" s="31">
        <f>IF($A581="","",IFERROR(MATCH($A581,'通知一覧'!$B$5:$B$204,0),"なし"))</f>
        <v/>
      </c>
      <c r="P581" s="31">
        <f>IF(NOT(ISNUMBER($O581)),"",IFERROR(MATCH(INDEX('通知一覧'!$C$5:$C$204,$O581),'支払先'!$B$5:$B$104,0),""))</f>
        <v/>
      </c>
      <c r="Q581" s="31">
        <f>IF(AND($A581&lt;&gt;"",$A581='支払通知書'!$K$2),ROW(),"")</f>
        <v/>
      </c>
    </row>
    <row r="582" ht="18" customHeight="1">
      <c r="A582" s="18" t="n"/>
      <c r="B582" s="24" t="n"/>
      <c r="C582" s="19" t="n"/>
      <c r="D582" s="25" t="n"/>
      <c r="E582" s="18" t="n"/>
      <c r="F582" s="25" t="n"/>
      <c r="G582" s="18" t="n"/>
      <c r="H582" s="18" t="n"/>
      <c r="I582" s="26">
        <f>IF(OR($A582="",$F582=""),"",ROUND(IF($D582="",1,$D582)*$F582,0))</f>
        <v/>
      </c>
      <c r="J582" s="27">
        <f>IF($A582="","",IF($O582="なし","※通知一覧にない通知No",IF($P582="","",INDEX('支払先'!$C$5:$C$104,$P582)&amp;"")))</f>
        <v/>
      </c>
      <c r="K582" s="28">
        <f>IF(NOT(ISNUMBER($O582)),"",IF(ISNUMBER(INDEX('通知一覧'!$F$5:$F$204,$O582)),INDEX('通知一覧'!$F$5:$F$204,$O582),""))</f>
        <v/>
      </c>
      <c r="L582" s="29">
        <f>IF(AND(ISNUMBER($B582),ISNUMBER($K582)),$K582-$B582+1,"")</f>
        <v/>
      </c>
      <c r="M582" s="30">
        <f>IF(OR($L582="",$P582=""),"",IF(INDEX('支払先'!$M$5:$M$104,$P582)="対象外","",IF(AND($L582&gt;60,$K582&gt;=EDATE($B582,2)),"超える","")))</f>
        <v/>
      </c>
      <c r="N582" s="67" t="n"/>
      <c r="O582" s="31">
        <f>IF($A582="","",IFERROR(MATCH($A582,'通知一覧'!$B$5:$B$204,0),"なし"))</f>
        <v/>
      </c>
      <c r="P582" s="31">
        <f>IF(NOT(ISNUMBER($O582)),"",IFERROR(MATCH(INDEX('通知一覧'!$C$5:$C$204,$O582),'支払先'!$B$5:$B$104,0),""))</f>
        <v/>
      </c>
      <c r="Q582" s="31">
        <f>IF(AND($A582&lt;&gt;"",$A582='支払通知書'!$K$2),ROW(),"")</f>
        <v/>
      </c>
    </row>
    <row r="583" ht="18" customHeight="1">
      <c r="A583" s="18" t="n"/>
      <c r="B583" s="24" t="n"/>
      <c r="C583" s="19" t="n"/>
      <c r="D583" s="25" t="n"/>
      <c r="E583" s="18" t="n"/>
      <c r="F583" s="25" t="n"/>
      <c r="G583" s="18" t="n"/>
      <c r="H583" s="18" t="n"/>
      <c r="I583" s="26">
        <f>IF(OR($A583="",$F583=""),"",ROUND(IF($D583="",1,$D583)*$F583,0))</f>
        <v/>
      </c>
      <c r="J583" s="27">
        <f>IF($A583="","",IF($O583="なし","※通知一覧にない通知No",IF($P583="","",INDEX('支払先'!$C$5:$C$104,$P583)&amp;"")))</f>
        <v/>
      </c>
      <c r="K583" s="28">
        <f>IF(NOT(ISNUMBER($O583)),"",IF(ISNUMBER(INDEX('通知一覧'!$F$5:$F$204,$O583)),INDEX('通知一覧'!$F$5:$F$204,$O583),""))</f>
        <v/>
      </c>
      <c r="L583" s="29">
        <f>IF(AND(ISNUMBER($B583),ISNUMBER($K583)),$K583-$B583+1,"")</f>
        <v/>
      </c>
      <c r="M583" s="30">
        <f>IF(OR($L583="",$P583=""),"",IF(INDEX('支払先'!$M$5:$M$104,$P583)="対象外","",IF(AND($L583&gt;60,$K583&gt;=EDATE($B583,2)),"超える","")))</f>
        <v/>
      </c>
      <c r="N583" s="67" t="n"/>
      <c r="O583" s="31">
        <f>IF($A583="","",IFERROR(MATCH($A583,'通知一覧'!$B$5:$B$204,0),"なし"))</f>
        <v/>
      </c>
      <c r="P583" s="31">
        <f>IF(NOT(ISNUMBER($O583)),"",IFERROR(MATCH(INDEX('通知一覧'!$C$5:$C$204,$O583),'支払先'!$B$5:$B$104,0),""))</f>
        <v/>
      </c>
      <c r="Q583" s="31">
        <f>IF(AND($A583&lt;&gt;"",$A583='支払通知書'!$K$2),ROW(),"")</f>
        <v/>
      </c>
    </row>
    <row r="584" ht="18" customHeight="1">
      <c r="A584" s="18" t="n"/>
      <c r="B584" s="24" t="n"/>
      <c r="C584" s="19" t="n"/>
      <c r="D584" s="25" t="n"/>
      <c r="E584" s="18" t="n"/>
      <c r="F584" s="25" t="n"/>
      <c r="G584" s="18" t="n"/>
      <c r="H584" s="18" t="n"/>
      <c r="I584" s="26">
        <f>IF(OR($A584="",$F584=""),"",ROUND(IF($D584="",1,$D584)*$F584,0))</f>
        <v/>
      </c>
      <c r="J584" s="27">
        <f>IF($A584="","",IF($O584="なし","※通知一覧にない通知No",IF($P584="","",INDEX('支払先'!$C$5:$C$104,$P584)&amp;"")))</f>
        <v/>
      </c>
      <c r="K584" s="28">
        <f>IF(NOT(ISNUMBER($O584)),"",IF(ISNUMBER(INDEX('通知一覧'!$F$5:$F$204,$O584)),INDEX('通知一覧'!$F$5:$F$204,$O584),""))</f>
        <v/>
      </c>
      <c r="L584" s="29">
        <f>IF(AND(ISNUMBER($B584),ISNUMBER($K584)),$K584-$B584+1,"")</f>
        <v/>
      </c>
      <c r="M584" s="30">
        <f>IF(OR($L584="",$P584=""),"",IF(INDEX('支払先'!$M$5:$M$104,$P584)="対象外","",IF(AND($L584&gt;60,$K584&gt;=EDATE($B584,2)),"超える","")))</f>
        <v/>
      </c>
      <c r="N584" s="67" t="n"/>
      <c r="O584" s="31">
        <f>IF($A584="","",IFERROR(MATCH($A584,'通知一覧'!$B$5:$B$204,0),"なし"))</f>
        <v/>
      </c>
      <c r="P584" s="31">
        <f>IF(NOT(ISNUMBER($O584)),"",IFERROR(MATCH(INDEX('通知一覧'!$C$5:$C$204,$O584),'支払先'!$B$5:$B$104,0),""))</f>
        <v/>
      </c>
      <c r="Q584" s="31">
        <f>IF(AND($A584&lt;&gt;"",$A584='支払通知書'!$K$2),ROW(),"")</f>
        <v/>
      </c>
    </row>
    <row r="585" ht="18" customHeight="1">
      <c r="A585" s="18" t="n"/>
      <c r="B585" s="24" t="n"/>
      <c r="C585" s="19" t="n"/>
      <c r="D585" s="25" t="n"/>
      <c r="E585" s="18" t="n"/>
      <c r="F585" s="25" t="n"/>
      <c r="G585" s="18" t="n"/>
      <c r="H585" s="18" t="n"/>
      <c r="I585" s="26">
        <f>IF(OR($A585="",$F585=""),"",ROUND(IF($D585="",1,$D585)*$F585,0))</f>
        <v/>
      </c>
      <c r="J585" s="27">
        <f>IF($A585="","",IF($O585="なし","※通知一覧にない通知No",IF($P585="","",INDEX('支払先'!$C$5:$C$104,$P585)&amp;"")))</f>
        <v/>
      </c>
      <c r="K585" s="28">
        <f>IF(NOT(ISNUMBER($O585)),"",IF(ISNUMBER(INDEX('通知一覧'!$F$5:$F$204,$O585)),INDEX('通知一覧'!$F$5:$F$204,$O585),""))</f>
        <v/>
      </c>
      <c r="L585" s="29">
        <f>IF(AND(ISNUMBER($B585),ISNUMBER($K585)),$K585-$B585+1,"")</f>
        <v/>
      </c>
      <c r="M585" s="30">
        <f>IF(OR($L585="",$P585=""),"",IF(INDEX('支払先'!$M$5:$M$104,$P585)="対象外","",IF(AND($L585&gt;60,$K585&gt;=EDATE($B585,2)),"超える","")))</f>
        <v/>
      </c>
      <c r="N585" s="67" t="n"/>
      <c r="O585" s="31">
        <f>IF($A585="","",IFERROR(MATCH($A585,'通知一覧'!$B$5:$B$204,0),"なし"))</f>
        <v/>
      </c>
      <c r="P585" s="31">
        <f>IF(NOT(ISNUMBER($O585)),"",IFERROR(MATCH(INDEX('通知一覧'!$C$5:$C$204,$O585),'支払先'!$B$5:$B$104,0),""))</f>
        <v/>
      </c>
      <c r="Q585" s="31">
        <f>IF(AND($A585&lt;&gt;"",$A585='支払通知書'!$K$2),ROW(),"")</f>
        <v/>
      </c>
    </row>
    <row r="586" ht="18" customHeight="1">
      <c r="A586" s="18" t="n"/>
      <c r="B586" s="24" t="n"/>
      <c r="C586" s="19" t="n"/>
      <c r="D586" s="25" t="n"/>
      <c r="E586" s="18" t="n"/>
      <c r="F586" s="25" t="n"/>
      <c r="G586" s="18" t="n"/>
      <c r="H586" s="18" t="n"/>
      <c r="I586" s="26">
        <f>IF(OR($A586="",$F586=""),"",ROUND(IF($D586="",1,$D586)*$F586,0))</f>
        <v/>
      </c>
      <c r="J586" s="27">
        <f>IF($A586="","",IF($O586="なし","※通知一覧にない通知No",IF($P586="","",INDEX('支払先'!$C$5:$C$104,$P586)&amp;"")))</f>
        <v/>
      </c>
      <c r="K586" s="28">
        <f>IF(NOT(ISNUMBER($O586)),"",IF(ISNUMBER(INDEX('通知一覧'!$F$5:$F$204,$O586)),INDEX('通知一覧'!$F$5:$F$204,$O586),""))</f>
        <v/>
      </c>
      <c r="L586" s="29">
        <f>IF(AND(ISNUMBER($B586),ISNUMBER($K586)),$K586-$B586+1,"")</f>
        <v/>
      </c>
      <c r="M586" s="30">
        <f>IF(OR($L586="",$P586=""),"",IF(INDEX('支払先'!$M$5:$M$104,$P586)="対象外","",IF(AND($L586&gt;60,$K586&gt;=EDATE($B586,2)),"超える","")))</f>
        <v/>
      </c>
      <c r="N586" s="67" t="n"/>
      <c r="O586" s="31">
        <f>IF($A586="","",IFERROR(MATCH($A586,'通知一覧'!$B$5:$B$204,0),"なし"))</f>
        <v/>
      </c>
      <c r="P586" s="31">
        <f>IF(NOT(ISNUMBER($O586)),"",IFERROR(MATCH(INDEX('通知一覧'!$C$5:$C$204,$O586),'支払先'!$B$5:$B$104,0),""))</f>
        <v/>
      </c>
      <c r="Q586" s="31">
        <f>IF(AND($A586&lt;&gt;"",$A586='支払通知書'!$K$2),ROW(),"")</f>
        <v/>
      </c>
    </row>
    <row r="587" ht="18" customHeight="1">
      <c r="A587" s="18" t="n"/>
      <c r="B587" s="24" t="n"/>
      <c r="C587" s="19" t="n"/>
      <c r="D587" s="25" t="n"/>
      <c r="E587" s="18" t="n"/>
      <c r="F587" s="25" t="n"/>
      <c r="G587" s="18" t="n"/>
      <c r="H587" s="18" t="n"/>
      <c r="I587" s="26">
        <f>IF(OR($A587="",$F587=""),"",ROUND(IF($D587="",1,$D587)*$F587,0))</f>
        <v/>
      </c>
      <c r="J587" s="27">
        <f>IF($A587="","",IF($O587="なし","※通知一覧にない通知No",IF($P587="","",INDEX('支払先'!$C$5:$C$104,$P587)&amp;"")))</f>
        <v/>
      </c>
      <c r="K587" s="28">
        <f>IF(NOT(ISNUMBER($O587)),"",IF(ISNUMBER(INDEX('通知一覧'!$F$5:$F$204,$O587)),INDEX('通知一覧'!$F$5:$F$204,$O587),""))</f>
        <v/>
      </c>
      <c r="L587" s="29">
        <f>IF(AND(ISNUMBER($B587),ISNUMBER($K587)),$K587-$B587+1,"")</f>
        <v/>
      </c>
      <c r="M587" s="30">
        <f>IF(OR($L587="",$P587=""),"",IF(INDEX('支払先'!$M$5:$M$104,$P587)="対象外","",IF(AND($L587&gt;60,$K587&gt;=EDATE($B587,2)),"超える","")))</f>
        <v/>
      </c>
      <c r="N587" s="67" t="n"/>
      <c r="O587" s="31">
        <f>IF($A587="","",IFERROR(MATCH($A587,'通知一覧'!$B$5:$B$204,0),"なし"))</f>
        <v/>
      </c>
      <c r="P587" s="31">
        <f>IF(NOT(ISNUMBER($O587)),"",IFERROR(MATCH(INDEX('通知一覧'!$C$5:$C$204,$O587),'支払先'!$B$5:$B$104,0),""))</f>
        <v/>
      </c>
      <c r="Q587" s="31">
        <f>IF(AND($A587&lt;&gt;"",$A587='支払通知書'!$K$2),ROW(),"")</f>
        <v/>
      </c>
    </row>
    <row r="588" ht="18" customHeight="1">
      <c r="A588" s="18" t="n"/>
      <c r="B588" s="24" t="n"/>
      <c r="C588" s="19" t="n"/>
      <c r="D588" s="25" t="n"/>
      <c r="E588" s="18" t="n"/>
      <c r="F588" s="25" t="n"/>
      <c r="G588" s="18" t="n"/>
      <c r="H588" s="18" t="n"/>
      <c r="I588" s="26">
        <f>IF(OR($A588="",$F588=""),"",ROUND(IF($D588="",1,$D588)*$F588,0))</f>
        <v/>
      </c>
      <c r="J588" s="27">
        <f>IF($A588="","",IF($O588="なし","※通知一覧にない通知No",IF($P588="","",INDEX('支払先'!$C$5:$C$104,$P588)&amp;"")))</f>
        <v/>
      </c>
      <c r="K588" s="28">
        <f>IF(NOT(ISNUMBER($O588)),"",IF(ISNUMBER(INDEX('通知一覧'!$F$5:$F$204,$O588)),INDEX('通知一覧'!$F$5:$F$204,$O588),""))</f>
        <v/>
      </c>
      <c r="L588" s="29">
        <f>IF(AND(ISNUMBER($B588),ISNUMBER($K588)),$K588-$B588+1,"")</f>
        <v/>
      </c>
      <c r="M588" s="30">
        <f>IF(OR($L588="",$P588=""),"",IF(INDEX('支払先'!$M$5:$M$104,$P588)="対象外","",IF(AND($L588&gt;60,$K588&gt;=EDATE($B588,2)),"超える","")))</f>
        <v/>
      </c>
      <c r="N588" s="67" t="n"/>
      <c r="O588" s="31">
        <f>IF($A588="","",IFERROR(MATCH($A588,'通知一覧'!$B$5:$B$204,0),"なし"))</f>
        <v/>
      </c>
      <c r="P588" s="31">
        <f>IF(NOT(ISNUMBER($O588)),"",IFERROR(MATCH(INDEX('通知一覧'!$C$5:$C$204,$O588),'支払先'!$B$5:$B$104,0),""))</f>
        <v/>
      </c>
      <c r="Q588" s="31">
        <f>IF(AND($A588&lt;&gt;"",$A588='支払通知書'!$K$2),ROW(),"")</f>
        <v/>
      </c>
    </row>
    <row r="589" ht="18" customHeight="1">
      <c r="A589" s="18" t="n"/>
      <c r="B589" s="24" t="n"/>
      <c r="C589" s="19" t="n"/>
      <c r="D589" s="25" t="n"/>
      <c r="E589" s="18" t="n"/>
      <c r="F589" s="25" t="n"/>
      <c r="G589" s="18" t="n"/>
      <c r="H589" s="18" t="n"/>
      <c r="I589" s="26">
        <f>IF(OR($A589="",$F589=""),"",ROUND(IF($D589="",1,$D589)*$F589,0))</f>
        <v/>
      </c>
      <c r="J589" s="27">
        <f>IF($A589="","",IF($O589="なし","※通知一覧にない通知No",IF($P589="","",INDEX('支払先'!$C$5:$C$104,$P589)&amp;"")))</f>
        <v/>
      </c>
      <c r="K589" s="28">
        <f>IF(NOT(ISNUMBER($O589)),"",IF(ISNUMBER(INDEX('通知一覧'!$F$5:$F$204,$O589)),INDEX('通知一覧'!$F$5:$F$204,$O589),""))</f>
        <v/>
      </c>
      <c r="L589" s="29">
        <f>IF(AND(ISNUMBER($B589),ISNUMBER($K589)),$K589-$B589+1,"")</f>
        <v/>
      </c>
      <c r="M589" s="30">
        <f>IF(OR($L589="",$P589=""),"",IF(INDEX('支払先'!$M$5:$M$104,$P589)="対象外","",IF(AND($L589&gt;60,$K589&gt;=EDATE($B589,2)),"超える","")))</f>
        <v/>
      </c>
      <c r="N589" s="67" t="n"/>
      <c r="O589" s="31">
        <f>IF($A589="","",IFERROR(MATCH($A589,'通知一覧'!$B$5:$B$204,0),"なし"))</f>
        <v/>
      </c>
      <c r="P589" s="31">
        <f>IF(NOT(ISNUMBER($O589)),"",IFERROR(MATCH(INDEX('通知一覧'!$C$5:$C$204,$O589),'支払先'!$B$5:$B$104,0),""))</f>
        <v/>
      </c>
      <c r="Q589" s="31">
        <f>IF(AND($A589&lt;&gt;"",$A589='支払通知書'!$K$2),ROW(),"")</f>
        <v/>
      </c>
    </row>
    <row r="590" ht="18" customHeight="1">
      <c r="A590" s="18" t="n"/>
      <c r="B590" s="24" t="n"/>
      <c r="C590" s="19" t="n"/>
      <c r="D590" s="25" t="n"/>
      <c r="E590" s="18" t="n"/>
      <c r="F590" s="25" t="n"/>
      <c r="G590" s="18" t="n"/>
      <c r="H590" s="18" t="n"/>
      <c r="I590" s="26">
        <f>IF(OR($A590="",$F590=""),"",ROUND(IF($D590="",1,$D590)*$F590,0))</f>
        <v/>
      </c>
      <c r="J590" s="27">
        <f>IF($A590="","",IF($O590="なし","※通知一覧にない通知No",IF($P590="","",INDEX('支払先'!$C$5:$C$104,$P590)&amp;"")))</f>
        <v/>
      </c>
      <c r="K590" s="28">
        <f>IF(NOT(ISNUMBER($O590)),"",IF(ISNUMBER(INDEX('通知一覧'!$F$5:$F$204,$O590)),INDEX('通知一覧'!$F$5:$F$204,$O590),""))</f>
        <v/>
      </c>
      <c r="L590" s="29">
        <f>IF(AND(ISNUMBER($B590),ISNUMBER($K590)),$K590-$B590+1,"")</f>
        <v/>
      </c>
      <c r="M590" s="30">
        <f>IF(OR($L590="",$P590=""),"",IF(INDEX('支払先'!$M$5:$M$104,$P590)="対象外","",IF(AND($L590&gt;60,$K590&gt;=EDATE($B590,2)),"超える","")))</f>
        <v/>
      </c>
      <c r="N590" s="67" t="n"/>
      <c r="O590" s="31">
        <f>IF($A590="","",IFERROR(MATCH($A590,'通知一覧'!$B$5:$B$204,0),"なし"))</f>
        <v/>
      </c>
      <c r="P590" s="31">
        <f>IF(NOT(ISNUMBER($O590)),"",IFERROR(MATCH(INDEX('通知一覧'!$C$5:$C$204,$O590),'支払先'!$B$5:$B$104,0),""))</f>
        <v/>
      </c>
      <c r="Q590" s="31">
        <f>IF(AND($A590&lt;&gt;"",$A590='支払通知書'!$K$2),ROW(),"")</f>
        <v/>
      </c>
    </row>
    <row r="591" ht="18" customHeight="1">
      <c r="A591" s="18" t="n"/>
      <c r="B591" s="24" t="n"/>
      <c r="C591" s="19" t="n"/>
      <c r="D591" s="25" t="n"/>
      <c r="E591" s="18" t="n"/>
      <c r="F591" s="25" t="n"/>
      <c r="G591" s="18" t="n"/>
      <c r="H591" s="18" t="n"/>
      <c r="I591" s="26">
        <f>IF(OR($A591="",$F591=""),"",ROUND(IF($D591="",1,$D591)*$F591,0))</f>
        <v/>
      </c>
      <c r="J591" s="27">
        <f>IF($A591="","",IF($O591="なし","※通知一覧にない通知No",IF($P591="","",INDEX('支払先'!$C$5:$C$104,$P591)&amp;"")))</f>
        <v/>
      </c>
      <c r="K591" s="28">
        <f>IF(NOT(ISNUMBER($O591)),"",IF(ISNUMBER(INDEX('通知一覧'!$F$5:$F$204,$O591)),INDEX('通知一覧'!$F$5:$F$204,$O591),""))</f>
        <v/>
      </c>
      <c r="L591" s="29">
        <f>IF(AND(ISNUMBER($B591),ISNUMBER($K591)),$K591-$B591+1,"")</f>
        <v/>
      </c>
      <c r="M591" s="30">
        <f>IF(OR($L591="",$P591=""),"",IF(INDEX('支払先'!$M$5:$M$104,$P591)="対象外","",IF(AND($L591&gt;60,$K591&gt;=EDATE($B591,2)),"超える","")))</f>
        <v/>
      </c>
      <c r="N591" s="67" t="n"/>
      <c r="O591" s="31">
        <f>IF($A591="","",IFERROR(MATCH($A591,'通知一覧'!$B$5:$B$204,0),"なし"))</f>
        <v/>
      </c>
      <c r="P591" s="31">
        <f>IF(NOT(ISNUMBER($O591)),"",IFERROR(MATCH(INDEX('通知一覧'!$C$5:$C$204,$O591),'支払先'!$B$5:$B$104,0),""))</f>
        <v/>
      </c>
      <c r="Q591" s="31">
        <f>IF(AND($A591&lt;&gt;"",$A591='支払通知書'!$K$2),ROW(),"")</f>
        <v/>
      </c>
    </row>
    <row r="592" ht="18" customHeight="1">
      <c r="A592" s="18" t="n"/>
      <c r="B592" s="24" t="n"/>
      <c r="C592" s="19" t="n"/>
      <c r="D592" s="25" t="n"/>
      <c r="E592" s="18" t="n"/>
      <c r="F592" s="25" t="n"/>
      <c r="G592" s="18" t="n"/>
      <c r="H592" s="18" t="n"/>
      <c r="I592" s="26">
        <f>IF(OR($A592="",$F592=""),"",ROUND(IF($D592="",1,$D592)*$F592,0))</f>
        <v/>
      </c>
      <c r="J592" s="27">
        <f>IF($A592="","",IF($O592="なし","※通知一覧にない通知No",IF($P592="","",INDEX('支払先'!$C$5:$C$104,$P592)&amp;"")))</f>
        <v/>
      </c>
      <c r="K592" s="28">
        <f>IF(NOT(ISNUMBER($O592)),"",IF(ISNUMBER(INDEX('通知一覧'!$F$5:$F$204,$O592)),INDEX('通知一覧'!$F$5:$F$204,$O592),""))</f>
        <v/>
      </c>
      <c r="L592" s="29">
        <f>IF(AND(ISNUMBER($B592),ISNUMBER($K592)),$K592-$B592+1,"")</f>
        <v/>
      </c>
      <c r="M592" s="30">
        <f>IF(OR($L592="",$P592=""),"",IF(INDEX('支払先'!$M$5:$M$104,$P592)="対象外","",IF(AND($L592&gt;60,$K592&gt;=EDATE($B592,2)),"超える","")))</f>
        <v/>
      </c>
      <c r="N592" s="67" t="n"/>
      <c r="O592" s="31">
        <f>IF($A592="","",IFERROR(MATCH($A592,'通知一覧'!$B$5:$B$204,0),"なし"))</f>
        <v/>
      </c>
      <c r="P592" s="31">
        <f>IF(NOT(ISNUMBER($O592)),"",IFERROR(MATCH(INDEX('通知一覧'!$C$5:$C$204,$O592),'支払先'!$B$5:$B$104,0),""))</f>
        <v/>
      </c>
      <c r="Q592" s="31">
        <f>IF(AND($A592&lt;&gt;"",$A592='支払通知書'!$K$2),ROW(),"")</f>
        <v/>
      </c>
    </row>
    <row r="593" ht="18" customHeight="1">
      <c r="A593" s="18" t="n"/>
      <c r="B593" s="24" t="n"/>
      <c r="C593" s="19" t="n"/>
      <c r="D593" s="25" t="n"/>
      <c r="E593" s="18" t="n"/>
      <c r="F593" s="25" t="n"/>
      <c r="G593" s="18" t="n"/>
      <c r="H593" s="18" t="n"/>
      <c r="I593" s="26">
        <f>IF(OR($A593="",$F593=""),"",ROUND(IF($D593="",1,$D593)*$F593,0))</f>
        <v/>
      </c>
      <c r="J593" s="27">
        <f>IF($A593="","",IF($O593="なし","※通知一覧にない通知No",IF($P593="","",INDEX('支払先'!$C$5:$C$104,$P593)&amp;"")))</f>
        <v/>
      </c>
      <c r="K593" s="28">
        <f>IF(NOT(ISNUMBER($O593)),"",IF(ISNUMBER(INDEX('通知一覧'!$F$5:$F$204,$O593)),INDEX('通知一覧'!$F$5:$F$204,$O593),""))</f>
        <v/>
      </c>
      <c r="L593" s="29">
        <f>IF(AND(ISNUMBER($B593),ISNUMBER($K593)),$K593-$B593+1,"")</f>
        <v/>
      </c>
      <c r="M593" s="30">
        <f>IF(OR($L593="",$P593=""),"",IF(INDEX('支払先'!$M$5:$M$104,$P593)="対象外","",IF(AND($L593&gt;60,$K593&gt;=EDATE($B593,2)),"超える","")))</f>
        <v/>
      </c>
      <c r="N593" s="67" t="n"/>
      <c r="O593" s="31">
        <f>IF($A593="","",IFERROR(MATCH($A593,'通知一覧'!$B$5:$B$204,0),"なし"))</f>
        <v/>
      </c>
      <c r="P593" s="31">
        <f>IF(NOT(ISNUMBER($O593)),"",IFERROR(MATCH(INDEX('通知一覧'!$C$5:$C$204,$O593),'支払先'!$B$5:$B$104,0),""))</f>
        <v/>
      </c>
      <c r="Q593" s="31">
        <f>IF(AND($A593&lt;&gt;"",$A593='支払通知書'!$K$2),ROW(),"")</f>
        <v/>
      </c>
    </row>
    <row r="594" ht="18" customHeight="1">
      <c r="A594" s="18" t="n"/>
      <c r="B594" s="24" t="n"/>
      <c r="C594" s="19" t="n"/>
      <c r="D594" s="25" t="n"/>
      <c r="E594" s="18" t="n"/>
      <c r="F594" s="25" t="n"/>
      <c r="G594" s="18" t="n"/>
      <c r="H594" s="18" t="n"/>
      <c r="I594" s="26">
        <f>IF(OR($A594="",$F594=""),"",ROUND(IF($D594="",1,$D594)*$F594,0))</f>
        <v/>
      </c>
      <c r="J594" s="27">
        <f>IF($A594="","",IF($O594="なし","※通知一覧にない通知No",IF($P594="","",INDEX('支払先'!$C$5:$C$104,$P594)&amp;"")))</f>
        <v/>
      </c>
      <c r="K594" s="28">
        <f>IF(NOT(ISNUMBER($O594)),"",IF(ISNUMBER(INDEX('通知一覧'!$F$5:$F$204,$O594)),INDEX('通知一覧'!$F$5:$F$204,$O594),""))</f>
        <v/>
      </c>
      <c r="L594" s="29">
        <f>IF(AND(ISNUMBER($B594),ISNUMBER($K594)),$K594-$B594+1,"")</f>
        <v/>
      </c>
      <c r="M594" s="30">
        <f>IF(OR($L594="",$P594=""),"",IF(INDEX('支払先'!$M$5:$M$104,$P594)="対象外","",IF(AND($L594&gt;60,$K594&gt;=EDATE($B594,2)),"超える","")))</f>
        <v/>
      </c>
      <c r="N594" s="67" t="n"/>
      <c r="O594" s="31">
        <f>IF($A594="","",IFERROR(MATCH($A594,'通知一覧'!$B$5:$B$204,0),"なし"))</f>
        <v/>
      </c>
      <c r="P594" s="31">
        <f>IF(NOT(ISNUMBER($O594)),"",IFERROR(MATCH(INDEX('通知一覧'!$C$5:$C$204,$O594),'支払先'!$B$5:$B$104,0),""))</f>
        <v/>
      </c>
      <c r="Q594" s="31">
        <f>IF(AND($A594&lt;&gt;"",$A594='支払通知書'!$K$2),ROW(),"")</f>
        <v/>
      </c>
    </row>
    <row r="595" ht="18" customHeight="1">
      <c r="A595" s="18" t="n"/>
      <c r="B595" s="24" t="n"/>
      <c r="C595" s="19" t="n"/>
      <c r="D595" s="25" t="n"/>
      <c r="E595" s="18" t="n"/>
      <c r="F595" s="25" t="n"/>
      <c r="G595" s="18" t="n"/>
      <c r="H595" s="18" t="n"/>
      <c r="I595" s="26">
        <f>IF(OR($A595="",$F595=""),"",ROUND(IF($D595="",1,$D595)*$F595,0))</f>
        <v/>
      </c>
      <c r="J595" s="27">
        <f>IF($A595="","",IF($O595="なし","※通知一覧にない通知No",IF($P595="","",INDEX('支払先'!$C$5:$C$104,$P595)&amp;"")))</f>
        <v/>
      </c>
      <c r="K595" s="28">
        <f>IF(NOT(ISNUMBER($O595)),"",IF(ISNUMBER(INDEX('通知一覧'!$F$5:$F$204,$O595)),INDEX('通知一覧'!$F$5:$F$204,$O595),""))</f>
        <v/>
      </c>
      <c r="L595" s="29">
        <f>IF(AND(ISNUMBER($B595),ISNUMBER($K595)),$K595-$B595+1,"")</f>
        <v/>
      </c>
      <c r="M595" s="30">
        <f>IF(OR($L595="",$P595=""),"",IF(INDEX('支払先'!$M$5:$M$104,$P595)="対象外","",IF(AND($L595&gt;60,$K595&gt;=EDATE($B595,2)),"超える","")))</f>
        <v/>
      </c>
      <c r="N595" s="67" t="n"/>
      <c r="O595" s="31">
        <f>IF($A595="","",IFERROR(MATCH($A595,'通知一覧'!$B$5:$B$204,0),"なし"))</f>
        <v/>
      </c>
      <c r="P595" s="31">
        <f>IF(NOT(ISNUMBER($O595)),"",IFERROR(MATCH(INDEX('通知一覧'!$C$5:$C$204,$O595),'支払先'!$B$5:$B$104,0),""))</f>
        <v/>
      </c>
      <c r="Q595" s="31">
        <f>IF(AND($A595&lt;&gt;"",$A595='支払通知書'!$K$2),ROW(),"")</f>
        <v/>
      </c>
    </row>
    <row r="596" ht="18" customHeight="1">
      <c r="A596" s="18" t="n"/>
      <c r="B596" s="24" t="n"/>
      <c r="C596" s="19" t="n"/>
      <c r="D596" s="25" t="n"/>
      <c r="E596" s="18" t="n"/>
      <c r="F596" s="25" t="n"/>
      <c r="G596" s="18" t="n"/>
      <c r="H596" s="18" t="n"/>
      <c r="I596" s="26">
        <f>IF(OR($A596="",$F596=""),"",ROUND(IF($D596="",1,$D596)*$F596,0))</f>
        <v/>
      </c>
      <c r="J596" s="27">
        <f>IF($A596="","",IF($O596="なし","※通知一覧にない通知No",IF($P596="","",INDEX('支払先'!$C$5:$C$104,$P596)&amp;"")))</f>
        <v/>
      </c>
      <c r="K596" s="28">
        <f>IF(NOT(ISNUMBER($O596)),"",IF(ISNUMBER(INDEX('通知一覧'!$F$5:$F$204,$O596)),INDEX('通知一覧'!$F$5:$F$204,$O596),""))</f>
        <v/>
      </c>
      <c r="L596" s="29">
        <f>IF(AND(ISNUMBER($B596),ISNUMBER($K596)),$K596-$B596+1,"")</f>
        <v/>
      </c>
      <c r="M596" s="30">
        <f>IF(OR($L596="",$P596=""),"",IF(INDEX('支払先'!$M$5:$M$104,$P596)="対象外","",IF(AND($L596&gt;60,$K596&gt;=EDATE($B596,2)),"超える","")))</f>
        <v/>
      </c>
      <c r="N596" s="67" t="n"/>
      <c r="O596" s="31">
        <f>IF($A596="","",IFERROR(MATCH($A596,'通知一覧'!$B$5:$B$204,0),"なし"))</f>
        <v/>
      </c>
      <c r="P596" s="31">
        <f>IF(NOT(ISNUMBER($O596)),"",IFERROR(MATCH(INDEX('通知一覧'!$C$5:$C$204,$O596),'支払先'!$B$5:$B$104,0),""))</f>
        <v/>
      </c>
      <c r="Q596" s="31">
        <f>IF(AND($A596&lt;&gt;"",$A596='支払通知書'!$K$2),ROW(),"")</f>
        <v/>
      </c>
    </row>
    <row r="597" ht="18" customHeight="1">
      <c r="A597" s="18" t="n"/>
      <c r="B597" s="24" t="n"/>
      <c r="C597" s="19" t="n"/>
      <c r="D597" s="25" t="n"/>
      <c r="E597" s="18" t="n"/>
      <c r="F597" s="25" t="n"/>
      <c r="G597" s="18" t="n"/>
      <c r="H597" s="18" t="n"/>
      <c r="I597" s="26">
        <f>IF(OR($A597="",$F597=""),"",ROUND(IF($D597="",1,$D597)*$F597,0))</f>
        <v/>
      </c>
      <c r="J597" s="27">
        <f>IF($A597="","",IF($O597="なし","※通知一覧にない通知No",IF($P597="","",INDEX('支払先'!$C$5:$C$104,$P597)&amp;"")))</f>
        <v/>
      </c>
      <c r="K597" s="28">
        <f>IF(NOT(ISNUMBER($O597)),"",IF(ISNUMBER(INDEX('通知一覧'!$F$5:$F$204,$O597)),INDEX('通知一覧'!$F$5:$F$204,$O597),""))</f>
        <v/>
      </c>
      <c r="L597" s="29">
        <f>IF(AND(ISNUMBER($B597),ISNUMBER($K597)),$K597-$B597+1,"")</f>
        <v/>
      </c>
      <c r="M597" s="30">
        <f>IF(OR($L597="",$P597=""),"",IF(INDEX('支払先'!$M$5:$M$104,$P597)="対象外","",IF(AND($L597&gt;60,$K597&gt;=EDATE($B597,2)),"超える","")))</f>
        <v/>
      </c>
      <c r="N597" s="67" t="n"/>
      <c r="O597" s="31">
        <f>IF($A597="","",IFERROR(MATCH($A597,'通知一覧'!$B$5:$B$204,0),"なし"))</f>
        <v/>
      </c>
      <c r="P597" s="31">
        <f>IF(NOT(ISNUMBER($O597)),"",IFERROR(MATCH(INDEX('通知一覧'!$C$5:$C$204,$O597),'支払先'!$B$5:$B$104,0),""))</f>
        <v/>
      </c>
      <c r="Q597" s="31">
        <f>IF(AND($A597&lt;&gt;"",$A597='支払通知書'!$K$2),ROW(),"")</f>
        <v/>
      </c>
    </row>
    <row r="598" ht="18" customHeight="1">
      <c r="A598" s="18" t="n"/>
      <c r="B598" s="24" t="n"/>
      <c r="C598" s="19" t="n"/>
      <c r="D598" s="25" t="n"/>
      <c r="E598" s="18" t="n"/>
      <c r="F598" s="25" t="n"/>
      <c r="G598" s="18" t="n"/>
      <c r="H598" s="18" t="n"/>
      <c r="I598" s="26">
        <f>IF(OR($A598="",$F598=""),"",ROUND(IF($D598="",1,$D598)*$F598,0))</f>
        <v/>
      </c>
      <c r="J598" s="27">
        <f>IF($A598="","",IF($O598="なし","※通知一覧にない通知No",IF($P598="","",INDEX('支払先'!$C$5:$C$104,$P598)&amp;"")))</f>
        <v/>
      </c>
      <c r="K598" s="28">
        <f>IF(NOT(ISNUMBER($O598)),"",IF(ISNUMBER(INDEX('通知一覧'!$F$5:$F$204,$O598)),INDEX('通知一覧'!$F$5:$F$204,$O598),""))</f>
        <v/>
      </c>
      <c r="L598" s="29">
        <f>IF(AND(ISNUMBER($B598),ISNUMBER($K598)),$K598-$B598+1,"")</f>
        <v/>
      </c>
      <c r="M598" s="30">
        <f>IF(OR($L598="",$P598=""),"",IF(INDEX('支払先'!$M$5:$M$104,$P598)="対象外","",IF(AND($L598&gt;60,$K598&gt;=EDATE($B598,2)),"超える","")))</f>
        <v/>
      </c>
      <c r="N598" s="67" t="n"/>
      <c r="O598" s="31">
        <f>IF($A598="","",IFERROR(MATCH($A598,'通知一覧'!$B$5:$B$204,0),"なし"))</f>
        <v/>
      </c>
      <c r="P598" s="31">
        <f>IF(NOT(ISNUMBER($O598)),"",IFERROR(MATCH(INDEX('通知一覧'!$C$5:$C$204,$O598),'支払先'!$B$5:$B$104,0),""))</f>
        <v/>
      </c>
      <c r="Q598" s="31">
        <f>IF(AND($A598&lt;&gt;"",$A598='支払通知書'!$K$2),ROW(),"")</f>
        <v/>
      </c>
    </row>
    <row r="599" ht="18" customHeight="1">
      <c r="A599" s="18" t="n"/>
      <c r="B599" s="24" t="n"/>
      <c r="C599" s="19" t="n"/>
      <c r="D599" s="25" t="n"/>
      <c r="E599" s="18" t="n"/>
      <c r="F599" s="25" t="n"/>
      <c r="G599" s="18" t="n"/>
      <c r="H599" s="18" t="n"/>
      <c r="I599" s="26">
        <f>IF(OR($A599="",$F599=""),"",ROUND(IF($D599="",1,$D599)*$F599,0))</f>
        <v/>
      </c>
      <c r="J599" s="27">
        <f>IF($A599="","",IF($O599="なし","※通知一覧にない通知No",IF($P599="","",INDEX('支払先'!$C$5:$C$104,$P599)&amp;"")))</f>
        <v/>
      </c>
      <c r="K599" s="28">
        <f>IF(NOT(ISNUMBER($O599)),"",IF(ISNUMBER(INDEX('通知一覧'!$F$5:$F$204,$O599)),INDEX('通知一覧'!$F$5:$F$204,$O599),""))</f>
        <v/>
      </c>
      <c r="L599" s="29">
        <f>IF(AND(ISNUMBER($B599),ISNUMBER($K599)),$K599-$B599+1,"")</f>
        <v/>
      </c>
      <c r="M599" s="30">
        <f>IF(OR($L599="",$P599=""),"",IF(INDEX('支払先'!$M$5:$M$104,$P599)="対象外","",IF(AND($L599&gt;60,$K599&gt;=EDATE($B599,2)),"超える","")))</f>
        <v/>
      </c>
      <c r="N599" s="67" t="n"/>
      <c r="O599" s="31">
        <f>IF($A599="","",IFERROR(MATCH($A599,'通知一覧'!$B$5:$B$204,0),"なし"))</f>
        <v/>
      </c>
      <c r="P599" s="31">
        <f>IF(NOT(ISNUMBER($O599)),"",IFERROR(MATCH(INDEX('通知一覧'!$C$5:$C$204,$O599),'支払先'!$B$5:$B$104,0),""))</f>
        <v/>
      </c>
      <c r="Q599" s="31">
        <f>IF(AND($A599&lt;&gt;"",$A599='支払通知書'!$K$2),ROW(),"")</f>
        <v/>
      </c>
    </row>
    <row r="600" ht="18" customHeight="1">
      <c r="A600" s="18" t="n"/>
      <c r="B600" s="24" t="n"/>
      <c r="C600" s="19" t="n"/>
      <c r="D600" s="25" t="n"/>
      <c r="E600" s="18" t="n"/>
      <c r="F600" s="25" t="n"/>
      <c r="G600" s="18" t="n"/>
      <c r="H600" s="18" t="n"/>
      <c r="I600" s="26">
        <f>IF(OR($A600="",$F600=""),"",ROUND(IF($D600="",1,$D600)*$F600,0))</f>
        <v/>
      </c>
      <c r="J600" s="27">
        <f>IF($A600="","",IF($O600="なし","※通知一覧にない通知No",IF($P600="","",INDEX('支払先'!$C$5:$C$104,$P600)&amp;"")))</f>
        <v/>
      </c>
      <c r="K600" s="28">
        <f>IF(NOT(ISNUMBER($O600)),"",IF(ISNUMBER(INDEX('通知一覧'!$F$5:$F$204,$O600)),INDEX('通知一覧'!$F$5:$F$204,$O600),""))</f>
        <v/>
      </c>
      <c r="L600" s="29">
        <f>IF(AND(ISNUMBER($B600),ISNUMBER($K600)),$K600-$B600+1,"")</f>
        <v/>
      </c>
      <c r="M600" s="30">
        <f>IF(OR($L600="",$P600=""),"",IF(INDEX('支払先'!$M$5:$M$104,$P600)="対象外","",IF(AND($L600&gt;60,$K600&gt;=EDATE($B600,2)),"超える","")))</f>
        <v/>
      </c>
      <c r="N600" s="67" t="n"/>
      <c r="O600" s="31">
        <f>IF($A600="","",IFERROR(MATCH($A600,'通知一覧'!$B$5:$B$204,0),"なし"))</f>
        <v/>
      </c>
      <c r="P600" s="31">
        <f>IF(NOT(ISNUMBER($O600)),"",IFERROR(MATCH(INDEX('通知一覧'!$C$5:$C$204,$O600),'支払先'!$B$5:$B$104,0),""))</f>
        <v/>
      </c>
      <c r="Q600" s="31">
        <f>IF(AND($A600&lt;&gt;"",$A600='支払通知書'!$K$2),ROW(),"")</f>
        <v/>
      </c>
    </row>
    <row r="601" ht="18" customHeight="1">
      <c r="A601" s="18" t="n"/>
      <c r="B601" s="24" t="n"/>
      <c r="C601" s="19" t="n"/>
      <c r="D601" s="25" t="n"/>
      <c r="E601" s="18" t="n"/>
      <c r="F601" s="25" t="n"/>
      <c r="G601" s="18" t="n"/>
      <c r="H601" s="18" t="n"/>
      <c r="I601" s="26">
        <f>IF(OR($A601="",$F601=""),"",ROUND(IF($D601="",1,$D601)*$F601,0))</f>
        <v/>
      </c>
      <c r="J601" s="27">
        <f>IF($A601="","",IF($O601="なし","※通知一覧にない通知No",IF($P601="","",INDEX('支払先'!$C$5:$C$104,$P601)&amp;"")))</f>
        <v/>
      </c>
      <c r="K601" s="28">
        <f>IF(NOT(ISNUMBER($O601)),"",IF(ISNUMBER(INDEX('通知一覧'!$F$5:$F$204,$O601)),INDEX('通知一覧'!$F$5:$F$204,$O601),""))</f>
        <v/>
      </c>
      <c r="L601" s="29">
        <f>IF(AND(ISNUMBER($B601),ISNUMBER($K601)),$K601-$B601+1,"")</f>
        <v/>
      </c>
      <c r="M601" s="30">
        <f>IF(OR($L601="",$P601=""),"",IF(INDEX('支払先'!$M$5:$M$104,$P601)="対象外","",IF(AND($L601&gt;60,$K601&gt;=EDATE($B601,2)),"超える","")))</f>
        <v/>
      </c>
      <c r="N601" s="67" t="n"/>
      <c r="O601" s="31">
        <f>IF($A601="","",IFERROR(MATCH($A601,'通知一覧'!$B$5:$B$204,0),"なし"))</f>
        <v/>
      </c>
      <c r="P601" s="31">
        <f>IF(NOT(ISNUMBER($O601)),"",IFERROR(MATCH(INDEX('通知一覧'!$C$5:$C$204,$O601),'支払先'!$B$5:$B$104,0),""))</f>
        <v/>
      </c>
      <c r="Q601" s="31">
        <f>IF(AND($A601&lt;&gt;"",$A601='支払通知書'!$K$2),ROW(),"")</f>
        <v/>
      </c>
    </row>
    <row r="602" ht="18" customHeight="1">
      <c r="A602" s="18" t="n"/>
      <c r="B602" s="24" t="n"/>
      <c r="C602" s="19" t="n"/>
      <c r="D602" s="25" t="n"/>
      <c r="E602" s="18" t="n"/>
      <c r="F602" s="25" t="n"/>
      <c r="G602" s="18" t="n"/>
      <c r="H602" s="18" t="n"/>
      <c r="I602" s="26">
        <f>IF(OR($A602="",$F602=""),"",ROUND(IF($D602="",1,$D602)*$F602,0))</f>
        <v/>
      </c>
      <c r="J602" s="27">
        <f>IF($A602="","",IF($O602="なし","※通知一覧にない通知No",IF($P602="","",INDEX('支払先'!$C$5:$C$104,$P602)&amp;"")))</f>
        <v/>
      </c>
      <c r="K602" s="28">
        <f>IF(NOT(ISNUMBER($O602)),"",IF(ISNUMBER(INDEX('通知一覧'!$F$5:$F$204,$O602)),INDEX('通知一覧'!$F$5:$F$204,$O602),""))</f>
        <v/>
      </c>
      <c r="L602" s="29">
        <f>IF(AND(ISNUMBER($B602),ISNUMBER($K602)),$K602-$B602+1,"")</f>
        <v/>
      </c>
      <c r="M602" s="30">
        <f>IF(OR($L602="",$P602=""),"",IF(INDEX('支払先'!$M$5:$M$104,$P602)="対象外","",IF(AND($L602&gt;60,$K602&gt;=EDATE($B602,2)),"超える","")))</f>
        <v/>
      </c>
      <c r="N602" s="67" t="n"/>
      <c r="O602" s="31">
        <f>IF($A602="","",IFERROR(MATCH($A602,'通知一覧'!$B$5:$B$204,0),"なし"))</f>
        <v/>
      </c>
      <c r="P602" s="31">
        <f>IF(NOT(ISNUMBER($O602)),"",IFERROR(MATCH(INDEX('通知一覧'!$C$5:$C$204,$O602),'支払先'!$B$5:$B$104,0),""))</f>
        <v/>
      </c>
      <c r="Q602" s="31">
        <f>IF(AND($A602&lt;&gt;"",$A602='支払通知書'!$K$2),ROW(),"")</f>
        <v/>
      </c>
    </row>
    <row r="603" ht="18" customHeight="1">
      <c r="A603" s="18" t="n"/>
      <c r="B603" s="24" t="n"/>
      <c r="C603" s="19" t="n"/>
      <c r="D603" s="25" t="n"/>
      <c r="E603" s="18" t="n"/>
      <c r="F603" s="25" t="n"/>
      <c r="G603" s="18" t="n"/>
      <c r="H603" s="18" t="n"/>
      <c r="I603" s="26">
        <f>IF(OR($A603="",$F603=""),"",ROUND(IF($D603="",1,$D603)*$F603,0))</f>
        <v/>
      </c>
      <c r="J603" s="27">
        <f>IF($A603="","",IF($O603="なし","※通知一覧にない通知No",IF($P603="","",INDEX('支払先'!$C$5:$C$104,$P603)&amp;"")))</f>
        <v/>
      </c>
      <c r="K603" s="28">
        <f>IF(NOT(ISNUMBER($O603)),"",IF(ISNUMBER(INDEX('通知一覧'!$F$5:$F$204,$O603)),INDEX('通知一覧'!$F$5:$F$204,$O603),""))</f>
        <v/>
      </c>
      <c r="L603" s="29">
        <f>IF(AND(ISNUMBER($B603),ISNUMBER($K603)),$K603-$B603+1,"")</f>
        <v/>
      </c>
      <c r="M603" s="30">
        <f>IF(OR($L603="",$P603=""),"",IF(INDEX('支払先'!$M$5:$M$104,$P603)="対象外","",IF(AND($L603&gt;60,$K603&gt;=EDATE($B603,2)),"超える","")))</f>
        <v/>
      </c>
      <c r="N603" s="67" t="n"/>
      <c r="O603" s="31">
        <f>IF($A603="","",IFERROR(MATCH($A603,'通知一覧'!$B$5:$B$204,0),"なし"))</f>
        <v/>
      </c>
      <c r="P603" s="31">
        <f>IF(NOT(ISNUMBER($O603)),"",IFERROR(MATCH(INDEX('通知一覧'!$C$5:$C$204,$O603),'支払先'!$B$5:$B$104,0),""))</f>
        <v/>
      </c>
      <c r="Q603" s="31">
        <f>IF(AND($A603&lt;&gt;"",$A603='支払通知書'!$K$2),ROW(),"")</f>
        <v/>
      </c>
    </row>
    <row r="604" ht="18" customHeight="1">
      <c r="A604" s="18" t="n"/>
      <c r="B604" s="24" t="n"/>
      <c r="C604" s="19" t="n"/>
      <c r="D604" s="25" t="n"/>
      <c r="E604" s="18" t="n"/>
      <c r="F604" s="25" t="n"/>
      <c r="G604" s="18" t="n"/>
      <c r="H604" s="18" t="n"/>
      <c r="I604" s="26">
        <f>IF(OR($A604="",$F604=""),"",ROUND(IF($D604="",1,$D604)*$F604,0))</f>
        <v/>
      </c>
      <c r="J604" s="27">
        <f>IF($A604="","",IF($O604="なし","※通知一覧にない通知No",IF($P604="","",INDEX('支払先'!$C$5:$C$104,$P604)&amp;"")))</f>
        <v/>
      </c>
      <c r="K604" s="28">
        <f>IF(NOT(ISNUMBER($O604)),"",IF(ISNUMBER(INDEX('通知一覧'!$F$5:$F$204,$O604)),INDEX('通知一覧'!$F$5:$F$204,$O604),""))</f>
        <v/>
      </c>
      <c r="L604" s="29">
        <f>IF(AND(ISNUMBER($B604),ISNUMBER($K604)),$K604-$B604+1,"")</f>
        <v/>
      </c>
      <c r="M604" s="30">
        <f>IF(OR($L604="",$P604=""),"",IF(INDEX('支払先'!$M$5:$M$104,$P604)="対象外","",IF(AND($L604&gt;60,$K604&gt;=EDATE($B604,2)),"超える","")))</f>
        <v/>
      </c>
      <c r="N604" s="67" t="n"/>
      <c r="O604" s="31">
        <f>IF($A604="","",IFERROR(MATCH($A604,'通知一覧'!$B$5:$B$204,0),"なし"))</f>
        <v/>
      </c>
      <c r="P604" s="31">
        <f>IF(NOT(ISNUMBER($O604)),"",IFERROR(MATCH(INDEX('通知一覧'!$C$5:$C$204,$O604),'支払先'!$B$5:$B$104,0),""))</f>
        <v/>
      </c>
      <c r="Q604" s="31">
        <f>IF(AND($A604&lt;&gt;"",$A604='支払通知書'!$K$2),ROW(),"")</f>
        <v/>
      </c>
    </row>
    <row r="605" ht="18" customHeight="1">
      <c r="A605" s="18" t="n"/>
      <c r="B605" s="24" t="n"/>
      <c r="C605" s="19" t="n"/>
      <c r="D605" s="25" t="n"/>
      <c r="E605" s="18" t="n"/>
      <c r="F605" s="25" t="n"/>
      <c r="G605" s="18" t="n"/>
      <c r="H605" s="18" t="n"/>
      <c r="I605" s="26">
        <f>IF(OR($A605="",$F605=""),"",ROUND(IF($D605="",1,$D605)*$F605,0))</f>
        <v/>
      </c>
      <c r="J605" s="27">
        <f>IF($A605="","",IF($O605="なし","※通知一覧にない通知No",IF($P605="","",INDEX('支払先'!$C$5:$C$104,$P605)&amp;"")))</f>
        <v/>
      </c>
      <c r="K605" s="28">
        <f>IF(NOT(ISNUMBER($O605)),"",IF(ISNUMBER(INDEX('通知一覧'!$F$5:$F$204,$O605)),INDEX('通知一覧'!$F$5:$F$204,$O605),""))</f>
        <v/>
      </c>
      <c r="L605" s="29">
        <f>IF(AND(ISNUMBER($B605),ISNUMBER($K605)),$K605-$B605+1,"")</f>
        <v/>
      </c>
      <c r="M605" s="30">
        <f>IF(OR($L605="",$P605=""),"",IF(INDEX('支払先'!$M$5:$M$104,$P605)="対象外","",IF(AND($L605&gt;60,$K605&gt;=EDATE($B605,2)),"超える","")))</f>
        <v/>
      </c>
      <c r="N605" s="67" t="n"/>
      <c r="O605" s="31">
        <f>IF($A605="","",IFERROR(MATCH($A605,'通知一覧'!$B$5:$B$204,0),"なし"))</f>
        <v/>
      </c>
      <c r="P605" s="31">
        <f>IF(NOT(ISNUMBER($O605)),"",IFERROR(MATCH(INDEX('通知一覧'!$C$5:$C$204,$O605),'支払先'!$B$5:$B$104,0),""))</f>
        <v/>
      </c>
      <c r="Q605" s="31">
        <f>IF(AND($A605&lt;&gt;"",$A605='支払通知書'!$K$2),ROW(),"")</f>
        <v/>
      </c>
    </row>
    <row r="606" ht="18" customHeight="1">
      <c r="A606" s="18" t="n"/>
      <c r="B606" s="24" t="n"/>
      <c r="C606" s="19" t="n"/>
      <c r="D606" s="25" t="n"/>
      <c r="E606" s="18" t="n"/>
      <c r="F606" s="25" t="n"/>
      <c r="G606" s="18" t="n"/>
      <c r="H606" s="18" t="n"/>
      <c r="I606" s="26">
        <f>IF(OR($A606="",$F606=""),"",ROUND(IF($D606="",1,$D606)*$F606,0))</f>
        <v/>
      </c>
      <c r="J606" s="27">
        <f>IF($A606="","",IF($O606="なし","※通知一覧にない通知No",IF($P606="","",INDEX('支払先'!$C$5:$C$104,$P606)&amp;"")))</f>
        <v/>
      </c>
      <c r="K606" s="28">
        <f>IF(NOT(ISNUMBER($O606)),"",IF(ISNUMBER(INDEX('通知一覧'!$F$5:$F$204,$O606)),INDEX('通知一覧'!$F$5:$F$204,$O606),""))</f>
        <v/>
      </c>
      <c r="L606" s="29">
        <f>IF(AND(ISNUMBER($B606),ISNUMBER($K606)),$K606-$B606+1,"")</f>
        <v/>
      </c>
      <c r="M606" s="30">
        <f>IF(OR($L606="",$P606=""),"",IF(INDEX('支払先'!$M$5:$M$104,$P606)="対象外","",IF(AND($L606&gt;60,$K606&gt;=EDATE($B606,2)),"超える","")))</f>
        <v/>
      </c>
      <c r="N606" s="67" t="n"/>
      <c r="O606" s="31">
        <f>IF($A606="","",IFERROR(MATCH($A606,'通知一覧'!$B$5:$B$204,0),"なし"))</f>
        <v/>
      </c>
      <c r="P606" s="31">
        <f>IF(NOT(ISNUMBER($O606)),"",IFERROR(MATCH(INDEX('通知一覧'!$C$5:$C$204,$O606),'支払先'!$B$5:$B$104,0),""))</f>
        <v/>
      </c>
      <c r="Q606" s="31">
        <f>IF(AND($A606&lt;&gt;"",$A606='支払通知書'!$K$2),ROW(),"")</f>
        <v/>
      </c>
    </row>
    <row r="607" ht="18" customHeight="1">
      <c r="A607" s="18" t="n"/>
      <c r="B607" s="24" t="n"/>
      <c r="C607" s="19" t="n"/>
      <c r="D607" s="25" t="n"/>
      <c r="E607" s="18" t="n"/>
      <c r="F607" s="25" t="n"/>
      <c r="G607" s="18" t="n"/>
      <c r="H607" s="18" t="n"/>
      <c r="I607" s="26">
        <f>IF(OR($A607="",$F607=""),"",ROUND(IF($D607="",1,$D607)*$F607,0))</f>
        <v/>
      </c>
      <c r="J607" s="27">
        <f>IF($A607="","",IF($O607="なし","※通知一覧にない通知No",IF($P607="","",INDEX('支払先'!$C$5:$C$104,$P607)&amp;"")))</f>
        <v/>
      </c>
      <c r="K607" s="28">
        <f>IF(NOT(ISNUMBER($O607)),"",IF(ISNUMBER(INDEX('通知一覧'!$F$5:$F$204,$O607)),INDEX('通知一覧'!$F$5:$F$204,$O607),""))</f>
        <v/>
      </c>
      <c r="L607" s="29">
        <f>IF(AND(ISNUMBER($B607),ISNUMBER($K607)),$K607-$B607+1,"")</f>
        <v/>
      </c>
      <c r="M607" s="30">
        <f>IF(OR($L607="",$P607=""),"",IF(INDEX('支払先'!$M$5:$M$104,$P607)="対象外","",IF(AND($L607&gt;60,$K607&gt;=EDATE($B607,2)),"超える","")))</f>
        <v/>
      </c>
      <c r="N607" s="67" t="n"/>
      <c r="O607" s="31">
        <f>IF($A607="","",IFERROR(MATCH($A607,'通知一覧'!$B$5:$B$204,0),"なし"))</f>
        <v/>
      </c>
      <c r="P607" s="31">
        <f>IF(NOT(ISNUMBER($O607)),"",IFERROR(MATCH(INDEX('通知一覧'!$C$5:$C$204,$O607),'支払先'!$B$5:$B$104,0),""))</f>
        <v/>
      </c>
      <c r="Q607" s="31">
        <f>IF(AND($A607&lt;&gt;"",$A607='支払通知書'!$K$2),ROW(),"")</f>
        <v/>
      </c>
    </row>
    <row r="608" ht="18" customHeight="1">
      <c r="A608" s="18" t="n"/>
      <c r="B608" s="24" t="n"/>
      <c r="C608" s="19" t="n"/>
      <c r="D608" s="25" t="n"/>
      <c r="E608" s="18" t="n"/>
      <c r="F608" s="25" t="n"/>
      <c r="G608" s="18" t="n"/>
      <c r="H608" s="18" t="n"/>
      <c r="I608" s="26">
        <f>IF(OR($A608="",$F608=""),"",ROUND(IF($D608="",1,$D608)*$F608,0))</f>
        <v/>
      </c>
      <c r="J608" s="27">
        <f>IF($A608="","",IF($O608="なし","※通知一覧にない通知No",IF($P608="","",INDEX('支払先'!$C$5:$C$104,$P608)&amp;"")))</f>
        <v/>
      </c>
      <c r="K608" s="28">
        <f>IF(NOT(ISNUMBER($O608)),"",IF(ISNUMBER(INDEX('通知一覧'!$F$5:$F$204,$O608)),INDEX('通知一覧'!$F$5:$F$204,$O608),""))</f>
        <v/>
      </c>
      <c r="L608" s="29">
        <f>IF(AND(ISNUMBER($B608),ISNUMBER($K608)),$K608-$B608+1,"")</f>
        <v/>
      </c>
      <c r="M608" s="30">
        <f>IF(OR($L608="",$P608=""),"",IF(INDEX('支払先'!$M$5:$M$104,$P608)="対象外","",IF(AND($L608&gt;60,$K608&gt;=EDATE($B608,2)),"超える","")))</f>
        <v/>
      </c>
      <c r="N608" s="67" t="n"/>
      <c r="O608" s="31">
        <f>IF($A608="","",IFERROR(MATCH($A608,'通知一覧'!$B$5:$B$204,0),"なし"))</f>
        <v/>
      </c>
      <c r="P608" s="31">
        <f>IF(NOT(ISNUMBER($O608)),"",IFERROR(MATCH(INDEX('通知一覧'!$C$5:$C$204,$O608),'支払先'!$B$5:$B$104,0),""))</f>
        <v/>
      </c>
      <c r="Q608" s="31">
        <f>IF(AND($A608&lt;&gt;"",$A608='支払通知書'!$K$2),ROW(),"")</f>
        <v/>
      </c>
    </row>
    <row r="609" ht="18" customHeight="1">
      <c r="A609" s="18" t="n"/>
      <c r="B609" s="24" t="n"/>
      <c r="C609" s="19" t="n"/>
      <c r="D609" s="25" t="n"/>
      <c r="E609" s="18" t="n"/>
      <c r="F609" s="25" t="n"/>
      <c r="G609" s="18" t="n"/>
      <c r="H609" s="18" t="n"/>
      <c r="I609" s="26">
        <f>IF(OR($A609="",$F609=""),"",ROUND(IF($D609="",1,$D609)*$F609,0))</f>
        <v/>
      </c>
      <c r="J609" s="27">
        <f>IF($A609="","",IF($O609="なし","※通知一覧にない通知No",IF($P609="","",INDEX('支払先'!$C$5:$C$104,$P609)&amp;"")))</f>
        <v/>
      </c>
      <c r="K609" s="28">
        <f>IF(NOT(ISNUMBER($O609)),"",IF(ISNUMBER(INDEX('通知一覧'!$F$5:$F$204,$O609)),INDEX('通知一覧'!$F$5:$F$204,$O609),""))</f>
        <v/>
      </c>
      <c r="L609" s="29">
        <f>IF(AND(ISNUMBER($B609),ISNUMBER($K609)),$K609-$B609+1,"")</f>
        <v/>
      </c>
      <c r="M609" s="30">
        <f>IF(OR($L609="",$P609=""),"",IF(INDEX('支払先'!$M$5:$M$104,$P609)="対象外","",IF(AND($L609&gt;60,$K609&gt;=EDATE($B609,2)),"超える","")))</f>
        <v/>
      </c>
      <c r="N609" s="67" t="n"/>
      <c r="O609" s="31">
        <f>IF($A609="","",IFERROR(MATCH($A609,'通知一覧'!$B$5:$B$204,0),"なし"))</f>
        <v/>
      </c>
      <c r="P609" s="31">
        <f>IF(NOT(ISNUMBER($O609)),"",IFERROR(MATCH(INDEX('通知一覧'!$C$5:$C$204,$O609),'支払先'!$B$5:$B$104,0),""))</f>
        <v/>
      </c>
      <c r="Q609" s="31">
        <f>IF(AND($A609&lt;&gt;"",$A609='支払通知書'!$K$2),ROW(),"")</f>
        <v/>
      </c>
    </row>
    <row r="610" ht="18" customHeight="1">
      <c r="A610" s="18" t="n"/>
      <c r="B610" s="24" t="n"/>
      <c r="C610" s="19" t="n"/>
      <c r="D610" s="25" t="n"/>
      <c r="E610" s="18" t="n"/>
      <c r="F610" s="25" t="n"/>
      <c r="G610" s="18" t="n"/>
      <c r="H610" s="18" t="n"/>
      <c r="I610" s="26">
        <f>IF(OR($A610="",$F610=""),"",ROUND(IF($D610="",1,$D610)*$F610,0))</f>
        <v/>
      </c>
      <c r="J610" s="27">
        <f>IF($A610="","",IF($O610="なし","※通知一覧にない通知No",IF($P610="","",INDEX('支払先'!$C$5:$C$104,$P610)&amp;"")))</f>
        <v/>
      </c>
      <c r="K610" s="28">
        <f>IF(NOT(ISNUMBER($O610)),"",IF(ISNUMBER(INDEX('通知一覧'!$F$5:$F$204,$O610)),INDEX('通知一覧'!$F$5:$F$204,$O610),""))</f>
        <v/>
      </c>
      <c r="L610" s="29">
        <f>IF(AND(ISNUMBER($B610),ISNUMBER($K610)),$K610-$B610+1,"")</f>
        <v/>
      </c>
      <c r="M610" s="30">
        <f>IF(OR($L610="",$P610=""),"",IF(INDEX('支払先'!$M$5:$M$104,$P610)="対象外","",IF(AND($L610&gt;60,$K610&gt;=EDATE($B610,2)),"超える","")))</f>
        <v/>
      </c>
      <c r="N610" s="67" t="n"/>
      <c r="O610" s="31">
        <f>IF($A610="","",IFERROR(MATCH($A610,'通知一覧'!$B$5:$B$204,0),"なし"))</f>
        <v/>
      </c>
      <c r="P610" s="31">
        <f>IF(NOT(ISNUMBER($O610)),"",IFERROR(MATCH(INDEX('通知一覧'!$C$5:$C$204,$O610),'支払先'!$B$5:$B$104,0),""))</f>
        <v/>
      </c>
      <c r="Q610" s="31">
        <f>IF(AND($A610&lt;&gt;"",$A610='支払通知書'!$K$2),ROW(),"")</f>
        <v/>
      </c>
    </row>
    <row r="611" ht="18" customHeight="1">
      <c r="A611" s="18" t="n"/>
      <c r="B611" s="24" t="n"/>
      <c r="C611" s="19" t="n"/>
      <c r="D611" s="25" t="n"/>
      <c r="E611" s="18" t="n"/>
      <c r="F611" s="25" t="n"/>
      <c r="G611" s="18" t="n"/>
      <c r="H611" s="18" t="n"/>
      <c r="I611" s="26">
        <f>IF(OR($A611="",$F611=""),"",ROUND(IF($D611="",1,$D611)*$F611,0))</f>
        <v/>
      </c>
      <c r="J611" s="27">
        <f>IF($A611="","",IF($O611="なし","※通知一覧にない通知No",IF($P611="","",INDEX('支払先'!$C$5:$C$104,$P611)&amp;"")))</f>
        <v/>
      </c>
      <c r="K611" s="28">
        <f>IF(NOT(ISNUMBER($O611)),"",IF(ISNUMBER(INDEX('通知一覧'!$F$5:$F$204,$O611)),INDEX('通知一覧'!$F$5:$F$204,$O611),""))</f>
        <v/>
      </c>
      <c r="L611" s="29">
        <f>IF(AND(ISNUMBER($B611),ISNUMBER($K611)),$K611-$B611+1,"")</f>
        <v/>
      </c>
      <c r="M611" s="30">
        <f>IF(OR($L611="",$P611=""),"",IF(INDEX('支払先'!$M$5:$M$104,$P611)="対象外","",IF(AND($L611&gt;60,$K611&gt;=EDATE($B611,2)),"超える","")))</f>
        <v/>
      </c>
      <c r="N611" s="67" t="n"/>
      <c r="O611" s="31">
        <f>IF($A611="","",IFERROR(MATCH($A611,'通知一覧'!$B$5:$B$204,0),"なし"))</f>
        <v/>
      </c>
      <c r="P611" s="31">
        <f>IF(NOT(ISNUMBER($O611)),"",IFERROR(MATCH(INDEX('通知一覧'!$C$5:$C$204,$O611),'支払先'!$B$5:$B$104,0),""))</f>
        <v/>
      </c>
      <c r="Q611" s="31">
        <f>IF(AND($A611&lt;&gt;"",$A611='支払通知書'!$K$2),ROW(),"")</f>
        <v/>
      </c>
    </row>
    <row r="612" ht="18" customHeight="1">
      <c r="A612" s="18" t="n"/>
      <c r="B612" s="24" t="n"/>
      <c r="C612" s="19" t="n"/>
      <c r="D612" s="25" t="n"/>
      <c r="E612" s="18" t="n"/>
      <c r="F612" s="25" t="n"/>
      <c r="G612" s="18" t="n"/>
      <c r="H612" s="18" t="n"/>
      <c r="I612" s="26">
        <f>IF(OR($A612="",$F612=""),"",ROUND(IF($D612="",1,$D612)*$F612,0))</f>
        <v/>
      </c>
      <c r="J612" s="27">
        <f>IF($A612="","",IF($O612="なし","※通知一覧にない通知No",IF($P612="","",INDEX('支払先'!$C$5:$C$104,$P612)&amp;"")))</f>
        <v/>
      </c>
      <c r="K612" s="28">
        <f>IF(NOT(ISNUMBER($O612)),"",IF(ISNUMBER(INDEX('通知一覧'!$F$5:$F$204,$O612)),INDEX('通知一覧'!$F$5:$F$204,$O612),""))</f>
        <v/>
      </c>
      <c r="L612" s="29">
        <f>IF(AND(ISNUMBER($B612),ISNUMBER($K612)),$K612-$B612+1,"")</f>
        <v/>
      </c>
      <c r="M612" s="30">
        <f>IF(OR($L612="",$P612=""),"",IF(INDEX('支払先'!$M$5:$M$104,$P612)="対象外","",IF(AND($L612&gt;60,$K612&gt;=EDATE($B612,2)),"超える","")))</f>
        <v/>
      </c>
      <c r="N612" s="67" t="n"/>
      <c r="O612" s="31">
        <f>IF($A612="","",IFERROR(MATCH($A612,'通知一覧'!$B$5:$B$204,0),"なし"))</f>
        <v/>
      </c>
      <c r="P612" s="31">
        <f>IF(NOT(ISNUMBER($O612)),"",IFERROR(MATCH(INDEX('通知一覧'!$C$5:$C$204,$O612),'支払先'!$B$5:$B$104,0),""))</f>
        <v/>
      </c>
      <c r="Q612" s="31">
        <f>IF(AND($A612&lt;&gt;"",$A612='支払通知書'!$K$2),ROW(),"")</f>
        <v/>
      </c>
    </row>
    <row r="613" ht="18" customHeight="1">
      <c r="A613" s="18" t="n"/>
      <c r="B613" s="24" t="n"/>
      <c r="C613" s="19" t="n"/>
      <c r="D613" s="25" t="n"/>
      <c r="E613" s="18" t="n"/>
      <c r="F613" s="25" t="n"/>
      <c r="G613" s="18" t="n"/>
      <c r="H613" s="18" t="n"/>
      <c r="I613" s="26">
        <f>IF(OR($A613="",$F613=""),"",ROUND(IF($D613="",1,$D613)*$F613,0))</f>
        <v/>
      </c>
      <c r="J613" s="27">
        <f>IF($A613="","",IF($O613="なし","※通知一覧にない通知No",IF($P613="","",INDEX('支払先'!$C$5:$C$104,$P613)&amp;"")))</f>
        <v/>
      </c>
      <c r="K613" s="28">
        <f>IF(NOT(ISNUMBER($O613)),"",IF(ISNUMBER(INDEX('通知一覧'!$F$5:$F$204,$O613)),INDEX('通知一覧'!$F$5:$F$204,$O613),""))</f>
        <v/>
      </c>
      <c r="L613" s="29">
        <f>IF(AND(ISNUMBER($B613),ISNUMBER($K613)),$K613-$B613+1,"")</f>
        <v/>
      </c>
      <c r="M613" s="30">
        <f>IF(OR($L613="",$P613=""),"",IF(INDEX('支払先'!$M$5:$M$104,$P613)="対象外","",IF(AND($L613&gt;60,$K613&gt;=EDATE($B613,2)),"超える","")))</f>
        <v/>
      </c>
      <c r="N613" s="67" t="n"/>
      <c r="O613" s="31">
        <f>IF($A613="","",IFERROR(MATCH($A613,'通知一覧'!$B$5:$B$204,0),"なし"))</f>
        <v/>
      </c>
      <c r="P613" s="31">
        <f>IF(NOT(ISNUMBER($O613)),"",IFERROR(MATCH(INDEX('通知一覧'!$C$5:$C$204,$O613),'支払先'!$B$5:$B$104,0),""))</f>
        <v/>
      </c>
      <c r="Q613" s="31">
        <f>IF(AND($A613&lt;&gt;"",$A613='支払通知書'!$K$2),ROW(),"")</f>
        <v/>
      </c>
    </row>
    <row r="614" ht="18" customHeight="1">
      <c r="A614" s="18" t="n"/>
      <c r="B614" s="24" t="n"/>
      <c r="C614" s="19" t="n"/>
      <c r="D614" s="25" t="n"/>
      <c r="E614" s="18" t="n"/>
      <c r="F614" s="25" t="n"/>
      <c r="G614" s="18" t="n"/>
      <c r="H614" s="18" t="n"/>
      <c r="I614" s="26">
        <f>IF(OR($A614="",$F614=""),"",ROUND(IF($D614="",1,$D614)*$F614,0))</f>
        <v/>
      </c>
      <c r="J614" s="27">
        <f>IF($A614="","",IF($O614="なし","※通知一覧にない通知No",IF($P614="","",INDEX('支払先'!$C$5:$C$104,$P614)&amp;"")))</f>
        <v/>
      </c>
      <c r="K614" s="28">
        <f>IF(NOT(ISNUMBER($O614)),"",IF(ISNUMBER(INDEX('通知一覧'!$F$5:$F$204,$O614)),INDEX('通知一覧'!$F$5:$F$204,$O614),""))</f>
        <v/>
      </c>
      <c r="L614" s="29">
        <f>IF(AND(ISNUMBER($B614),ISNUMBER($K614)),$K614-$B614+1,"")</f>
        <v/>
      </c>
      <c r="M614" s="30">
        <f>IF(OR($L614="",$P614=""),"",IF(INDEX('支払先'!$M$5:$M$104,$P614)="対象外","",IF(AND($L614&gt;60,$K614&gt;=EDATE($B614,2)),"超える","")))</f>
        <v/>
      </c>
      <c r="N614" s="67" t="n"/>
      <c r="O614" s="31">
        <f>IF($A614="","",IFERROR(MATCH($A614,'通知一覧'!$B$5:$B$204,0),"なし"))</f>
        <v/>
      </c>
      <c r="P614" s="31">
        <f>IF(NOT(ISNUMBER($O614)),"",IFERROR(MATCH(INDEX('通知一覧'!$C$5:$C$204,$O614),'支払先'!$B$5:$B$104,0),""))</f>
        <v/>
      </c>
      <c r="Q614" s="31">
        <f>IF(AND($A614&lt;&gt;"",$A614='支払通知書'!$K$2),ROW(),"")</f>
        <v/>
      </c>
    </row>
    <row r="615" ht="18" customHeight="1">
      <c r="A615" s="18" t="n"/>
      <c r="B615" s="24" t="n"/>
      <c r="C615" s="19" t="n"/>
      <c r="D615" s="25" t="n"/>
      <c r="E615" s="18" t="n"/>
      <c r="F615" s="25" t="n"/>
      <c r="G615" s="18" t="n"/>
      <c r="H615" s="18" t="n"/>
      <c r="I615" s="26">
        <f>IF(OR($A615="",$F615=""),"",ROUND(IF($D615="",1,$D615)*$F615,0))</f>
        <v/>
      </c>
      <c r="J615" s="27">
        <f>IF($A615="","",IF($O615="なし","※通知一覧にない通知No",IF($P615="","",INDEX('支払先'!$C$5:$C$104,$P615)&amp;"")))</f>
        <v/>
      </c>
      <c r="K615" s="28">
        <f>IF(NOT(ISNUMBER($O615)),"",IF(ISNUMBER(INDEX('通知一覧'!$F$5:$F$204,$O615)),INDEX('通知一覧'!$F$5:$F$204,$O615),""))</f>
        <v/>
      </c>
      <c r="L615" s="29">
        <f>IF(AND(ISNUMBER($B615),ISNUMBER($K615)),$K615-$B615+1,"")</f>
        <v/>
      </c>
      <c r="M615" s="30">
        <f>IF(OR($L615="",$P615=""),"",IF(INDEX('支払先'!$M$5:$M$104,$P615)="対象外","",IF(AND($L615&gt;60,$K615&gt;=EDATE($B615,2)),"超える","")))</f>
        <v/>
      </c>
      <c r="N615" s="67" t="n"/>
      <c r="O615" s="31">
        <f>IF($A615="","",IFERROR(MATCH($A615,'通知一覧'!$B$5:$B$204,0),"なし"))</f>
        <v/>
      </c>
      <c r="P615" s="31">
        <f>IF(NOT(ISNUMBER($O615)),"",IFERROR(MATCH(INDEX('通知一覧'!$C$5:$C$204,$O615),'支払先'!$B$5:$B$104,0),""))</f>
        <v/>
      </c>
      <c r="Q615" s="31">
        <f>IF(AND($A615&lt;&gt;"",$A615='支払通知書'!$K$2),ROW(),"")</f>
        <v/>
      </c>
    </row>
    <row r="616" ht="18" customHeight="1">
      <c r="A616" s="18" t="n"/>
      <c r="B616" s="24" t="n"/>
      <c r="C616" s="19" t="n"/>
      <c r="D616" s="25" t="n"/>
      <c r="E616" s="18" t="n"/>
      <c r="F616" s="25" t="n"/>
      <c r="G616" s="18" t="n"/>
      <c r="H616" s="18" t="n"/>
      <c r="I616" s="26">
        <f>IF(OR($A616="",$F616=""),"",ROUND(IF($D616="",1,$D616)*$F616,0))</f>
        <v/>
      </c>
      <c r="J616" s="27">
        <f>IF($A616="","",IF($O616="なし","※通知一覧にない通知No",IF($P616="","",INDEX('支払先'!$C$5:$C$104,$P616)&amp;"")))</f>
        <v/>
      </c>
      <c r="K616" s="28">
        <f>IF(NOT(ISNUMBER($O616)),"",IF(ISNUMBER(INDEX('通知一覧'!$F$5:$F$204,$O616)),INDEX('通知一覧'!$F$5:$F$204,$O616),""))</f>
        <v/>
      </c>
      <c r="L616" s="29">
        <f>IF(AND(ISNUMBER($B616),ISNUMBER($K616)),$K616-$B616+1,"")</f>
        <v/>
      </c>
      <c r="M616" s="30">
        <f>IF(OR($L616="",$P616=""),"",IF(INDEX('支払先'!$M$5:$M$104,$P616)="対象外","",IF(AND($L616&gt;60,$K616&gt;=EDATE($B616,2)),"超える","")))</f>
        <v/>
      </c>
      <c r="N616" s="67" t="n"/>
      <c r="O616" s="31">
        <f>IF($A616="","",IFERROR(MATCH($A616,'通知一覧'!$B$5:$B$204,0),"なし"))</f>
        <v/>
      </c>
      <c r="P616" s="31">
        <f>IF(NOT(ISNUMBER($O616)),"",IFERROR(MATCH(INDEX('通知一覧'!$C$5:$C$204,$O616),'支払先'!$B$5:$B$104,0),""))</f>
        <v/>
      </c>
      <c r="Q616" s="31">
        <f>IF(AND($A616&lt;&gt;"",$A616='支払通知書'!$K$2),ROW(),"")</f>
        <v/>
      </c>
    </row>
    <row r="617" ht="18" customHeight="1">
      <c r="A617" s="18" t="n"/>
      <c r="B617" s="24" t="n"/>
      <c r="C617" s="19" t="n"/>
      <c r="D617" s="25" t="n"/>
      <c r="E617" s="18" t="n"/>
      <c r="F617" s="25" t="n"/>
      <c r="G617" s="18" t="n"/>
      <c r="H617" s="18" t="n"/>
      <c r="I617" s="26">
        <f>IF(OR($A617="",$F617=""),"",ROUND(IF($D617="",1,$D617)*$F617,0))</f>
        <v/>
      </c>
      <c r="J617" s="27">
        <f>IF($A617="","",IF($O617="なし","※通知一覧にない通知No",IF($P617="","",INDEX('支払先'!$C$5:$C$104,$P617)&amp;"")))</f>
        <v/>
      </c>
      <c r="K617" s="28">
        <f>IF(NOT(ISNUMBER($O617)),"",IF(ISNUMBER(INDEX('通知一覧'!$F$5:$F$204,$O617)),INDEX('通知一覧'!$F$5:$F$204,$O617),""))</f>
        <v/>
      </c>
      <c r="L617" s="29">
        <f>IF(AND(ISNUMBER($B617),ISNUMBER($K617)),$K617-$B617+1,"")</f>
        <v/>
      </c>
      <c r="M617" s="30">
        <f>IF(OR($L617="",$P617=""),"",IF(INDEX('支払先'!$M$5:$M$104,$P617)="対象外","",IF(AND($L617&gt;60,$K617&gt;=EDATE($B617,2)),"超える","")))</f>
        <v/>
      </c>
      <c r="N617" s="67" t="n"/>
      <c r="O617" s="31">
        <f>IF($A617="","",IFERROR(MATCH($A617,'通知一覧'!$B$5:$B$204,0),"なし"))</f>
        <v/>
      </c>
      <c r="P617" s="31">
        <f>IF(NOT(ISNUMBER($O617)),"",IFERROR(MATCH(INDEX('通知一覧'!$C$5:$C$204,$O617),'支払先'!$B$5:$B$104,0),""))</f>
        <v/>
      </c>
      <c r="Q617" s="31">
        <f>IF(AND($A617&lt;&gt;"",$A617='支払通知書'!$K$2),ROW(),"")</f>
        <v/>
      </c>
    </row>
    <row r="618" ht="18" customHeight="1">
      <c r="A618" s="18" t="n"/>
      <c r="B618" s="24" t="n"/>
      <c r="C618" s="19" t="n"/>
      <c r="D618" s="25" t="n"/>
      <c r="E618" s="18" t="n"/>
      <c r="F618" s="25" t="n"/>
      <c r="G618" s="18" t="n"/>
      <c r="H618" s="18" t="n"/>
      <c r="I618" s="26">
        <f>IF(OR($A618="",$F618=""),"",ROUND(IF($D618="",1,$D618)*$F618,0))</f>
        <v/>
      </c>
      <c r="J618" s="27">
        <f>IF($A618="","",IF($O618="なし","※通知一覧にない通知No",IF($P618="","",INDEX('支払先'!$C$5:$C$104,$P618)&amp;"")))</f>
        <v/>
      </c>
      <c r="K618" s="28">
        <f>IF(NOT(ISNUMBER($O618)),"",IF(ISNUMBER(INDEX('通知一覧'!$F$5:$F$204,$O618)),INDEX('通知一覧'!$F$5:$F$204,$O618),""))</f>
        <v/>
      </c>
      <c r="L618" s="29">
        <f>IF(AND(ISNUMBER($B618),ISNUMBER($K618)),$K618-$B618+1,"")</f>
        <v/>
      </c>
      <c r="M618" s="30">
        <f>IF(OR($L618="",$P618=""),"",IF(INDEX('支払先'!$M$5:$M$104,$P618)="対象外","",IF(AND($L618&gt;60,$K618&gt;=EDATE($B618,2)),"超える","")))</f>
        <v/>
      </c>
      <c r="N618" s="67" t="n"/>
      <c r="O618" s="31">
        <f>IF($A618="","",IFERROR(MATCH($A618,'通知一覧'!$B$5:$B$204,0),"なし"))</f>
        <v/>
      </c>
      <c r="P618" s="31">
        <f>IF(NOT(ISNUMBER($O618)),"",IFERROR(MATCH(INDEX('通知一覧'!$C$5:$C$204,$O618),'支払先'!$B$5:$B$104,0),""))</f>
        <v/>
      </c>
      <c r="Q618" s="31">
        <f>IF(AND($A618&lt;&gt;"",$A618='支払通知書'!$K$2),ROW(),"")</f>
        <v/>
      </c>
    </row>
    <row r="619" ht="18" customHeight="1">
      <c r="A619" s="18" t="n"/>
      <c r="B619" s="24" t="n"/>
      <c r="C619" s="19" t="n"/>
      <c r="D619" s="25" t="n"/>
      <c r="E619" s="18" t="n"/>
      <c r="F619" s="25" t="n"/>
      <c r="G619" s="18" t="n"/>
      <c r="H619" s="18" t="n"/>
      <c r="I619" s="26">
        <f>IF(OR($A619="",$F619=""),"",ROUND(IF($D619="",1,$D619)*$F619,0))</f>
        <v/>
      </c>
      <c r="J619" s="27">
        <f>IF($A619="","",IF($O619="なし","※通知一覧にない通知No",IF($P619="","",INDEX('支払先'!$C$5:$C$104,$P619)&amp;"")))</f>
        <v/>
      </c>
      <c r="K619" s="28">
        <f>IF(NOT(ISNUMBER($O619)),"",IF(ISNUMBER(INDEX('通知一覧'!$F$5:$F$204,$O619)),INDEX('通知一覧'!$F$5:$F$204,$O619),""))</f>
        <v/>
      </c>
      <c r="L619" s="29">
        <f>IF(AND(ISNUMBER($B619),ISNUMBER($K619)),$K619-$B619+1,"")</f>
        <v/>
      </c>
      <c r="M619" s="30">
        <f>IF(OR($L619="",$P619=""),"",IF(INDEX('支払先'!$M$5:$M$104,$P619)="対象外","",IF(AND($L619&gt;60,$K619&gt;=EDATE($B619,2)),"超える","")))</f>
        <v/>
      </c>
      <c r="N619" s="67" t="n"/>
      <c r="O619" s="31">
        <f>IF($A619="","",IFERROR(MATCH($A619,'通知一覧'!$B$5:$B$204,0),"なし"))</f>
        <v/>
      </c>
      <c r="P619" s="31">
        <f>IF(NOT(ISNUMBER($O619)),"",IFERROR(MATCH(INDEX('通知一覧'!$C$5:$C$204,$O619),'支払先'!$B$5:$B$104,0),""))</f>
        <v/>
      </c>
      <c r="Q619" s="31">
        <f>IF(AND($A619&lt;&gt;"",$A619='支払通知書'!$K$2),ROW(),"")</f>
        <v/>
      </c>
    </row>
    <row r="620" ht="18" customHeight="1">
      <c r="A620" s="18" t="n"/>
      <c r="B620" s="24" t="n"/>
      <c r="C620" s="19" t="n"/>
      <c r="D620" s="25" t="n"/>
      <c r="E620" s="18" t="n"/>
      <c r="F620" s="25" t="n"/>
      <c r="G620" s="18" t="n"/>
      <c r="H620" s="18" t="n"/>
      <c r="I620" s="26">
        <f>IF(OR($A620="",$F620=""),"",ROUND(IF($D620="",1,$D620)*$F620,0))</f>
        <v/>
      </c>
      <c r="J620" s="27">
        <f>IF($A620="","",IF($O620="なし","※通知一覧にない通知No",IF($P620="","",INDEX('支払先'!$C$5:$C$104,$P620)&amp;"")))</f>
        <v/>
      </c>
      <c r="K620" s="28">
        <f>IF(NOT(ISNUMBER($O620)),"",IF(ISNUMBER(INDEX('通知一覧'!$F$5:$F$204,$O620)),INDEX('通知一覧'!$F$5:$F$204,$O620),""))</f>
        <v/>
      </c>
      <c r="L620" s="29">
        <f>IF(AND(ISNUMBER($B620),ISNUMBER($K620)),$K620-$B620+1,"")</f>
        <v/>
      </c>
      <c r="M620" s="30">
        <f>IF(OR($L620="",$P620=""),"",IF(INDEX('支払先'!$M$5:$M$104,$P620)="対象外","",IF(AND($L620&gt;60,$K620&gt;=EDATE($B620,2)),"超える","")))</f>
        <v/>
      </c>
      <c r="N620" s="67" t="n"/>
      <c r="O620" s="31">
        <f>IF($A620="","",IFERROR(MATCH($A620,'通知一覧'!$B$5:$B$204,0),"なし"))</f>
        <v/>
      </c>
      <c r="P620" s="31">
        <f>IF(NOT(ISNUMBER($O620)),"",IFERROR(MATCH(INDEX('通知一覧'!$C$5:$C$204,$O620),'支払先'!$B$5:$B$104,0),""))</f>
        <v/>
      </c>
      <c r="Q620" s="31">
        <f>IF(AND($A620&lt;&gt;"",$A620='支払通知書'!$K$2),ROW(),"")</f>
        <v/>
      </c>
    </row>
    <row r="621" ht="18" customHeight="1">
      <c r="A621" s="18" t="n"/>
      <c r="B621" s="24" t="n"/>
      <c r="C621" s="19" t="n"/>
      <c r="D621" s="25" t="n"/>
      <c r="E621" s="18" t="n"/>
      <c r="F621" s="25" t="n"/>
      <c r="G621" s="18" t="n"/>
      <c r="H621" s="18" t="n"/>
      <c r="I621" s="26">
        <f>IF(OR($A621="",$F621=""),"",ROUND(IF($D621="",1,$D621)*$F621,0))</f>
        <v/>
      </c>
      <c r="J621" s="27">
        <f>IF($A621="","",IF($O621="なし","※通知一覧にない通知No",IF($P621="","",INDEX('支払先'!$C$5:$C$104,$P621)&amp;"")))</f>
        <v/>
      </c>
      <c r="K621" s="28">
        <f>IF(NOT(ISNUMBER($O621)),"",IF(ISNUMBER(INDEX('通知一覧'!$F$5:$F$204,$O621)),INDEX('通知一覧'!$F$5:$F$204,$O621),""))</f>
        <v/>
      </c>
      <c r="L621" s="29">
        <f>IF(AND(ISNUMBER($B621),ISNUMBER($K621)),$K621-$B621+1,"")</f>
        <v/>
      </c>
      <c r="M621" s="30">
        <f>IF(OR($L621="",$P621=""),"",IF(INDEX('支払先'!$M$5:$M$104,$P621)="対象外","",IF(AND($L621&gt;60,$K621&gt;=EDATE($B621,2)),"超える","")))</f>
        <v/>
      </c>
      <c r="N621" s="67" t="n"/>
      <c r="O621" s="31">
        <f>IF($A621="","",IFERROR(MATCH($A621,'通知一覧'!$B$5:$B$204,0),"なし"))</f>
        <v/>
      </c>
      <c r="P621" s="31">
        <f>IF(NOT(ISNUMBER($O621)),"",IFERROR(MATCH(INDEX('通知一覧'!$C$5:$C$204,$O621),'支払先'!$B$5:$B$104,0),""))</f>
        <v/>
      </c>
      <c r="Q621" s="31">
        <f>IF(AND($A621&lt;&gt;"",$A621='支払通知書'!$K$2),ROW(),"")</f>
        <v/>
      </c>
    </row>
    <row r="622" ht="18" customHeight="1">
      <c r="A622" s="18" t="n"/>
      <c r="B622" s="24" t="n"/>
      <c r="C622" s="19" t="n"/>
      <c r="D622" s="25" t="n"/>
      <c r="E622" s="18" t="n"/>
      <c r="F622" s="25" t="n"/>
      <c r="G622" s="18" t="n"/>
      <c r="H622" s="18" t="n"/>
      <c r="I622" s="26">
        <f>IF(OR($A622="",$F622=""),"",ROUND(IF($D622="",1,$D622)*$F622,0))</f>
        <v/>
      </c>
      <c r="J622" s="27">
        <f>IF($A622="","",IF($O622="なし","※通知一覧にない通知No",IF($P622="","",INDEX('支払先'!$C$5:$C$104,$P622)&amp;"")))</f>
        <v/>
      </c>
      <c r="K622" s="28">
        <f>IF(NOT(ISNUMBER($O622)),"",IF(ISNUMBER(INDEX('通知一覧'!$F$5:$F$204,$O622)),INDEX('通知一覧'!$F$5:$F$204,$O622),""))</f>
        <v/>
      </c>
      <c r="L622" s="29">
        <f>IF(AND(ISNUMBER($B622),ISNUMBER($K622)),$K622-$B622+1,"")</f>
        <v/>
      </c>
      <c r="M622" s="30">
        <f>IF(OR($L622="",$P622=""),"",IF(INDEX('支払先'!$M$5:$M$104,$P622)="対象外","",IF(AND($L622&gt;60,$K622&gt;=EDATE($B622,2)),"超える","")))</f>
        <v/>
      </c>
      <c r="N622" s="67" t="n"/>
      <c r="O622" s="31">
        <f>IF($A622="","",IFERROR(MATCH($A622,'通知一覧'!$B$5:$B$204,0),"なし"))</f>
        <v/>
      </c>
      <c r="P622" s="31">
        <f>IF(NOT(ISNUMBER($O622)),"",IFERROR(MATCH(INDEX('通知一覧'!$C$5:$C$204,$O622),'支払先'!$B$5:$B$104,0),""))</f>
        <v/>
      </c>
      <c r="Q622" s="31">
        <f>IF(AND($A622&lt;&gt;"",$A622='支払通知書'!$K$2),ROW(),"")</f>
        <v/>
      </c>
    </row>
    <row r="623" ht="18" customHeight="1">
      <c r="A623" s="18" t="n"/>
      <c r="B623" s="24" t="n"/>
      <c r="C623" s="19" t="n"/>
      <c r="D623" s="25" t="n"/>
      <c r="E623" s="18" t="n"/>
      <c r="F623" s="25" t="n"/>
      <c r="G623" s="18" t="n"/>
      <c r="H623" s="18" t="n"/>
      <c r="I623" s="26">
        <f>IF(OR($A623="",$F623=""),"",ROUND(IF($D623="",1,$D623)*$F623,0))</f>
        <v/>
      </c>
      <c r="J623" s="27">
        <f>IF($A623="","",IF($O623="なし","※通知一覧にない通知No",IF($P623="","",INDEX('支払先'!$C$5:$C$104,$P623)&amp;"")))</f>
        <v/>
      </c>
      <c r="K623" s="28">
        <f>IF(NOT(ISNUMBER($O623)),"",IF(ISNUMBER(INDEX('通知一覧'!$F$5:$F$204,$O623)),INDEX('通知一覧'!$F$5:$F$204,$O623),""))</f>
        <v/>
      </c>
      <c r="L623" s="29">
        <f>IF(AND(ISNUMBER($B623),ISNUMBER($K623)),$K623-$B623+1,"")</f>
        <v/>
      </c>
      <c r="M623" s="30">
        <f>IF(OR($L623="",$P623=""),"",IF(INDEX('支払先'!$M$5:$M$104,$P623)="対象外","",IF(AND($L623&gt;60,$K623&gt;=EDATE($B623,2)),"超える","")))</f>
        <v/>
      </c>
      <c r="N623" s="67" t="n"/>
      <c r="O623" s="31">
        <f>IF($A623="","",IFERROR(MATCH($A623,'通知一覧'!$B$5:$B$204,0),"なし"))</f>
        <v/>
      </c>
      <c r="P623" s="31">
        <f>IF(NOT(ISNUMBER($O623)),"",IFERROR(MATCH(INDEX('通知一覧'!$C$5:$C$204,$O623),'支払先'!$B$5:$B$104,0),""))</f>
        <v/>
      </c>
      <c r="Q623" s="31">
        <f>IF(AND($A623&lt;&gt;"",$A623='支払通知書'!$K$2),ROW(),"")</f>
        <v/>
      </c>
    </row>
    <row r="624" ht="18" customHeight="1">
      <c r="A624" s="18" t="n"/>
      <c r="B624" s="24" t="n"/>
      <c r="C624" s="19" t="n"/>
      <c r="D624" s="25" t="n"/>
      <c r="E624" s="18" t="n"/>
      <c r="F624" s="25" t="n"/>
      <c r="G624" s="18" t="n"/>
      <c r="H624" s="18" t="n"/>
      <c r="I624" s="26">
        <f>IF(OR($A624="",$F624=""),"",ROUND(IF($D624="",1,$D624)*$F624,0))</f>
        <v/>
      </c>
      <c r="J624" s="27">
        <f>IF($A624="","",IF($O624="なし","※通知一覧にない通知No",IF($P624="","",INDEX('支払先'!$C$5:$C$104,$P624)&amp;"")))</f>
        <v/>
      </c>
      <c r="K624" s="28">
        <f>IF(NOT(ISNUMBER($O624)),"",IF(ISNUMBER(INDEX('通知一覧'!$F$5:$F$204,$O624)),INDEX('通知一覧'!$F$5:$F$204,$O624),""))</f>
        <v/>
      </c>
      <c r="L624" s="29">
        <f>IF(AND(ISNUMBER($B624),ISNUMBER($K624)),$K624-$B624+1,"")</f>
        <v/>
      </c>
      <c r="M624" s="30">
        <f>IF(OR($L624="",$P624=""),"",IF(INDEX('支払先'!$M$5:$M$104,$P624)="対象外","",IF(AND($L624&gt;60,$K624&gt;=EDATE($B624,2)),"超える","")))</f>
        <v/>
      </c>
      <c r="N624" s="67" t="n"/>
      <c r="O624" s="31">
        <f>IF($A624="","",IFERROR(MATCH($A624,'通知一覧'!$B$5:$B$204,0),"なし"))</f>
        <v/>
      </c>
      <c r="P624" s="31">
        <f>IF(NOT(ISNUMBER($O624)),"",IFERROR(MATCH(INDEX('通知一覧'!$C$5:$C$204,$O624),'支払先'!$B$5:$B$104,0),""))</f>
        <v/>
      </c>
      <c r="Q624" s="31">
        <f>IF(AND($A624&lt;&gt;"",$A624='支払通知書'!$K$2),ROW(),"")</f>
        <v/>
      </c>
    </row>
    <row r="625" ht="18" customHeight="1">
      <c r="A625" s="18" t="n"/>
      <c r="B625" s="24" t="n"/>
      <c r="C625" s="19" t="n"/>
      <c r="D625" s="25" t="n"/>
      <c r="E625" s="18" t="n"/>
      <c r="F625" s="25" t="n"/>
      <c r="G625" s="18" t="n"/>
      <c r="H625" s="18" t="n"/>
      <c r="I625" s="26">
        <f>IF(OR($A625="",$F625=""),"",ROUND(IF($D625="",1,$D625)*$F625,0))</f>
        <v/>
      </c>
      <c r="J625" s="27">
        <f>IF($A625="","",IF($O625="なし","※通知一覧にない通知No",IF($P625="","",INDEX('支払先'!$C$5:$C$104,$P625)&amp;"")))</f>
        <v/>
      </c>
      <c r="K625" s="28">
        <f>IF(NOT(ISNUMBER($O625)),"",IF(ISNUMBER(INDEX('通知一覧'!$F$5:$F$204,$O625)),INDEX('通知一覧'!$F$5:$F$204,$O625),""))</f>
        <v/>
      </c>
      <c r="L625" s="29">
        <f>IF(AND(ISNUMBER($B625),ISNUMBER($K625)),$K625-$B625+1,"")</f>
        <v/>
      </c>
      <c r="M625" s="30">
        <f>IF(OR($L625="",$P625=""),"",IF(INDEX('支払先'!$M$5:$M$104,$P625)="対象外","",IF(AND($L625&gt;60,$K625&gt;=EDATE($B625,2)),"超える","")))</f>
        <v/>
      </c>
      <c r="N625" s="67" t="n"/>
      <c r="O625" s="31">
        <f>IF($A625="","",IFERROR(MATCH($A625,'通知一覧'!$B$5:$B$204,0),"なし"))</f>
        <v/>
      </c>
      <c r="P625" s="31">
        <f>IF(NOT(ISNUMBER($O625)),"",IFERROR(MATCH(INDEX('通知一覧'!$C$5:$C$204,$O625),'支払先'!$B$5:$B$104,0),""))</f>
        <v/>
      </c>
      <c r="Q625" s="31">
        <f>IF(AND($A625&lt;&gt;"",$A625='支払通知書'!$K$2),ROW(),"")</f>
        <v/>
      </c>
    </row>
    <row r="626" ht="18" customHeight="1">
      <c r="A626" s="18" t="n"/>
      <c r="B626" s="24" t="n"/>
      <c r="C626" s="19" t="n"/>
      <c r="D626" s="25" t="n"/>
      <c r="E626" s="18" t="n"/>
      <c r="F626" s="25" t="n"/>
      <c r="G626" s="18" t="n"/>
      <c r="H626" s="18" t="n"/>
      <c r="I626" s="26">
        <f>IF(OR($A626="",$F626=""),"",ROUND(IF($D626="",1,$D626)*$F626,0))</f>
        <v/>
      </c>
      <c r="J626" s="27">
        <f>IF($A626="","",IF($O626="なし","※通知一覧にない通知No",IF($P626="","",INDEX('支払先'!$C$5:$C$104,$P626)&amp;"")))</f>
        <v/>
      </c>
      <c r="K626" s="28">
        <f>IF(NOT(ISNUMBER($O626)),"",IF(ISNUMBER(INDEX('通知一覧'!$F$5:$F$204,$O626)),INDEX('通知一覧'!$F$5:$F$204,$O626),""))</f>
        <v/>
      </c>
      <c r="L626" s="29">
        <f>IF(AND(ISNUMBER($B626),ISNUMBER($K626)),$K626-$B626+1,"")</f>
        <v/>
      </c>
      <c r="M626" s="30">
        <f>IF(OR($L626="",$P626=""),"",IF(INDEX('支払先'!$M$5:$M$104,$P626)="対象外","",IF(AND($L626&gt;60,$K626&gt;=EDATE($B626,2)),"超える","")))</f>
        <v/>
      </c>
      <c r="N626" s="67" t="n"/>
      <c r="O626" s="31">
        <f>IF($A626="","",IFERROR(MATCH($A626,'通知一覧'!$B$5:$B$204,0),"なし"))</f>
        <v/>
      </c>
      <c r="P626" s="31">
        <f>IF(NOT(ISNUMBER($O626)),"",IFERROR(MATCH(INDEX('通知一覧'!$C$5:$C$204,$O626),'支払先'!$B$5:$B$104,0),""))</f>
        <v/>
      </c>
      <c r="Q626" s="31">
        <f>IF(AND($A626&lt;&gt;"",$A626='支払通知書'!$K$2),ROW(),"")</f>
        <v/>
      </c>
    </row>
    <row r="627" ht="18" customHeight="1">
      <c r="A627" s="18" t="n"/>
      <c r="B627" s="24" t="n"/>
      <c r="C627" s="19" t="n"/>
      <c r="D627" s="25" t="n"/>
      <c r="E627" s="18" t="n"/>
      <c r="F627" s="25" t="n"/>
      <c r="G627" s="18" t="n"/>
      <c r="H627" s="18" t="n"/>
      <c r="I627" s="26">
        <f>IF(OR($A627="",$F627=""),"",ROUND(IF($D627="",1,$D627)*$F627,0))</f>
        <v/>
      </c>
      <c r="J627" s="27">
        <f>IF($A627="","",IF($O627="なし","※通知一覧にない通知No",IF($P627="","",INDEX('支払先'!$C$5:$C$104,$P627)&amp;"")))</f>
        <v/>
      </c>
      <c r="K627" s="28">
        <f>IF(NOT(ISNUMBER($O627)),"",IF(ISNUMBER(INDEX('通知一覧'!$F$5:$F$204,$O627)),INDEX('通知一覧'!$F$5:$F$204,$O627),""))</f>
        <v/>
      </c>
      <c r="L627" s="29">
        <f>IF(AND(ISNUMBER($B627),ISNUMBER($K627)),$K627-$B627+1,"")</f>
        <v/>
      </c>
      <c r="M627" s="30">
        <f>IF(OR($L627="",$P627=""),"",IF(INDEX('支払先'!$M$5:$M$104,$P627)="対象外","",IF(AND($L627&gt;60,$K627&gt;=EDATE($B627,2)),"超える","")))</f>
        <v/>
      </c>
      <c r="N627" s="67" t="n"/>
      <c r="O627" s="31">
        <f>IF($A627="","",IFERROR(MATCH($A627,'通知一覧'!$B$5:$B$204,0),"なし"))</f>
        <v/>
      </c>
      <c r="P627" s="31">
        <f>IF(NOT(ISNUMBER($O627)),"",IFERROR(MATCH(INDEX('通知一覧'!$C$5:$C$204,$O627),'支払先'!$B$5:$B$104,0),""))</f>
        <v/>
      </c>
      <c r="Q627" s="31">
        <f>IF(AND($A627&lt;&gt;"",$A627='支払通知書'!$K$2),ROW(),"")</f>
        <v/>
      </c>
    </row>
    <row r="628" ht="18" customHeight="1">
      <c r="A628" s="18" t="n"/>
      <c r="B628" s="24" t="n"/>
      <c r="C628" s="19" t="n"/>
      <c r="D628" s="25" t="n"/>
      <c r="E628" s="18" t="n"/>
      <c r="F628" s="25" t="n"/>
      <c r="G628" s="18" t="n"/>
      <c r="H628" s="18" t="n"/>
      <c r="I628" s="26">
        <f>IF(OR($A628="",$F628=""),"",ROUND(IF($D628="",1,$D628)*$F628,0))</f>
        <v/>
      </c>
      <c r="J628" s="27">
        <f>IF($A628="","",IF($O628="なし","※通知一覧にない通知No",IF($P628="","",INDEX('支払先'!$C$5:$C$104,$P628)&amp;"")))</f>
        <v/>
      </c>
      <c r="K628" s="28">
        <f>IF(NOT(ISNUMBER($O628)),"",IF(ISNUMBER(INDEX('通知一覧'!$F$5:$F$204,$O628)),INDEX('通知一覧'!$F$5:$F$204,$O628),""))</f>
        <v/>
      </c>
      <c r="L628" s="29">
        <f>IF(AND(ISNUMBER($B628),ISNUMBER($K628)),$K628-$B628+1,"")</f>
        <v/>
      </c>
      <c r="M628" s="30">
        <f>IF(OR($L628="",$P628=""),"",IF(INDEX('支払先'!$M$5:$M$104,$P628)="対象外","",IF(AND($L628&gt;60,$K628&gt;=EDATE($B628,2)),"超える","")))</f>
        <v/>
      </c>
      <c r="N628" s="67" t="n"/>
      <c r="O628" s="31">
        <f>IF($A628="","",IFERROR(MATCH($A628,'通知一覧'!$B$5:$B$204,0),"なし"))</f>
        <v/>
      </c>
      <c r="P628" s="31">
        <f>IF(NOT(ISNUMBER($O628)),"",IFERROR(MATCH(INDEX('通知一覧'!$C$5:$C$204,$O628),'支払先'!$B$5:$B$104,0),""))</f>
        <v/>
      </c>
      <c r="Q628" s="31">
        <f>IF(AND($A628&lt;&gt;"",$A628='支払通知書'!$K$2),ROW(),"")</f>
        <v/>
      </c>
    </row>
    <row r="629" ht="18" customHeight="1">
      <c r="A629" s="18" t="n"/>
      <c r="B629" s="24" t="n"/>
      <c r="C629" s="19" t="n"/>
      <c r="D629" s="25" t="n"/>
      <c r="E629" s="18" t="n"/>
      <c r="F629" s="25" t="n"/>
      <c r="G629" s="18" t="n"/>
      <c r="H629" s="18" t="n"/>
      <c r="I629" s="26">
        <f>IF(OR($A629="",$F629=""),"",ROUND(IF($D629="",1,$D629)*$F629,0))</f>
        <v/>
      </c>
      <c r="J629" s="27">
        <f>IF($A629="","",IF($O629="なし","※通知一覧にない通知No",IF($P629="","",INDEX('支払先'!$C$5:$C$104,$P629)&amp;"")))</f>
        <v/>
      </c>
      <c r="K629" s="28">
        <f>IF(NOT(ISNUMBER($O629)),"",IF(ISNUMBER(INDEX('通知一覧'!$F$5:$F$204,$O629)),INDEX('通知一覧'!$F$5:$F$204,$O629),""))</f>
        <v/>
      </c>
      <c r="L629" s="29">
        <f>IF(AND(ISNUMBER($B629),ISNUMBER($K629)),$K629-$B629+1,"")</f>
        <v/>
      </c>
      <c r="M629" s="30">
        <f>IF(OR($L629="",$P629=""),"",IF(INDEX('支払先'!$M$5:$M$104,$P629)="対象外","",IF(AND($L629&gt;60,$K629&gt;=EDATE($B629,2)),"超える","")))</f>
        <v/>
      </c>
      <c r="N629" s="67" t="n"/>
      <c r="O629" s="31">
        <f>IF($A629="","",IFERROR(MATCH($A629,'通知一覧'!$B$5:$B$204,0),"なし"))</f>
        <v/>
      </c>
      <c r="P629" s="31">
        <f>IF(NOT(ISNUMBER($O629)),"",IFERROR(MATCH(INDEX('通知一覧'!$C$5:$C$204,$O629),'支払先'!$B$5:$B$104,0),""))</f>
        <v/>
      </c>
      <c r="Q629" s="31">
        <f>IF(AND($A629&lt;&gt;"",$A629='支払通知書'!$K$2),ROW(),"")</f>
        <v/>
      </c>
    </row>
    <row r="630" ht="18" customHeight="1">
      <c r="A630" s="18" t="n"/>
      <c r="B630" s="24" t="n"/>
      <c r="C630" s="19" t="n"/>
      <c r="D630" s="25" t="n"/>
      <c r="E630" s="18" t="n"/>
      <c r="F630" s="25" t="n"/>
      <c r="G630" s="18" t="n"/>
      <c r="H630" s="18" t="n"/>
      <c r="I630" s="26">
        <f>IF(OR($A630="",$F630=""),"",ROUND(IF($D630="",1,$D630)*$F630,0))</f>
        <v/>
      </c>
      <c r="J630" s="27">
        <f>IF($A630="","",IF($O630="なし","※通知一覧にない通知No",IF($P630="","",INDEX('支払先'!$C$5:$C$104,$P630)&amp;"")))</f>
        <v/>
      </c>
      <c r="K630" s="28">
        <f>IF(NOT(ISNUMBER($O630)),"",IF(ISNUMBER(INDEX('通知一覧'!$F$5:$F$204,$O630)),INDEX('通知一覧'!$F$5:$F$204,$O630),""))</f>
        <v/>
      </c>
      <c r="L630" s="29">
        <f>IF(AND(ISNUMBER($B630),ISNUMBER($K630)),$K630-$B630+1,"")</f>
        <v/>
      </c>
      <c r="M630" s="30">
        <f>IF(OR($L630="",$P630=""),"",IF(INDEX('支払先'!$M$5:$M$104,$P630)="対象外","",IF(AND($L630&gt;60,$K630&gt;=EDATE($B630,2)),"超える","")))</f>
        <v/>
      </c>
      <c r="N630" s="67" t="n"/>
      <c r="O630" s="31">
        <f>IF($A630="","",IFERROR(MATCH($A630,'通知一覧'!$B$5:$B$204,0),"なし"))</f>
        <v/>
      </c>
      <c r="P630" s="31">
        <f>IF(NOT(ISNUMBER($O630)),"",IFERROR(MATCH(INDEX('通知一覧'!$C$5:$C$204,$O630),'支払先'!$B$5:$B$104,0),""))</f>
        <v/>
      </c>
      <c r="Q630" s="31">
        <f>IF(AND($A630&lt;&gt;"",$A630='支払通知書'!$K$2),ROW(),"")</f>
        <v/>
      </c>
    </row>
    <row r="631" ht="18" customHeight="1">
      <c r="A631" s="18" t="n"/>
      <c r="B631" s="24" t="n"/>
      <c r="C631" s="19" t="n"/>
      <c r="D631" s="25" t="n"/>
      <c r="E631" s="18" t="n"/>
      <c r="F631" s="25" t="n"/>
      <c r="G631" s="18" t="n"/>
      <c r="H631" s="18" t="n"/>
      <c r="I631" s="26">
        <f>IF(OR($A631="",$F631=""),"",ROUND(IF($D631="",1,$D631)*$F631,0))</f>
        <v/>
      </c>
      <c r="J631" s="27">
        <f>IF($A631="","",IF($O631="なし","※通知一覧にない通知No",IF($P631="","",INDEX('支払先'!$C$5:$C$104,$P631)&amp;"")))</f>
        <v/>
      </c>
      <c r="K631" s="28">
        <f>IF(NOT(ISNUMBER($O631)),"",IF(ISNUMBER(INDEX('通知一覧'!$F$5:$F$204,$O631)),INDEX('通知一覧'!$F$5:$F$204,$O631),""))</f>
        <v/>
      </c>
      <c r="L631" s="29">
        <f>IF(AND(ISNUMBER($B631),ISNUMBER($K631)),$K631-$B631+1,"")</f>
        <v/>
      </c>
      <c r="M631" s="30">
        <f>IF(OR($L631="",$P631=""),"",IF(INDEX('支払先'!$M$5:$M$104,$P631)="対象外","",IF(AND($L631&gt;60,$K631&gt;=EDATE($B631,2)),"超える","")))</f>
        <v/>
      </c>
      <c r="N631" s="67" t="n"/>
      <c r="O631" s="31">
        <f>IF($A631="","",IFERROR(MATCH($A631,'通知一覧'!$B$5:$B$204,0),"なし"))</f>
        <v/>
      </c>
      <c r="P631" s="31">
        <f>IF(NOT(ISNUMBER($O631)),"",IFERROR(MATCH(INDEX('通知一覧'!$C$5:$C$204,$O631),'支払先'!$B$5:$B$104,0),""))</f>
        <v/>
      </c>
      <c r="Q631" s="31">
        <f>IF(AND($A631&lt;&gt;"",$A631='支払通知書'!$K$2),ROW(),"")</f>
        <v/>
      </c>
    </row>
    <row r="632" ht="18" customHeight="1">
      <c r="A632" s="18" t="n"/>
      <c r="B632" s="24" t="n"/>
      <c r="C632" s="19" t="n"/>
      <c r="D632" s="25" t="n"/>
      <c r="E632" s="18" t="n"/>
      <c r="F632" s="25" t="n"/>
      <c r="G632" s="18" t="n"/>
      <c r="H632" s="18" t="n"/>
      <c r="I632" s="26">
        <f>IF(OR($A632="",$F632=""),"",ROUND(IF($D632="",1,$D632)*$F632,0))</f>
        <v/>
      </c>
      <c r="J632" s="27">
        <f>IF($A632="","",IF($O632="なし","※通知一覧にない通知No",IF($P632="","",INDEX('支払先'!$C$5:$C$104,$P632)&amp;"")))</f>
        <v/>
      </c>
      <c r="K632" s="28">
        <f>IF(NOT(ISNUMBER($O632)),"",IF(ISNUMBER(INDEX('通知一覧'!$F$5:$F$204,$O632)),INDEX('通知一覧'!$F$5:$F$204,$O632),""))</f>
        <v/>
      </c>
      <c r="L632" s="29">
        <f>IF(AND(ISNUMBER($B632),ISNUMBER($K632)),$K632-$B632+1,"")</f>
        <v/>
      </c>
      <c r="M632" s="30">
        <f>IF(OR($L632="",$P632=""),"",IF(INDEX('支払先'!$M$5:$M$104,$P632)="対象外","",IF(AND($L632&gt;60,$K632&gt;=EDATE($B632,2)),"超える","")))</f>
        <v/>
      </c>
      <c r="N632" s="67" t="n"/>
      <c r="O632" s="31">
        <f>IF($A632="","",IFERROR(MATCH($A632,'通知一覧'!$B$5:$B$204,0),"なし"))</f>
        <v/>
      </c>
      <c r="P632" s="31">
        <f>IF(NOT(ISNUMBER($O632)),"",IFERROR(MATCH(INDEX('通知一覧'!$C$5:$C$204,$O632),'支払先'!$B$5:$B$104,0),""))</f>
        <v/>
      </c>
      <c r="Q632" s="31">
        <f>IF(AND($A632&lt;&gt;"",$A632='支払通知書'!$K$2),ROW(),"")</f>
        <v/>
      </c>
    </row>
    <row r="633" ht="18" customHeight="1">
      <c r="A633" s="18" t="n"/>
      <c r="B633" s="24" t="n"/>
      <c r="C633" s="19" t="n"/>
      <c r="D633" s="25" t="n"/>
      <c r="E633" s="18" t="n"/>
      <c r="F633" s="25" t="n"/>
      <c r="G633" s="18" t="n"/>
      <c r="H633" s="18" t="n"/>
      <c r="I633" s="26">
        <f>IF(OR($A633="",$F633=""),"",ROUND(IF($D633="",1,$D633)*$F633,0))</f>
        <v/>
      </c>
      <c r="J633" s="27">
        <f>IF($A633="","",IF($O633="なし","※通知一覧にない通知No",IF($P633="","",INDEX('支払先'!$C$5:$C$104,$P633)&amp;"")))</f>
        <v/>
      </c>
      <c r="K633" s="28">
        <f>IF(NOT(ISNUMBER($O633)),"",IF(ISNUMBER(INDEX('通知一覧'!$F$5:$F$204,$O633)),INDEX('通知一覧'!$F$5:$F$204,$O633),""))</f>
        <v/>
      </c>
      <c r="L633" s="29">
        <f>IF(AND(ISNUMBER($B633),ISNUMBER($K633)),$K633-$B633+1,"")</f>
        <v/>
      </c>
      <c r="M633" s="30">
        <f>IF(OR($L633="",$P633=""),"",IF(INDEX('支払先'!$M$5:$M$104,$P633)="対象外","",IF(AND($L633&gt;60,$K633&gt;=EDATE($B633,2)),"超える","")))</f>
        <v/>
      </c>
      <c r="N633" s="67" t="n"/>
      <c r="O633" s="31">
        <f>IF($A633="","",IFERROR(MATCH($A633,'通知一覧'!$B$5:$B$204,0),"なし"))</f>
        <v/>
      </c>
      <c r="P633" s="31">
        <f>IF(NOT(ISNUMBER($O633)),"",IFERROR(MATCH(INDEX('通知一覧'!$C$5:$C$204,$O633),'支払先'!$B$5:$B$104,0),""))</f>
        <v/>
      </c>
      <c r="Q633" s="31">
        <f>IF(AND($A633&lt;&gt;"",$A633='支払通知書'!$K$2),ROW(),"")</f>
        <v/>
      </c>
    </row>
    <row r="634" ht="18" customHeight="1">
      <c r="A634" s="18" t="n"/>
      <c r="B634" s="24" t="n"/>
      <c r="C634" s="19" t="n"/>
      <c r="D634" s="25" t="n"/>
      <c r="E634" s="18" t="n"/>
      <c r="F634" s="25" t="n"/>
      <c r="G634" s="18" t="n"/>
      <c r="H634" s="18" t="n"/>
      <c r="I634" s="26">
        <f>IF(OR($A634="",$F634=""),"",ROUND(IF($D634="",1,$D634)*$F634,0))</f>
        <v/>
      </c>
      <c r="J634" s="27">
        <f>IF($A634="","",IF($O634="なし","※通知一覧にない通知No",IF($P634="","",INDEX('支払先'!$C$5:$C$104,$P634)&amp;"")))</f>
        <v/>
      </c>
      <c r="K634" s="28">
        <f>IF(NOT(ISNUMBER($O634)),"",IF(ISNUMBER(INDEX('通知一覧'!$F$5:$F$204,$O634)),INDEX('通知一覧'!$F$5:$F$204,$O634),""))</f>
        <v/>
      </c>
      <c r="L634" s="29">
        <f>IF(AND(ISNUMBER($B634),ISNUMBER($K634)),$K634-$B634+1,"")</f>
        <v/>
      </c>
      <c r="M634" s="30">
        <f>IF(OR($L634="",$P634=""),"",IF(INDEX('支払先'!$M$5:$M$104,$P634)="対象外","",IF(AND($L634&gt;60,$K634&gt;=EDATE($B634,2)),"超える","")))</f>
        <v/>
      </c>
      <c r="N634" s="67" t="n"/>
      <c r="O634" s="31">
        <f>IF($A634="","",IFERROR(MATCH($A634,'通知一覧'!$B$5:$B$204,0),"なし"))</f>
        <v/>
      </c>
      <c r="P634" s="31">
        <f>IF(NOT(ISNUMBER($O634)),"",IFERROR(MATCH(INDEX('通知一覧'!$C$5:$C$204,$O634),'支払先'!$B$5:$B$104,0),""))</f>
        <v/>
      </c>
      <c r="Q634" s="31">
        <f>IF(AND($A634&lt;&gt;"",$A634='支払通知書'!$K$2),ROW(),"")</f>
        <v/>
      </c>
    </row>
    <row r="635" ht="18" customHeight="1">
      <c r="A635" s="18" t="n"/>
      <c r="B635" s="24" t="n"/>
      <c r="C635" s="19" t="n"/>
      <c r="D635" s="25" t="n"/>
      <c r="E635" s="18" t="n"/>
      <c r="F635" s="25" t="n"/>
      <c r="G635" s="18" t="n"/>
      <c r="H635" s="18" t="n"/>
      <c r="I635" s="26">
        <f>IF(OR($A635="",$F635=""),"",ROUND(IF($D635="",1,$D635)*$F635,0))</f>
        <v/>
      </c>
      <c r="J635" s="27">
        <f>IF($A635="","",IF($O635="なし","※通知一覧にない通知No",IF($P635="","",INDEX('支払先'!$C$5:$C$104,$P635)&amp;"")))</f>
        <v/>
      </c>
      <c r="K635" s="28">
        <f>IF(NOT(ISNUMBER($O635)),"",IF(ISNUMBER(INDEX('通知一覧'!$F$5:$F$204,$O635)),INDEX('通知一覧'!$F$5:$F$204,$O635),""))</f>
        <v/>
      </c>
      <c r="L635" s="29">
        <f>IF(AND(ISNUMBER($B635),ISNUMBER($K635)),$K635-$B635+1,"")</f>
        <v/>
      </c>
      <c r="M635" s="30">
        <f>IF(OR($L635="",$P635=""),"",IF(INDEX('支払先'!$M$5:$M$104,$P635)="対象外","",IF(AND($L635&gt;60,$K635&gt;=EDATE($B635,2)),"超える","")))</f>
        <v/>
      </c>
      <c r="N635" s="67" t="n"/>
      <c r="O635" s="31">
        <f>IF($A635="","",IFERROR(MATCH($A635,'通知一覧'!$B$5:$B$204,0),"なし"))</f>
        <v/>
      </c>
      <c r="P635" s="31">
        <f>IF(NOT(ISNUMBER($O635)),"",IFERROR(MATCH(INDEX('通知一覧'!$C$5:$C$204,$O635),'支払先'!$B$5:$B$104,0),""))</f>
        <v/>
      </c>
      <c r="Q635" s="31">
        <f>IF(AND($A635&lt;&gt;"",$A635='支払通知書'!$K$2),ROW(),"")</f>
        <v/>
      </c>
    </row>
    <row r="636" ht="18" customHeight="1">
      <c r="A636" s="18" t="n"/>
      <c r="B636" s="24" t="n"/>
      <c r="C636" s="19" t="n"/>
      <c r="D636" s="25" t="n"/>
      <c r="E636" s="18" t="n"/>
      <c r="F636" s="25" t="n"/>
      <c r="G636" s="18" t="n"/>
      <c r="H636" s="18" t="n"/>
      <c r="I636" s="26">
        <f>IF(OR($A636="",$F636=""),"",ROUND(IF($D636="",1,$D636)*$F636,0))</f>
        <v/>
      </c>
      <c r="J636" s="27">
        <f>IF($A636="","",IF($O636="なし","※通知一覧にない通知No",IF($P636="","",INDEX('支払先'!$C$5:$C$104,$P636)&amp;"")))</f>
        <v/>
      </c>
      <c r="K636" s="28">
        <f>IF(NOT(ISNUMBER($O636)),"",IF(ISNUMBER(INDEX('通知一覧'!$F$5:$F$204,$O636)),INDEX('通知一覧'!$F$5:$F$204,$O636),""))</f>
        <v/>
      </c>
      <c r="L636" s="29">
        <f>IF(AND(ISNUMBER($B636),ISNUMBER($K636)),$K636-$B636+1,"")</f>
        <v/>
      </c>
      <c r="M636" s="30">
        <f>IF(OR($L636="",$P636=""),"",IF(INDEX('支払先'!$M$5:$M$104,$P636)="対象外","",IF(AND($L636&gt;60,$K636&gt;=EDATE($B636,2)),"超える","")))</f>
        <v/>
      </c>
      <c r="N636" s="67" t="n"/>
      <c r="O636" s="31">
        <f>IF($A636="","",IFERROR(MATCH($A636,'通知一覧'!$B$5:$B$204,0),"なし"))</f>
        <v/>
      </c>
      <c r="P636" s="31">
        <f>IF(NOT(ISNUMBER($O636)),"",IFERROR(MATCH(INDEX('通知一覧'!$C$5:$C$204,$O636),'支払先'!$B$5:$B$104,0),""))</f>
        <v/>
      </c>
      <c r="Q636" s="31">
        <f>IF(AND($A636&lt;&gt;"",$A636='支払通知書'!$K$2),ROW(),"")</f>
        <v/>
      </c>
    </row>
    <row r="637" ht="18" customHeight="1">
      <c r="A637" s="18" t="n"/>
      <c r="B637" s="24" t="n"/>
      <c r="C637" s="19" t="n"/>
      <c r="D637" s="25" t="n"/>
      <c r="E637" s="18" t="n"/>
      <c r="F637" s="25" t="n"/>
      <c r="G637" s="18" t="n"/>
      <c r="H637" s="18" t="n"/>
      <c r="I637" s="26">
        <f>IF(OR($A637="",$F637=""),"",ROUND(IF($D637="",1,$D637)*$F637,0))</f>
        <v/>
      </c>
      <c r="J637" s="27">
        <f>IF($A637="","",IF($O637="なし","※通知一覧にない通知No",IF($P637="","",INDEX('支払先'!$C$5:$C$104,$P637)&amp;"")))</f>
        <v/>
      </c>
      <c r="K637" s="28">
        <f>IF(NOT(ISNUMBER($O637)),"",IF(ISNUMBER(INDEX('通知一覧'!$F$5:$F$204,$O637)),INDEX('通知一覧'!$F$5:$F$204,$O637),""))</f>
        <v/>
      </c>
      <c r="L637" s="29">
        <f>IF(AND(ISNUMBER($B637),ISNUMBER($K637)),$K637-$B637+1,"")</f>
        <v/>
      </c>
      <c r="M637" s="30">
        <f>IF(OR($L637="",$P637=""),"",IF(INDEX('支払先'!$M$5:$M$104,$P637)="対象外","",IF(AND($L637&gt;60,$K637&gt;=EDATE($B637,2)),"超える","")))</f>
        <v/>
      </c>
      <c r="N637" s="67" t="n"/>
      <c r="O637" s="31">
        <f>IF($A637="","",IFERROR(MATCH($A637,'通知一覧'!$B$5:$B$204,0),"なし"))</f>
        <v/>
      </c>
      <c r="P637" s="31">
        <f>IF(NOT(ISNUMBER($O637)),"",IFERROR(MATCH(INDEX('通知一覧'!$C$5:$C$204,$O637),'支払先'!$B$5:$B$104,0),""))</f>
        <v/>
      </c>
      <c r="Q637" s="31">
        <f>IF(AND($A637&lt;&gt;"",$A637='支払通知書'!$K$2),ROW(),"")</f>
        <v/>
      </c>
    </row>
    <row r="638" ht="18" customHeight="1">
      <c r="A638" s="18" t="n"/>
      <c r="B638" s="24" t="n"/>
      <c r="C638" s="19" t="n"/>
      <c r="D638" s="25" t="n"/>
      <c r="E638" s="18" t="n"/>
      <c r="F638" s="25" t="n"/>
      <c r="G638" s="18" t="n"/>
      <c r="H638" s="18" t="n"/>
      <c r="I638" s="26">
        <f>IF(OR($A638="",$F638=""),"",ROUND(IF($D638="",1,$D638)*$F638,0))</f>
        <v/>
      </c>
      <c r="J638" s="27">
        <f>IF($A638="","",IF($O638="なし","※通知一覧にない通知No",IF($P638="","",INDEX('支払先'!$C$5:$C$104,$P638)&amp;"")))</f>
        <v/>
      </c>
      <c r="K638" s="28">
        <f>IF(NOT(ISNUMBER($O638)),"",IF(ISNUMBER(INDEX('通知一覧'!$F$5:$F$204,$O638)),INDEX('通知一覧'!$F$5:$F$204,$O638),""))</f>
        <v/>
      </c>
      <c r="L638" s="29">
        <f>IF(AND(ISNUMBER($B638),ISNUMBER($K638)),$K638-$B638+1,"")</f>
        <v/>
      </c>
      <c r="M638" s="30">
        <f>IF(OR($L638="",$P638=""),"",IF(INDEX('支払先'!$M$5:$M$104,$P638)="対象外","",IF(AND($L638&gt;60,$K638&gt;=EDATE($B638,2)),"超える","")))</f>
        <v/>
      </c>
      <c r="N638" s="67" t="n"/>
      <c r="O638" s="31">
        <f>IF($A638="","",IFERROR(MATCH($A638,'通知一覧'!$B$5:$B$204,0),"なし"))</f>
        <v/>
      </c>
      <c r="P638" s="31">
        <f>IF(NOT(ISNUMBER($O638)),"",IFERROR(MATCH(INDEX('通知一覧'!$C$5:$C$204,$O638),'支払先'!$B$5:$B$104,0),""))</f>
        <v/>
      </c>
      <c r="Q638" s="31">
        <f>IF(AND($A638&lt;&gt;"",$A638='支払通知書'!$K$2),ROW(),"")</f>
        <v/>
      </c>
    </row>
    <row r="639" ht="18" customHeight="1">
      <c r="A639" s="18" t="n"/>
      <c r="B639" s="24" t="n"/>
      <c r="C639" s="19" t="n"/>
      <c r="D639" s="25" t="n"/>
      <c r="E639" s="18" t="n"/>
      <c r="F639" s="25" t="n"/>
      <c r="G639" s="18" t="n"/>
      <c r="H639" s="18" t="n"/>
      <c r="I639" s="26">
        <f>IF(OR($A639="",$F639=""),"",ROUND(IF($D639="",1,$D639)*$F639,0))</f>
        <v/>
      </c>
      <c r="J639" s="27">
        <f>IF($A639="","",IF($O639="なし","※通知一覧にない通知No",IF($P639="","",INDEX('支払先'!$C$5:$C$104,$P639)&amp;"")))</f>
        <v/>
      </c>
      <c r="K639" s="28">
        <f>IF(NOT(ISNUMBER($O639)),"",IF(ISNUMBER(INDEX('通知一覧'!$F$5:$F$204,$O639)),INDEX('通知一覧'!$F$5:$F$204,$O639),""))</f>
        <v/>
      </c>
      <c r="L639" s="29">
        <f>IF(AND(ISNUMBER($B639),ISNUMBER($K639)),$K639-$B639+1,"")</f>
        <v/>
      </c>
      <c r="M639" s="30">
        <f>IF(OR($L639="",$P639=""),"",IF(INDEX('支払先'!$M$5:$M$104,$P639)="対象外","",IF(AND($L639&gt;60,$K639&gt;=EDATE($B639,2)),"超える","")))</f>
        <v/>
      </c>
      <c r="N639" s="67" t="n"/>
      <c r="O639" s="31">
        <f>IF($A639="","",IFERROR(MATCH($A639,'通知一覧'!$B$5:$B$204,0),"なし"))</f>
        <v/>
      </c>
      <c r="P639" s="31">
        <f>IF(NOT(ISNUMBER($O639)),"",IFERROR(MATCH(INDEX('通知一覧'!$C$5:$C$204,$O639),'支払先'!$B$5:$B$104,0),""))</f>
        <v/>
      </c>
      <c r="Q639" s="31">
        <f>IF(AND($A639&lt;&gt;"",$A639='支払通知書'!$K$2),ROW(),"")</f>
        <v/>
      </c>
    </row>
    <row r="640" ht="18" customHeight="1">
      <c r="A640" s="18" t="n"/>
      <c r="B640" s="24" t="n"/>
      <c r="C640" s="19" t="n"/>
      <c r="D640" s="25" t="n"/>
      <c r="E640" s="18" t="n"/>
      <c r="F640" s="25" t="n"/>
      <c r="G640" s="18" t="n"/>
      <c r="H640" s="18" t="n"/>
      <c r="I640" s="26">
        <f>IF(OR($A640="",$F640=""),"",ROUND(IF($D640="",1,$D640)*$F640,0))</f>
        <v/>
      </c>
      <c r="J640" s="27">
        <f>IF($A640="","",IF($O640="なし","※通知一覧にない通知No",IF($P640="","",INDEX('支払先'!$C$5:$C$104,$P640)&amp;"")))</f>
        <v/>
      </c>
      <c r="K640" s="28">
        <f>IF(NOT(ISNUMBER($O640)),"",IF(ISNUMBER(INDEX('通知一覧'!$F$5:$F$204,$O640)),INDEX('通知一覧'!$F$5:$F$204,$O640),""))</f>
        <v/>
      </c>
      <c r="L640" s="29">
        <f>IF(AND(ISNUMBER($B640),ISNUMBER($K640)),$K640-$B640+1,"")</f>
        <v/>
      </c>
      <c r="M640" s="30">
        <f>IF(OR($L640="",$P640=""),"",IF(INDEX('支払先'!$M$5:$M$104,$P640)="対象外","",IF(AND($L640&gt;60,$K640&gt;=EDATE($B640,2)),"超える","")))</f>
        <v/>
      </c>
      <c r="N640" s="67" t="n"/>
      <c r="O640" s="31">
        <f>IF($A640="","",IFERROR(MATCH($A640,'通知一覧'!$B$5:$B$204,0),"なし"))</f>
        <v/>
      </c>
      <c r="P640" s="31">
        <f>IF(NOT(ISNUMBER($O640)),"",IFERROR(MATCH(INDEX('通知一覧'!$C$5:$C$204,$O640),'支払先'!$B$5:$B$104,0),""))</f>
        <v/>
      </c>
      <c r="Q640" s="31">
        <f>IF(AND($A640&lt;&gt;"",$A640='支払通知書'!$K$2),ROW(),"")</f>
        <v/>
      </c>
    </row>
    <row r="641" ht="18" customHeight="1">
      <c r="A641" s="18" t="n"/>
      <c r="B641" s="24" t="n"/>
      <c r="C641" s="19" t="n"/>
      <c r="D641" s="25" t="n"/>
      <c r="E641" s="18" t="n"/>
      <c r="F641" s="25" t="n"/>
      <c r="G641" s="18" t="n"/>
      <c r="H641" s="18" t="n"/>
      <c r="I641" s="26">
        <f>IF(OR($A641="",$F641=""),"",ROUND(IF($D641="",1,$D641)*$F641,0))</f>
        <v/>
      </c>
      <c r="J641" s="27">
        <f>IF($A641="","",IF($O641="なし","※通知一覧にない通知No",IF($P641="","",INDEX('支払先'!$C$5:$C$104,$P641)&amp;"")))</f>
        <v/>
      </c>
      <c r="K641" s="28">
        <f>IF(NOT(ISNUMBER($O641)),"",IF(ISNUMBER(INDEX('通知一覧'!$F$5:$F$204,$O641)),INDEX('通知一覧'!$F$5:$F$204,$O641),""))</f>
        <v/>
      </c>
      <c r="L641" s="29">
        <f>IF(AND(ISNUMBER($B641),ISNUMBER($K641)),$K641-$B641+1,"")</f>
        <v/>
      </c>
      <c r="M641" s="30">
        <f>IF(OR($L641="",$P641=""),"",IF(INDEX('支払先'!$M$5:$M$104,$P641)="対象外","",IF(AND($L641&gt;60,$K641&gt;=EDATE($B641,2)),"超える","")))</f>
        <v/>
      </c>
      <c r="N641" s="67" t="n"/>
      <c r="O641" s="31">
        <f>IF($A641="","",IFERROR(MATCH($A641,'通知一覧'!$B$5:$B$204,0),"なし"))</f>
        <v/>
      </c>
      <c r="P641" s="31">
        <f>IF(NOT(ISNUMBER($O641)),"",IFERROR(MATCH(INDEX('通知一覧'!$C$5:$C$204,$O641),'支払先'!$B$5:$B$104,0),""))</f>
        <v/>
      </c>
      <c r="Q641" s="31">
        <f>IF(AND($A641&lt;&gt;"",$A641='支払通知書'!$K$2),ROW(),"")</f>
        <v/>
      </c>
    </row>
    <row r="642" ht="18" customHeight="1">
      <c r="A642" s="18" t="n"/>
      <c r="B642" s="24" t="n"/>
      <c r="C642" s="19" t="n"/>
      <c r="D642" s="25" t="n"/>
      <c r="E642" s="18" t="n"/>
      <c r="F642" s="25" t="n"/>
      <c r="G642" s="18" t="n"/>
      <c r="H642" s="18" t="n"/>
      <c r="I642" s="26">
        <f>IF(OR($A642="",$F642=""),"",ROUND(IF($D642="",1,$D642)*$F642,0))</f>
        <v/>
      </c>
      <c r="J642" s="27">
        <f>IF($A642="","",IF($O642="なし","※通知一覧にない通知No",IF($P642="","",INDEX('支払先'!$C$5:$C$104,$P642)&amp;"")))</f>
        <v/>
      </c>
      <c r="K642" s="28">
        <f>IF(NOT(ISNUMBER($O642)),"",IF(ISNUMBER(INDEX('通知一覧'!$F$5:$F$204,$O642)),INDEX('通知一覧'!$F$5:$F$204,$O642),""))</f>
        <v/>
      </c>
      <c r="L642" s="29">
        <f>IF(AND(ISNUMBER($B642),ISNUMBER($K642)),$K642-$B642+1,"")</f>
        <v/>
      </c>
      <c r="M642" s="30">
        <f>IF(OR($L642="",$P642=""),"",IF(INDEX('支払先'!$M$5:$M$104,$P642)="対象外","",IF(AND($L642&gt;60,$K642&gt;=EDATE($B642,2)),"超える","")))</f>
        <v/>
      </c>
      <c r="N642" s="67" t="n"/>
      <c r="O642" s="31">
        <f>IF($A642="","",IFERROR(MATCH($A642,'通知一覧'!$B$5:$B$204,0),"なし"))</f>
        <v/>
      </c>
      <c r="P642" s="31">
        <f>IF(NOT(ISNUMBER($O642)),"",IFERROR(MATCH(INDEX('通知一覧'!$C$5:$C$204,$O642),'支払先'!$B$5:$B$104,0),""))</f>
        <v/>
      </c>
      <c r="Q642" s="31">
        <f>IF(AND($A642&lt;&gt;"",$A642='支払通知書'!$K$2),ROW(),"")</f>
        <v/>
      </c>
    </row>
    <row r="643" ht="18" customHeight="1">
      <c r="A643" s="18" t="n"/>
      <c r="B643" s="24" t="n"/>
      <c r="C643" s="19" t="n"/>
      <c r="D643" s="25" t="n"/>
      <c r="E643" s="18" t="n"/>
      <c r="F643" s="25" t="n"/>
      <c r="G643" s="18" t="n"/>
      <c r="H643" s="18" t="n"/>
      <c r="I643" s="26">
        <f>IF(OR($A643="",$F643=""),"",ROUND(IF($D643="",1,$D643)*$F643,0))</f>
        <v/>
      </c>
      <c r="J643" s="27">
        <f>IF($A643="","",IF($O643="なし","※通知一覧にない通知No",IF($P643="","",INDEX('支払先'!$C$5:$C$104,$P643)&amp;"")))</f>
        <v/>
      </c>
      <c r="K643" s="28">
        <f>IF(NOT(ISNUMBER($O643)),"",IF(ISNUMBER(INDEX('通知一覧'!$F$5:$F$204,$O643)),INDEX('通知一覧'!$F$5:$F$204,$O643),""))</f>
        <v/>
      </c>
      <c r="L643" s="29">
        <f>IF(AND(ISNUMBER($B643),ISNUMBER($K643)),$K643-$B643+1,"")</f>
        <v/>
      </c>
      <c r="M643" s="30">
        <f>IF(OR($L643="",$P643=""),"",IF(INDEX('支払先'!$M$5:$M$104,$P643)="対象外","",IF(AND($L643&gt;60,$K643&gt;=EDATE($B643,2)),"超える","")))</f>
        <v/>
      </c>
      <c r="N643" s="67" t="n"/>
      <c r="O643" s="31">
        <f>IF($A643="","",IFERROR(MATCH($A643,'通知一覧'!$B$5:$B$204,0),"なし"))</f>
        <v/>
      </c>
      <c r="P643" s="31">
        <f>IF(NOT(ISNUMBER($O643)),"",IFERROR(MATCH(INDEX('通知一覧'!$C$5:$C$204,$O643),'支払先'!$B$5:$B$104,0),""))</f>
        <v/>
      </c>
      <c r="Q643" s="31">
        <f>IF(AND($A643&lt;&gt;"",$A643='支払通知書'!$K$2),ROW(),"")</f>
        <v/>
      </c>
    </row>
    <row r="644" ht="18" customHeight="1">
      <c r="A644" s="18" t="n"/>
      <c r="B644" s="24" t="n"/>
      <c r="C644" s="19" t="n"/>
      <c r="D644" s="25" t="n"/>
      <c r="E644" s="18" t="n"/>
      <c r="F644" s="25" t="n"/>
      <c r="G644" s="18" t="n"/>
      <c r="H644" s="18" t="n"/>
      <c r="I644" s="26">
        <f>IF(OR($A644="",$F644=""),"",ROUND(IF($D644="",1,$D644)*$F644,0))</f>
        <v/>
      </c>
      <c r="J644" s="27">
        <f>IF($A644="","",IF($O644="なし","※通知一覧にない通知No",IF($P644="","",INDEX('支払先'!$C$5:$C$104,$P644)&amp;"")))</f>
        <v/>
      </c>
      <c r="K644" s="28">
        <f>IF(NOT(ISNUMBER($O644)),"",IF(ISNUMBER(INDEX('通知一覧'!$F$5:$F$204,$O644)),INDEX('通知一覧'!$F$5:$F$204,$O644),""))</f>
        <v/>
      </c>
      <c r="L644" s="29">
        <f>IF(AND(ISNUMBER($B644),ISNUMBER($K644)),$K644-$B644+1,"")</f>
        <v/>
      </c>
      <c r="M644" s="30">
        <f>IF(OR($L644="",$P644=""),"",IF(INDEX('支払先'!$M$5:$M$104,$P644)="対象外","",IF(AND($L644&gt;60,$K644&gt;=EDATE($B644,2)),"超える","")))</f>
        <v/>
      </c>
      <c r="N644" s="67" t="n"/>
      <c r="O644" s="31">
        <f>IF($A644="","",IFERROR(MATCH($A644,'通知一覧'!$B$5:$B$204,0),"なし"))</f>
        <v/>
      </c>
      <c r="P644" s="31">
        <f>IF(NOT(ISNUMBER($O644)),"",IFERROR(MATCH(INDEX('通知一覧'!$C$5:$C$204,$O644),'支払先'!$B$5:$B$104,0),""))</f>
        <v/>
      </c>
      <c r="Q644" s="31">
        <f>IF(AND($A644&lt;&gt;"",$A644='支払通知書'!$K$2),ROW(),"")</f>
        <v/>
      </c>
    </row>
    <row r="645" ht="18" customHeight="1">
      <c r="A645" s="18" t="n"/>
      <c r="B645" s="24" t="n"/>
      <c r="C645" s="19" t="n"/>
      <c r="D645" s="25" t="n"/>
      <c r="E645" s="18" t="n"/>
      <c r="F645" s="25" t="n"/>
      <c r="G645" s="18" t="n"/>
      <c r="H645" s="18" t="n"/>
      <c r="I645" s="26">
        <f>IF(OR($A645="",$F645=""),"",ROUND(IF($D645="",1,$D645)*$F645,0))</f>
        <v/>
      </c>
      <c r="J645" s="27">
        <f>IF($A645="","",IF($O645="なし","※通知一覧にない通知No",IF($P645="","",INDEX('支払先'!$C$5:$C$104,$P645)&amp;"")))</f>
        <v/>
      </c>
      <c r="K645" s="28">
        <f>IF(NOT(ISNUMBER($O645)),"",IF(ISNUMBER(INDEX('通知一覧'!$F$5:$F$204,$O645)),INDEX('通知一覧'!$F$5:$F$204,$O645),""))</f>
        <v/>
      </c>
      <c r="L645" s="29">
        <f>IF(AND(ISNUMBER($B645),ISNUMBER($K645)),$K645-$B645+1,"")</f>
        <v/>
      </c>
      <c r="M645" s="30">
        <f>IF(OR($L645="",$P645=""),"",IF(INDEX('支払先'!$M$5:$M$104,$P645)="対象外","",IF(AND($L645&gt;60,$K645&gt;=EDATE($B645,2)),"超える","")))</f>
        <v/>
      </c>
      <c r="N645" s="67" t="n"/>
      <c r="O645" s="31">
        <f>IF($A645="","",IFERROR(MATCH($A645,'通知一覧'!$B$5:$B$204,0),"なし"))</f>
        <v/>
      </c>
      <c r="P645" s="31">
        <f>IF(NOT(ISNUMBER($O645)),"",IFERROR(MATCH(INDEX('通知一覧'!$C$5:$C$204,$O645),'支払先'!$B$5:$B$104,0),""))</f>
        <v/>
      </c>
      <c r="Q645" s="31">
        <f>IF(AND($A645&lt;&gt;"",$A645='支払通知書'!$K$2),ROW(),"")</f>
        <v/>
      </c>
    </row>
    <row r="646" ht="18" customHeight="1">
      <c r="A646" s="18" t="n"/>
      <c r="B646" s="24" t="n"/>
      <c r="C646" s="19" t="n"/>
      <c r="D646" s="25" t="n"/>
      <c r="E646" s="18" t="n"/>
      <c r="F646" s="25" t="n"/>
      <c r="G646" s="18" t="n"/>
      <c r="H646" s="18" t="n"/>
      <c r="I646" s="26">
        <f>IF(OR($A646="",$F646=""),"",ROUND(IF($D646="",1,$D646)*$F646,0))</f>
        <v/>
      </c>
      <c r="J646" s="27">
        <f>IF($A646="","",IF($O646="なし","※通知一覧にない通知No",IF($P646="","",INDEX('支払先'!$C$5:$C$104,$P646)&amp;"")))</f>
        <v/>
      </c>
      <c r="K646" s="28">
        <f>IF(NOT(ISNUMBER($O646)),"",IF(ISNUMBER(INDEX('通知一覧'!$F$5:$F$204,$O646)),INDEX('通知一覧'!$F$5:$F$204,$O646),""))</f>
        <v/>
      </c>
      <c r="L646" s="29">
        <f>IF(AND(ISNUMBER($B646),ISNUMBER($K646)),$K646-$B646+1,"")</f>
        <v/>
      </c>
      <c r="M646" s="30">
        <f>IF(OR($L646="",$P646=""),"",IF(INDEX('支払先'!$M$5:$M$104,$P646)="対象外","",IF(AND($L646&gt;60,$K646&gt;=EDATE($B646,2)),"超える","")))</f>
        <v/>
      </c>
      <c r="N646" s="67" t="n"/>
      <c r="O646" s="31">
        <f>IF($A646="","",IFERROR(MATCH($A646,'通知一覧'!$B$5:$B$204,0),"なし"))</f>
        <v/>
      </c>
      <c r="P646" s="31">
        <f>IF(NOT(ISNUMBER($O646)),"",IFERROR(MATCH(INDEX('通知一覧'!$C$5:$C$204,$O646),'支払先'!$B$5:$B$104,0),""))</f>
        <v/>
      </c>
      <c r="Q646" s="31">
        <f>IF(AND($A646&lt;&gt;"",$A646='支払通知書'!$K$2),ROW(),"")</f>
        <v/>
      </c>
    </row>
    <row r="647" ht="18" customHeight="1">
      <c r="A647" s="18" t="n"/>
      <c r="B647" s="24" t="n"/>
      <c r="C647" s="19" t="n"/>
      <c r="D647" s="25" t="n"/>
      <c r="E647" s="18" t="n"/>
      <c r="F647" s="25" t="n"/>
      <c r="G647" s="18" t="n"/>
      <c r="H647" s="18" t="n"/>
      <c r="I647" s="26">
        <f>IF(OR($A647="",$F647=""),"",ROUND(IF($D647="",1,$D647)*$F647,0))</f>
        <v/>
      </c>
      <c r="J647" s="27">
        <f>IF($A647="","",IF($O647="なし","※通知一覧にない通知No",IF($P647="","",INDEX('支払先'!$C$5:$C$104,$P647)&amp;"")))</f>
        <v/>
      </c>
      <c r="K647" s="28">
        <f>IF(NOT(ISNUMBER($O647)),"",IF(ISNUMBER(INDEX('通知一覧'!$F$5:$F$204,$O647)),INDEX('通知一覧'!$F$5:$F$204,$O647),""))</f>
        <v/>
      </c>
      <c r="L647" s="29">
        <f>IF(AND(ISNUMBER($B647),ISNUMBER($K647)),$K647-$B647+1,"")</f>
        <v/>
      </c>
      <c r="M647" s="30">
        <f>IF(OR($L647="",$P647=""),"",IF(INDEX('支払先'!$M$5:$M$104,$P647)="対象外","",IF(AND($L647&gt;60,$K647&gt;=EDATE($B647,2)),"超える","")))</f>
        <v/>
      </c>
      <c r="N647" s="67" t="n"/>
      <c r="O647" s="31">
        <f>IF($A647="","",IFERROR(MATCH($A647,'通知一覧'!$B$5:$B$204,0),"なし"))</f>
        <v/>
      </c>
      <c r="P647" s="31">
        <f>IF(NOT(ISNUMBER($O647)),"",IFERROR(MATCH(INDEX('通知一覧'!$C$5:$C$204,$O647),'支払先'!$B$5:$B$104,0),""))</f>
        <v/>
      </c>
      <c r="Q647" s="31">
        <f>IF(AND($A647&lt;&gt;"",$A647='支払通知書'!$K$2),ROW(),"")</f>
        <v/>
      </c>
    </row>
    <row r="648" ht="18" customHeight="1">
      <c r="A648" s="18" t="n"/>
      <c r="B648" s="24" t="n"/>
      <c r="C648" s="19" t="n"/>
      <c r="D648" s="25" t="n"/>
      <c r="E648" s="18" t="n"/>
      <c r="F648" s="25" t="n"/>
      <c r="G648" s="18" t="n"/>
      <c r="H648" s="18" t="n"/>
      <c r="I648" s="26">
        <f>IF(OR($A648="",$F648=""),"",ROUND(IF($D648="",1,$D648)*$F648,0))</f>
        <v/>
      </c>
      <c r="J648" s="27">
        <f>IF($A648="","",IF($O648="なし","※通知一覧にない通知No",IF($P648="","",INDEX('支払先'!$C$5:$C$104,$P648)&amp;"")))</f>
        <v/>
      </c>
      <c r="K648" s="28">
        <f>IF(NOT(ISNUMBER($O648)),"",IF(ISNUMBER(INDEX('通知一覧'!$F$5:$F$204,$O648)),INDEX('通知一覧'!$F$5:$F$204,$O648),""))</f>
        <v/>
      </c>
      <c r="L648" s="29">
        <f>IF(AND(ISNUMBER($B648),ISNUMBER($K648)),$K648-$B648+1,"")</f>
        <v/>
      </c>
      <c r="M648" s="30">
        <f>IF(OR($L648="",$P648=""),"",IF(INDEX('支払先'!$M$5:$M$104,$P648)="対象外","",IF(AND($L648&gt;60,$K648&gt;=EDATE($B648,2)),"超える","")))</f>
        <v/>
      </c>
      <c r="N648" s="67" t="n"/>
      <c r="O648" s="31">
        <f>IF($A648="","",IFERROR(MATCH($A648,'通知一覧'!$B$5:$B$204,0),"なし"))</f>
        <v/>
      </c>
      <c r="P648" s="31">
        <f>IF(NOT(ISNUMBER($O648)),"",IFERROR(MATCH(INDEX('通知一覧'!$C$5:$C$204,$O648),'支払先'!$B$5:$B$104,0),""))</f>
        <v/>
      </c>
      <c r="Q648" s="31">
        <f>IF(AND($A648&lt;&gt;"",$A648='支払通知書'!$K$2),ROW(),"")</f>
        <v/>
      </c>
    </row>
    <row r="649" ht="18" customHeight="1">
      <c r="A649" s="18" t="n"/>
      <c r="B649" s="24" t="n"/>
      <c r="C649" s="19" t="n"/>
      <c r="D649" s="25" t="n"/>
      <c r="E649" s="18" t="n"/>
      <c r="F649" s="25" t="n"/>
      <c r="G649" s="18" t="n"/>
      <c r="H649" s="18" t="n"/>
      <c r="I649" s="26">
        <f>IF(OR($A649="",$F649=""),"",ROUND(IF($D649="",1,$D649)*$F649,0))</f>
        <v/>
      </c>
      <c r="J649" s="27">
        <f>IF($A649="","",IF($O649="なし","※通知一覧にない通知No",IF($P649="","",INDEX('支払先'!$C$5:$C$104,$P649)&amp;"")))</f>
        <v/>
      </c>
      <c r="K649" s="28">
        <f>IF(NOT(ISNUMBER($O649)),"",IF(ISNUMBER(INDEX('通知一覧'!$F$5:$F$204,$O649)),INDEX('通知一覧'!$F$5:$F$204,$O649),""))</f>
        <v/>
      </c>
      <c r="L649" s="29">
        <f>IF(AND(ISNUMBER($B649),ISNUMBER($K649)),$K649-$B649+1,"")</f>
        <v/>
      </c>
      <c r="M649" s="30">
        <f>IF(OR($L649="",$P649=""),"",IF(INDEX('支払先'!$M$5:$M$104,$P649)="対象外","",IF(AND($L649&gt;60,$K649&gt;=EDATE($B649,2)),"超える","")))</f>
        <v/>
      </c>
      <c r="N649" s="67" t="n"/>
      <c r="O649" s="31">
        <f>IF($A649="","",IFERROR(MATCH($A649,'通知一覧'!$B$5:$B$204,0),"なし"))</f>
        <v/>
      </c>
      <c r="P649" s="31">
        <f>IF(NOT(ISNUMBER($O649)),"",IFERROR(MATCH(INDEX('通知一覧'!$C$5:$C$204,$O649),'支払先'!$B$5:$B$104,0),""))</f>
        <v/>
      </c>
      <c r="Q649" s="31">
        <f>IF(AND($A649&lt;&gt;"",$A649='支払通知書'!$K$2),ROW(),"")</f>
        <v/>
      </c>
    </row>
    <row r="650" ht="18" customHeight="1">
      <c r="A650" s="18" t="n"/>
      <c r="B650" s="24" t="n"/>
      <c r="C650" s="19" t="n"/>
      <c r="D650" s="25" t="n"/>
      <c r="E650" s="18" t="n"/>
      <c r="F650" s="25" t="n"/>
      <c r="G650" s="18" t="n"/>
      <c r="H650" s="18" t="n"/>
      <c r="I650" s="26">
        <f>IF(OR($A650="",$F650=""),"",ROUND(IF($D650="",1,$D650)*$F650,0))</f>
        <v/>
      </c>
      <c r="J650" s="27">
        <f>IF($A650="","",IF($O650="なし","※通知一覧にない通知No",IF($P650="","",INDEX('支払先'!$C$5:$C$104,$P650)&amp;"")))</f>
        <v/>
      </c>
      <c r="K650" s="28">
        <f>IF(NOT(ISNUMBER($O650)),"",IF(ISNUMBER(INDEX('通知一覧'!$F$5:$F$204,$O650)),INDEX('通知一覧'!$F$5:$F$204,$O650),""))</f>
        <v/>
      </c>
      <c r="L650" s="29">
        <f>IF(AND(ISNUMBER($B650),ISNUMBER($K650)),$K650-$B650+1,"")</f>
        <v/>
      </c>
      <c r="M650" s="30">
        <f>IF(OR($L650="",$P650=""),"",IF(INDEX('支払先'!$M$5:$M$104,$P650)="対象外","",IF(AND($L650&gt;60,$K650&gt;=EDATE($B650,2)),"超える","")))</f>
        <v/>
      </c>
      <c r="N650" s="67" t="n"/>
      <c r="O650" s="31">
        <f>IF($A650="","",IFERROR(MATCH($A650,'通知一覧'!$B$5:$B$204,0),"なし"))</f>
        <v/>
      </c>
      <c r="P650" s="31">
        <f>IF(NOT(ISNUMBER($O650)),"",IFERROR(MATCH(INDEX('通知一覧'!$C$5:$C$204,$O650),'支払先'!$B$5:$B$104,0),""))</f>
        <v/>
      </c>
      <c r="Q650" s="31">
        <f>IF(AND($A650&lt;&gt;"",$A650='支払通知書'!$K$2),ROW(),"")</f>
        <v/>
      </c>
    </row>
    <row r="651" ht="18" customHeight="1">
      <c r="A651" s="18" t="n"/>
      <c r="B651" s="24" t="n"/>
      <c r="C651" s="19" t="n"/>
      <c r="D651" s="25" t="n"/>
      <c r="E651" s="18" t="n"/>
      <c r="F651" s="25" t="n"/>
      <c r="G651" s="18" t="n"/>
      <c r="H651" s="18" t="n"/>
      <c r="I651" s="26">
        <f>IF(OR($A651="",$F651=""),"",ROUND(IF($D651="",1,$D651)*$F651,0))</f>
        <v/>
      </c>
      <c r="J651" s="27">
        <f>IF($A651="","",IF($O651="なし","※通知一覧にない通知No",IF($P651="","",INDEX('支払先'!$C$5:$C$104,$P651)&amp;"")))</f>
        <v/>
      </c>
      <c r="K651" s="28">
        <f>IF(NOT(ISNUMBER($O651)),"",IF(ISNUMBER(INDEX('通知一覧'!$F$5:$F$204,$O651)),INDEX('通知一覧'!$F$5:$F$204,$O651),""))</f>
        <v/>
      </c>
      <c r="L651" s="29">
        <f>IF(AND(ISNUMBER($B651),ISNUMBER($K651)),$K651-$B651+1,"")</f>
        <v/>
      </c>
      <c r="M651" s="30">
        <f>IF(OR($L651="",$P651=""),"",IF(INDEX('支払先'!$M$5:$M$104,$P651)="対象外","",IF(AND($L651&gt;60,$K651&gt;=EDATE($B651,2)),"超える","")))</f>
        <v/>
      </c>
      <c r="N651" s="67" t="n"/>
      <c r="O651" s="31">
        <f>IF($A651="","",IFERROR(MATCH($A651,'通知一覧'!$B$5:$B$204,0),"なし"))</f>
        <v/>
      </c>
      <c r="P651" s="31">
        <f>IF(NOT(ISNUMBER($O651)),"",IFERROR(MATCH(INDEX('通知一覧'!$C$5:$C$204,$O651),'支払先'!$B$5:$B$104,0),""))</f>
        <v/>
      </c>
      <c r="Q651" s="31">
        <f>IF(AND($A651&lt;&gt;"",$A651='支払通知書'!$K$2),ROW(),"")</f>
        <v/>
      </c>
    </row>
    <row r="652" ht="18" customHeight="1">
      <c r="A652" s="18" t="n"/>
      <c r="B652" s="24" t="n"/>
      <c r="C652" s="19" t="n"/>
      <c r="D652" s="25" t="n"/>
      <c r="E652" s="18" t="n"/>
      <c r="F652" s="25" t="n"/>
      <c r="G652" s="18" t="n"/>
      <c r="H652" s="18" t="n"/>
      <c r="I652" s="26">
        <f>IF(OR($A652="",$F652=""),"",ROUND(IF($D652="",1,$D652)*$F652,0))</f>
        <v/>
      </c>
      <c r="J652" s="27">
        <f>IF($A652="","",IF($O652="なし","※通知一覧にない通知No",IF($P652="","",INDEX('支払先'!$C$5:$C$104,$P652)&amp;"")))</f>
        <v/>
      </c>
      <c r="K652" s="28">
        <f>IF(NOT(ISNUMBER($O652)),"",IF(ISNUMBER(INDEX('通知一覧'!$F$5:$F$204,$O652)),INDEX('通知一覧'!$F$5:$F$204,$O652),""))</f>
        <v/>
      </c>
      <c r="L652" s="29">
        <f>IF(AND(ISNUMBER($B652),ISNUMBER($K652)),$K652-$B652+1,"")</f>
        <v/>
      </c>
      <c r="M652" s="30">
        <f>IF(OR($L652="",$P652=""),"",IF(INDEX('支払先'!$M$5:$M$104,$P652)="対象外","",IF(AND($L652&gt;60,$K652&gt;=EDATE($B652,2)),"超える","")))</f>
        <v/>
      </c>
      <c r="N652" s="67" t="n"/>
      <c r="O652" s="31">
        <f>IF($A652="","",IFERROR(MATCH($A652,'通知一覧'!$B$5:$B$204,0),"なし"))</f>
        <v/>
      </c>
      <c r="P652" s="31">
        <f>IF(NOT(ISNUMBER($O652)),"",IFERROR(MATCH(INDEX('通知一覧'!$C$5:$C$204,$O652),'支払先'!$B$5:$B$104,0),""))</f>
        <v/>
      </c>
      <c r="Q652" s="31">
        <f>IF(AND($A652&lt;&gt;"",$A652='支払通知書'!$K$2),ROW(),"")</f>
        <v/>
      </c>
    </row>
    <row r="653" ht="18" customHeight="1">
      <c r="A653" s="18" t="n"/>
      <c r="B653" s="24" t="n"/>
      <c r="C653" s="19" t="n"/>
      <c r="D653" s="25" t="n"/>
      <c r="E653" s="18" t="n"/>
      <c r="F653" s="25" t="n"/>
      <c r="G653" s="18" t="n"/>
      <c r="H653" s="18" t="n"/>
      <c r="I653" s="26">
        <f>IF(OR($A653="",$F653=""),"",ROUND(IF($D653="",1,$D653)*$F653,0))</f>
        <v/>
      </c>
      <c r="J653" s="27">
        <f>IF($A653="","",IF($O653="なし","※通知一覧にない通知No",IF($P653="","",INDEX('支払先'!$C$5:$C$104,$P653)&amp;"")))</f>
        <v/>
      </c>
      <c r="K653" s="28">
        <f>IF(NOT(ISNUMBER($O653)),"",IF(ISNUMBER(INDEX('通知一覧'!$F$5:$F$204,$O653)),INDEX('通知一覧'!$F$5:$F$204,$O653),""))</f>
        <v/>
      </c>
      <c r="L653" s="29">
        <f>IF(AND(ISNUMBER($B653),ISNUMBER($K653)),$K653-$B653+1,"")</f>
        <v/>
      </c>
      <c r="M653" s="30">
        <f>IF(OR($L653="",$P653=""),"",IF(INDEX('支払先'!$M$5:$M$104,$P653)="対象外","",IF(AND($L653&gt;60,$K653&gt;=EDATE($B653,2)),"超える","")))</f>
        <v/>
      </c>
      <c r="N653" s="67" t="n"/>
      <c r="O653" s="31">
        <f>IF($A653="","",IFERROR(MATCH($A653,'通知一覧'!$B$5:$B$204,0),"なし"))</f>
        <v/>
      </c>
      <c r="P653" s="31">
        <f>IF(NOT(ISNUMBER($O653)),"",IFERROR(MATCH(INDEX('通知一覧'!$C$5:$C$204,$O653),'支払先'!$B$5:$B$104,0),""))</f>
        <v/>
      </c>
      <c r="Q653" s="31">
        <f>IF(AND($A653&lt;&gt;"",$A653='支払通知書'!$K$2),ROW(),"")</f>
        <v/>
      </c>
    </row>
    <row r="654" ht="18" customHeight="1">
      <c r="A654" s="18" t="n"/>
      <c r="B654" s="24" t="n"/>
      <c r="C654" s="19" t="n"/>
      <c r="D654" s="25" t="n"/>
      <c r="E654" s="18" t="n"/>
      <c r="F654" s="25" t="n"/>
      <c r="G654" s="18" t="n"/>
      <c r="H654" s="18" t="n"/>
      <c r="I654" s="26">
        <f>IF(OR($A654="",$F654=""),"",ROUND(IF($D654="",1,$D654)*$F654,0))</f>
        <v/>
      </c>
      <c r="J654" s="27">
        <f>IF($A654="","",IF($O654="なし","※通知一覧にない通知No",IF($P654="","",INDEX('支払先'!$C$5:$C$104,$P654)&amp;"")))</f>
        <v/>
      </c>
      <c r="K654" s="28">
        <f>IF(NOT(ISNUMBER($O654)),"",IF(ISNUMBER(INDEX('通知一覧'!$F$5:$F$204,$O654)),INDEX('通知一覧'!$F$5:$F$204,$O654),""))</f>
        <v/>
      </c>
      <c r="L654" s="29">
        <f>IF(AND(ISNUMBER($B654),ISNUMBER($K654)),$K654-$B654+1,"")</f>
        <v/>
      </c>
      <c r="M654" s="30">
        <f>IF(OR($L654="",$P654=""),"",IF(INDEX('支払先'!$M$5:$M$104,$P654)="対象外","",IF(AND($L654&gt;60,$K654&gt;=EDATE($B654,2)),"超える","")))</f>
        <v/>
      </c>
      <c r="N654" s="67" t="n"/>
      <c r="O654" s="31">
        <f>IF($A654="","",IFERROR(MATCH($A654,'通知一覧'!$B$5:$B$204,0),"なし"))</f>
        <v/>
      </c>
      <c r="P654" s="31">
        <f>IF(NOT(ISNUMBER($O654)),"",IFERROR(MATCH(INDEX('通知一覧'!$C$5:$C$204,$O654),'支払先'!$B$5:$B$104,0),""))</f>
        <v/>
      </c>
      <c r="Q654" s="31">
        <f>IF(AND($A654&lt;&gt;"",$A654='支払通知書'!$K$2),ROW(),"")</f>
        <v/>
      </c>
    </row>
    <row r="655" ht="18" customHeight="1">
      <c r="A655" s="18" t="n"/>
      <c r="B655" s="24" t="n"/>
      <c r="C655" s="19" t="n"/>
      <c r="D655" s="25" t="n"/>
      <c r="E655" s="18" t="n"/>
      <c r="F655" s="25" t="n"/>
      <c r="G655" s="18" t="n"/>
      <c r="H655" s="18" t="n"/>
      <c r="I655" s="26">
        <f>IF(OR($A655="",$F655=""),"",ROUND(IF($D655="",1,$D655)*$F655,0))</f>
        <v/>
      </c>
      <c r="J655" s="27">
        <f>IF($A655="","",IF($O655="なし","※通知一覧にない通知No",IF($P655="","",INDEX('支払先'!$C$5:$C$104,$P655)&amp;"")))</f>
        <v/>
      </c>
      <c r="K655" s="28">
        <f>IF(NOT(ISNUMBER($O655)),"",IF(ISNUMBER(INDEX('通知一覧'!$F$5:$F$204,$O655)),INDEX('通知一覧'!$F$5:$F$204,$O655),""))</f>
        <v/>
      </c>
      <c r="L655" s="29">
        <f>IF(AND(ISNUMBER($B655),ISNUMBER($K655)),$K655-$B655+1,"")</f>
        <v/>
      </c>
      <c r="M655" s="30">
        <f>IF(OR($L655="",$P655=""),"",IF(INDEX('支払先'!$M$5:$M$104,$P655)="対象外","",IF(AND($L655&gt;60,$K655&gt;=EDATE($B655,2)),"超える","")))</f>
        <v/>
      </c>
      <c r="N655" s="67" t="n"/>
      <c r="O655" s="31">
        <f>IF($A655="","",IFERROR(MATCH($A655,'通知一覧'!$B$5:$B$204,0),"なし"))</f>
        <v/>
      </c>
      <c r="P655" s="31">
        <f>IF(NOT(ISNUMBER($O655)),"",IFERROR(MATCH(INDEX('通知一覧'!$C$5:$C$204,$O655),'支払先'!$B$5:$B$104,0),""))</f>
        <v/>
      </c>
      <c r="Q655" s="31">
        <f>IF(AND($A655&lt;&gt;"",$A655='支払通知書'!$K$2),ROW(),"")</f>
        <v/>
      </c>
    </row>
    <row r="656" ht="18" customHeight="1">
      <c r="A656" s="18" t="n"/>
      <c r="B656" s="24" t="n"/>
      <c r="C656" s="19" t="n"/>
      <c r="D656" s="25" t="n"/>
      <c r="E656" s="18" t="n"/>
      <c r="F656" s="25" t="n"/>
      <c r="G656" s="18" t="n"/>
      <c r="H656" s="18" t="n"/>
      <c r="I656" s="26">
        <f>IF(OR($A656="",$F656=""),"",ROUND(IF($D656="",1,$D656)*$F656,0))</f>
        <v/>
      </c>
      <c r="J656" s="27">
        <f>IF($A656="","",IF($O656="なし","※通知一覧にない通知No",IF($P656="","",INDEX('支払先'!$C$5:$C$104,$P656)&amp;"")))</f>
        <v/>
      </c>
      <c r="K656" s="28">
        <f>IF(NOT(ISNUMBER($O656)),"",IF(ISNUMBER(INDEX('通知一覧'!$F$5:$F$204,$O656)),INDEX('通知一覧'!$F$5:$F$204,$O656),""))</f>
        <v/>
      </c>
      <c r="L656" s="29">
        <f>IF(AND(ISNUMBER($B656),ISNUMBER($K656)),$K656-$B656+1,"")</f>
        <v/>
      </c>
      <c r="M656" s="30">
        <f>IF(OR($L656="",$P656=""),"",IF(INDEX('支払先'!$M$5:$M$104,$P656)="対象外","",IF(AND($L656&gt;60,$K656&gt;=EDATE($B656,2)),"超える","")))</f>
        <v/>
      </c>
      <c r="N656" s="67" t="n"/>
      <c r="O656" s="31">
        <f>IF($A656="","",IFERROR(MATCH($A656,'通知一覧'!$B$5:$B$204,0),"なし"))</f>
        <v/>
      </c>
      <c r="P656" s="31">
        <f>IF(NOT(ISNUMBER($O656)),"",IFERROR(MATCH(INDEX('通知一覧'!$C$5:$C$204,$O656),'支払先'!$B$5:$B$104,0),""))</f>
        <v/>
      </c>
      <c r="Q656" s="31">
        <f>IF(AND($A656&lt;&gt;"",$A656='支払通知書'!$K$2),ROW(),"")</f>
        <v/>
      </c>
    </row>
    <row r="657" ht="18" customHeight="1">
      <c r="A657" s="18" t="n"/>
      <c r="B657" s="24" t="n"/>
      <c r="C657" s="19" t="n"/>
      <c r="D657" s="25" t="n"/>
      <c r="E657" s="18" t="n"/>
      <c r="F657" s="25" t="n"/>
      <c r="G657" s="18" t="n"/>
      <c r="H657" s="18" t="n"/>
      <c r="I657" s="26">
        <f>IF(OR($A657="",$F657=""),"",ROUND(IF($D657="",1,$D657)*$F657,0))</f>
        <v/>
      </c>
      <c r="J657" s="27">
        <f>IF($A657="","",IF($O657="なし","※通知一覧にない通知No",IF($P657="","",INDEX('支払先'!$C$5:$C$104,$P657)&amp;"")))</f>
        <v/>
      </c>
      <c r="K657" s="28">
        <f>IF(NOT(ISNUMBER($O657)),"",IF(ISNUMBER(INDEX('通知一覧'!$F$5:$F$204,$O657)),INDEX('通知一覧'!$F$5:$F$204,$O657),""))</f>
        <v/>
      </c>
      <c r="L657" s="29">
        <f>IF(AND(ISNUMBER($B657),ISNUMBER($K657)),$K657-$B657+1,"")</f>
        <v/>
      </c>
      <c r="M657" s="30">
        <f>IF(OR($L657="",$P657=""),"",IF(INDEX('支払先'!$M$5:$M$104,$P657)="対象外","",IF(AND($L657&gt;60,$K657&gt;=EDATE($B657,2)),"超える","")))</f>
        <v/>
      </c>
      <c r="N657" s="67" t="n"/>
      <c r="O657" s="31">
        <f>IF($A657="","",IFERROR(MATCH($A657,'通知一覧'!$B$5:$B$204,0),"なし"))</f>
        <v/>
      </c>
      <c r="P657" s="31">
        <f>IF(NOT(ISNUMBER($O657)),"",IFERROR(MATCH(INDEX('通知一覧'!$C$5:$C$204,$O657),'支払先'!$B$5:$B$104,0),""))</f>
        <v/>
      </c>
      <c r="Q657" s="31">
        <f>IF(AND($A657&lt;&gt;"",$A657='支払通知書'!$K$2),ROW(),"")</f>
        <v/>
      </c>
    </row>
    <row r="658" ht="18" customHeight="1">
      <c r="A658" s="18" t="n"/>
      <c r="B658" s="24" t="n"/>
      <c r="C658" s="19" t="n"/>
      <c r="D658" s="25" t="n"/>
      <c r="E658" s="18" t="n"/>
      <c r="F658" s="25" t="n"/>
      <c r="G658" s="18" t="n"/>
      <c r="H658" s="18" t="n"/>
      <c r="I658" s="26">
        <f>IF(OR($A658="",$F658=""),"",ROUND(IF($D658="",1,$D658)*$F658,0))</f>
        <v/>
      </c>
      <c r="J658" s="27">
        <f>IF($A658="","",IF($O658="なし","※通知一覧にない通知No",IF($P658="","",INDEX('支払先'!$C$5:$C$104,$P658)&amp;"")))</f>
        <v/>
      </c>
      <c r="K658" s="28">
        <f>IF(NOT(ISNUMBER($O658)),"",IF(ISNUMBER(INDEX('通知一覧'!$F$5:$F$204,$O658)),INDEX('通知一覧'!$F$5:$F$204,$O658),""))</f>
        <v/>
      </c>
      <c r="L658" s="29">
        <f>IF(AND(ISNUMBER($B658),ISNUMBER($K658)),$K658-$B658+1,"")</f>
        <v/>
      </c>
      <c r="M658" s="30">
        <f>IF(OR($L658="",$P658=""),"",IF(INDEX('支払先'!$M$5:$M$104,$P658)="対象外","",IF(AND($L658&gt;60,$K658&gt;=EDATE($B658,2)),"超える","")))</f>
        <v/>
      </c>
      <c r="N658" s="67" t="n"/>
      <c r="O658" s="31">
        <f>IF($A658="","",IFERROR(MATCH($A658,'通知一覧'!$B$5:$B$204,0),"なし"))</f>
        <v/>
      </c>
      <c r="P658" s="31">
        <f>IF(NOT(ISNUMBER($O658)),"",IFERROR(MATCH(INDEX('通知一覧'!$C$5:$C$204,$O658),'支払先'!$B$5:$B$104,0),""))</f>
        <v/>
      </c>
      <c r="Q658" s="31">
        <f>IF(AND($A658&lt;&gt;"",$A658='支払通知書'!$K$2),ROW(),"")</f>
        <v/>
      </c>
    </row>
    <row r="659" ht="18" customHeight="1">
      <c r="A659" s="18" t="n"/>
      <c r="B659" s="24" t="n"/>
      <c r="C659" s="19" t="n"/>
      <c r="D659" s="25" t="n"/>
      <c r="E659" s="18" t="n"/>
      <c r="F659" s="25" t="n"/>
      <c r="G659" s="18" t="n"/>
      <c r="H659" s="18" t="n"/>
      <c r="I659" s="26">
        <f>IF(OR($A659="",$F659=""),"",ROUND(IF($D659="",1,$D659)*$F659,0))</f>
        <v/>
      </c>
      <c r="J659" s="27">
        <f>IF($A659="","",IF($O659="なし","※通知一覧にない通知No",IF($P659="","",INDEX('支払先'!$C$5:$C$104,$P659)&amp;"")))</f>
        <v/>
      </c>
      <c r="K659" s="28">
        <f>IF(NOT(ISNUMBER($O659)),"",IF(ISNUMBER(INDEX('通知一覧'!$F$5:$F$204,$O659)),INDEX('通知一覧'!$F$5:$F$204,$O659),""))</f>
        <v/>
      </c>
      <c r="L659" s="29">
        <f>IF(AND(ISNUMBER($B659),ISNUMBER($K659)),$K659-$B659+1,"")</f>
        <v/>
      </c>
      <c r="M659" s="30">
        <f>IF(OR($L659="",$P659=""),"",IF(INDEX('支払先'!$M$5:$M$104,$P659)="対象外","",IF(AND($L659&gt;60,$K659&gt;=EDATE($B659,2)),"超える","")))</f>
        <v/>
      </c>
      <c r="N659" s="67" t="n"/>
      <c r="O659" s="31">
        <f>IF($A659="","",IFERROR(MATCH($A659,'通知一覧'!$B$5:$B$204,0),"なし"))</f>
        <v/>
      </c>
      <c r="P659" s="31">
        <f>IF(NOT(ISNUMBER($O659)),"",IFERROR(MATCH(INDEX('通知一覧'!$C$5:$C$204,$O659),'支払先'!$B$5:$B$104,0),""))</f>
        <v/>
      </c>
      <c r="Q659" s="31">
        <f>IF(AND($A659&lt;&gt;"",$A659='支払通知書'!$K$2),ROW(),"")</f>
        <v/>
      </c>
    </row>
    <row r="660" ht="18" customHeight="1">
      <c r="A660" s="18" t="n"/>
      <c r="B660" s="24" t="n"/>
      <c r="C660" s="19" t="n"/>
      <c r="D660" s="25" t="n"/>
      <c r="E660" s="18" t="n"/>
      <c r="F660" s="25" t="n"/>
      <c r="G660" s="18" t="n"/>
      <c r="H660" s="18" t="n"/>
      <c r="I660" s="26">
        <f>IF(OR($A660="",$F660=""),"",ROUND(IF($D660="",1,$D660)*$F660,0))</f>
        <v/>
      </c>
      <c r="J660" s="27">
        <f>IF($A660="","",IF($O660="なし","※通知一覧にない通知No",IF($P660="","",INDEX('支払先'!$C$5:$C$104,$P660)&amp;"")))</f>
        <v/>
      </c>
      <c r="K660" s="28">
        <f>IF(NOT(ISNUMBER($O660)),"",IF(ISNUMBER(INDEX('通知一覧'!$F$5:$F$204,$O660)),INDEX('通知一覧'!$F$5:$F$204,$O660),""))</f>
        <v/>
      </c>
      <c r="L660" s="29">
        <f>IF(AND(ISNUMBER($B660),ISNUMBER($K660)),$K660-$B660+1,"")</f>
        <v/>
      </c>
      <c r="M660" s="30">
        <f>IF(OR($L660="",$P660=""),"",IF(INDEX('支払先'!$M$5:$M$104,$P660)="対象外","",IF(AND($L660&gt;60,$K660&gt;=EDATE($B660,2)),"超える","")))</f>
        <v/>
      </c>
      <c r="N660" s="67" t="n"/>
      <c r="O660" s="31">
        <f>IF($A660="","",IFERROR(MATCH($A660,'通知一覧'!$B$5:$B$204,0),"なし"))</f>
        <v/>
      </c>
      <c r="P660" s="31">
        <f>IF(NOT(ISNUMBER($O660)),"",IFERROR(MATCH(INDEX('通知一覧'!$C$5:$C$204,$O660),'支払先'!$B$5:$B$104,0),""))</f>
        <v/>
      </c>
      <c r="Q660" s="31">
        <f>IF(AND($A660&lt;&gt;"",$A660='支払通知書'!$K$2),ROW(),"")</f>
        <v/>
      </c>
    </row>
    <row r="661" ht="18" customHeight="1">
      <c r="A661" s="18" t="n"/>
      <c r="B661" s="24" t="n"/>
      <c r="C661" s="19" t="n"/>
      <c r="D661" s="25" t="n"/>
      <c r="E661" s="18" t="n"/>
      <c r="F661" s="25" t="n"/>
      <c r="G661" s="18" t="n"/>
      <c r="H661" s="18" t="n"/>
      <c r="I661" s="26">
        <f>IF(OR($A661="",$F661=""),"",ROUND(IF($D661="",1,$D661)*$F661,0))</f>
        <v/>
      </c>
      <c r="J661" s="27">
        <f>IF($A661="","",IF($O661="なし","※通知一覧にない通知No",IF($P661="","",INDEX('支払先'!$C$5:$C$104,$P661)&amp;"")))</f>
        <v/>
      </c>
      <c r="K661" s="28">
        <f>IF(NOT(ISNUMBER($O661)),"",IF(ISNUMBER(INDEX('通知一覧'!$F$5:$F$204,$O661)),INDEX('通知一覧'!$F$5:$F$204,$O661),""))</f>
        <v/>
      </c>
      <c r="L661" s="29">
        <f>IF(AND(ISNUMBER($B661),ISNUMBER($K661)),$K661-$B661+1,"")</f>
        <v/>
      </c>
      <c r="M661" s="30">
        <f>IF(OR($L661="",$P661=""),"",IF(INDEX('支払先'!$M$5:$M$104,$P661)="対象外","",IF(AND($L661&gt;60,$K661&gt;=EDATE($B661,2)),"超える","")))</f>
        <v/>
      </c>
      <c r="N661" s="67" t="n"/>
      <c r="O661" s="31">
        <f>IF($A661="","",IFERROR(MATCH($A661,'通知一覧'!$B$5:$B$204,0),"なし"))</f>
        <v/>
      </c>
      <c r="P661" s="31">
        <f>IF(NOT(ISNUMBER($O661)),"",IFERROR(MATCH(INDEX('通知一覧'!$C$5:$C$204,$O661),'支払先'!$B$5:$B$104,0),""))</f>
        <v/>
      </c>
      <c r="Q661" s="31">
        <f>IF(AND($A661&lt;&gt;"",$A661='支払通知書'!$K$2),ROW(),"")</f>
        <v/>
      </c>
    </row>
    <row r="662" ht="18" customHeight="1">
      <c r="A662" s="18" t="n"/>
      <c r="B662" s="24" t="n"/>
      <c r="C662" s="19" t="n"/>
      <c r="D662" s="25" t="n"/>
      <c r="E662" s="18" t="n"/>
      <c r="F662" s="25" t="n"/>
      <c r="G662" s="18" t="n"/>
      <c r="H662" s="18" t="n"/>
      <c r="I662" s="26">
        <f>IF(OR($A662="",$F662=""),"",ROUND(IF($D662="",1,$D662)*$F662,0))</f>
        <v/>
      </c>
      <c r="J662" s="27">
        <f>IF($A662="","",IF($O662="なし","※通知一覧にない通知No",IF($P662="","",INDEX('支払先'!$C$5:$C$104,$P662)&amp;"")))</f>
        <v/>
      </c>
      <c r="K662" s="28">
        <f>IF(NOT(ISNUMBER($O662)),"",IF(ISNUMBER(INDEX('通知一覧'!$F$5:$F$204,$O662)),INDEX('通知一覧'!$F$5:$F$204,$O662),""))</f>
        <v/>
      </c>
      <c r="L662" s="29">
        <f>IF(AND(ISNUMBER($B662),ISNUMBER($K662)),$K662-$B662+1,"")</f>
        <v/>
      </c>
      <c r="M662" s="30">
        <f>IF(OR($L662="",$P662=""),"",IF(INDEX('支払先'!$M$5:$M$104,$P662)="対象外","",IF(AND($L662&gt;60,$K662&gt;=EDATE($B662,2)),"超える","")))</f>
        <v/>
      </c>
      <c r="N662" s="67" t="n"/>
      <c r="O662" s="31">
        <f>IF($A662="","",IFERROR(MATCH($A662,'通知一覧'!$B$5:$B$204,0),"なし"))</f>
        <v/>
      </c>
      <c r="P662" s="31">
        <f>IF(NOT(ISNUMBER($O662)),"",IFERROR(MATCH(INDEX('通知一覧'!$C$5:$C$204,$O662),'支払先'!$B$5:$B$104,0),""))</f>
        <v/>
      </c>
      <c r="Q662" s="31">
        <f>IF(AND($A662&lt;&gt;"",$A662='支払通知書'!$K$2),ROW(),"")</f>
        <v/>
      </c>
    </row>
    <row r="663" ht="18" customHeight="1">
      <c r="A663" s="18" t="n"/>
      <c r="B663" s="24" t="n"/>
      <c r="C663" s="19" t="n"/>
      <c r="D663" s="25" t="n"/>
      <c r="E663" s="18" t="n"/>
      <c r="F663" s="25" t="n"/>
      <c r="G663" s="18" t="n"/>
      <c r="H663" s="18" t="n"/>
      <c r="I663" s="26">
        <f>IF(OR($A663="",$F663=""),"",ROUND(IF($D663="",1,$D663)*$F663,0))</f>
        <v/>
      </c>
      <c r="J663" s="27">
        <f>IF($A663="","",IF($O663="なし","※通知一覧にない通知No",IF($P663="","",INDEX('支払先'!$C$5:$C$104,$P663)&amp;"")))</f>
        <v/>
      </c>
      <c r="K663" s="28">
        <f>IF(NOT(ISNUMBER($O663)),"",IF(ISNUMBER(INDEX('通知一覧'!$F$5:$F$204,$O663)),INDEX('通知一覧'!$F$5:$F$204,$O663),""))</f>
        <v/>
      </c>
      <c r="L663" s="29">
        <f>IF(AND(ISNUMBER($B663),ISNUMBER($K663)),$K663-$B663+1,"")</f>
        <v/>
      </c>
      <c r="M663" s="30">
        <f>IF(OR($L663="",$P663=""),"",IF(INDEX('支払先'!$M$5:$M$104,$P663)="対象外","",IF(AND($L663&gt;60,$K663&gt;=EDATE($B663,2)),"超える","")))</f>
        <v/>
      </c>
      <c r="N663" s="67" t="n"/>
      <c r="O663" s="31">
        <f>IF($A663="","",IFERROR(MATCH($A663,'通知一覧'!$B$5:$B$204,0),"なし"))</f>
        <v/>
      </c>
      <c r="P663" s="31">
        <f>IF(NOT(ISNUMBER($O663)),"",IFERROR(MATCH(INDEX('通知一覧'!$C$5:$C$204,$O663),'支払先'!$B$5:$B$104,0),""))</f>
        <v/>
      </c>
      <c r="Q663" s="31">
        <f>IF(AND($A663&lt;&gt;"",$A663='支払通知書'!$K$2),ROW(),"")</f>
        <v/>
      </c>
    </row>
    <row r="664" ht="18" customHeight="1">
      <c r="A664" s="18" t="n"/>
      <c r="B664" s="24" t="n"/>
      <c r="C664" s="19" t="n"/>
      <c r="D664" s="25" t="n"/>
      <c r="E664" s="18" t="n"/>
      <c r="F664" s="25" t="n"/>
      <c r="G664" s="18" t="n"/>
      <c r="H664" s="18" t="n"/>
      <c r="I664" s="26">
        <f>IF(OR($A664="",$F664=""),"",ROUND(IF($D664="",1,$D664)*$F664,0))</f>
        <v/>
      </c>
      <c r="J664" s="27">
        <f>IF($A664="","",IF($O664="なし","※通知一覧にない通知No",IF($P664="","",INDEX('支払先'!$C$5:$C$104,$P664)&amp;"")))</f>
        <v/>
      </c>
      <c r="K664" s="28">
        <f>IF(NOT(ISNUMBER($O664)),"",IF(ISNUMBER(INDEX('通知一覧'!$F$5:$F$204,$O664)),INDEX('通知一覧'!$F$5:$F$204,$O664),""))</f>
        <v/>
      </c>
      <c r="L664" s="29">
        <f>IF(AND(ISNUMBER($B664),ISNUMBER($K664)),$K664-$B664+1,"")</f>
        <v/>
      </c>
      <c r="M664" s="30">
        <f>IF(OR($L664="",$P664=""),"",IF(INDEX('支払先'!$M$5:$M$104,$P664)="対象外","",IF(AND($L664&gt;60,$K664&gt;=EDATE($B664,2)),"超える","")))</f>
        <v/>
      </c>
      <c r="N664" s="67" t="n"/>
      <c r="O664" s="31">
        <f>IF($A664="","",IFERROR(MATCH($A664,'通知一覧'!$B$5:$B$204,0),"なし"))</f>
        <v/>
      </c>
      <c r="P664" s="31">
        <f>IF(NOT(ISNUMBER($O664)),"",IFERROR(MATCH(INDEX('通知一覧'!$C$5:$C$204,$O664),'支払先'!$B$5:$B$104,0),""))</f>
        <v/>
      </c>
      <c r="Q664" s="31">
        <f>IF(AND($A664&lt;&gt;"",$A664='支払通知書'!$K$2),ROW(),"")</f>
        <v/>
      </c>
    </row>
    <row r="665" ht="18" customHeight="1">
      <c r="A665" s="18" t="n"/>
      <c r="B665" s="24" t="n"/>
      <c r="C665" s="19" t="n"/>
      <c r="D665" s="25" t="n"/>
      <c r="E665" s="18" t="n"/>
      <c r="F665" s="25" t="n"/>
      <c r="G665" s="18" t="n"/>
      <c r="H665" s="18" t="n"/>
      <c r="I665" s="26">
        <f>IF(OR($A665="",$F665=""),"",ROUND(IF($D665="",1,$D665)*$F665,0))</f>
        <v/>
      </c>
      <c r="J665" s="27">
        <f>IF($A665="","",IF($O665="なし","※通知一覧にない通知No",IF($P665="","",INDEX('支払先'!$C$5:$C$104,$P665)&amp;"")))</f>
        <v/>
      </c>
      <c r="K665" s="28">
        <f>IF(NOT(ISNUMBER($O665)),"",IF(ISNUMBER(INDEX('通知一覧'!$F$5:$F$204,$O665)),INDEX('通知一覧'!$F$5:$F$204,$O665),""))</f>
        <v/>
      </c>
      <c r="L665" s="29">
        <f>IF(AND(ISNUMBER($B665),ISNUMBER($K665)),$K665-$B665+1,"")</f>
        <v/>
      </c>
      <c r="M665" s="30">
        <f>IF(OR($L665="",$P665=""),"",IF(INDEX('支払先'!$M$5:$M$104,$P665)="対象外","",IF(AND($L665&gt;60,$K665&gt;=EDATE($B665,2)),"超える","")))</f>
        <v/>
      </c>
      <c r="N665" s="67" t="n"/>
      <c r="O665" s="31">
        <f>IF($A665="","",IFERROR(MATCH($A665,'通知一覧'!$B$5:$B$204,0),"なし"))</f>
        <v/>
      </c>
      <c r="P665" s="31">
        <f>IF(NOT(ISNUMBER($O665)),"",IFERROR(MATCH(INDEX('通知一覧'!$C$5:$C$204,$O665),'支払先'!$B$5:$B$104,0),""))</f>
        <v/>
      </c>
      <c r="Q665" s="31">
        <f>IF(AND($A665&lt;&gt;"",$A665='支払通知書'!$K$2),ROW(),"")</f>
        <v/>
      </c>
    </row>
    <row r="666" ht="18" customHeight="1">
      <c r="A666" s="18" t="n"/>
      <c r="B666" s="24" t="n"/>
      <c r="C666" s="19" t="n"/>
      <c r="D666" s="25" t="n"/>
      <c r="E666" s="18" t="n"/>
      <c r="F666" s="25" t="n"/>
      <c r="G666" s="18" t="n"/>
      <c r="H666" s="18" t="n"/>
      <c r="I666" s="26">
        <f>IF(OR($A666="",$F666=""),"",ROUND(IF($D666="",1,$D666)*$F666,0))</f>
        <v/>
      </c>
      <c r="J666" s="27">
        <f>IF($A666="","",IF($O666="なし","※通知一覧にない通知No",IF($P666="","",INDEX('支払先'!$C$5:$C$104,$P666)&amp;"")))</f>
        <v/>
      </c>
      <c r="K666" s="28">
        <f>IF(NOT(ISNUMBER($O666)),"",IF(ISNUMBER(INDEX('通知一覧'!$F$5:$F$204,$O666)),INDEX('通知一覧'!$F$5:$F$204,$O666),""))</f>
        <v/>
      </c>
      <c r="L666" s="29">
        <f>IF(AND(ISNUMBER($B666),ISNUMBER($K666)),$K666-$B666+1,"")</f>
        <v/>
      </c>
      <c r="M666" s="30">
        <f>IF(OR($L666="",$P666=""),"",IF(INDEX('支払先'!$M$5:$M$104,$P666)="対象外","",IF(AND($L666&gt;60,$K666&gt;=EDATE($B666,2)),"超える","")))</f>
        <v/>
      </c>
      <c r="N666" s="67" t="n"/>
      <c r="O666" s="31">
        <f>IF($A666="","",IFERROR(MATCH($A666,'通知一覧'!$B$5:$B$204,0),"なし"))</f>
        <v/>
      </c>
      <c r="P666" s="31">
        <f>IF(NOT(ISNUMBER($O666)),"",IFERROR(MATCH(INDEX('通知一覧'!$C$5:$C$204,$O666),'支払先'!$B$5:$B$104,0),""))</f>
        <v/>
      </c>
      <c r="Q666" s="31">
        <f>IF(AND($A666&lt;&gt;"",$A666='支払通知書'!$K$2),ROW(),"")</f>
        <v/>
      </c>
    </row>
    <row r="667" ht="18" customHeight="1">
      <c r="A667" s="18" t="n"/>
      <c r="B667" s="24" t="n"/>
      <c r="C667" s="19" t="n"/>
      <c r="D667" s="25" t="n"/>
      <c r="E667" s="18" t="n"/>
      <c r="F667" s="25" t="n"/>
      <c r="G667" s="18" t="n"/>
      <c r="H667" s="18" t="n"/>
      <c r="I667" s="26">
        <f>IF(OR($A667="",$F667=""),"",ROUND(IF($D667="",1,$D667)*$F667,0))</f>
        <v/>
      </c>
      <c r="J667" s="27">
        <f>IF($A667="","",IF($O667="なし","※通知一覧にない通知No",IF($P667="","",INDEX('支払先'!$C$5:$C$104,$P667)&amp;"")))</f>
        <v/>
      </c>
      <c r="K667" s="28">
        <f>IF(NOT(ISNUMBER($O667)),"",IF(ISNUMBER(INDEX('通知一覧'!$F$5:$F$204,$O667)),INDEX('通知一覧'!$F$5:$F$204,$O667),""))</f>
        <v/>
      </c>
      <c r="L667" s="29">
        <f>IF(AND(ISNUMBER($B667),ISNUMBER($K667)),$K667-$B667+1,"")</f>
        <v/>
      </c>
      <c r="M667" s="30">
        <f>IF(OR($L667="",$P667=""),"",IF(INDEX('支払先'!$M$5:$M$104,$P667)="対象外","",IF(AND($L667&gt;60,$K667&gt;=EDATE($B667,2)),"超える","")))</f>
        <v/>
      </c>
      <c r="N667" s="67" t="n"/>
      <c r="O667" s="31">
        <f>IF($A667="","",IFERROR(MATCH($A667,'通知一覧'!$B$5:$B$204,0),"なし"))</f>
        <v/>
      </c>
      <c r="P667" s="31">
        <f>IF(NOT(ISNUMBER($O667)),"",IFERROR(MATCH(INDEX('通知一覧'!$C$5:$C$204,$O667),'支払先'!$B$5:$B$104,0),""))</f>
        <v/>
      </c>
      <c r="Q667" s="31">
        <f>IF(AND($A667&lt;&gt;"",$A667='支払通知書'!$K$2),ROW(),"")</f>
        <v/>
      </c>
    </row>
    <row r="668" ht="18" customHeight="1">
      <c r="A668" s="18" t="n"/>
      <c r="B668" s="24" t="n"/>
      <c r="C668" s="19" t="n"/>
      <c r="D668" s="25" t="n"/>
      <c r="E668" s="18" t="n"/>
      <c r="F668" s="25" t="n"/>
      <c r="G668" s="18" t="n"/>
      <c r="H668" s="18" t="n"/>
      <c r="I668" s="26">
        <f>IF(OR($A668="",$F668=""),"",ROUND(IF($D668="",1,$D668)*$F668,0))</f>
        <v/>
      </c>
      <c r="J668" s="27">
        <f>IF($A668="","",IF($O668="なし","※通知一覧にない通知No",IF($P668="","",INDEX('支払先'!$C$5:$C$104,$P668)&amp;"")))</f>
        <v/>
      </c>
      <c r="K668" s="28">
        <f>IF(NOT(ISNUMBER($O668)),"",IF(ISNUMBER(INDEX('通知一覧'!$F$5:$F$204,$O668)),INDEX('通知一覧'!$F$5:$F$204,$O668),""))</f>
        <v/>
      </c>
      <c r="L668" s="29">
        <f>IF(AND(ISNUMBER($B668),ISNUMBER($K668)),$K668-$B668+1,"")</f>
        <v/>
      </c>
      <c r="M668" s="30">
        <f>IF(OR($L668="",$P668=""),"",IF(INDEX('支払先'!$M$5:$M$104,$P668)="対象外","",IF(AND($L668&gt;60,$K668&gt;=EDATE($B668,2)),"超える","")))</f>
        <v/>
      </c>
      <c r="N668" s="67" t="n"/>
      <c r="O668" s="31">
        <f>IF($A668="","",IFERROR(MATCH($A668,'通知一覧'!$B$5:$B$204,0),"なし"))</f>
        <v/>
      </c>
      <c r="P668" s="31">
        <f>IF(NOT(ISNUMBER($O668)),"",IFERROR(MATCH(INDEX('通知一覧'!$C$5:$C$204,$O668),'支払先'!$B$5:$B$104,0),""))</f>
        <v/>
      </c>
      <c r="Q668" s="31">
        <f>IF(AND($A668&lt;&gt;"",$A668='支払通知書'!$K$2),ROW(),"")</f>
        <v/>
      </c>
    </row>
    <row r="669" ht="18" customHeight="1">
      <c r="A669" s="18" t="n"/>
      <c r="B669" s="24" t="n"/>
      <c r="C669" s="19" t="n"/>
      <c r="D669" s="25" t="n"/>
      <c r="E669" s="18" t="n"/>
      <c r="F669" s="25" t="n"/>
      <c r="G669" s="18" t="n"/>
      <c r="H669" s="18" t="n"/>
      <c r="I669" s="26">
        <f>IF(OR($A669="",$F669=""),"",ROUND(IF($D669="",1,$D669)*$F669,0))</f>
        <v/>
      </c>
      <c r="J669" s="27">
        <f>IF($A669="","",IF($O669="なし","※通知一覧にない通知No",IF($P669="","",INDEX('支払先'!$C$5:$C$104,$P669)&amp;"")))</f>
        <v/>
      </c>
      <c r="K669" s="28">
        <f>IF(NOT(ISNUMBER($O669)),"",IF(ISNUMBER(INDEX('通知一覧'!$F$5:$F$204,$O669)),INDEX('通知一覧'!$F$5:$F$204,$O669),""))</f>
        <v/>
      </c>
      <c r="L669" s="29">
        <f>IF(AND(ISNUMBER($B669),ISNUMBER($K669)),$K669-$B669+1,"")</f>
        <v/>
      </c>
      <c r="M669" s="30">
        <f>IF(OR($L669="",$P669=""),"",IF(INDEX('支払先'!$M$5:$M$104,$P669)="対象外","",IF(AND($L669&gt;60,$K669&gt;=EDATE($B669,2)),"超える","")))</f>
        <v/>
      </c>
      <c r="N669" s="67" t="n"/>
      <c r="O669" s="31">
        <f>IF($A669="","",IFERROR(MATCH($A669,'通知一覧'!$B$5:$B$204,0),"なし"))</f>
        <v/>
      </c>
      <c r="P669" s="31">
        <f>IF(NOT(ISNUMBER($O669)),"",IFERROR(MATCH(INDEX('通知一覧'!$C$5:$C$204,$O669),'支払先'!$B$5:$B$104,0),""))</f>
        <v/>
      </c>
      <c r="Q669" s="31">
        <f>IF(AND($A669&lt;&gt;"",$A669='支払通知書'!$K$2),ROW(),"")</f>
        <v/>
      </c>
    </row>
    <row r="670" ht="18" customHeight="1">
      <c r="A670" s="18" t="n"/>
      <c r="B670" s="24" t="n"/>
      <c r="C670" s="19" t="n"/>
      <c r="D670" s="25" t="n"/>
      <c r="E670" s="18" t="n"/>
      <c r="F670" s="25" t="n"/>
      <c r="G670" s="18" t="n"/>
      <c r="H670" s="18" t="n"/>
      <c r="I670" s="26">
        <f>IF(OR($A670="",$F670=""),"",ROUND(IF($D670="",1,$D670)*$F670,0))</f>
        <v/>
      </c>
      <c r="J670" s="27">
        <f>IF($A670="","",IF($O670="なし","※通知一覧にない通知No",IF($P670="","",INDEX('支払先'!$C$5:$C$104,$P670)&amp;"")))</f>
        <v/>
      </c>
      <c r="K670" s="28">
        <f>IF(NOT(ISNUMBER($O670)),"",IF(ISNUMBER(INDEX('通知一覧'!$F$5:$F$204,$O670)),INDEX('通知一覧'!$F$5:$F$204,$O670),""))</f>
        <v/>
      </c>
      <c r="L670" s="29">
        <f>IF(AND(ISNUMBER($B670),ISNUMBER($K670)),$K670-$B670+1,"")</f>
        <v/>
      </c>
      <c r="M670" s="30">
        <f>IF(OR($L670="",$P670=""),"",IF(INDEX('支払先'!$M$5:$M$104,$P670)="対象外","",IF(AND($L670&gt;60,$K670&gt;=EDATE($B670,2)),"超える","")))</f>
        <v/>
      </c>
      <c r="N670" s="67" t="n"/>
      <c r="O670" s="31">
        <f>IF($A670="","",IFERROR(MATCH($A670,'通知一覧'!$B$5:$B$204,0),"なし"))</f>
        <v/>
      </c>
      <c r="P670" s="31">
        <f>IF(NOT(ISNUMBER($O670)),"",IFERROR(MATCH(INDEX('通知一覧'!$C$5:$C$204,$O670),'支払先'!$B$5:$B$104,0),""))</f>
        <v/>
      </c>
      <c r="Q670" s="31">
        <f>IF(AND($A670&lt;&gt;"",$A670='支払通知書'!$K$2),ROW(),"")</f>
        <v/>
      </c>
    </row>
    <row r="671" ht="18" customHeight="1">
      <c r="A671" s="18" t="n"/>
      <c r="B671" s="24" t="n"/>
      <c r="C671" s="19" t="n"/>
      <c r="D671" s="25" t="n"/>
      <c r="E671" s="18" t="n"/>
      <c r="F671" s="25" t="n"/>
      <c r="G671" s="18" t="n"/>
      <c r="H671" s="18" t="n"/>
      <c r="I671" s="26">
        <f>IF(OR($A671="",$F671=""),"",ROUND(IF($D671="",1,$D671)*$F671,0))</f>
        <v/>
      </c>
      <c r="J671" s="27">
        <f>IF($A671="","",IF($O671="なし","※通知一覧にない通知No",IF($P671="","",INDEX('支払先'!$C$5:$C$104,$P671)&amp;"")))</f>
        <v/>
      </c>
      <c r="K671" s="28">
        <f>IF(NOT(ISNUMBER($O671)),"",IF(ISNUMBER(INDEX('通知一覧'!$F$5:$F$204,$O671)),INDEX('通知一覧'!$F$5:$F$204,$O671),""))</f>
        <v/>
      </c>
      <c r="L671" s="29">
        <f>IF(AND(ISNUMBER($B671),ISNUMBER($K671)),$K671-$B671+1,"")</f>
        <v/>
      </c>
      <c r="M671" s="30">
        <f>IF(OR($L671="",$P671=""),"",IF(INDEX('支払先'!$M$5:$M$104,$P671)="対象外","",IF(AND($L671&gt;60,$K671&gt;=EDATE($B671,2)),"超える","")))</f>
        <v/>
      </c>
      <c r="N671" s="67" t="n"/>
      <c r="O671" s="31">
        <f>IF($A671="","",IFERROR(MATCH($A671,'通知一覧'!$B$5:$B$204,0),"なし"))</f>
        <v/>
      </c>
      <c r="P671" s="31">
        <f>IF(NOT(ISNUMBER($O671)),"",IFERROR(MATCH(INDEX('通知一覧'!$C$5:$C$204,$O671),'支払先'!$B$5:$B$104,0),""))</f>
        <v/>
      </c>
      <c r="Q671" s="31">
        <f>IF(AND($A671&lt;&gt;"",$A671='支払通知書'!$K$2),ROW(),"")</f>
        <v/>
      </c>
    </row>
    <row r="672" ht="18" customHeight="1">
      <c r="A672" s="18" t="n"/>
      <c r="B672" s="24" t="n"/>
      <c r="C672" s="19" t="n"/>
      <c r="D672" s="25" t="n"/>
      <c r="E672" s="18" t="n"/>
      <c r="F672" s="25" t="n"/>
      <c r="G672" s="18" t="n"/>
      <c r="H672" s="18" t="n"/>
      <c r="I672" s="26">
        <f>IF(OR($A672="",$F672=""),"",ROUND(IF($D672="",1,$D672)*$F672,0))</f>
        <v/>
      </c>
      <c r="J672" s="27">
        <f>IF($A672="","",IF($O672="なし","※通知一覧にない通知No",IF($P672="","",INDEX('支払先'!$C$5:$C$104,$P672)&amp;"")))</f>
        <v/>
      </c>
      <c r="K672" s="28">
        <f>IF(NOT(ISNUMBER($O672)),"",IF(ISNUMBER(INDEX('通知一覧'!$F$5:$F$204,$O672)),INDEX('通知一覧'!$F$5:$F$204,$O672),""))</f>
        <v/>
      </c>
      <c r="L672" s="29">
        <f>IF(AND(ISNUMBER($B672),ISNUMBER($K672)),$K672-$B672+1,"")</f>
        <v/>
      </c>
      <c r="M672" s="30">
        <f>IF(OR($L672="",$P672=""),"",IF(INDEX('支払先'!$M$5:$M$104,$P672)="対象外","",IF(AND($L672&gt;60,$K672&gt;=EDATE($B672,2)),"超える","")))</f>
        <v/>
      </c>
      <c r="N672" s="67" t="n"/>
      <c r="O672" s="31">
        <f>IF($A672="","",IFERROR(MATCH($A672,'通知一覧'!$B$5:$B$204,0),"なし"))</f>
        <v/>
      </c>
      <c r="P672" s="31">
        <f>IF(NOT(ISNUMBER($O672)),"",IFERROR(MATCH(INDEX('通知一覧'!$C$5:$C$204,$O672),'支払先'!$B$5:$B$104,0),""))</f>
        <v/>
      </c>
      <c r="Q672" s="31">
        <f>IF(AND($A672&lt;&gt;"",$A672='支払通知書'!$K$2),ROW(),"")</f>
        <v/>
      </c>
    </row>
    <row r="673" ht="18" customHeight="1">
      <c r="A673" s="18" t="n"/>
      <c r="B673" s="24" t="n"/>
      <c r="C673" s="19" t="n"/>
      <c r="D673" s="25" t="n"/>
      <c r="E673" s="18" t="n"/>
      <c r="F673" s="25" t="n"/>
      <c r="G673" s="18" t="n"/>
      <c r="H673" s="18" t="n"/>
      <c r="I673" s="26">
        <f>IF(OR($A673="",$F673=""),"",ROUND(IF($D673="",1,$D673)*$F673,0))</f>
        <v/>
      </c>
      <c r="J673" s="27">
        <f>IF($A673="","",IF($O673="なし","※通知一覧にない通知No",IF($P673="","",INDEX('支払先'!$C$5:$C$104,$P673)&amp;"")))</f>
        <v/>
      </c>
      <c r="K673" s="28">
        <f>IF(NOT(ISNUMBER($O673)),"",IF(ISNUMBER(INDEX('通知一覧'!$F$5:$F$204,$O673)),INDEX('通知一覧'!$F$5:$F$204,$O673),""))</f>
        <v/>
      </c>
      <c r="L673" s="29">
        <f>IF(AND(ISNUMBER($B673),ISNUMBER($K673)),$K673-$B673+1,"")</f>
        <v/>
      </c>
      <c r="M673" s="30">
        <f>IF(OR($L673="",$P673=""),"",IF(INDEX('支払先'!$M$5:$M$104,$P673)="対象外","",IF(AND($L673&gt;60,$K673&gt;=EDATE($B673,2)),"超える","")))</f>
        <v/>
      </c>
      <c r="N673" s="67" t="n"/>
      <c r="O673" s="31">
        <f>IF($A673="","",IFERROR(MATCH($A673,'通知一覧'!$B$5:$B$204,0),"なし"))</f>
        <v/>
      </c>
      <c r="P673" s="31">
        <f>IF(NOT(ISNUMBER($O673)),"",IFERROR(MATCH(INDEX('通知一覧'!$C$5:$C$204,$O673),'支払先'!$B$5:$B$104,0),""))</f>
        <v/>
      </c>
      <c r="Q673" s="31">
        <f>IF(AND($A673&lt;&gt;"",$A673='支払通知書'!$K$2),ROW(),"")</f>
        <v/>
      </c>
    </row>
    <row r="674" ht="18" customHeight="1">
      <c r="A674" s="18" t="n"/>
      <c r="B674" s="24" t="n"/>
      <c r="C674" s="19" t="n"/>
      <c r="D674" s="25" t="n"/>
      <c r="E674" s="18" t="n"/>
      <c r="F674" s="25" t="n"/>
      <c r="G674" s="18" t="n"/>
      <c r="H674" s="18" t="n"/>
      <c r="I674" s="26">
        <f>IF(OR($A674="",$F674=""),"",ROUND(IF($D674="",1,$D674)*$F674,0))</f>
        <v/>
      </c>
      <c r="J674" s="27">
        <f>IF($A674="","",IF($O674="なし","※通知一覧にない通知No",IF($P674="","",INDEX('支払先'!$C$5:$C$104,$P674)&amp;"")))</f>
        <v/>
      </c>
      <c r="K674" s="28">
        <f>IF(NOT(ISNUMBER($O674)),"",IF(ISNUMBER(INDEX('通知一覧'!$F$5:$F$204,$O674)),INDEX('通知一覧'!$F$5:$F$204,$O674),""))</f>
        <v/>
      </c>
      <c r="L674" s="29">
        <f>IF(AND(ISNUMBER($B674),ISNUMBER($K674)),$K674-$B674+1,"")</f>
        <v/>
      </c>
      <c r="M674" s="30">
        <f>IF(OR($L674="",$P674=""),"",IF(INDEX('支払先'!$M$5:$M$104,$P674)="対象外","",IF(AND($L674&gt;60,$K674&gt;=EDATE($B674,2)),"超える","")))</f>
        <v/>
      </c>
      <c r="N674" s="67" t="n"/>
      <c r="O674" s="31">
        <f>IF($A674="","",IFERROR(MATCH($A674,'通知一覧'!$B$5:$B$204,0),"なし"))</f>
        <v/>
      </c>
      <c r="P674" s="31">
        <f>IF(NOT(ISNUMBER($O674)),"",IFERROR(MATCH(INDEX('通知一覧'!$C$5:$C$204,$O674),'支払先'!$B$5:$B$104,0),""))</f>
        <v/>
      </c>
      <c r="Q674" s="31">
        <f>IF(AND($A674&lt;&gt;"",$A674='支払通知書'!$K$2),ROW(),"")</f>
        <v/>
      </c>
    </row>
    <row r="675" ht="18" customHeight="1">
      <c r="A675" s="18" t="n"/>
      <c r="B675" s="24" t="n"/>
      <c r="C675" s="19" t="n"/>
      <c r="D675" s="25" t="n"/>
      <c r="E675" s="18" t="n"/>
      <c r="F675" s="25" t="n"/>
      <c r="G675" s="18" t="n"/>
      <c r="H675" s="18" t="n"/>
      <c r="I675" s="26">
        <f>IF(OR($A675="",$F675=""),"",ROUND(IF($D675="",1,$D675)*$F675,0))</f>
        <v/>
      </c>
      <c r="J675" s="27">
        <f>IF($A675="","",IF($O675="なし","※通知一覧にない通知No",IF($P675="","",INDEX('支払先'!$C$5:$C$104,$P675)&amp;"")))</f>
        <v/>
      </c>
      <c r="K675" s="28">
        <f>IF(NOT(ISNUMBER($O675)),"",IF(ISNUMBER(INDEX('通知一覧'!$F$5:$F$204,$O675)),INDEX('通知一覧'!$F$5:$F$204,$O675),""))</f>
        <v/>
      </c>
      <c r="L675" s="29">
        <f>IF(AND(ISNUMBER($B675),ISNUMBER($K675)),$K675-$B675+1,"")</f>
        <v/>
      </c>
      <c r="M675" s="30">
        <f>IF(OR($L675="",$P675=""),"",IF(INDEX('支払先'!$M$5:$M$104,$P675)="対象外","",IF(AND($L675&gt;60,$K675&gt;=EDATE($B675,2)),"超える","")))</f>
        <v/>
      </c>
      <c r="N675" s="67" t="n"/>
      <c r="O675" s="31">
        <f>IF($A675="","",IFERROR(MATCH($A675,'通知一覧'!$B$5:$B$204,0),"なし"))</f>
        <v/>
      </c>
      <c r="P675" s="31">
        <f>IF(NOT(ISNUMBER($O675)),"",IFERROR(MATCH(INDEX('通知一覧'!$C$5:$C$204,$O675),'支払先'!$B$5:$B$104,0),""))</f>
        <v/>
      </c>
      <c r="Q675" s="31">
        <f>IF(AND($A675&lt;&gt;"",$A675='支払通知書'!$K$2),ROW(),"")</f>
        <v/>
      </c>
    </row>
    <row r="676" ht="18" customHeight="1">
      <c r="A676" s="18" t="n"/>
      <c r="B676" s="24" t="n"/>
      <c r="C676" s="19" t="n"/>
      <c r="D676" s="25" t="n"/>
      <c r="E676" s="18" t="n"/>
      <c r="F676" s="25" t="n"/>
      <c r="G676" s="18" t="n"/>
      <c r="H676" s="18" t="n"/>
      <c r="I676" s="26">
        <f>IF(OR($A676="",$F676=""),"",ROUND(IF($D676="",1,$D676)*$F676,0))</f>
        <v/>
      </c>
      <c r="J676" s="27">
        <f>IF($A676="","",IF($O676="なし","※通知一覧にない通知No",IF($P676="","",INDEX('支払先'!$C$5:$C$104,$P676)&amp;"")))</f>
        <v/>
      </c>
      <c r="K676" s="28">
        <f>IF(NOT(ISNUMBER($O676)),"",IF(ISNUMBER(INDEX('通知一覧'!$F$5:$F$204,$O676)),INDEX('通知一覧'!$F$5:$F$204,$O676),""))</f>
        <v/>
      </c>
      <c r="L676" s="29">
        <f>IF(AND(ISNUMBER($B676),ISNUMBER($K676)),$K676-$B676+1,"")</f>
        <v/>
      </c>
      <c r="M676" s="30">
        <f>IF(OR($L676="",$P676=""),"",IF(INDEX('支払先'!$M$5:$M$104,$P676)="対象外","",IF(AND($L676&gt;60,$K676&gt;=EDATE($B676,2)),"超える","")))</f>
        <v/>
      </c>
      <c r="N676" s="67" t="n"/>
      <c r="O676" s="31">
        <f>IF($A676="","",IFERROR(MATCH($A676,'通知一覧'!$B$5:$B$204,0),"なし"))</f>
        <v/>
      </c>
      <c r="P676" s="31">
        <f>IF(NOT(ISNUMBER($O676)),"",IFERROR(MATCH(INDEX('通知一覧'!$C$5:$C$204,$O676),'支払先'!$B$5:$B$104,0),""))</f>
        <v/>
      </c>
      <c r="Q676" s="31">
        <f>IF(AND($A676&lt;&gt;"",$A676='支払通知書'!$K$2),ROW(),"")</f>
        <v/>
      </c>
    </row>
    <row r="677" ht="18" customHeight="1">
      <c r="A677" s="18" t="n"/>
      <c r="B677" s="24" t="n"/>
      <c r="C677" s="19" t="n"/>
      <c r="D677" s="25" t="n"/>
      <c r="E677" s="18" t="n"/>
      <c r="F677" s="25" t="n"/>
      <c r="G677" s="18" t="n"/>
      <c r="H677" s="18" t="n"/>
      <c r="I677" s="26">
        <f>IF(OR($A677="",$F677=""),"",ROUND(IF($D677="",1,$D677)*$F677,0))</f>
        <v/>
      </c>
      <c r="J677" s="27">
        <f>IF($A677="","",IF($O677="なし","※通知一覧にない通知No",IF($P677="","",INDEX('支払先'!$C$5:$C$104,$P677)&amp;"")))</f>
        <v/>
      </c>
      <c r="K677" s="28">
        <f>IF(NOT(ISNUMBER($O677)),"",IF(ISNUMBER(INDEX('通知一覧'!$F$5:$F$204,$O677)),INDEX('通知一覧'!$F$5:$F$204,$O677),""))</f>
        <v/>
      </c>
      <c r="L677" s="29">
        <f>IF(AND(ISNUMBER($B677),ISNUMBER($K677)),$K677-$B677+1,"")</f>
        <v/>
      </c>
      <c r="M677" s="30">
        <f>IF(OR($L677="",$P677=""),"",IF(INDEX('支払先'!$M$5:$M$104,$P677)="対象外","",IF(AND($L677&gt;60,$K677&gt;=EDATE($B677,2)),"超える","")))</f>
        <v/>
      </c>
      <c r="N677" s="67" t="n"/>
      <c r="O677" s="31">
        <f>IF($A677="","",IFERROR(MATCH($A677,'通知一覧'!$B$5:$B$204,0),"なし"))</f>
        <v/>
      </c>
      <c r="P677" s="31">
        <f>IF(NOT(ISNUMBER($O677)),"",IFERROR(MATCH(INDEX('通知一覧'!$C$5:$C$204,$O677),'支払先'!$B$5:$B$104,0),""))</f>
        <v/>
      </c>
      <c r="Q677" s="31">
        <f>IF(AND($A677&lt;&gt;"",$A677='支払通知書'!$K$2),ROW(),"")</f>
        <v/>
      </c>
    </row>
    <row r="678" ht="18" customHeight="1">
      <c r="A678" s="18" t="n"/>
      <c r="B678" s="24" t="n"/>
      <c r="C678" s="19" t="n"/>
      <c r="D678" s="25" t="n"/>
      <c r="E678" s="18" t="n"/>
      <c r="F678" s="25" t="n"/>
      <c r="G678" s="18" t="n"/>
      <c r="H678" s="18" t="n"/>
      <c r="I678" s="26">
        <f>IF(OR($A678="",$F678=""),"",ROUND(IF($D678="",1,$D678)*$F678,0))</f>
        <v/>
      </c>
      <c r="J678" s="27">
        <f>IF($A678="","",IF($O678="なし","※通知一覧にない通知No",IF($P678="","",INDEX('支払先'!$C$5:$C$104,$P678)&amp;"")))</f>
        <v/>
      </c>
      <c r="K678" s="28">
        <f>IF(NOT(ISNUMBER($O678)),"",IF(ISNUMBER(INDEX('通知一覧'!$F$5:$F$204,$O678)),INDEX('通知一覧'!$F$5:$F$204,$O678),""))</f>
        <v/>
      </c>
      <c r="L678" s="29">
        <f>IF(AND(ISNUMBER($B678),ISNUMBER($K678)),$K678-$B678+1,"")</f>
        <v/>
      </c>
      <c r="M678" s="30">
        <f>IF(OR($L678="",$P678=""),"",IF(INDEX('支払先'!$M$5:$M$104,$P678)="対象外","",IF(AND($L678&gt;60,$K678&gt;=EDATE($B678,2)),"超える","")))</f>
        <v/>
      </c>
      <c r="N678" s="67" t="n"/>
      <c r="O678" s="31">
        <f>IF($A678="","",IFERROR(MATCH($A678,'通知一覧'!$B$5:$B$204,0),"なし"))</f>
        <v/>
      </c>
      <c r="P678" s="31">
        <f>IF(NOT(ISNUMBER($O678)),"",IFERROR(MATCH(INDEX('通知一覧'!$C$5:$C$204,$O678),'支払先'!$B$5:$B$104,0),""))</f>
        <v/>
      </c>
      <c r="Q678" s="31">
        <f>IF(AND($A678&lt;&gt;"",$A678='支払通知書'!$K$2),ROW(),"")</f>
        <v/>
      </c>
    </row>
    <row r="679" ht="18" customHeight="1">
      <c r="A679" s="18" t="n"/>
      <c r="B679" s="24" t="n"/>
      <c r="C679" s="19" t="n"/>
      <c r="D679" s="25" t="n"/>
      <c r="E679" s="18" t="n"/>
      <c r="F679" s="25" t="n"/>
      <c r="G679" s="18" t="n"/>
      <c r="H679" s="18" t="n"/>
      <c r="I679" s="26">
        <f>IF(OR($A679="",$F679=""),"",ROUND(IF($D679="",1,$D679)*$F679,0))</f>
        <v/>
      </c>
      <c r="J679" s="27">
        <f>IF($A679="","",IF($O679="なし","※通知一覧にない通知No",IF($P679="","",INDEX('支払先'!$C$5:$C$104,$P679)&amp;"")))</f>
        <v/>
      </c>
      <c r="K679" s="28">
        <f>IF(NOT(ISNUMBER($O679)),"",IF(ISNUMBER(INDEX('通知一覧'!$F$5:$F$204,$O679)),INDEX('通知一覧'!$F$5:$F$204,$O679),""))</f>
        <v/>
      </c>
      <c r="L679" s="29">
        <f>IF(AND(ISNUMBER($B679),ISNUMBER($K679)),$K679-$B679+1,"")</f>
        <v/>
      </c>
      <c r="M679" s="30">
        <f>IF(OR($L679="",$P679=""),"",IF(INDEX('支払先'!$M$5:$M$104,$P679)="対象外","",IF(AND($L679&gt;60,$K679&gt;=EDATE($B679,2)),"超える","")))</f>
        <v/>
      </c>
      <c r="N679" s="67" t="n"/>
      <c r="O679" s="31">
        <f>IF($A679="","",IFERROR(MATCH($A679,'通知一覧'!$B$5:$B$204,0),"なし"))</f>
        <v/>
      </c>
      <c r="P679" s="31">
        <f>IF(NOT(ISNUMBER($O679)),"",IFERROR(MATCH(INDEX('通知一覧'!$C$5:$C$204,$O679),'支払先'!$B$5:$B$104,0),""))</f>
        <v/>
      </c>
      <c r="Q679" s="31">
        <f>IF(AND($A679&lt;&gt;"",$A679='支払通知書'!$K$2),ROW(),"")</f>
        <v/>
      </c>
    </row>
    <row r="680" ht="18" customHeight="1">
      <c r="A680" s="18" t="n"/>
      <c r="B680" s="24" t="n"/>
      <c r="C680" s="19" t="n"/>
      <c r="D680" s="25" t="n"/>
      <c r="E680" s="18" t="n"/>
      <c r="F680" s="25" t="n"/>
      <c r="G680" s="18" t="n"/>
      <c r="H680" s="18" t="n"/>
      <c r="I680" s="26">
        <f>IF(OR($A680="",$F680=""),"",ROUND(IF($D680="",1,$D680)*$F680,0))</f>
        <v/>
      </c>
      <c r="J680" s="27">
        <f>IF($A680="","",IF($O680="なし","※通知一覧にない通知No",IF($P680="","",INDEX('支払先'!$C$5:$C$104,$P680)&amp;"")))</f>
        <v/>
      </c>
      <c r="K680" s="28">
        <f>IF(NOT(ISNUMBER($O680)),"",IF(ISNUMBER(INDEX('通知一覧'!$F$5:$F$204,$O680)),INDEX('通知一覧'!$F$5:$F$204,$O680),""))</f>
        <v/>
      </c>
      <c r="L680" s="29">
        <f>IF(AND(ISNUMBER($B680),ISNUMBER($K680)),$K680-$B680+1,"")</f>
        <v/>
      </c>
      <c r="M680" s="30">
        <f>IF(OR($L680="",$P680=""),"",IF(INDEX('支払先'!$M$5:$M$104,$P680)="対象外","",IF(AND($L680&gt;60,$K680&gt;=EDATE($B680,2)),"超える","")))</f>
        <v/>
      </c>
      <c r="N680" s="67" t="n"/>
      <c r="O680" s="31">
        <f>IF($A680="","",IFERROR(MATCH($A680,'通知一覧'!$B$5:$B$204,0),"なし"))</f>
        <v/>
      </c>
      <c r="P680" s="31">
        <f>IF(NOT(ISNUMBER($O680)),"",IFERROR(MATCH(INDEX('通知一覧'!$C$5:$C$204,$O680),'支払先'!$B$5:$B$104,0),""))</f>
        <v/>
      </c>
      <c r="Q680" s="31">
        <f>IF(AND($A680&lt;&gt;"",$A680='支払通知書'!$K$2),ROW(),"")</f>
        <v/>
      </c>
    </row>
    <row r="681" ht="18" customHeight="1">
      <c r="A681" s="18" t="n"/>
      <c r="B681" s="24" t="n"/>
      <c r="C681" s="19" t="n"/>
      <c r="D681" s="25" t="n"/>
      <c r="E681" s="18" t="n"/>
      <c r="F681" s="25" t="n"/>
      <c r="G681" s="18" t="n"/>
      <c r="H681" s="18" t="n"/>
      <c r="I681" s="26">
        <f>IF(OR($A681="",$F681=""),"",ROUND(IF($D681="",1,$D681)*$F681,0))</f>
        <v/>
      </c>
      <c r="J681" s="27">
        <f>IF($A681="","",IF($O681="なし","※通知一覧にない通知No",IF($P681="","",INDEX('支払先'!$C$5:$C$104,$P681)&amp;"")))</f>
        <v/>
      </c>
      <c r="K681" s="28">
        <f>IF(NOT(ISNUMBER($O681)),"",IF(ISNUMBER(INDEX('通知一覧'!$F$5:$F$204,$O681)),INDEX('通知一覧'!$F$5:$F$204,$O681),""))</f>
        <v/>
      </c>
      <c r="L681" s="29">
        <f>IF(AND(ISNUMBER($B681),ISNUMBER($K681)),$K681-$B681+1,"")</f>
        <v/>
      </c>
      <c r="M681" s="30">
        <f>IF(OR($L681="",$P681=""),"",IF(INDEX('支払先'!$M$5:$M$104,$P681)="対象外","",IF(AND($L681&gt;60,$K681&gt;=EDATE($B681,2)),"超える","")))</f>
        <v/>
      </c>
      <c r="N681" s="67" t="n"/>
      <c r="O681" s="31">
        <f>IF($A681="","",IFERROR(MATCH($A681,'通知一覧'!$B$5:$B$204,0),"なし"))</f>
        <v/>
      </c>
      <c r="P681" s="31">
        <f>IF(NOT(ISNUMBER($O681)),"",IFERROR(MATCH(INDEX('通知一覧'!$C$5:$C$204,$O681),'支払先'!$B$5:$B$104,0),""))</f>
        <v/>
      </c>
      <c r="Q681" s="31">
        <f>IF(AND($A681&lt;&gt;"",$A681='支払通知書'!$K$2),ROW(),"")</f>
        <v/>
      </c>
    </row>
    <row r="682" ht="18" customHeight="1">
      <c r="A682" s="18" t="n"/>
      <c r="B682" s="24" t="n"/>
      <c r="C682" s="19" t="n"/>
      <c r="D682" s="25" t="n"/>
      <c r="E682" s="18" t="n"/>
      <c r="F682" s="25" t="n"/>
      <c r="G682" s="18" t="n"/>
      <c r="H682" s="18" t="n"/>
      <c r="I682" s="26">
        <f>IF(OR($A682="",$F682=""),"",ROUND(IF($D682="",1,$D682)*$F682,0))</f>
        <v/>
      </c>
      <c r="J682" s="27">
        <f>IF($A682="","",IF($O682="なし","※通知一覧にない通知No",IF($P682="","",INDEX('支払先'!$C$5:$C$104,$P682)&amp;"")))</f>
        <v/>
      </c>
      <c r="K682" s="28">
        <f>IF(NOT(ISNUMBER($O682)),"",IF(ISNUMBER(INDEX('通知一覧'!$F$5:$F$204,$O682)),INDEX('通知一覧'!$F$5:$F$204,$O682),""))</f>
        <v/>
      </c>
      <c r="L682" s="29">
        <f>IF(AND(ISNUMBER($B682),ISNUMBER($K682)),$K682-$B682+1,"")</f>
        <v/>
      </c>
      <c r="M682" s="30">
        <f>IF(OR($L682="",$P682=""),"",IF(INDEX('支払先'!$M$5:$M$104,$P682)="対象外","",IF(AND($L682&gt;60,$K682&gt;=EDATE($B682,2)),"超える","")))</f>
        <v/>
      </c>
      <c r="N682" s="67" t="n"/>
      <c r="O682" s="31">
        <f>IF($A682="","",IFERROR(MATCH($A682,'通知一覧'!$B$5:$B$204,0),"なし"))</f>
        <v/>
      </c>
      <c r="P682" s="31">
        <f>IF(NOT(ISNUMBER($O682)),"",IFERROR(MATCH(INDEX('通知一覧'!$C$5:$C$204,$O682),'支払先'!$B$5:$B$104,0),""))</f>
        <v/>
      </c>
      <c r="Q682" s="31">
        <f>IF(AND($A682&lt;&gt;"",$A682='支払通知書'!$K$2),ROW(),"")</f>
        <v/>
      </c>
    </row>
    <row r="683" ht="18" customHeight="1">
      <c r="A683" s="18" t="n"/>
      <c r="B683" s="24" t="n"/>
      <c r="C683" s="19" t="n"/>
      <c r="D683" s="25" t="n"/>
      <c r="E683" s="18" t="n"/>
      <c r="F683" s="25" t="n"/>
      <c r="G683" s="18" t="n"/>
      <c r="H683" s="18" t="n"/>
      <c r="I683" s="26">
        <f>IF(OR($A683="",$F683=""),"",ROUND(IF($D683="",1,$D683)*$F683,0))</f>
        <v/>
      </c>
      <c r="J683" s="27">
        <f>IF($A683="","",IF($O683="なし","※通知一覧にない通知No",IF($P683="","",INDEX('支払先'!$C$5:$C$104,$P683)&amp;"")))</f>
        <v/>
      </c>
      <c r="K683" s="28">
        <f>IF(NOT(ISNUMBER($O683)),"",IF(ISNUMBER(INDEX('通知一覧'!$F$5:$F$204,$O683)),INDEX('通知一覧'!$F$5:$F$204,$O683),""))</f>
        <v/>
      </c>
      <c r="L683" s="29">
        <f>IF(AND(ISNUMBER($B683),ISNUMBER($K683)),$K683-$B683+1,"")</f>
        <v/>
      </c>
      <c r="M683" s="30">
        <f>IF(OR($L683="",$P683=""),"",IF(INDEX('支払先'!$M$5:$M$104,$P683)="対象外","",IF(AND($L683&gt;60,$K683&gt;=EDATE($B683,2)),"超える","")))</f>
        <v/>
      </c>
      <c r="N683" s="67" t="n"/>
      <c r="O683" s="31">
        <f>IF($A683="","",IFERROR(MATCH($A683,'通知一覧'!$B$5:$B$204,0),"なし"))</f>
        <v/>
      </c>
      <c r="P683" s="31">
        <f>IF(NOT(ISNUMBER($O683)),"",IFERROR(MATCH(INDEX('通知一覧'!$C$5:$C$204,$O683),'支払先'!$B$5:$B$104,0),""))</f>
        <v/>
      </c>
      <c r="Q683" s="31">
        <f>IF(AND($A683&lt;&gt;"",$A683='支払通知書'!$K$2),ROW(),"")</f>
        <v/>
      </c>
    </row>
    <row r="684" ht="18" customHeight="1">
      <c r="A684" s="18" t="n"/>
      <c r="B684" s="24" t="n"/>
      <c r="C684" s="19" t="n"/>
      <c r="D684" s="25" t="n"/>
      <c r="E684" s="18" t="n"/>
      <c r="F684" s="25" t="n"/>
      <c r="G684" s="18" t="n"/>
      <c r="H684" s="18" t="n"/>
      <c r="I684" s="26">
        <f>IF(OR($A684="",$F684=""),"",ROUND(IF($D684="",1,$D684)*$F684,0))</f>
        <v/>
      </c>
      <c r="J684" s="27">
        <f>IF($A684="","",IF($O684="なし","※通知一覧にない通知No",IF($P684="","",INDEX('支払先'!$C$5:$C$104,$P684)&amp;"")))</f>
        <v/>
      </c>
      <c r="K684" s="28">
        <f>IF(NOT(ISNUMBER($O684)),"",IF(ISNUMBER(INDEX('通知一覧'!$F$5:$F$204,$O684)),INDEX('通知一覧'!$F$5:$F$204,$O684),""))</f>
        <v/>
      </c>
      <c r="L684" s="29">
        <f>IF(AND(ISNUMBER($B684),ISNUMBER($K684)),$K684-$B684+1,"")</f>
        <v/>
      </c>
      <c r="M684" s="30">
        <f>IF(OR($L684="",$P684=""),"",IF(INDEX('支払先'!$M$5:$M$104,$P684)="対象外","",IF(AND($L684&gt;60,$K684&gt;=EDATE($B684,2)),"超える","")))</f>
        <v/>
      </c>
      <c r="N684" s="67" t="n"/>
      <c r="O684" s="31">
        <f>IF($A684="","",IFERROR(MATCH($A684,'通知一覧'!$B$5:$B$204,0),"なし"))</f>
        <v/>
      </c>
      <c r="P684" s="31">
        <f>IF(NOT(ISNUMBER($O684)),"",IFERROR(MATCH(INDEX('通知一覧'!$C$5:$C$204,$O684),'支払先'!$B$5:$B$104,0),""))</f>
        <v/>
      </c>
      <c r="Q684" s="31">
        <f>IF(AND($A684&lt;&gt;"",$A684='支払通知書'!$K$2),ROW(),"")</f>
        <v/>
      </c>
    </row>
    <row r="685" ht="18" customHeight="1">
      <c r="A685" s="18" t="n"/>
      <c r="B685" s="24" t="n"/>
      <c r="C685" s="19" t="n"/>
      <c r="D685" s="25" t="n"/>
      <c r="E685" s="18" t="n"/>
      <c r="F685" s="25" t="n"/>
      <c r="G685" s="18" t="n"/>
      <c r="H685" s="18" t="n"/>
      <c r="I685" s="26">
        <f>IF(OR($A685="",$F685=""),"",ROUND(IF($D685="",1,$D685)*$F685,0))</f>
        <v/>
      </c>
      <c r="J685" s="27">
        <f>IF($A685="","",IF($O685="なし","※通知一覧にない通知No",IF($P685="","",INDEX('支払先'!$C$5:$C$104,$P685)&amp;"")))</f>
        <v/>
      </c>
      <c r="K685" s="28">
        <f>IF(NOT(ISNUMBER($O685)),"",IF(ISNUMBER(INDEX('通知一覧'!$F$5:$F$204,$O685)),INDEX('通知一覧'!$F$5:$F$204,$O685),""))</f>
        <v/>
      </c>
      <c r="L685" s="29">
        <f>IF(AND(ISNUMBER($B685),ISNUMBER($K685)),$K685-$B685+1,"")</f>
        <v/>
      </c>
      <c r="M685" s="30">
        <f>IF(OR($L685="",$P685=""),"",IF(INDEX('支払先'!$M$5:$M$104,$P685)="対象外","",IF(AND($L685&gt;60,$K685&gt;=EDATE($B685,2)),"超える","")))</f>
        <v/>
      </c>
      <c r="N685" s="67" t="n"/>
      <c r="O685" s="31">
        <f>IF($A685="","",IFERROR(MATCH($A685,'通知一覧'!$B$5:$B$204,0),"なし"))</f>
        <v/>
      </c>
      <c r="P685" s="31">
        <f>IF(NOT(ISNUMBER($O685)),"",IFERROR(MATCH(INDEX('通知一覧'!$C$5:$C$204,$O685),'支払先'!$B$5:$B$104,0),""))</f>
        <v/>
      </c>
      <c r="Q685" s="31">
        <f>IF(AND($A685&lt;&gt;"",$A685='支払通知書'!$K$2),ROW(),"")</f>
        <v/>
      </c>
    </row>
    <row r="686" ht="18" customHeight="1">
      <c r="A686" s="18" t="n"/>
      <c r="B686" s="24" t="n"/>
      <c r="C686" s="19" t="n"/>
      <c r="D686" s="25" t="n"/>
      <c r="E686" s="18" t="n"/>
      <c r="F686" s="25" t="n"/>
      <c r="G686" s="18" t="n"/>
      <c r="H686" s="18" t="n"/>
      <c r="I686" s="26">
        <f>IF(OR($A686="",$F686=""),"",ROUND(IF($D686="",1,$D686)*$F686,0))</f>
        <v/>
      </c>
      <c r="J686" s="27">
        <f>IF($A686="","",IF($O686="なし","※通知一覧にない通知No",IF($P686="","",INDEX('支払先'!$C$5:$C$104,$P686)&amp;"")))</f>
        <v/>
      </c>
      <c r="K686" s="28">
        <f>IF(NOT(ISNUMBER($O686)),"",IF(ISNUMBER(INDEX('通知一覧'!$F$5:$F$204,$O686)),INDEX('通知一覧'!$F$5:$F$204,$O686),""))</f>
        <v/>
      </c>
      <c r="L686" s="29">
        <f>IF(AND(ISNUMBER($B686),ISNUMBER($K686)),$K686-$B686+1,"")</f>
        <v/>
      </c>
      <c r="M686" s="30">
        <f>IF(OR($L686="",$P686=""),"",IF(INDEX('支払先'!$M$5:$M$104,$P686)="対象外","",IF(AND($L686&gt;60,$K686&gt;=EDATE($B686,2)),"超える","")))</f>
        <v/>
      </c>
      <c r="N686" s="67" t="n"/>
      <c r="O686" s="31">
        <f>IF($A686="","",IFERROR(MATCH($A686,'通知一覧'!$B$5:$B$204,0),"なし"))</f>
        <v/>
      </c>
      <c r="P686" s="31">
        <f>IF(NOT(ISNUMBER($O686)),"",IFERROR(MATCH(INDEX('通知一覧'!$C$5:$C$204,$O686),'支払先'!$B$5:$B$104,0),""))</f>
        <v/>
      </c>
      <c r="Q686" s="31">
        <f>IF(AND($A686&lt;&gt;"",$A686='支払通知書'!$K$2),ROW(),"")</f>
        <v/>
      </c>
    </row>
    <row r="687" ht="18" customHeight="1">
      <c r="A687" s="18" t="n"/>
      <c r="B687" s="24" t="n"/>
      <c r="C687" s="19" t="n"/>
      <c r="D687" s="25" t="n"/>
      <c r="E687" s="18" t="n"/>
      <c r="F687" s="25" t="n"/>
      <c r="G687" s="18" t="n"/>
      <c r="H687" s="18" t="n"/>
      <c r="I687" s="26">
        <f>IF(OR($A687="",$F687=""),"",ROUND(IF($D687="",1,$D687)*$F687,0))</f>
        <v/>
      </c>
      <c r="J687" s="27">
        <f>IF($A687="","",IF($O687="なし","※通知一覧にない通知No",IF($P687="","",INDEX('支払先'!$C$5:$C$104,$P687)&amp;"")))</f>
        <v/>
      </c>
      <c r="K687" s="28">
        <f>IF(NOT(ISNUMBER($O687)),"",IF(ISNUMBER(INDEX('通知一覧'!$F$5:$F$204,$O687)),INDEX('通知一覧'!$F$5:$F$204,$O687),""))</f>
        <v/>
      </c>
      <c r="L687" s="29">
        <f>IF(AND(ISNUMBER($B687),ISNUMBER($K687)),$K687-$B687+1,"")</f>
        <v/>
      </c>
      <c r="M687" s="30">
        <f>IF(OR($L687="",$P687=""),"",IF(INDEX('支払先'!$M$5:$M$104,$P687)="対象外","",IF(AND($L687&gt;60,$K687&gt;=EDATE($B687,2)),"超える","")))</f>
        <v/>
      </c>
      <c r="N687" s="67" t="n"/>
      <c r="O687" s="31">
        <f>IF($A687="","",IFERROR(MATCH($A687,'通知一覧'!$B$5:$B$204,0),"なし"))</f>
        <v/>
      </c>
      <c r="P687" s="31">
        <f>IF(NOT(ISNUMBER($O687)),"",IFERROR(MATCH(INDEX('通知一覧'!$C$5:$C$204,$O687),'支払先'!$B$5:$B$104,0),""))</f>
        <v/>
      </c>
      <c r="Q687" s="31">
        <f>IF(AND($A687&lt;&gt;"",$A687='支払通知書'!$K$2),ROW(),"")</f>
        <v/>
      </c>
    </row>
    <row r="688" ht="18" customHeight="1">
      <c r="A688" s="18" t="n"/>
      <c r="B688" s="24" t="n"/>
      <c r="C688" s="19" t="n"/>
      <c r="D688" s="25" t="n"/>
      <c r="E688" s="18" t="n"/>
      <c r="F688" s="25" t="n"/>
      <c r="G688" s="18" t="n"/>
      <c r="H688" s="18" t="n"/>
      <c r="I688" s="26">
        <f>IF(OR($A688="",$F688=""),"",ROUND(IF($D688="",1,$D688)*$F688,0))</f>
        <v/>
      </c>
      <c r="J688" s="27">
        <f>IF($A688="","",IF($O688="なし","※通知一覧にない通知No",IF($P688="","",INDEX('支払先'!$C$5:$C$104,$P688)&amp;"")))</f>
        <v/>
      </c>
      <c r="K688" s="28">
        <f>IF(NOT(ISNUMBER($O688)),"",IF(ISNUMBER(INDEX('通知一覧'!$F$5:$F$204,$O688)),INDEX('通知一覧'!$F$5:$F$204,$O688),""))</f>
        <v/>
      </c>
      <c r="L688" s="29">
        <f>IF(AND(ISNUMBER($B688),ISNUMBER($K688)),$K688-$B688+1,"")</f>
        <v/>
      </c>
      <c r="M688" s="30">
        <f>IF(OR($L688="",$P688=""),"",IF(INDEX('支払先'!$M$5:$M$104,$P688)="対象外","",IF(AND($L688&gt;60,$K688&gt;=EDATE($B688,2)),"超える","")))</f>
        <v/>
      </c>
      <c r="N688" s="67" t="n"/>
      <c r="O688" s="31">
        <f>IF($A688="","",IFERROR(MATCH($A688,'通知一覧'!$B$5:$B$204,0),"なし"))</f>
        <v/>
      </c>
      <c r="P688" s="31">
        <f>IF(NOT(ISNUMBER($O688)),"",IFERROR(MATCH(INDEX('通知一覧'!$C$5:$C$204,$O688),'支払先'!$B$5:$B$104,0),""))</f>
        <v/>
      </c>
      <c r="Q688" s="31">
        <f>IF(AND($A688&lt;&gt;"",$A688='支払通知書'!$K$2),ROW(),"")</f>
        <v/>
      </c>
    </row>
    <row r="689" ht="18" customHeight="1">
      <c r="A689" s="18" t="n"/>
      <c r="B689" s="24" t="n"/>
      <c r="C689" s="19" t="n"/>
      <c r="D689" s="25" t="n"/>
      <c r="E689" s="18" t="n"/>
      <c r="F689" s="25" t="n"/>
      <c r="G689" s="18" t="n"/>
      <c r="H689" s="18" t="n"/>
      <c r="I689" s="26">
        <f>IF(OR($A689="",$F689=""),"",ROUND(IF($D689="",1,$D689)*$F689,0))</f>
        <v/>
      </c>
      <c r="J689" s="27">
        <f>IF($A689="","",IF($O689="なし","※通知一覧にない通知No",IF($P689="","",INDEX('支払先'!$C$5:$C$104,$P689)&amp;"")))</f>
        <v/>
      </c>
      <c r="K689" s="28">
        <f>IF(NOT(ISNUMBER($O689)),"",IF(ISNUMBER(INDEX('通知一覧'!$F$5:$F$204,$O689)),INDEX('通知一覧'!$F$5:$F$204,$O689),""))</f>
        <v/>
      </c>
      <c r="L689" s="29">
        <f>IF(AND(ISNUMBER($B689),ISNUMBER($K689)),$K689-$B689+1,"")</f>
        <v/>
      </c>
      <c r="M689" s="30">
        <f>IF(OR($L689="",$P689=""),"",IF(INDEX('支払先'!$M$5:$M$104,$P689)="対象外","",IF(AND($L689&gt;60,$K689&gt;=EDATE($B689,2)),"超える","")))</f>
        <v/>
      </c>
      <c r="N689" s="67" t="n"/>
      <c r="O689" s="31">
        <f>IF($A689="","",IFERROR(MATCH($A689,'通知一覧'!$B$5:$B$204,0),"なし"))</f>
        <v/>
      </c>
      <c r="P689" s="31">
        <f>IF(NOT(ISNUMBER($O689)),"",IFERROR(MATCH(INDEX('通知一覧'!$C$5:$C$204,$O689),'支払先'!$B$5:$B$104,0),""))</f>
        <v/>
      </c>
      <c r="Q689" s="31">
        <f>IF(AND($A689&lt;&gt;"",$A689='支払通知書'!$K$2),ROW(),"")</f>
        <v/>
      </c>
    </row>
    <row r="690" ht="18" customHeight="1">
      <c r="A690" s="18" t="n"/>
      <c r="B690" s="24" t="n"/>
      <c r="C690" s="19" t="n"/>
      <c r="D690" s="25" t="n"/>
      <c r="E690" s="18" t="n"/>
      <c r="F690" s="25" t="n"/>
      <c r="G690" s="18" t="n"/>
      <c r="H690" s="18" t="n"/>
      <c r="I690" s="26">
        <f>IF(OR($A690="",$F690=""),"",ROUND(IF($D690="",1,$D690)*$F690,0))</f>
        <v/>
      </c>
      <c r="J690" s="27">
        <f>IF($A690="","",IF($O690="なし","※通知一覧にない通知No",IF($P690="","",INDEX('支払先'!$C$5:$C$104,$P690)&amp;"")))</f>
        <v/>
      </c>
      <c r="K690" s="28">
        <f>IF(NOT(ISNUMBER($O690)),"",IF(ISNUMBER(INDEX('通知一覧'!$F$5:$F$204,$O690)),INDEX('通知一覧'!$F$5:$F$204,$O690),""))</f>
        <v/>
      </c>
      <c r="L690" s="29">
        <f>IF(AND(ISNUMBER($B690),ISNUMBER($K690)),$K690-$B690+1,"")</f>
        <v/>
      </c>
      <c r="M690" s="30">
        <f>IF(OR($L690="",$P690=""),"",IF(INDEX('支払先'!$M$5:$M$104,$P690)="対象外","",IF(AND($L690&gt;60,$K690&gt;=EDATE($B690,2)),"超える","")))</f>
        <v/>
      </c>
      <c r="N690" s="67" t="n"/>
      <c r="O690" s="31">
        <f>IF($A690="","",IFERROR(MATCH($A690,'通知一覧'!$B$5:$B$204,0),"なし"))</f>
        <v/>
      </c>
      <c r="P690" s="31">
        <f>IF(NOT(ISNUMBER($O690)),"",IFERROR(MATCH(INDEX('通知一覧'!$C$5:$C$204,$O690),'支払先'!$B$5:$B$104,0),""))</f>
        <v/>
      </c>
      <c r="Q690" s="31">
        <f>IF(AND($A690&lt;&gt;"",$A690='支払通知書'!$K$2),ROW(),"")</f>
        <v/>
      </c>
    </row>
    <row r="691" ht="18" customHeight="1">
      <c r="A691" s="18" t="n"/>
      <c r="B691" s="24" t="n"/>
      <c r="C691" s="19" t="n"/>
      <c r="D691" s="25" t="n"/>
      <c r="E691" s="18" t="n"/>
      <c r="F691" s="25" t="n"/>
      <c r="G691" s="18" t="n"/>
      <c r="H691" s="18" t="n"/>
      <c r="I691" s="26">
        <f>IF(OR($A691="",$F691=""),"",ROUND(IF($D691="",1,$D691)*$F691,0))</f>
        <v/>
      </c>
      <c r="J691" s="27">
        <f>IF($A691="","",IF($O691="なし","※通知一覧にない通知No",IF($P691="","",INDEX('支払先'!$C$5:$C$104,$P691)&amp;"")))</f>
        <v/>
      </c>
      <c r="K691" s="28">
        <f>IF(NOT(ISNUMBER($O691)),"",IF(ISNUMBER(INDEX('通知一覧'!$F$5:$F$204,$O691)),INDEX('通知一覧'!$F$5:$F$204,$O691),""))</f>
        <v/>
      </c>
      <c r="L691" s="29">
        <f>IF(AND(ISNUMBER($B691),ISNUMBER($K691)),$K691-$B691+1,"")</f>
        <v/>
      </c>
      <c r="M691" s="30">
        <f>IF(OR($L691="",$P691=""),"",IF(INDEX('支払先'!$M$5:$M$104,$P691)="対象外","",IF(AND($L691&gt;60,$K691&gt;=EDATE($B691,2)),"超える","")))</f>
        <v/>
      </c>
      <c r="N691" s="67" t="n"/>
      <c r="O691" s="31">
        <f>IF($A691="","",IFERROR(MATCH($A691,'通知一覧'!$B$5:$B$204,0),"なし"))</f>
        <v/>
      </c>
      <c r="P691" s="31">
        <f>IF(NOT(ISNUMBER($O691)),"",IFERROR(MATCH(INDEX('通知一覧'!$C$5:$C$204,$O691),'支払先'!$B$5:$B$104,0),""))</f>
        <v/>
      </c>
      <c r="Q691" s="31">
        <f>IF(AND($A691&lt;&gt;"",$A691='支払通知書'!$K$2),ROW(),"")</f>
        <v/>
      </c>
    </row>
    <row r="692" ht="18" customHeight="1">
      <c r="A692" s="18" t="n"/>
      <c r="B692" s="24" t="n"/>
      <c r="C692" s="19" t="n"/>
      <c r="D692" s="25" t="n"/>
      <c r="E692" s="18" t="n"/>
      <c r="F692" s="25" t="n"/>
      <c r="G692" s="18" t="n"/>
      <c r="H692" s="18" t="n"/>
      <c r="I692" s="26">
        <f>IF(OR($A692="",$F692=""),"",ROUND(IF($D692="",1,$D692)*$F692,0))</f>
        <v/>
      </c>
      <c r="J692" s="27">
        <f>IF($A692="","",IF($O692="なし","※通知一覧にない通知No",IF($P692="","",INDEX('支払先'!$C$5:$C$104,$P692)&amp;"")))</f>
        <v/>
      </c>
      <c r="K692" s="28">
        <f>IF(NOT(ISNUMBER($O692)),"",IF(ISNUMBER(INDEX('通知一覧'!$F$5:$F$204,$O692)),INDEX('通知一覧'!$F$5:$F$204,$O692),""))</f>
        <v/>
      </c>
      <c r="L692" s="29">
        <f>IF(AND(ISNUMBER($B692),ISNUMBER($K692)),$K692-$B692+1,"")</f>
        <v/>
      </c>
      <c r="M692" s="30">
        <f>IF(OR($L692="",$P692=""),"",IF(INDEX('支払先'!$M$5:$M$104,$P692)="対象外","",IF(AND($L692&gt;60,$K692&gt;=EDATE($B692,2)),"超える","")))</f>
        <v/>
      </c>
      <c r="N692" s="67" t="n"/>
      <c r="O692" s="31">
        <f>IF($A692="","",IFERROR(MATCH($A692,'通知一覧'!$B$5:$B$204,0),"なし"))</f>
        <v/>
      </c>
      <c r="P692" s="31">
        <f>IF(NOT(ISNUMBER($O692)),"",IFERROR(MATCH(INDEX('通知一覧'!$C$5:$C$204,$O692),'支払先'!$B$5:$B$104,0),""))</f>
        <v/>
      </c>
      <c r="Q692" s="31">
        <f>IF(AND($A692&lt;&gt;"",$A692='支払通知書'!$K$2),ROW(),"")</f>
        <v/>
      </c>
    </row>
    <row r="693" ht="18" customHeight="1">
      <c r="A693" s="18" t="n"/>
      <c r="B693" s="24" t="n"/>
      <c r="C693" s="19" t="n"/>
      <c r="D693" s="25" t="n"/>
      <c r="E693" s="18" t="n"/>
      <c r="F693" s="25" t="n"/>
      <c r="G693" s="18" t="n"/>
      <c r="H693" s="18" t="n"/>
      <c r="I693" s="26">
        <f>IF(OR($A693="",$F693=""),"",ROUND(IF($D693="",1,$D693)*$F693,0))</f>
        <v/>
      </c>
      <c r="J693" s="27">
        <f>IF($A693="","",IF($O693="なし","※通知一覧にない通知No",IF($P693="","",INDEX('支払先'!$C$5:$C$104,$P693)&amp;"")))</f>
        <v/>
      </c>
      <c r="K693" s="28">
        <f>IF(NOT(ISNUMBER($O693)),"",IF(ISNUMBER(INDEX('通知一覧'!$F$5:$F$204,$O693)),INDEX('通知一覧'!$F$5:$F$204,$O693),""))</f>
        <v/>
      </c>
      <c r="L693" s="29">
        <f>IF(AND(ISNUMBER($B693),ISNUMBER($K693)),$K693-$B693+1,"")</f>
        <v/>
      </c>
      <c r="M693" s="30">
        <f>IF(OR($L693="",$P693=""),"",IF(INDEX('支払先'!$M$5:$M$104,$P693)="対象外","",IF(AND($L693&gt;60,$K693&gt;=EDATE($B693,2)),"超える","")))</f>
        <v/>
      </c>
      <c r="N693" s="67" t="n"/>
      <c r="O693" s="31">
        <f>IF($A693="","",IFERROR(MATCH($A693,'通知一覧'!$B$5:$B$204,0),"なし"))</f>
        <v/>
      </c>
      <c r="P693" s="31">
        <f>IF(NOT(ISNUMBER($O693)),"",IFERROR(MATCH(INDEX('通知一覧'!$C$5:$C$204,$O693),'支払先'!$B$5:$B$104,0),""))</f>
        <v/>
      </c>
      <c r="Q693" s="31">
        <f>IF(AND($A693&lt;&gt;"",$A693='支払通知書'!$K$2),ROW(),"")</f>
        <v/>
      </c>
    </row>
    <row r="694" ht="18" customHeight="1">
      <c r="A694" s="18" t="n"/>
      <c r="B694" s="24" t="n"/>
      <c r="C694" s="19" t="n"/>
      <c r="D694" s="25" t="n"/>
      <c r="E694" s="18" t="n"/>
      <c r="F694" s="25" t="n"/>
      <c r="G694" s="18" t="n"/>
      <c r="H694" s="18" t="n"/>
      <c r="I694" s="26">
        <f>IF(OR($A694="",$F694=""),"",ROUND(IF($D694="",1,$D694)*$F694,0))</f>
        <v/>
      </c>
      <c r="J694" s="27">
        <f>IF($A694="","",IF($O694="なし","※通知一覧にない通知No",IF($P694="","",INDEX('支払先'!$C$5:$C$104,$P694)&amp;"")))</f>
        <v/>
      </c>
      <c r="K694" s="28">
        <f>IF(NOT(ISNUMBER($O694)),"",IF(ISNUMBER(INDEX('通知一覧'!$F$5:$F$204,$O694)),INDEX('通知一覧'!$F$5:$F$204,$O694),""))</f>
        <v/>
      </c>
      <c r="L694" s="29">
        <f>IF(AND(ISNUMBER($B694),ISNUMBER($K694)),$K694-$B694+1,"")</f>
        <v/>
      </c>
      <c r="M694" s="30">
        <f>IF(OR($L694="",$P694=""),"",IF(INDEX('支払先'!$M$5:$M$104,$P694)="対象外","",IF(AND($L694&gt;60,$K694&gt;=EDATE($B694,2)),"超える","")))</f>
        <v/>
      </c>
      <c r="N694" s="67" t="n"/>
      <c r="O694" s="31">
        <f>IF($A694="","",IFERROR(MATCH($A694,'通知一覧'!$B$5:$B$204,0),"なし"))</f>
        <v/>
      </c>
      <c r="P694" s="31">
        <f>IF(NOT(ISNUMBER($O694)),"",IFERROR(MATCH(INDEX('通知一覧'!$C$5:$C$204,$O694),'支払先'!$B$5:$B$104,0),""))</f>
        <v/>
      </c>
      <c r="Q694" s="31">
        <f>IF(AND($A694&lt;&gt;"",$A694='支払通知書'!$K$2),ROW(),"")</f>
        <v/>
      </c>
    </row>
    <row r="695" ht="18" customHeight="1">
      <c r="A695" s="18" t="n"/>
      <c r="B695" s="24" t="n"/>
      <c r="C695" s="19" t="n"/>
      <c r="D695" s="25" t="n"/>
      <c r="E695" s="18" t="n"/>
      <c r="F695" s="25" t="n"/>
      <c r="G695" s="18" t="n"/>
      <c r="H695" s="18" t="n"/>
      <c r="I695" s="26">
        <f>IF(OR($A695="",$F695=""),"",ROUND(IF($D695="",1,$D695)*$F695,0))</f>
        <v/>
      </c>
      <c r="J695" s="27">
        <f>IF($A695="","",IF($O695="なし","※通知一覧にない通知No",IF($P695="","",INDEX('支払先'!$C$5:$C$104,$P695)&amp;"")))</f>
        <v/>
      </c>
      <c r="K695" s="28">
        <f>IF(NOT(ISNUMBER($O695)),"",IF(ISNUMBER(INDEX('通知一覧'!$F$5:$F$204,$O695)),INDEX('通知一覧'!$F$5:$F$204,$O695),""))</f>
        <v/>
      </c>
      <c r="L695" s="29">
        <f>IF(AND(ISNUMBER($B695),ISNUMBER($K695)),$K695-$B695+1,"")</f>
        <v/>
      </c>
      <c r="M695" s="30">
        <f>IF(OR($L695="",$P695=""),"",IF(INDEX('支払先'!$M$5:$M$104,$P695)="対象外","",IF(AND($L695&gt;60,$K695&gt;=EDATE($B695,2)),"超える","")))</f>
        <v/>
      </c>
      <c r="N695" s="67" t="n"/>
      <c r="O695" s="31">
        <f>IF($A695="","",IFERROR(MATCH($A695,'通知一覧'!$B$5:$B$204,0),"なし"))</f>
        <v/>
      </c>
      <c r="P695" s="31">
        <f>IF(NOT(ISNUMBER($O695)),"",IFERROR(MATCH(INDEX('通知一覧'!$C$5:$C$204,$O695),'支払先'!$B$5:$B$104,0),""))</f>
        <v/>
      </c>
      <c r="Q695" s="31">
        <f>IF(AND($A695&lt;&gt;"",$A695='支払通知書'!$K$2),ROW(),"")</f>
        <v/>
      </c>
    </row>
    <row r="696" ht="18" customHeight="1">
      <c r="A696" s="18" t="n"/>
      <c r="B696" s="24" t="n"/>
      <c r="C696" s="19" t="n"/>
      <c r="D696" s="25" t="n"/>
      <c r="E696" s="18" t="n"/>
      <c r="F696" s="25" t="n"/>
      <c r="G696" s="18" t="n"/>
      <c r="H696" s="18" t="n"/>
      <c r="I696" s="26">
        <f>IF(OR($A696="",$F696=""),"",ROUND(IF($D696="",1,$D696)*$F696,0))</f>
        <v/>
      </c>
      <c r="J696" s="27">
        <f>IF($A696="","",IF($O696="なし","※通知一覧にない通知No",IF($P696="","",INDEX('支払先'!$C$5:$C$104,$P696)&amp;"")))</f>
        <v/>
      </c>
      <c r="K696" s="28">
        <f>IF(NOT(ISNUMBER($O696)),"",IF(ISNUMBER(INDEX('通知一覧'!$F$5:$F$204,$O696)),INDEX('通知一覧'!$F$5:$F$204,$O696),""))</f>
        <v/>
      </c>
      <c r="L696" s="29">
        <f>IF(AND(ISNUMBER($B696),ISNUMBER($K696)),$K696-$B696+1,"")</f>
        <v/>
      </c>
      <c r="M696" s="30">
        <f>IF(OR($L696="",$P696=""),"",IF(INDEX('支払先'!$M$5:$M$104,$P696)="対象外","",IF(AND($L696&gt;60,$K696&gt;=EDATE($B696,2)),"超える","")))</f>
        <v/>
      </c>
      <c r="N696" s="67" t="n"/>
      <c r="O696" s="31">
        <f>IF($A696="","",IFERROR(MATCH($A696,'通知一覧'!$B$5:$B$204,0),"なし"))</f>
        <v/>
      </c>
      <c r="P696" s="31">
        <f>IF(NOT(ISNUMBER($O696)),"",IFERROR(MATCH(INDEX('通知一覧'!$C$5:$C$204,$O696),'支払先'!$B$5:$B$104,0),""))</f>
        <v/>
      </c>
      <c r="Q696" s="31">
        <f>IF(AND($A696&lt;&gt;"",$A696='支払通知書'!$K$2),ROW(),"")</f>
        <v/>
      </c>
    </row>
    <row r="697" ht="18" customHeight="1">
      <c r="A697" s="18" t="n"/>
      <c r="B697" s="24" t="n"/>
      <c r="C697" s="19" t="n"/>
      <c r="D697" s="25" t="n"/>
      <c r="E697" s="18" t="n"/>
      <c r="F697" s="25" t="n"/>
      <c r="G697" s="18" t="n"/>
      <c r="H697" s="18" t="n"/>
      <c r="I697" s="26">
        <f>IF(OR($A697="",$F697=""),"",ROUND(IF($D697="",1,$D697)*$F697,0))</f>
        <v/>
      </c>
      <c r="J697" s="27">
        <f>IF($A697="","",IF($O697="なし","※通知一覧にない通知No",IF($P697="","",INDEX('支払先'!$C$5:$C$104,$P697)&amp;"")))</f>
        <v/>
      </c>
      <c r="K697" s="28">
        <f>IF(NOT(ISNUMBER($O697)),"",IF(ISNUMBER(INDEX('通知一覧'!$F$5:$F$204,$O697)),INDEX('通知一覧'!$F$5:$F$204,$O697),""))</f>
        <v/>
      </c>
      <c r="L697" s="29">
        <f>IF(AND(ISNUMBER($B697),ISNUMBER($K697)),$K697-$B697+1,"")</f>
        <v/>
      </c>
      <c r="M697" s="30">
        <f>IF(OR($L697="",$P697=""),"",IF(INDEX('支払先'!$M$5:$M$104,$P697)="対象外","",IF(AND($L697&gt;60,$K697&gt;=EDATE($B697,2)),"超える","")))</f>
        <v/>
      </c>
      <c r="N697" s="67" t="n"/>
      <c r="O697" s="31">
        <f>IF($A697="","",IFERROR(MATCH($A697,'通知一覧'!$B$5:$B$204,0),"なし"))</f>
        <v/>
      </c>
      <c r="P697" s="31">
        <f>IF(NOT(ISNUMBER($O697)),"",IFERROR(MATCH(INDEX('通知一覧'!$C$5:$C$204,$O697),'支払先'!$B$5:$B$104,0),""))</f>
        <v/>
      </c>
      <c r="Q697" s="31">
        <f>IF(AND($A697&lt;&gt;"",$A697='支払通知書'!$K$2),ROW(),"")</f>
        <v/>
      </c>
    </row>
    <row r="698" ht="18" customHeight="1">
      <c r="A698" s="18" t="n"/>
      <c r="B698" s="24" t="n"/>
      <c r="C698" s="19" t="n"/>
      <c r="D698" s="25" t="n"/>
      <c r="E698" s="18" t="n"/>
      <c r="F698" s="25" t="n"/>
      <c r="G698" s="18" t="n"/>
      <c r="H698" s="18" t="n"/>
      <c r="I698" s="26">
        <f>IF(OR($A698="",$F698=""),"",ROUND(IF($D698="",1,$D698)*$F698,0))</f>
        <v/>
      </c>
      <c r="J698" s="27">
        <f>IF($A698="","",IF($O698="なし","※通知一覧にない通知No",IF($P698="","",INDEX('支払先'!$C$5:$C$104,$P698)&amp;"")))</f>
        <v/>
      </c>
      <c r="K698" s="28">
        <f>IF(NOT(ISNUMBER($O698)),"",IF(ISNUMBER(INDEX('通知一覧'!$F$5:$F$204,$O698)),INDEX('通知一覧'!$F$5:$F$204,$O698),""))</f>
        <v/>
      </c>
      <c r="L698" s="29">
        <f>IF(AND(ISNUMBER($B698),ISNUMBER($K698)),$K698-$B698+1,"")</f>
        <v/>
      </c>
      <c r="M698" s="30">
        <f>IF(OR($L698="",$P698=""),"",IF(INDEX('支払先'!$M$5:$M$104,$P698)="対象外","",IF(AND($L698&gt;60,$K698&gt;=EDATE($B698,2)),"超える","")))</f>
        <v/>
      </c>
      <c r="N698" s="67" t="n"/>
      <c r="O698" s="31">
        <f>IF($A698="","",IFERROR(MATCH($A698,'通知一覧'!$B$5:$B$204,0),"なし"))</f>
        <v/>
      </c>
      <c r="P698" s="31">
        <f>IF(NOT(ISNUMBER($O698)),"",IFERROR(MATCH(INDEX('通知一覧'!$C$5:$C$204,$O698),'支払先'!$B$5:$B$104,0),""))</f>
        <v/>
      </c>
      <c r="Q698" s="31">
        <f>IF(AND($A698&lt;&gt;"",$A698='支払通知書'!$K$2),ROW(),"")</f>
        <v/>
      </c>
    </row>
    <row r="699" ht="18" customHeight="1">
      <c r="A699" s="18" t="n"/>
      <c r="B699" s="24" t="n"/>
      <c r="C699" s="19" t="n"/>
      <c r="D699" s="25" t="n"/>
      <c r="E699" s="18" t="n"/>
      <c r="F699" s="25" t="n"/>
      <c r="G699" s="18" t="n"/>
      <c r="H699" s="18" t="n"/>
      <c r="I699" s="26">
        <f>IF(OR($A699="",$F699=""),"",ROUND(IF($D699="",1,$D699)*$F699,0))</f>
        <v/>
      </c>
      <c r="J699" s="27">
        <f>IF($A699="","",IF($O699="なし","※通知一覧にない通知No",IF($P699="","",INDEX('支払先'!$C$5:$C$104,$P699)&amp;"")))</f>
        <v/>
      </c>
      <c r="K699" s="28">
        <f>IF(NOT(ISNUMBER($O699)),"",IF(ISNUMBER(INDEX('通知一覧'!$F$5:$F$204,$O699)),INDEX('通知一覧'!$F$5:$F$204,$O699),""))</f>
        <v/>
      </c>
      <c r="L699" s="29">
        <f>IF(AND(ISNUMBER($B699),ISNUMBER($K699)),$K699-$B699+1,"")</f>
        <v/>
      </c>
      <c r="M699" s="30">
        <f>IF(OR($L699="",$P699=""),"",IF(INDEX('支払先'!$M$5:$M$104,$P699)="対象外","",IF(AND($L699&gt;60,$K699&gt;=EDATE($B699,2)),"超える","")))</f>
        <v/>
      </c>
      <c r="N699" s="67" t="n"/>
      <c r="O699" s="31">
        <f>IF($A699="","",IFERROR(MATCH($A699,'通知一覧'!$B$5:$B$204,0),"なし"))</f>
        <v/>
      </c>
      <c r="P699" s="31">
        <f>IF(NOT(ISNUMBER($O699)),"",IFERROR(MATCH(INDEX('通知一覧'!$C$5:$C$204,$O699),'支払先'!$B$5:$B$104,0),""))</f>
        <v/>
      </c>
      <c r="Q699" s="31">
        <f>IF(AND($A699&lt;&gt;"",$A699='支払通知書'!$K$2),ROW(),"")</f>
        <v/>
      </c>
    </row>
    <row r="700" ht="18" customHeight="1">
      <c r="A700" s="18" t="n"/>
      <c r="B700" s="24" t="n"/>
      <c r="C700" s="19" t="n"/>
      <c r="D700" s="25" t="n"/>
      <c r="E700" s="18" t="n"/>
      <c r="F700" s="25" t="n"/>
      <c r="G700" s="18" t="n"/>
      <c r="H700" s="18" t="n"/>
      <c r="I700" s="26">
        <f>IF(OR($A700="",$F700=""),"",ROUND(IF($D700="",1,$D700)*$F700,0))</f>
        <v/>
      </c>
      <c r="J700" s="27">
        <f>IF($A700="","",IF($O700="なし","※通知一覧にない通知No",IF($P700="","",INDEX('支払先'!$C$5:$C$104,$P700)&amp;"")))</f>
        <v/>
      </c>
      <c r="K700" s="28">
        <f>IF(NOT(ISNUMBER($O700)),"",IF(ISNUMBER(INDEX('通知一覧'!$F$5:$F$204,$O700)),INDEX('通知一覧'!$F$5:$F$204,$O700),""))</f>
        <v/>
      </c>
      <c r="L700" s="29">
        <f>IF(AND(ISNUMBER($B700),ISNUMBER($K700)),$K700-$B700+1,"")</f>
        <v/>
      </c>
      <c r="M700" s="30">
        <f>IF(OR($L700="",$P700=""),"",IF(INDEX('支払先'!$M$5:$M$104,$P700)="対象外","",IF(AND($L700&gt;60,$K700&gt;=EDATE($B700,2)),"超える","")))</f>
        <v/>
      </c>
      <c r="N700" s="67" t="n"/>
      <c r="O700" s="31">
        <f>IF($A700="","",IFERROR(MATCH($A700,'通知一覧'!$B$5:$B$204,0),"なし"))</f>
        <v/>
      </c>
      <c r="P700" s="31">
        <f>IF(NOT(ISNUMBER($O700)),"",IFERROR(MATCH(INDEX('通知一覧'!$C$5:$C$204,$O700),'支払先'!$B$5:$B$104,0),""))</f>
        <v/>
      </c>
      <c r="Q700" s="31">
        <f>IF(AND($A700&lt;&gt;"",$A700='支払通知書'!$K$2),ROW(),"")</f>
        <v/>
      </c>
    </row>
    <row r="701" ht="18" customHeight="1">
      <c r="A701" s="18" t="n"/>
      <c r="B701" s="24" t="n"/>
      <c r="C701" s="19" t="n"/>
      <c r="D701" s="25" t="n"/>
      <c r="E701" s="18" t="n"/>
      <c r="F701" s="25" t="n"/>
      <c r="G701" s="18" t="n"/>
      <c r="H701" s="18" t="n"/>
      <c r="I701" s="26">
        <f>IF(OR($A701="",$F701=""),"",ROUND(IF($D701="",1,$D701)*$F701,0))</f>
        <v/>
      </c>
      <c r="J701" s="27">
        <f>IF($A701="","",IF($O701="なし","※通知一覧にない通知No",IF($P701="","",INDEX('支払先'!$C$5:$C$104,$P701)&amp;"")))</f>
        <v/>
      </c>
      <c r="K701" s="28">
        <f>IF(NOT(ISNUMBER($O701)),"",IF(ISNUMBER(INDEX('通知一覧'!$F$5:$F$204,$O701)),INDEX('通知一覧'!$F$5:$F$204,$O701),""))</f>
        <v/>
      </c>
      <c r="L701" s="29">
        <f>IF(AND(ISNUMBER($B701),ISNUMBER($K701)),$K701-$B701+1,"")</f>
        <v/>
      </c>
      <c r="M701" s="30">
        <f>IF(OR($L701="",$P701=""),"",IF(INDEX('支払先'!$M$5:$M$104,$P701)="対象外","",IF(AND($L701&gt;60,$K701&gt;=EDATE($B701,2)),"超える","")))</f>
        <v/>
      </c>
      <c r="N701" s="67" t="n"/>
      <c r="O701" s="31">
        <f>IF($A701="","",IFERROR(MATCH($A701,'通知一覧'!$B$5:$B$204,0),"なし"))</f>
        <v/>
      </c>
      <c r="P701" s="31">
        <f>IF(NOT(ISNUMBER($O701)),"",IFERROR(MATCH(INDEX('通知一覧'!$C$5:$C$204,$O701),'支払先'!$B$5:$B$104,0),""))</f>
        <v/>
      </c>
      <c r="Q701" s="31">
        <f>IF(AND($A701&lt;&gt;"",$A701='支払通知書'!$K$2),ROW(),"")</f>
        <v/>
      </c>
    </row>
    <row r="702" ht="18" customHeight="1">
      <c r="A702" s="18" t="n"/>
      <c r="B702" s="24" t="n"/>
      <c r="C702" s="19" t="n"/>
      <c r="D702" s="25" t="n"/>
      <c r="E702" s="18" t="n"/>
      <c r="F702" s="25" t="n"/>
      <c r="G702" s="18" t="n"/>
      <c r="H702" s="18" t="n"/>
      <c r="I702" s="26">
        <f>IF(OR($A702="",$F702=""),"",ROUND(IF($D702="",1,$D702)*$F702,0))</f>
        <v/>
      </c>
      <c r="J702" s="27">
        <f>IF($A702="","",IF($O702="なし","※通知一覧にない通知No",IF($P702="","",INDEX('支払先'!$C$5:$C$104,$P702)&amp;"")))</f>
        <v/>
      </c>
      <c r="K702" s="28">
        <f>IF(NOT(ISNUMBER($O702)),"",IF(ISNUMBER(INDEX('通知一覧'!$F$5:$F$204,$O702)),INDEX('通知一覧'!$F$5:$F$204,$O702),""))</f>
        <v/>
      </c>
      <c r="L702" s="29">
        <f>IF(AND(ISNUMBER($B702),ISNUMBER($K702)),$K702-$B702+1,"")</f>
        <v/>
      </c>
      <c r="M702" s="30">
        <f>IF(OR($L702="",$P702=""),"",IF(INDEX('支払先'!$M$5:$M$104,$P702)="対象外","",IF(AND($L702&gt;60,$K702&gt;=EDATE($B702,2)),"超える","")))</f>
        <v/>
      </c>
      <c r="N702" s="67" t="n"/>
      <c r="O702" s="31">
        <f>IF($A702="","",IFERROR(MATCH($A702,'通知一覧'!$B$5:$B$204,0),"なし"))</f>
        <v/>
      </c>
      <c r="P702" s="31">
        <f>IF(NOT(ISNUMBER($O702)),"",IFERROR(MATCH(INDEX('通知一覧'!$C$5:$C$204,$O702),'支払先'!$B$5:$B$104,0),""))</f>
        <v/>
      </c>
      <c r="Q702" s="31">
        <f>IF(AND($A702&lt;&gt;"",$A702='支払通知書'!$K$2),ROW(),"")</f>
        <v/>
      </c>
    </row>
    <row r="703" ht="18" customHeight="1">
      <c r="A703" s="18" t="n"/>
      <c r="B703" s="24" t="n"/>
      <c r="C703" s="19" t="n"/>
      <c r="D703" s="25" t="n"/>
      <c r="E703" s="18" t="n"/>
      <c r="F703" s="25" t="n"/>
      <c r="G703" s="18" t="n"/>
      <c r="H703" s="18" t="n"/>
      <c r="I703" s="26">
        <f>IF(OR($A703="",$F703=""),"",ROUND(IF($D703="",1,$D703)*$F703,0))</f>
        <v/>
      </c>
      <c r="J703" s="27">
        <f>IF($A703="","",IF($O703="なし","※通知一覧にない通知No",IF($P703="","",INDEX('支払先'!$C$5:$C$104,$P703)&amp;"")))</f>
        <v/>
      </c>
      <c r="K703" s="28">
        <f>IF(NOT(ISNUMBER($O703)),"",IF(ISNUMBER(INDEX('通知一覧'!$F$5:$F$204,$O703)),INDEX('通知一覧'!$F$5:$F$204,$O703),""))</f>
        <v/>
      </c>
      <c r="L703" s="29">
        <f>IF(AND(ISNUMBER($B703),ISNUMBER($K703)),$K703-$B703+1,"")</f>
        <v/>
      </c>
      <c r="M703" s="30">
        <f>IF(OR($L703="",$P703=""),"",IF(INDEX('支払先'!$M$5:$M$104,$P703)="対象外","",IF(AND($L703&gt;60,$K703&gt;=EDATE($B703,2)),"超える","")))</f>
        <v/>
      </c>
      <c r="N703" s="67" t="n"/>
      <c r="O703" s="31">
        <f>IF($A703="","",IFERROR(MATCH($A703,'通知一覧'!$B$5:$B$204,0),"なし"))</f>
        <v/>
      </c>
      <c r="P703" s="31">
        <f>IF(NOT(ISNUMBER($O703)),"",IFERROR(MATCH(INDEX('通知一覧'!$C$5:$C$204,$O703),'支払先'!$B$5:$B$104,0),""))</f>
        <v/>
      </c>
      <c r="Q703" s="31">
        <f>IF(AND($A703&lt;&gt;"",$A703='支払通知書'!$K$2),ROW(),"")</f>
        <v/>
      </c>
    </row>
    <row r="704" ht="18" customHeight="1">
      <c r="A704" s="18" t="n"/>
      <c r="B704" s="24" t="n"/>
      <c r="C704" s="19" t="n"/>
      <c r="D704" s="25" t="n"/>
      <c r="E704" s="18" t="n"/>
      <c r="F704" s="25" t="n"/>
      <c r="G704" s="18" t="n"/>
      <c r="H704" s="18" t="n"/>
      <c r="I704" s="26">
        <f>IF(OR($A704="",$F704=""),"",ROUND(IF($D704="",1,$D704)*$F704,0))</f>
        <v/>
      </c>
      <c r="J704" s="27">
        <f>IF($A704="","",IF($O704="なし","※通知一覧にない通知No",IF($P704="","",INDEX('支払先'!$C$5:$C$104,$P704)&amp;"")))</f>
        <v/>
      </c>
      <c r="K704" s="28">
        <f>IF(NOT(ISNUMBER($O704)),"",IF(ISNUMBER(INDEX('通知一覧'!$F$5:$F$204,$O704)),INDEX('通知一覧'!$F$5:$F$204,$O704),""))</f>
        <v/>
      </c>
      <c r="L704" s="29">
        <f>IF(AND(ISNUMBER($B704),ISNUMBER($K704)),$K704-$B704+1,"")</f>
        <v/>
      </c>
      <c r="M704" s="30">
        <f>IF(OR($L704="",$P704=""),"",IF(INDEX('支払先'!$M$5:$M$104,$P704)="対象外","",IF(AND($L704&gt;60,$K704&gt;=EDATE($B704,2)),"超える","")))</f>
        <v/>
      </c>
      <c r="N704" s="67" t="n"/>
      <c r="O704" s="31">
        <f>IF($A704="","",IFERROR(MATCH($A704,'通知一覧'!$B$5:$B$204,0),"なし"))</f>
        <v/>
      </c>
      <c r="P704" s="31">
        <f>IF(NOT(ISNUMBER($O704)),"",IFERROR(MATCH(INDEX('通知一覧'!$C$5:$C$204,$O704),'支払先'!$B$5:$B$104,0),""))</f>
        <v/>
      </c>
      <c r="Q704" s="31">
        <f>IF(AND($A704&lt;&gt;"",$A704='支払通知書'!$K$2),ROW(),"")</f>
        <v/>
      </c>
    </row>
    <row r="705" ht="18" customHeight="1">
      <c r="A705" s="18" t="n"/>
      <c r="B705" s="24" t="n"/>
      <c r="C705" s="19" t="n"/>
      <c r="D705" s="25" t="n"/>
      <c r="E705" s="18" t="n"/>
      <c r="F705" s="25" t="n"/>
      <c r="G705" s="18" t="n"/>
      <c r="H705" s="18" t="n"/>
      <c r="I705" s="26">
        <f>IF(OR($A705="",$F705=""),"",ROUND(IF($D705="",1,$D705)*$F705,0))</f>
        <v/>
      </c>
      <c r="J705" s="27">
        <f>IF($A705="","",IF($O705="なし","※通知一覧にない通知No",IF($P705="","",INDEX('支払先'!$C$5:$C$104,$P705)&amp;"")))</f>
        <v/>
      </c>
      <c r="K705" s="28">
        <f>IF(NOT(ISNUMBER($O705)),"",IF(ISNUMBER(INDEX('通知一覧'!$F$5:$F$204,$O705)),INDEX('通知一覧'!$F$5:$F$204,$O705),""))</f>
        <v/>
      </c>
      <c r="L705" s="29">
        <f>IF(AND(ISNUMBER($B705),ISNUMBER($K705)),$K705-$B705+1,"")</f>
        <v/>
      </c>
      <c r="M705" s="30">
        <f>IF(OR($L705="",$P705=""),"",IF(INDEX('支払先'!$M$5:$M$104,$P705)="対象外","",IF(AND($L705&gt;60,$K705&gt;=EDATE($B705,2)),"超える","")))</f>
        <v/>
      </c>
      <c r="N705" s="67" t="n"/>
      <c r="O705" s="31">
        <f>IF($A705="","",IFERROR(MATCH($A705,'通知一覧'!$B$5:$B$204,0),"なし"))</f>
        <v/>
      </c>
      <c r="P705" s="31">
        <f>IF(NOT(ISNUMBER($O705)),"",IFERROR(MATCH(INDEX('通知一覧'!$C$5:$C$204,$O705),'支払先'!$B$5:$B$104,0),""))</f>
        <v/>
      </c>
      <c r="Q705" s="31">
        <f>IF(AND($A705&lt;&gt;"",$A705='支払通知書'!$K$2),ROW(),"")</f>
        <v/>
      </c>
    </row>
    <row r="706" ht="18" customHeight="1">
      <c r="A706" s="18" t="n"/>
      <c r="B706" s="24" t="n"/>
      <c r="C706" s="19" t="n"/>
      <c r="D706" s="25" t="n"/>
      <c r="E706" s="18" t="n"/>
      <c r="F706" s="25" t="n"/>
      <c r="G706" s="18" t="n"/>
      <c r="H706" s="18" t="n"/>
      <c r="I706" s="26">
        <f>IF(OR($A706="",$F706=""),"",ROUND(IF($D706="",1,$D706)*$F706,0))</f>
        <v/>
      </c>
      <c r="J706" s="27">
        <f>IF($A706="","",IF($O706="なし","※通知一覧にない通知No",IF($P706="","",INDEX('支払先'!$C$5:$C$104,$P706)&amp;"")))</f>
        <v/>
      </c>
      <c r="K706" s="28">
        <f>IF(NOT(ISNUMBER($O706)),"",IF(ISNUMBER(INDEX('通知一覧'!$F$5:$F$204,$O706)),INDEX('通知一覧'!$F$5:$F$204,$O706),""))</f>
        <v/>
      </c>
      <c r="L706" s="29">
        <f>IF(AND(ISNUMBER($B706),ISNUMBER($K706)),$K706-$B706+1,"")</f>
        <v/>
      </c>
      <c r="M706" s="30">
        <f>IF(OR($L706="",$P706=""),"",IF(INDEX('支払先'!$M$5:$M$104,$P706)="対象外","",IF(AND($L706&gt;60,$K706&gt;=EDATE($B706,2)),"超える","")))</f>
        <v/>
      </c>
      <c r="N706" s="67" t="n"/>
      <c r="O706" s="31">
        <f>IF($A706="","",IFERROR(MATCH($A706,'通知一覧'!$B$5:$B$204,0),"なし"))</f>
        <v/>
      </c>
      <c r="P706" s="31">
        <f>IF(NOT(ISNUMBER($O706)),"",IFERROR(MATCH(INDEX('通知一覧'!$C$5:$C$204,$O706),'支払先'!$B$5:$B$104,0),""))</f>
        <v/>
      </c>
      <c r="Q706" s="31">
        <f>IF(AND($A706&lt;&gt;"",$A706='支払通知書'!$K$2),ROW(),"")</f>
        <v/>
      </c>
    </row>
    <row r="707" ht="18" customHeight="1">
      <c r="A707" s="18" t="n"/>
      <c r="B707" s="24" t="n"/>
      <c r="C707" s="19" t="n"/>
      <c r="D707" s="25" t="n"/>
      <c r="E707" s="18" t="n"/>
      <c r="F707" s="25" t="n"/>
      <c r="G707" s="18" t="n"/>
      <c r="H707" s="18" t="n"/>
      <c r="I707" s="26">
        <f>IF(OR($A707="",$F707=""),"",ROUND(IF($D707="",1,$D707)*$F707,0))</f>
        <v/>
      </c>
      <c r="J707" s="27">
        <f>IF($A707="","",IF($O707="なし","※通知一覧にない通知No",IF($P707="","",INDEX('支払先'!$C$5:$C$104,$P707)&amp;"")))</f>
        <v/>
      </c>
      <c r="K707" s="28">
        <f>IF(NOT(ISNUMBER($O707)),"",IF(ISNUMBER(INDEX('通知一覧'!$F$5:$F$204,$O707)),INDEX('通知一覧'!$F$5:$F$204,$O707),""))</f>
        <v/>
      </c>
      <c r="L707" s="29">
        <f>IF(AND(ISNUMBER($B707),ISNUMBER($K707)),$K707-$B707+1,"")</f>
        <v/>
      </c>
      <c r="M707" s="30">
        <f>IF(OR($L707="",$P707=""),"",IF(INDEX('支払先'!$M$5:$M$104,$P707)="対象外","",IF(AND($L707&gt;60,$K707&gt;=EDATE($B707,2)),"超える","")))</f>
        <v/>
      </c>
      <c r="N707" s="67" t="n"/>
      <c r="O707" s="31">
        <f>IF($A707="","",IFERROR(MATCH($A707,'通知一覧'!$B$5:$B$204,0),"なし"))</f>
        <v/>
      </c>
      <c r="P707" s="31">
        <f>IF(NOT(ISNUMBER($O707)),"",IFERROR(MATCH(INDEX('通知一覧'!$C$5:$C$204,$O707),'支払先'!$B$5:$B$104,0),""))</f>
        <v/>
      </c>
      <c r="Q707" s="31">
        <f>IF(AND($A707&lt;&gt;"",$A707='支払通知書'!$K$2),ROW(),"")</f>
        <v/>
      </c>
    </row>
    <row r="708" ht="18" customHeight="1">
      <c r="A708" s="18" t="n"/>
      <c r="B708" s="24" t="n"/>
      <c r="C708" s="19" t="n"/>
      <c r="D708" s="25" t="n"/>
      <c r="E708" s="18" t="n"/>
      <c r="F708" s="25" t="n"/>
      <c r="G708" s="18" t="n"/>
      <c r="H708" s="18" t="n"/>
      <c r="I708" s="26">
        <f>IF(OR($A708="",$F708=""),"",ROUND(IF($D708="",1,$D708)*$F708,0))</f>
        <v/>
      </c>
      <c r="J708" s="27">
        <f>IF($A708="","",IF($O708="なし","※通知一覧にない通知No",IF($P708="","",INDEX('支払先'!$C$5:$C$104,$P708)&amp;"")))</f>
        <v/>
      </c>
      <c r="K708" s="28">
        <f>IF(NOT(ISNUMBER($O708)),"",IF(ISNUMBER(INDEX('通知一覧'!$F$5:$F$204,$O708)),INDEX('通知一覧'!$F$5:$F$204,$O708),""))</f>
        <v/>
      </c>
      <c r="L708" s="29">
        <f>IF(AND(ISNUMBER($B708),ISNUMBER($K708)),$K708-$B708+1,"")</f>
        <v/>
      </c>
      <c r="M708" s="30">
        <f>IF(OR($L708="",$P708=""),"",IF(INDEX('支払先'!$M$5:$M$104,$P708)="対象外","",IF(AND($L708&gt;60,$K708&gt;=EDATE($B708,2)),"超える","")))</f>
        <v/>
      </c>
      <c r="N708" s="67" t="n"/>
      <c r="O708" s="31">
        <f>IF($A708="","",IFERROR(MATCH($A708,'通知一覧'!$B$5:$B$204,0),"なし"))</f>
        <v/>
      </c>
      <c r="P708" s="31">
        <f>IF(NOT(ISNUMBER($O708)),"",IFERROR(MATCH(INDEX('通知一覧'!$C$5:$C$204,$O708),'支払先'!$B$5:$B$104,0),""))</f>
        <v/>
      </c>
      <c r="Q708" s="31">
        <f>IF(AND($A708&lt;&gt;"",$A708='支払通知書'!$K$2),ROW(),"")</f>
        <v/>
      </c>
    </row>
    <row r="709" ht="18" customHeight="1">
      <c r="A709" s="18" t="n"/>
      <c r="B709" s="24" t="n"/>
      <c r="C709" s="19" t="n"/>
      <c r="D709" s="25" t="n"/>
      <c r="E709" s="18" t="n"/>
      <c r="F709" s="25" t="n"/>
      <c r="G709" s="18" t="n"/>
      <c r="H709" s="18" t="n"/>
      <c r="I709" s="26">
        <f>IF(OR($A709="",$F709=""),"",ROUND(IF($D709="",1,$D709)*$F709,0))</f>
        <v/>
      </c>
      <c r="J709" s="27">
        <f>IF($A709="","",IF($O709="なし","※通知一覧にない通知No",IF($P709="","",INDEX('支払先'!$C$5:$C$104,$P709)&amp;"")))</f>
        <v/>
      </c>
      <c r="K709" s="28">
        <f>IF(NOT(ISNUMBER($O709)),"",IF(ISNUMBER(INDEX('通知一覧'!$F$5:$F$204,$O709)),INDEX('通知一覧'!$F$5:$F$204,$O709),""))</f>
        <v/>
      </c>
      <c r="L709" s="29">
        <f>IF(AND(ISNUMBER($B709),ISNUMBER($K709)),$K709-$B709+1,"")</f>
        <v/>
      </c>
      <c r="M709" s="30">
        <f>IF(OR($L709="",$P709=""),"",IF(INDEX('支払先'!$M$5:$M$104,$P709)="対象外","",IF(AND($L709&gt;60,$K709&gt;=EDATE($B709,2)),"超える","")))</f>
        <v/>
      </c>
      <c r="N709" s="67" t="n"/>
      <c r="O709" s="31">
        <f>IF($A709="","",IFERROR(MATCH($A709,'通知一覧'!$B$5:$B$204,0),"なし"))</f>
        <v/>
      </c>
      <c r="P709" s="31">
        <f>IF(NOT(ISNUMBER($O709)),"",IFERROR(MATCH(INDEX('通知一覧'!$C$5:$C$204,$O709),'支払先'!$B$5:$B$104,0),""))</f>
        <v/>
      </c>
      <c r="Q709" s="31">
        <f>IF(AND($A709&lt;&gt;"",$A709='支払通知書'!$K$2),ROW(),"")</f>
        <v/>
      </c>
    </row>
    <row r="710" ht="18" customHeight="1">
      <c r="A710" s="18" t="n"/>
      <c r="B710" s="24" t="n"/>
      <c r="C710" s="19" t="n"/>
      <c r="D710" s="25" t="n"/>
      <c r="E710" s="18" t="n"/>
      <c r="F710" s="25" t="n"/>
      <c r="G710" s="18" t="n"/>
      <c r="H710" s="18" t="n"/>
      <c r="I710" s="26">
        <f>IF(OR($A710="",$F710=""),"",ROUND(IF($D710="",1,$D710)*$F710,0))</f>
        <v/>
      </c>
      <c r="J710" s="27">
        <f>IF($A710="","",IF($O710="なし","※通知一覧にない通知No",IF($P710="","",INDEX('支払先'!$C$5:$C$104,$P710)&amp;"")))</f>
        <v/>
      </c>
      <c r="K710" s="28">
        <f>IF(NOT(ISNUMBER($O710)),"",IF(ISNUMBER(INDEX('通知一覧'!$F$5:$F$204,$O710)),INDEX('通知一覧'!$F$5:$F$204,$O710),""))</f>
        <v/>
      </c>
      <c r="L710" s="29">
        <f>IF(AND(ISNUMBER($B710),ISNUMBER($K710)),$K710-$B710+1,"")</f>
        <v/>
      </c>
      <c r="M710" s="30">
        <f>IF(OR($L710="",$P710=""),"",IF(INDEX('支払先'!$M$5:$M$104,$P710)="対象外","",IF(AND($L710&gt;60,$K710&gt;=EDATE($B710,2)),"超える","")))</f>
        <v/>
      </c>
      <c r="N710" s="67" t="n"/>
      <c r="O710" s="31">
        <f>IF($A710="","",IFERROR(MATCH($A710,'通知一覧'!$B$5:$B$204,0),"なし"))</f>
        <v/>
      </c>
      <c r="P710" s="31">
        <f>IF(NOT(ISNUMBER($O710)),"",IFERROR(MATCH(INDEX('通知一覧'!$C$5:$C$204,$O710),'支払先'!$B$5:$B$104,0),""))</f>
        <v/>
      </c>
      <c r="Q710" s="31">
        <f>IF(AND($A710&lt;&gt;"",$A710='支払通知書'!$K$2),ROW(),"")</f>
        <v/>
      </c>
    </row>
    <row r="711" ht="18" customHeight="1">
      <c r="A711" s="18" t="n"/>
      <c r="B711" s="24" t="n"/>
      <c r="C711" s="19" t="n"/>
      <c r="D711" s="25" t="n"/>
      <c r="E711" s="18" t="n"/>
      <c r="F711" s="25" t="n"/>
      <c r="G711" s="18" t="n"/>
      <c r="H711" s="18" t="n"/>
      <c r="I711" s="26">
        <f>IF(OR($A711="",$F711=""),"",ROUND(IF($D711="",1,$D711)*$F711,0))</f>
        <v/>
      </c>
      <c r="J711" s="27">
        <f>IF($A711="","",IF($O711="なし","※通知一覧にない通知No",IF($P711="","",INDEX('支払先'!$C$5:$C$104,$P711)&amp;"")))</f>
        <v/>
      </c>
      <c r="K711" s="28">
        <f>IF(NOT(ISNUMBER($O711)),"",IF(ISNUMBER(INDEX('通知一覧'!$F$5:$F$204,$O711)),INDEX('通知一覧'!$F$5:$F$204,$O711),""))</f>
        <v/>
      </c>
      <c r="L711" s="29">
        <f>IF(AND(ISNUMBER($B711),ISNUMBER($K711)),$K711-$B711+1,"")</f>
        <v/>
      </c>
      <c r="M711" s="30">
        <f>IF(OR($L711="",$P711=""),"",IF(INDEX('支払先'!$M$5:$M$104,$P711)="対象外","",IF(AND($L711&gt;60,$K711&gt;=EDATE($B711,2)),"超える","")))</f>
        <v/>
      </c>
      <c r="N711" s="67" t="n"/>
      <c r="O711" s="31">
        <f>IF($A711="","",IFERROR(MATCH($A711,'通知一覧'!$B$5:$B$204,0),"なし"))</f>
        <v/>
      </c>
      <c r="P711" s="31">
        <f>IF(NOT(ISNUMBER($O711)),"",IFERROR(MATCH(INDEX('通知一覧'!$C$5:$C$204,$O711),'支払先'!$B$5:$B$104,0),""))</f>
        <v/>
      </c>
      <c r="Q711" s="31">
        <f>IF(AND($A711&lt;&gt;"",$A711='支払通知書'!$K$2),ROW(),"")</f>
        <v/>
      </c>
    </row>
    <row r="712" ht="18" customHeight="1">
      <c r="A712" s="18" t="n"/>
      <c r="B712" s="24" t="n"/>
      <c r="C712" s="19" t="n"/>
      <c r="D712" s="25" t="n"/>
      <c r="E712" s="18" t="n"/>
      <c r="F712" s="25" t="n"/>
      <c r="G712" s="18" t="n"/>
      <c r="H712" s="18" t="n"/>
      <c r="I712" s="26">
        <f>IF(OR($A712="",$F712=""),"",ROUND(IF($D712="",1,$D712)*$F712,0))</f>
        <v/>
      </c>
      <c r="J712" s="27">
        <f>IF($A712="","",IF($O712="なし","※通知一覧にない通知No",IF($P712="","",INDEX('支払先'!$C$5:$C$104,$P712)&amp;"")))</f>
        <v/>
      </c>
      <c r="K712" s="28">
        <f>IF(NOT(ISNUMBER($O712)),"",IF(ISNUMBER(INDEX('通知一覧'!$F$5:$F$204,$O712)),INDEX('通知一覧'!$F$5:$F$204,$O712),""))</f>
        <v/>
      </c>
      <c r="L712" s="29">
        <f>IF(AND(ISNUMBER($B712),ISNUMBER($K712)),$K712-$B712+1,"")</f>
        <v/>
      </c>
      <c r="M712" s="30">
        <f>IF(OR($L712="",$P712=""),"",IF(INDEX('支払先'!$M$5:$M$104,$P712)="対象外","",IF(AND($L712&gt;60,$K712&gt;=EDATE($B712,2)),"超える","")))</f>
        <v/>
      </c>
      <c r="N712" s="67" t="n"/>
      <c r="O712" s="31">
        <f>IF($A712="","",IFERROR(MATCH($A712,'通知一覧'!$B$5:$B$204,0),"なし"))</f>
        <v/>
      </c>
      <c r="P712" s="31">
        <f>IF(NOT(ISNUMBER($O712)),"",IFERROR(MATCH(INDEX('通知一覧'!$C$5:$C$204,$O712),'支払先'!$B$5:$B$104,0),""))</f>
        <v/>
      </c>
      <c r="Q712" s="31">
        <f>IF(AND($A712&lt;&gt;"",$A712='支払通知書'!$K$2),ROW(),"")</f>
        <v/>
      </c>
    </row>
    <row r="713" ht="18" customHeight="1">
      <c r="A713" s="18" t="n"/>
      <c r="B713" s="24" t="n"/>
      <c r="C713" s="19" t="n"/>
      <c r="D713" s="25" t="n"/>
      <c r="E713" s="18" t="n"/>
      <c r="F713" s="25" t="n"/>
      <c r="G713" s="18" t="n"/>
      <c r="H713" s="18" t="n"/>
      <c r="I713" s="26">
        <f>IF(OR($A713="",$F713=""),"",ROUND(IF($D713="",1,$D713)*$F713,0))</f>
        <v/>
      </c>
      <c r="J713" s="27">
        <f>IF($A713="","",IF($O713="なし","※通知一覧にない通知No",IF($P713="","",INDEX('支払先'!$C$5:$C$104,$P713)&amp;"")))</f>
        <v/>
      </c>
      <c r="K713" s="28">
        <f>IF(NOT(ISNUMBER($O713)),"",IF(ISNUMBER(INDEX('通知一覧'!$F$5:$F$204,$O713)),INDEX('通知一覧'!$F$5:$F$204,$O713),""))</f>
        <v/>
      </c>
      <c r="L713" s="29">
        <f>IF(AND(ISNUMBER($B713),ISNUMBER($K713)),$K713-$B713+1,"")</f>
        <v/>
      </c>
      <c r="M713" s="30">
        <f>IF(OR($L713="",$P713=""),"",IF(INDEX('支払先'!$M$5:$M$104,$P713)="対象外","",IF(AND($L713&gt;60,$K713&gt;=EDATE($B713,2)),"超える","")))</f>
        <v/>
      </c>
      <c r="N713" s="67" t="n"/>
      <c r="O713" s="31">
        <f>IF($A713="","",IFERROR(MATCH($A713,'通知一覧'!$B$5:$B$204,0),"なし"))</f>
        <v/>
      </c>
      <c r="P713" s="31">
        <f>IF(NOT(ISNUMBER($O713)),"",IFERROR(MATCH(INDEX('通知一覧'!$C$5:$C$204,$O713),'支払先'!$B$5:$B$104,0),""))</f>
        <v/>
      </c>
      <c r="Q713" s="31">
        <f>IF(AND($A713&lt;&gt;"",$A713='支払通知書'!$K$2),ROW(),"")</f>
        <v/>
      </c>
    </row>
    <row r="714" ht="18" customHeight="1">
      <c r="A714" s="18" t="n"/>
      <c r="B714" s="24" t="n"/>
      <c r="C714" s="19" t="n"/>
      <c r="D714" s="25" t="n"/>
      <c r="E714" s="18" t="n"/>
      <c r="F714" s="25" t="n"/>
      <c r="G714" s="18" t="n"/>
      <c r="H714" s="18" t="n"/>
      <c r="I714" s="26">
        <f>IF(OR($A714="",$F714=""),"",ROUND(IF($D714="",1,$D714)*$F714,0))</f>
        <v/>
      </c>
      <c r="J714" s="27">
        <f>IF($A714="","",IF($O714="なし","※通知一覧にない通知No",IF($P714="","",INDEX('支払先'!$C$5:$C$104,$P714)&amp;"")))</f>
        <v/>
      </c>
      <c r="K714" s="28">
        <f>IF(NOT(ISNUMBER($O714)),"",IF(ISNUMBER(INDEX('通知一覧'!$F$5:$F$204,$O714)),INDEX('通知一覧'!$F$5:$F$204,$O714),""))</f>
        <v/>
      </c>
      <c r="L714" s="29">
        <f>IF(AND(ISNUMBER($B714),ISNUMBER($K714)),$K714-$B714+1,"")</f>
        <v/>
      </c>
      <c r="M714" s="30">
        <f>IF(OR($L714="",$P714=""),"",IF(INDEX('支払先'!$M$5:$M$104,$P714)="対象外","",IF(AND($L714&gt;60,$K714&gt;=EDATE($B714,2)),"超える","")))</f>
        <v/>
      </c>
      <c r="N714" s="67" t="n"/>
      <c r="O714" s="31">
        <f>IF($A714="","",IFERROR(MATCH($A714,'通知一覧'!$B$5:$B$204,0),"なし"))</f>
        <v/>
      </c>
      <c r="P714" s="31">
        <f>IF(NOT(ISNUMBER($O714)),"",IFERROR(MATCH(INDEX('通知一覧'!$C$5:$C$204,$O714),'支払先'!$B$5:$B$104,0),""))</f>
        <v/>
      </c>
      <c r="Q714" s="31">
        <f>IF(AND($A714&lt;&gt;"",$A714='支払通知書'!$K$2),ROW(),"")</f>
        <v/>
      </c>
    </row>
    <row r="715" ht="18" customHeight="1">
      <c r="A715" s="18" t="n"/>
      <c r="B715" s="24" t="n"/>
      <c r="C715" s="19" t="n"/>
      <c r="D715" s="25" t="n"/>
      <c r="E715" s="18" t="n"/>
      <c r="F715" s="25" t="n"/>
      <c r="G715" s="18" t="n"/>
      <c r="H715" s="18" t="n"/>
      <c r="I715" s="26">
        <f>IF(OR($A715="",$F715=""),"",ROUND(IF($D715="",1,$D715)*$F715,0))</f>
        <v/>
      </c>
      <c r="J715" s="27">
        <f>IF($A715="","",IF($O715="なし","※通知一覧にない通知No",IF($P715="","",INDEX('支払先'!$C$5:$C$104,$P715)&amp;"")))</f>
        <v/>
      </c>
      <c r="K715" s="28">
        <f>IF(NOT(ISNUMBER($O715)),"",IF(ISNUMBER(INDEX('通知一覧'!$F$5:$F$204,$O715)),INDEX('通知一覧'!$F$5:$F$204,$O715),""))</f>
        <v/>
      </c>
      <c r="L715" s="29">
        <f>IF(AND(ISNUMBER($B715),ISNUMBER($K715)),$K715-$B715+1,"")</f>
        <v/>
      </c>
      <c r="M715" s="30">
        <f>IF(OR($L715="",$P715=""),"",IF(INDEX('支払先'!$M$5:$M$104,$P715)="対象外","",IF(AND($L715&gt;60,$K715&gt;=EDATE($B715,2)),"超える","")))</f>
        <v/>
      </c>
      <c r="N715" s="67" t="n"/>
      <c r="O715" s="31">
        <f>IF($A715="","",IFERROR(MATCH($A715,'通知一覧'!$B$5:$B$204,0),"なし"))</f>
        <v/>
      </c>
      <c r="P715" s="31">
        <f>IF(NOT(ISNUMBER($O715)),"",IFERROR(MATCH(INDEX('通知一覧'!$C$5:$C$204,$O715),'支払先'!$B$5:$B$104,0),""))</f>
        <v/>
      </c>
      <c r="Q715" s="31">
        <f>IF(AND($A715&lt;&gt;"",$A715='支払通知書'!$K$2),ROW(),"")</f>
        <v/>
      </c>
    </row>
    <row r="716" ht="18" customHeight="1">
      <c r="A716" s="18" t="n"/>
      <c r="B716" s="24" t="n"/>
      <c r="C716" s="19" t="n"/>
      <c r="D716" s="25" t="n"/>
      <c r="E716" s="18" t="n"/>
      <c r="F716" s="25" t="n"/>
      <c r="G716" s="18" t="n"/>
      <c r="H716" s="18" t="n"/>
      <c r="I716" s="26">
        <f>IF(OR($A716="",$F716=""),"",ROUND(IF($D716="",1,$D716)*$F716,0))</f>
        <v/>
      </c>
      <c r="J716" s="27">
        <f>IF($A716="","",IF($O716="なし","※通知一覧にない通知No",IF($P716="","",INDEX('支払先'!$C$5:$C$104,$P716)&amp;"")))</f>
        <v/>
      </c>
      <c r="K716" s="28">
        <f>IF(NOT(ISNUMBER($O716)),"",IF(ISNUMBER(INDEX('通知一覧'!$F$5:$F$204,$O716)),INDEX('通知一覧'!$F$5:$F$204,$O716),""))</f>
        <v/>
      </c>
      <c r="L716" s="29">
        <f>IF(AND(ISNUMBER($B716),ISNUMBER($K716)),$K716-$B716+1,"")</f>
        <v/>
      </c>
      <c r="M716" s="30">
        <f>IF(OR($L716="",$P716=""),"",IF(INDEX('支払先'!$M$5:$M$104,$P716)="対象外","",IF(AND($L716&gt;60,$K716&gt;=EDATE($B716,2)),"超える","")))</f>
        <v/>
      </c>
      <c r="N716" s="67" t="n"/>
      <c r="O716" s="31">
        <f>IF($A716="","",IFERROR(MATCH($A716,'通知一覧'!$B$5:$B$204,0),"なし"))</f>
        <v/>
      </c>
      <c r="P716" s="31">
        <f>IF(NOT(ISNUMBER($O716)),"",IFERROR(MATCH(INDEX('通知一覧'!$C$5:$C$204,$O716),'支払先'!$B$5:$B$104,0),""))</f>
        <v/>
      </c>
      <c r="Q716" s="31">
        <f>IF(AND($A716&lt;&gt;"",$A716='支払通知書'!$K$2),ROW(),"")</f>
        <v/>
      </c>
    </row>
    <row r="717" ht="18" customHeight="1">
      <c r="A717" s="18" t="n"/>
      <c r="B717" s="24" t="n"/>
      <c r="C717" s="19" t="n"/>
      <c r="D717" s="25" t="n"/>
      <c r="E717" s="18" t="n"/>
      <c r="F717" s="25" t="n"/>
      <c r="G717" s="18" t="n"/>
      <c r="H717" s="18" t="n"/>
      <c r="I717" s="26">
        <f>IF(OR($A717="",$F717=""),"",ROUND(IF($D717="",1,$D717)*$F717,0))</f>
        <v/>
      </c>
      <c r="J717" s="27">
        <f>IF($A717="","",IF($O717="なし","※通知一覧にない通知No",IF($P717="","",INDEX('支払先'!$C$5:$C$104,$P717)&amp;"")))</f>
        <v/>
      </c>
      <c r="K717" s="28">
        <f>IF(NOT(ISNUMBER($O717)),"",IF(ISNUMBER(INDEX('通知一覧'!$F$5:$F$204,$O717)),INDEX('通知一覧'!$F$5:$F$204,$O717),""))</f>
        <v/>
      </c>
      <c r="L717" s="29">
        <f>IF(AND(ISNUMBER($B717),ISNUMBER($K717)),$K717-$B717+1,"")</f>
        <v/>
      </c>
      <c r="M717" s="30">
        <f>IF(OR($L717="",$P717=""),"",IF(INDEX('支払先'!$M$5:$M$104,$P717)="対象外","",IF(AND($L717&gt;60,$K717&gt;=EDATE($B717,2)),"超える","")))</f>
        <v/>
      </c>
      <c r="N717" s="67" t="n"/>
      <c r="O717" s="31">
        <f>IF($A717="","",IFERROR(MATCH($A717,'通知一覧'!$B$5:$B$204,0),"なし"))</f>
        <v/>
      </c>
      <c r="P717" s="31">
        <f>IF(NOT(ISNUMBER($O717)),"",IFERROR(MATCH(INDEX('通知一覧'!$C$5:$C$204,$O717),'支払先'!$B$5:$B$104,0),""))</f>
        <v/>
      </c>
      <c r="Q717" s="31">
        <f>IF(AND($A717&lt;&gt;"",$A717='支払通知書'!$K$2),ROW(),"")</f>
        <v/>
      </c>
    </row>
    <row r="718" ht="18" customHeight="1">
      <c r="A718" s="18" t="n"/>
      <c r="B718" s="24" t="n"/>
      <c r="C718" s="19" t="n"/>
      <c r="D718" s="25" t="n"/>
      <c r="E718" s="18" t="n"/>
      <c r="F718" s="25" t="n"/>
      <c r="G718" s="18" t="n"/>
      <c r="H718" s="18" t="n"/>
      <c r="I718" s="26">
        <f>IF(OR($A718="",$F718=""),"",ROUND(IF($D718="",1,$D718)*$F718,0))</f>
        <v/>
      </c>
      <c r="J718" s="27">
        <f>IF($A718="","",IF($O718="なし","※通知一覧にない通知No",IF($P718="","",INDEX('支払先'!$C$5:$C$104,$P718)&amp;"")))</f>
        <v/>
      </c>
      <c r="K718" s="28">
        <f>IF(NOT(ISNUMBER($O718)),"",IF(ISNUMBER(INDEX('通知一覧'!$F$5:$F$204,$O718)),INDEX('通知一覧'!$F$5:$F$204,$O718),""))</f>
        <v/>
      </c>
      <c r="L718" s="29">
        <f>IF(AND(ISNUMBER($B718),ISNUMBER($K718)),$K718-$B718+1,"")</f>
        <v/>
      </c>
      <c r="M718" s="30">
        <f>IF(OR($L718="",$P718=""),"",IF(INDEX('支払先'!$M$5:$M$104,$P718)="対象外","",IF(AND($L718&gt;60,$K718&gt;=EDATE($B718,2)),"超える","")))</f>
        <v/>
      </c>
      <c r="N718" s="67" t="n"/>
      <c r="O718" s="31">
        <f>IF($A718="","",IFERROR(MATCH($A718,'通知一覧'!$B$5:$B$204,0),"なし"))</f>
        <v/>
      </c>
      <c r="P718" s="31">
        <f>IF(NOT(ISNUMBER($O718)),"",IFERROR(MATCH(INDEX('通知一覧'!$C$5:$C$204,$O718),'支払先'!$B$5:$B$104,0),""))</f>
        <v/>
      </c>
      <c r="Q718" s="31">
        <f>IF(AND($A718&lt;&gt;"",$A718='支払通知書'!$K$2),ROW(),"")</f>
        <v/>
      </c>
    </row>
    <row r="719" ht="18" customHeight="1">
      <c r="A719" s="18" t="n"/>
      <c r="B719" s="24" t="n"/>
      <c r="C719" s="19" t="n"/>
      <c r="D719" s="25" t="n"/>
      <c r="E719" s="18" t="n"/>
      <c r="F719" s="25" t="n"/>
      <c r="G719" s="18" t="n"/>
      <c r="H719" s="18" t="n"/>
      <c r="I719" s="26">
        <f>IF(OR($A719="",$F719=""),"",ROUND(IF($D719="",1,$D719)*$F719,0))</f>
        <v/>
      </c>
      <c r="J719" s="27">
        <f>IF($A719="","",IF($O719="なし","※通知一覧にない通知No",IF($P719="","",INDEX('支払先'!$C$5:$C$104,$P719)&amp;"")))</f>
        <v/>
      </c>
      <c r="K719" s="28">
        <f>IF(NOT(ISNUMBER($O719)),"",IF(ISNUMBER(INDEX('通知一覧'!$F$5:$F$204,$O719)),INDEX('通知一覧'!$F$5:$F$204,$O719),""))</f>
        <v/>
      </c>
      <c r="L719" s="29">
        <f>IF(AND(ISNUMBER($B719),ISNUMBER($K719)),$K719-$B719+1,"")</f>
        <v/>
      </c>
      <c r="M719" s="30">
        <f>IF(OR($L719="",$P719=""),"",IF(INDEX('支払先'!$M$5:$M$104,$P719)="対象外","",IF(AND($L719&gt;60,$K719&gt;=EDATE($B719,2)),"超える","")))</f>
        <v/>
      </c>
      <c r="N719" s="67" t="n"/>
      <c r="O719" s="31">
        <f>IF($A719="","",IFERROR(MATCH($A719,'通知一覧'!$B$5:$B$204,0),"なし"))</f>
        <v/>
      </c>
      <c r="P719" s="31">
        <f>IF(NOT(ISNUMBER($O719)),"",IFERROR(MATCH(INDEX('通知一覧'!$C$5:$C$204,$O719),'支払先'!$B$5:$B$104,0),""))</f>
        <v/>
      </c>
      <c r="Q719" s="31">
        <f>IF(AND($A719&lt;&gt;"",$A719='支払通知書'!$K$2),ROW(),"")</f>
        <v/>
      </c>
    </row>
    <row r="720" ht="18" customHeight="1">
      <c r="A720" s="18" t="n"/>
      <c r="B720" s="24" t="n"/>
      <c r="C720" s="19" t="n"/>
      <c r="D720" s="25" t="n"/>
      <c r="E720" s="18" t="n"/>
      <c r="F720" s="25" t="n"/>
      <c r="G720" s="18" t="n"/>
      <c r="H720" s="18" t="n"/>
      <c r="I720" s="26">
        <f>IF(OR($A720="",$F720=""),"",ROUND(IF($D720="",1,$D720)*$F720,0))</f>
        <v/>
      </c>
      <c r="J720" s="27">
        <f>IF($A720="","",IF($O720="なし","※通知一覧にない通知No",IF($P720="","",INDEX('支払先'!$C$5:$C$104,$P720)&amp;"")))</f>
        <v/>
      </c>
      <c r="K720" s="28">
        <f>IF(NOT(ISNUMBER($O720)),"",IF(ISNUMBER(INDEX('通知一覧'!$F$5:$F$204,$O720)),INDEX('通知一覧'!$F$5:$F$204,$O720),""))</f>
        <v/>
      </c>
      <c r="L720" s="29">
        <f>IF(AND(ISNUMBER($B720),ISNUMBER($K720)),$K720-$B720+1,"")</f>
        <v/>
      </c>
      <c r="M720" s="30">
        <f>IF(OR($L720="",$P720=""),"",IF(INDEX('支払先'!$M$5:$M$104,$P720)="対象外","",IF(AND($L720&gt;60,$K720&gt;=EDATE($B720,2)),"超える","")))</f>
        <v/>
      </c>
      <c r="N720" s="67" t="n"/>
      <c r="O720" s="31">
        <f>IF($A720="","",IFERROR(MATCH($A720,'通知一覧'!$B$5:$B$204,0),"なし"))</f>
        <v/>
      </c>
      <c r="P720" s="31">
        <f>IF(NOT(ISNUMBER($O720)),"",IFERROR(MATCH(INDEX('通知一覧'!$C$5:$C$204,$O720),'支払先'!$B$5:$B$104,0),""))</f>
        <v/>
      </c>
      <c r="Q720" s="31">
        <f>IF(AND($A720&lt;&gt;"",$A720='支払通知書'!$K$2),ROW(),"")</f>
        <v/>
      </c>
    </row>
    <row r="721" ht="18" customHeight="1">
      <c r="A721" s="18" t="n"/>
      <c r="B721" s="24" t="n"/>
      <c r="C721" s="19" t="n"/>
      <c r="D721" s="25" t="n"/>
      <c r="E721" s="18" t="n"/>
      <c r="F721" s="25" t="n"/>
      <c r="G721" s="18" t="n"/>
      <c r="H721" s="18" t="n"/>
      <c r="I721" s="26">
        <f>IF(OR($A721="",$F721=""),"",ROUND(IF($D721="",1,$D721)*$F721,0))</f>
        <v/>
      </c>
      <c r="J721" s="27">
        <f>IF($A721="","",IF($O721="なし","※通知一覧にない通知No",IF($P721="","",INDEX('支払先'!$C$5:$C$104,$P721)&amp;"")))</f>
        <v/>
      </c>
      <c r="K721" s="28">
        <f>IF(NOT(ISNUMBER($O721)),"",IF(ISNUMBER(INDEX('通知一覧'!$F$5:$F$204,$O721)),INDEX('通知一覧'!$F$5:$F$204,$O721),""))</f>
        <v/>
      </c>
      <c r="L721" s="29">
        <f>IF(AND(ISNUMBER($B721),ISNUMBER($K721)),$K721-$B721+1,"")</f>
        <v/>
      </c>
      <c r="M721" s="30">
        <f>IF(OR($L721="",$P721=""),"",IF(INDEX('支払先'!$M$5:$M$104,$P721)="対象外","",IF(AND($L721&gt;60,$K721&gt;=EDATE($B721,2)),"超える","")))</f>
        <v/>
      </c>
      <c r="N721" s="67" t="n"/>
      <c r="O721" s="31">
        <f>IF($A721="","",IFERROR(MATCH($A721,'通知一覧'!$B$5:$B$204,0),"なし"))</f>
        <v/>
      </c>
      <c r="P721" s="31">
        <f>IF(NOT(ISNUMBER($O721)),"",IFERROR(MATCH(INDEX('通知一覧'!$C$5:$C$204,$O721),'支払先'!$B$5:$B$104,0),""))</f>
        <v/>
      </c>
      <c r="Q721" s="31">
        <f>IF(AND($A721&lt;&gt;"",$A721='支払通知書'!$K$2),ROW(),"")</f>
        <v/>
      </c>
    </row>
    <row r="722" ht="18" customHeight="1">
      <c r="A722" s="18" t="n"/>
      <c r="B722" s="24" t="n"/>
      <c r="C722" s="19" t="n"/>
      <c r="D722" s="25" t="n"/>
      <c r="E722" s="18" t="n"/>
      <c r="F722" s="25" t="n"/>
      <c r="G722" s="18" t="n"/>
      <c r="H722" s="18" t="n"/>
      <c r="I722" s="26">
        <f>IF(OR($A722="",$F722=""),"",ROUND(IF($D722="",1,$D722)*$F722,0))</f>
        <v/>
      </c>
      <c r="J722" s="27">
        <f>IF($A722="","",IF($O722="なし","※通知一覧にない通知No",IF($P722="","",INDEX('支払先'!$C$5:$C$104,$P722)&amp;"")))</f>
        <v/>
      </c>
      <c r="K722" s="28">
        <f>IF(NOT(ISNUMBER($O722)),"",IF(ISNUMBER(INDEX('通知一覧'!$F$5:$F$204,$O722)),INDEX('通知一覧'!$F$5:$F$204,$O722),""))</f>
        <v/>
      </c>
      <c r="L722" s="29">
        <f>IF(AND(ISNUMBER($B722),ISNUMBER($K722)),$K722-$B722+1,"")</f>
        <v/>
      </c>
      <c r="M722" s="30">
        <f>IF(OR($L722="",$P722=""),"",IF(INDEX('支払先'!$M$5:$M$104,$P722)="対象外","",IF(AND($L722&gt;60,$K722&gt;=EDATE($B722,2)),"超える","")))</f>
        <v/>
      </c>
      <c r="N722" s="67" t="n"/>
      <c r="O722" s="31">
        <f>IF($A722="","",IFERROR(MATCH($A722,'通知一覧'!$B$5:$B$204,0),"なし"))</f>
        <v/>
      </c>
      <c r="P722" s="31">
        <f>IF(NOT(ISNUMBER($O722)),"",IFERROR(MATCH(INDEX('通知一覧'!$C$5:$C$204,$O722),'支払先'!$B$5:$B$104,0),""))</f>
        <v/>
      </c>
      <c r="Q722" s="31">
        <f>IF(AND($A722&lt;&gt;"",$A722='支払通知書'!$K$2),ROW(),"")</f>
        <v/>
      </c>
    </row>
    <row r="723" ht="18" customHeight="1">
      <c r="A723" s="18" t="n"/>
      <c r="B723" s="24" t="n"/>
      <c r="C723" s="19" t="n"/>
      <c r="D723" s="25" t="n"/>
      <c r="E723" s="18" t="n"/>
      <c r="F723" s="25" t="n"/>
      <c r="G723" s="18" t="n"/>
      <c r="H723" s="18" t="n"/>
      <c r="I723" s="26">
        <f>IF(OR($A723="",$F723=""),"",ROUND(IF($D723="",1,$D723)*$F723,0))</f>
        <v/>
      </c>
      <c r="J723" s="27">
        <f>IF($A723="","",IF($O723="なし","※通知一覧にない通知No",IF($P723="","",INDEX('支払先'!$C$5:$C$104,$P723)&amp;"")))</f>
        <v/>
      </c>
      <c r="K723" s="28">
        <f>IF(NOT(ISNUMBER($O723)),"",IF(ISNUMBER(INDEX('通知一覧'!$F$5:$F$204,$O723)),INDEX('通知一覧'!$F$5:$F$204,$O723),""))</f>
        <v/>
      </c>
      <c r="L723" s="29">
        <f>IF(AND(ISNUMBER($B723),ISNUMBER($K723)),$K723-$B723+1,"")</f>
        <v/>
      </c>
      <c r="M723" s="30">
        <f>IF(OR($L723="",$P723=""),"",IF(INDEX('支払先'!$M$5:$M$104,$P723)="対象外","",IF(AND($L723&gt;60,$K723&gt;=EDATE($B723,2)),"超える","")))</f>
        <v/>
      </c>
      <c r="N723" s="67" t="n"/>
      <c r="O723" s="31">
        <f>IF($A723="","",IFERROR(MATCH($A723,'通知一覧'!$B$5:$B$204,0),"なし"))</f>
        <v/>
      </c>
      <c r="P723" s="31">
        <f>IF(NOT(ISNUMBER($O723)),"",IFERROR(MATCH(INDEX('通知一覧'!$C$5:$C$204,$O723),'支払先'!$B$5:$B$104,0),""))</f>
        <v/>
      </c>
      <c r="Q723" s="31">
        <f>IF(AND($A723&lt;&gt;"",$A723='支払通知書'!$K$2),ROW(),"")</f>
        <v/>
      </c>
    </row>
    <row r="724" ht="18" customHeight="1">
      <c r="A724" s="18" t="n"/>
      <c r="B724" s="24" t="n"/>
      <c r="C724" s="19" t="n"/>
      <c r="D724" s="25" t="n"/>
      <c r="E724" s="18" t="n"/>
      <c r="F724" s="25" t="n"/>
      <c r="G724" s="18" t="n"/>
      <c r="H724" s="18" t="n"/>
      <c r="I724" s="26">
        <f>IF(OR($A724="",$F724=""),"",ROUND(IF($D724="",1,$D724)*$F724,0))</f>
        <v/>
      </c>
      <c r="J724" s="27">
        <f>IF($A724="","",IF($O724="なし","※通知一覧にない通知No",IF($P724="","",INDEX('支払先'!$C$5:$C$104,$P724)&amp;"")))</f>
        <v/>
      </c>
      <c r="K724" s="28">
        <f>IF(NOT(ISNUMBER($O724)),"",IF(ISNUMBER(INDEX('通知一覧'!$F$5:$F$204,$O724)),INDEX('通知一覧'!$F$5:$F$204,$O724),""))</f>
        <v/>
      </c>
      <c r="L724" s="29">
        <f>IF(AND(ISNUMBER($B724),ISNUMBER($K724)),$K724-$B724+1,"")</f>
        <v/>
      </c>
      <c r="M724" s="30">
        <f>IF(OR($L724="",$P724=""),"",IF(INDEX('支払先'!$M$5:$M$104,$P724)="対象外","",IF(AND($L724&gt;60,$K724&gt;=EDATE($B724,2)),"超える","")))</f>
        <v/>
      </c>
      <c r="N724" s="67" t="n"/>
      <c r="O724" s="31">
        <f>IF($A724="","",IFERROR(MATCH($A724,'通知一覧'!$B$5:$B$204,0),"なし"))</f>
        <v/>
      </c>
      <c r="P724" s="31">
        <f>IF(NOT(ISNUMBER($O724)),"",IFERROR(MATCH(INDEX('通知一覧'!$C$5:$C$204,$O724),'支払先'!$B$5:$B$104,0),""))</f>
        <v/>
      </c>
      <c r="Q724" s="31">
        <f>IF(AND($A724&lt;&gt;"",$A724='支払通知書'!$K$2),ROW(),"")</f>
        <v/>
      </c>
    </row>
    <row r="725" ht="18" customHeight="1">
      <c r="A725" s="18" t="n"/>
      <c r="B725" s="24" t="n"/>
      <c r="C725" s="19" t="n"/>
      <c r="D725" s="25" t="n"/>
      <c r="E725" s="18" t="n"/>
      <c r="F725" s="25" t="n"/>
      <c r="G725" s="18" t="n"/>
      <c r="H725" s="18" t="n"/>
      <c r="I725" s="26">
        <f>IF(OR($A725="",$F725=""),"",ROUND(IF($D725="",1,$D725)*$F725,0))</f>
        <v/>
      </c>
      <c r="J725" s="27">
        <f>IF($A725="","",IF($O725="なし","※通知一覧にない通知No",IF($P725="","",INDEX('支払先'!$C$5:$C$104,$P725)&amp;"")))</f>
        <v/>
      </c>
      <c r="K725" s="28">
        <f>IF(NOT(ISNUMBER($O725)),"",IF(ISNUMBER(INDEX('通知一覧'!$F$5:$F$204,$O725)),INDEX('通知一覧'!$F$5:$F$204,$O725),""))</f>
        <v/>
      </c>
      <c r="L725" s="29">
        <f>IF(AND(ISNUMBER($B725),ISNUMBER($K725)),$K725-$B725+1,"")</f>
        <v/>
      </c>
      <c r="M725" s="30">
        <f>IF(OR($L725="",$P725=""),"",IF(INDEX('支払先'!$M$5:$M$104,$P725)="対象外","",IF(AND($L725&gt;60,$K725&gt;=EDATE($B725,2)),"超える","")))</f>
        <v/>
      </c>
      <c r="N725" s="67" t="n"/>
      <c r="O725" s="31">
        <f>IF($A725="","",IFERROR(MATCH($A725,'通知一覧'!$B$5:$B$204,0),"なし"))</f>
        <v/>
      </c>
      <c r="P725" s="31">
        <f>IF(NOT(ISNUMBER($O725)),"",IFERROR(MATCH(INDEX('通知一覧'!$C$5:$C$204,$O725),'支払先'!$B$5:$B$104,0),""))</f>
        <v/>
      </c>
      <c r="Q725" s="31">
        <f>IF(AND($A725&lt;&gt;"",$A725='支払通知書'!$K$2),ROW(),"")</f>
        <v/>
      </c>
    </row>
    <row r="726" ht="18" customHeight="1">
      <c r="A726" s="18" t="n"/>
      <c r="B726" s="24" t="n"/>
      <c r="C726" s="19" t="n"/>
      <c r="D726" s="25" t="n"/>
      <c r="E726" s="18" t="n"/>
      <c r="F726" s="25" t="n"/>
      <c r="G726" s="18" t="n"/>
      <c r="H726" s="18" t="n"/>
      <c r="I726" s="26">
        <f>IF(OR($A726="",$F726=""),"",ROUND(IF($D726="",1,$D726)*$F726,0))</f>
        <v/>
      </c>
      <c r="J726" s="27">
        <f>IF($A726="","",IF($O726="なし","※通知一覧にない通知No",IF($P726="","",INDEX('支払先'!$C$5:$C$104,$P726)&amp;"")))</f>
        <v/>
      </c>
      <c r="K726" s="28">
        <f>IF(NOT(ISNUMBER($O726)),"",IF(ISNUMBER(INDEX('通知一覧'!$F$5:$F$204,$O726)),INDEX('通知一覧'!$F$5:$F$204,$O726),""))</f>
        <v/>
      </c>
      <c r="L726" s="29">
        <f>IF(AND(ISNUMBER($B726),ISNUMBER($K726)),$K726-$B726+1,"")</f>
        <v/>
      </c>
      <c r="M726" s="30">
        <f>IF(OR($L726="",$P726=""),"",IF(INDEX('支払先'!$M$5:$M$104,$P726)="対象外","",IF(AND($L726&gt;60,$K726&gt;=EDATE($B726,2)),"超える","")))</f>
        <v/>
      </c>
      <c r="N726" s="67" t="n"/>
      <c r="O726" s="31">
        <f>IF($A726="","",IFERROR(MATCH($A726,'通知一覧'!$B$5:$B$204,0),"なし"))</f>
        <v/>
      </c>
      <c r="P726" s="31">
        <f>IF(NOT(ISNUMBER($O726)),"",IFERROR(MATCH(INDEX('通知一覧'!$C$5:$C$204,$O726),'支払先'!$B$5:$B$104,0),""))</f>
        <v/>
      </c>
      <c r="Q726" s="31">
        <f>IF(AND($A726&lt;&gt;"",$A726='支払通知書'!$K$2),ROW(),"")</f>
        <v/>
      </c>
    </row>
    <row r="727" ht="18" customHeight="1">
      <c r="A727" s="18" t="n"/>
      <c r="B727" s="24" t="n"/>
      <c r="C727" s="19" t="n"/>
      <c r="D727" s="25" t="n"/>
      <c r="E727" s="18" t="n"/>
      <c r="F727" s="25" t="n"/>
      <c r="G727" s="18" t="n"/>
      <c r="H727" s="18" t="n"/>
      <c r="I727" s="26">
        <f>IF(OR($A727="",$F727=""),"",ROUND(IF($D727="",1,$D727)*$F727,0))</f>
        <v/>
      </c>
      <c r="J727" s="27">
        <f>IF($A727="","",IF($O727="なし","※通知一覧にない通知No",IF($P727="","",INDEX('支払先'!$C$5:$C$104,$P727)&amp;"")))</f>
        <v/>
      </c>
      <c r="K727" s="28">
        <f>IF(NOT(ISNUMBER($O727)),"",IF(ISNUMBER(INDEX('通知一覧'!$F$5:$F$204,$O727)),INDEX('通知一覧'!$F$5:$F$204,$O727),""))</f>
        <v/>
      </c>
      <c r="L727" s="29">
        <f>IF(AND(ISNUMBER($B727),ISNUMBER($K727)),$K727-$B727+1,"")</f>
        <v/>
      </c>
      <c r="M727" s="30">
        <f>IF(OR($L727="",$P727=""),"",IF(INDEX('支払先'!$M$5:$M$104,$P727)="対象外","",IF(AND($L727&gt;60,$K727&gt;=EDATE($B727,2)),"超える","")))</f>
        <v/>
      </c>
      <c r="N727" s="67" t="n"/>
      <c r="O727" s="31">
        <f>IF($A727="","",IFERROR(MATCH($A727,'通知一覧'!$B$5:$B$204,0),"なし"))</f>
        <v/>
      </c>
      <c r="P727" s="31">
        <f>IF(NOT(ISNUMBER($O727)),"",IFERROR(MATCH(INDEX('通知一覧'!$C$5:$C$204,$O727),'支払先'!$B$5:$B$104,0),""))</f>
        <v/>
      </c>
      <c r="Q727" s="31">
        <f>IF(AND($A727&lt;&gt;"",$A727='支払通知書'!$K$2),ROW(),"")</f>
        <v/>
      </c>
    </row>
    <row r="728" ht="18" customHeight="1">
      <c r="A728" s="18" t="n"/>
      <c r="B728" s="24" t="n"/>
      <c r="C728" s="19" t="n"/>
      <c r="D728" s="25" t="n"/>
      <c r="E728" s="18" t="n"/>
      <c r="F728" s="25" t="n"/>
      <c r="G728" s="18" t="n"/>
      <c r="H728" s="18" t="n"/>
      <c r="I728" s="26">
        <f>IF(OR($A728="",$F728=""),"",ROUND(IF($D728="",1,$D728)*$F728,0))</f>
        <v/>
      </c>
      <c r="J728" s="27">
        <f>IF($A728="","",IF($O728="なし","※通知一覧にない通知No",IF($P728="","",INDEX('支払先'!$C$5:$C$104,$P728)&amp;"")))</f>
        <v/>
      </c>
      <c r="K728" s="28">
        <f>IF(NOT(ISNUMBER($O728)),"",IF(ISNUMBER(INDEX('通知一覧'!$F$5:$F$204,$O728)),INDEX('通知一覧'!$F$5:$F$204,$O728),""))</f>
        <v/>
      </c>
      <c r="L728" s="29">
        <f>IF(AND(ISNUMBER($B728),ISNUMBER($K728)),$K728-$B728+1,"")</f>
        <v/>
      </c>
      <c r="M728" s="30">
        <f>IF(OR($L728="",$P728=""),"",IF(INDEX('支払先'!$M$5:$M$104,$P728)="対象外","",IF(AND($L728&gt;60,$K728&gt;=EDATE($B728,2)),"超える","")))</f>
        <v/>
      </c>
      <c r="N728" s="67" t="n"/>
      <c r="O728" s="31">
        <f>IF($A728="","",IFERROR(MATCH($A728,'通知一覧'!$B$5:$B$204,0),"なし"))</f>
        <v/>
      </c>
      <c r="P728" s="31">
        <f>IF(NOT(ISNUMBER($O728)),"",IFERROR(MATCH(INDEX('通知一覧'!$C$5:$C$204,$O728),'支払先'!$B$5:$B$104,0),""))</f>
        <v/>
      </c>
      <c r="Q728" s="31">
        <f>IF(AND($A728&lt;&gt;"",$A728='支払通知書'!$K$2),ROW(),"")</f>
        <v/>
      </c>
    </row>
    <row r="729" ht="18" customHeight="1">
      <c r="A729" s="18" t="n"/>
      <c r="B729" s="24" t="n"/>
      <c r="C729" s="19" t="n"/>
      <c r="D729" s="25" t="n"/>
      <c r="E729" s="18" t="n"/>
      <c r="F729" s="25" t="n"/>
      <c r="G729" s="18" t="n"/>
      <c r="H729" s="18" t="n"/>
      <c r="I729" s="26">
        <f>IF(OR($A729="",$F729=""),"",ROUND(IF($D729="",1,$D729)*$F729,0))</f>
        <v/>
      </c>
      <c r="J729" s="27">
        <f>IF($A729="","",IF($O729="なし","※通知一覧にない通知No",IF($P729="","",INDEX('支払先'!$C$5:$C$104,$P729)&amp;"")))</f>
        <v/>
      </c>
      <c r="K729" s="28">
        <f>IF(NOT(ISNUMBER($O729)),"",IF(ISNUMBER(INDEX('通知一覧'!$F$5:$F$204,$O729)),INDEX('通知一覧'!$F$5:$F$204,$O729),""))</f>
        <v/>
      </c>
      <c r="L729" s="29">
        <f>IF(AND(ISNUMBER($B729),ISNUMBER($K729)),$K729-$B729+1,"")</f>
        <v/>
      </c>
      <c r="M729" s="30">
        <f>IF(OR($L729="",$P729=""),"",IF(INDEX('支払先'!$M$5:$M$104,$P729)="対象外","",IF(AND($L729&gt;60,$K729&gt;=EDATE($B729,2)),"超える","")))</f>
        <v/>
      </c>
      <c r="N729" s="67" t="n"/>
      <c r="O729" s="31">
        <f>IF($A729="","",IFERROR(MATCH($A729,'通知一覧'!$B$5:$B$204,0),"なし"))</f>
        <v/>
      </c>
      <c r="P729" s="31">
        <f>IF(NOT(ISNUMBER($O729)),"",IFERROR(MATCH(INDEX('通知一覧'!$C$5:$C$204,$O729),'支払先'!$B$5:$B$104,0),""))</f>
        <v/>
      </c>
      <c r="Q729" s="31">
        <f>IF(AND($A729&lt;&gt;"",$A729='支払通知書'!$K$2),ROW(),"")</f>
        <v/>
      </c>
    </row>
    <row r="730" ht="18" customHeight="1">
      <c r="A730" s="18" t="n"/>
      <c r="B730" s="24" t="n"/>
      <c r="C730" s="19" t="n"/>
      <c r="D730" s="25" t="n"/>
      <c r="E730" s="18" t="n"/>
      <c r="F730" s="25" t="n"/>
      <c r="G730" s="18" t="n"/>
      <c r="H730" s="18" t="n"/>
      <c r="I730" s="26">
        <f>IF(OR($A730="",$F730=""),"",ROUND(IF($D730="",1,$D730)*$F730,0))</f>
        <v/>
      </c>
      <c r="J730" s="27">
        <f>IF($A730="","",IF($O730="なし","※通知一覧にない通知No",IF($P730="","",INDEX('支払先'!$C$5:$C$104,$P730)&amp;"")))</f>
        <v/>
      </c>
      <c r="K730" s="28">
        <f>IF(NOT(ISNUMBER($O730)),"",IF(ISNUMBER(INDEX('通知一覧'!$F$5:$F$204,$O730)),INDEX('通知一覧'!$F$5:$F$204,$O730),""))</f>
        <v/>
      </c>
      <c r="L730" s="29">
        <f>IF(AND(ISNUMBER($B730),ISNUMBER($K730)),$K730-$B730+1,"")</f>
        <v/>
      </c>
      <c r="M730" s="30">
        <f>IF(OR($L730="",$P730=""),"",IF(INDEX('支払先'!$M$5:$M$104,$P730)="対象外","",IF(AND($L730&gt;60,$K730&gt;=EDATE($B730,2)),"超える","")))</f>
        <v/>
      </c>
      <c r="N730" s="67" t="n"/>
      <c r="O730" s="31">
        <f>IF($A730="","",IFERROR(MATCH($A730,'通知一覧'!$B$5:$B$204,0),"なし"))</f>
        <v/>
      </c>
      <c r="P730" s="31">
        <f>IF(NOT(ISNUMBER($O730)),"",IFERROR(MATCH(INDEX('通知一覧'!$C$5:$C$204,$O730),'支払先'!$B$5:$B$104,0),""))</f>
        <v/>
      </c>
      <c r="Q730" s="31">
        <f>IF(AND($A730&lt;&gt;"",$A730='支払通知書'!$K$2),ROW(),"")</f>
        <v/>
      </c>
    </row>
    <row r="731" ht="18" customHeight="1">
      <c r="A731" s="18" t="n"/>
      <c r="B731" s="24" t="n"/>
      <c r="C731" s="19" t="n"/>
      <c r="D731" s="25" t="n"/>
      <c r="E731" s="18" t="n"/>
      <c r="F731" s="25" t="n"/>
      <c r="G731" s="18" t="n"/>
      <c r="H731" s="18" t="n"/>
      <c r="I731" s="26">
        <f>IF(OR($A731="",$F731=""),"",ROUND(IF($D731="",1,$D731)*$F731,0))</f>
        <v/>
      </c>
      <c r="J731" s="27">
        <f>IF($A731="","",IF($O731="なし","※通知一覧にない通知No",IF($P731="","",INDEX('支払先'!$C$5:$C$104,$P731)&amp;"")))</f>
        <v/>
      </c>
      <c r="K731" s="28">
        <f>IF(NOT(ISNUMBER($O731)),"",IF(ISNUMBER(INDEX('通知一覧'!$F$5:$F$204,$O731)),INDEX('通知一覧'!$F$5:$F$204,$O731),""))</f>
        <v/>
      </c>
      <c r="L731" s="29">
        <f>IF(AND(ISNUMBER($B731),ISNUMBER($K731)),$K731-$B731+1,"")</f>
        <v/>
      </c>
      <c r="M731" s="30">
        <f>IF(OR($L731="",$P731=""),"",IF(INDEX('支払先'!$M$5:$M$104,$P731)="対象外","",IF(AND($L731&gt;60,$K731&gt;=EDATE($B731,2)),"超える","")))</f>
        <v/>
      </c>
      <c r="N731" s="67" t="n"/>
      <c r="O731" s="31">
        <f>IF($A731="","",IFERROR(MATCH($A731,'通知一覧'!$B$5:$B$204,0),"なし"))</f>
        <v/>
      </c>
      <c r="P731" s="31">
        <f>IF(NOT(ISNUMBER($O731)),"",IFERROR(MATCH(INDEX('通知一覧'!$C$5:$C$204,$O731),'支払先'!$B$5:$B$104,0),""))</f>
        <v/>
      </c>
      <c r="Q731" s="31">
        <f>IF(AND($A731&lt;&gt;"",$A731='支払通知書'!$K$2),ROW(),"")</f>
        <v/>
      </c>
    </row>
    <row r="732" ht="18" customHeight="1">
      <c r="A732" s="18" t="n"/>
      <c r="B732" s="24" t="n"/>
      <c r="C732" s="19" t="n"/>
      <c r="D732" s="25" t="n"/>
      <c r="E732" s="18" t="n"/>
      <c r="F732" s="25" t="n"/>
      <c r="G732" s="18" t="n"/>
      <c r="H732" s="18" t="n"/>
      <c r="I732" s="26">
        <f>IF(OR($A732="",$F732=""),"",ROUND(IF($D732="",1,$D732)*$F732,0))</f>
        <v/>
      </c>
      <c r="J732" s="27">
        <f>IF($A732="","",IF($O732="なし","※通知一覧にない通知No",IF($P732="","",INDEX('支払先'!$C$5:$C$104,$P732)&amp;"")))</f>
        <v/>
      </c>
      <c r="K732" s="28">
        <f>IF(NOT(ISNUMBER($O732)),"",IF(ISNUMBER(INDEX('通知一覧'!$F$5:$F$204,$O732)),INDEX('通知一覧'!$F$5:$F$204,$O732),""))</f>
        <v/>
      </c>
      <c r="L732" s="29">
        <f>IF(AND(ISNUMBER($B732),ISNUMBER($K732)),$K732-$B732+1,"")</f>
        <v/>
      </c>
      <c r="M732" s="30">
        <f>IF(OR($L732="",$P732=""),"",IF(INDEX('支払先'!$M$5:$M$104,$P732)="対象外","",IF(AND($L732&gt;60,$K732&gt;=EDATE($B732,2)),"超える","")))</f>
        <v/>
      </c>
      <c r="N732" s="67" t="n"/>
      <c r="O732" s="31">
        <f>IF($A732="","",IFERROR(MATCH($A732,'通知一覧'!$B$5:$B$204,0),"なし"))</f>
        <v/>
      </c>
      <c r="P732" s="31">
        <f>IF(NOT(ISNUMBER($O732)),"",IFERROR(MATCH(INDEX('通知一覧'!$C$5:$C$204,$O732),'支払先'!$B$5:$B$104,0),""))</f>
        <v/>
      </c>
      <c r="Q732" s="31">
        <f>IF(AND($A732&lt;&gt;"",$A732='支払通知書'!$K$2),ROW(),"")</f>
        <v/>
      </c>
    </row>
    <row r="733" ht="18" customHeight="1">
      <c r="A733" s="18" t="n"/>
      <c r="B733" s="24" t="n"/>
      <c r="C733" s="19" t="n"/>
      <c r="D733" s="25" t="n"/>
      <c r="E733" s="18" t="n"/>
      <c r="F733" s="25" t="n"/>
      <c r="G733" s="18" t="n"/>
      <c r="H733" s="18" t="n"/>
      <c r="I733" s="26">
        <f>IF(OR($A733="",$F733=""),"",ROUND(IF($D733="",1,$D733)*$F733,0))</f>
        <v/>
      </c>
      <c r="J733" s="27">
        <f>IF($A733="","",IF($O733="なし","※通知一覧にない通知No",IF($P733="","",INDEX('支払先'!$C$5:$C$104,$P733)&amp;"")))</f>
        <v/>
      </c>
      <c r="K733" s="28">
        <f>IF(NOT(ISNUMBER($O733)),"",IF(ISNUMBER(INDEX('通知一覧'!$F$5:$F$204,$O733)),INDEX('通知一覧'!$F$5:$F$204,$O733),""))</f>
        <v/>
      </c>
      <c r="L733" s="29">
        <f>IF(AND(ISNUMBER($B733),ISNUMBER($K733)),$K733-$B733+1,"")</f>
        <v/>
      </c>
      <c r="M733" s="30">
        <f>IF(OR($L733="",$P733=""),"",IF(INDEX('支払先'!$M$5:$M$104,$P733)="対象外","",IF(AND($L733&gt;60,$K733&gt;=EDATE($B733,2)),"超える","")))</f>
        <v/>
      </c>
      <c r="N733" s="67" t="n"/>
      <c r="O733" s="31">
        <f>IF($A733="","",IFERROR(MATCH($A733,'通知一覧'!$B$5:$B$204,0),"なし"))</f>
        <v/>
      </c>
      <c r="P733" s="31">
        <f>IF(NOT(ISNUMBER($O733)),"",IFERROR(MATCH(INDEX('通知一覧'!$C$5:$C$204,$O733),'支払先'!$B$5:$B$104,0),""))</f>
        <v/>
      </c>
      <c r="Q733" s="31">
        <f>IF(AND($A733&lt;&gt;"",$A733='支払通知書'!$K$2),ROW(),"")</f>
        <v/>
      </c>
    </row>
    <row r="734" ht="18" customHeight="1">
      <c r="A734" s="18" t="n"/>
      <c r="B734" s="24" t="n"/>
      <c r="C734" s="19" t="n"/>
      <c r="D734" s="25" t="n"/>
      <c r="E734" s="18" t="n"/>
      <c r="F734" s="25" t="n"/>
      <c r="G734" s="18" t="n"/>
      <c r="H734" s="18" t="n"/>
      <c r="I734" s="26">
        <f>IF(OR($A734="",$F734=""),"",ROUND(IF($D734="",1,$D734)*$F734,0))</f>
        <v/>
      </c>
      <c r="J734" s="27">
        <f>IF($A734="","",IF($O734="なし","※通知一覧にない通知No",IF($P734="","",INDEX('支払先'!$C$5:$C$104,$P734)&amp;"")))</f>
        <v/>
      </c>
      <c r="K734" s="28">
        <f>IF(NOT(ISNUMBER($O734)),"",IF(ISNUMBER(INDEX('通知一覧'!$F$5:$F$204,$O734)),INDEX('通知一覧'!$F$5:$F$204,$O734),""))</f>
        <v/>
      </c>
      <c r="L734" s="29">
        <f>IF(AND(ISNUMBER($B734),ISNUMBER($K734)),$K734-$B734+1,"")</f>
        <v/>
      </c>
      <c r="M734" s="30">
        <f>IF(OR($L734="",$P734=""),"",IF(INDEX('支払先'!$M$5:$M$104,$P734)="対象外","",IF(AND($L734&gt;60,$K734&gt;=EDATE($B734,2)),"超える","")))</f>
        <v/>
      </c>
      <c r="N734" s="67" t="n"/>
      <c r="O734" s="31">
        <f>IF($A734="","",IFERROR(MATCH($A734,'通知一覧'!$B$5:$B$204,0),"なし"))</f>
        <v/>
      </c>
      <c r="P734" s="31">
        <f>IF(NOT(ISNUMBER($O734)),"",IFERROR(MATCH(INDEX('通知一覧'!$C$5:$C$204,$O734),'支払先'!$B$5:$B$104,0),""))</f>
        <v/>
      </c>
      <c r="Q734" s="31">
        <f>IF(AND($A734&lt;&gt;"",$A734='支払通知書'!$K$2),ROW(),"")</f>
        <v/>
      </c>
    </row>
    <row r="735" ht="18" customHeight="1">
      <c r="A735" s="18" t="n"/>
      <c r="B735" s="24" t="n"/>
      <c r="C735" s="19" t="n"/>
      <c r="D735" s="25" t="n"/>
      <c r="E735" s="18" t="n"/>
      <c r="F735" s="25" t="n"/>
      <c r="G735" s="18" t="n"/>
      <c r="H735" s="18" t="n"/>
      <c r="I735" s="26">
        <f>IF(OR($A735="",$F735=""),"",ROUND(IF($D735="",1,$D735)*$F735,0))</f>
        <v/>
      </c>
      <c r="J735" s="27">
        <f>IF($A735="","",IF($O735="なし","※通知一覧にない通知No",IF($P735="","",INDEX('支払先'!$C$5:$C$104,$P735)&amp;"")))</f>
        <v/>
      </c>
      <c r="K735" s="28">
        <f>IF(NOT(ISNUMBER($O735)),"",IF(ISNUMBER(INDEX('通知一覧'!$F$5:$F$204,$O735)),INDEX('通知一覧'!$F$5:$F$204,$O735),""))</f>
        <v/>
      </c>
      <c r="L735" s="29">
        <f>IF(AND(ISNUMBER($B735),ISNUMBER($K735)),$K735-$B735+1,"")</f>
        <v/>
      </c>
      <c r="M735" s="30">
        <f>IF(OR($L735="",$P735=""),"",IF(INDEX('支払先'!$M$5:$M$104,$P735)="対象外","",IF(AND($L735&gt;60,$K735&gt;=EDATE($B735,2)),"超える","")))</f>
        <v/>
      </c>
      <c r="N735" s="67" t="n"/>
      <c r="O735" s="31">
        <f>IF($A735="","",IFERROR(MATCH($A735,'通知一覧'!$B$5:$B$204,0),"なし"))</f>
        <v/>
      </c>
      <c r="P735" s="31">
        <f>IF(NOT(ISNUMBER($O735)),"",IFERROR(MATCH(INDEX('通知一覧'!$C$5:$C$204,$O735),'支払先'!$B$5:$B$104,0),""))</f>
        <v/>
      </c>
      <c r="Q735" s="31">
        <f>IF(AND($A735&lt;&gt;"",$A735='支払通知書'!$K$2),ROW(),"")</f>
        <v/>
      </c>
    </row>
    <row r="736" ht="18" customHeight="1">
      <c r="A736" s="18" t="n"/>
      <c r="B736" s="24" t="n"/>
      <c r="C736" s="19" t="n"/>
      <c r="D736" s="25" t="n"/>
      <c r="E736" s="18" t="n"/>
      <c r="F736" s="25" t="n"/>
      <c r="G736" s="18" t="n"/>
      <c r="H736" s="18" t="n"/>
      <c r="I736" s="26">
        <f>IF(OR($A736="",$F736=""),"",ROUND(IF($D736="",1,$D736)*$F736,0))</f>
        <v/>
      </c>
      <c r="J736" s="27">
        <f>IF($A736="","",IF($O736="なし","※通知一覧にない通知No",IF($P736="","",INDEX('支払先'!$C$5:$C$104,$P736)&amp;"")))</f>
        <v/>
      </c>
      <c r="K736" s="28">
        <f>IF(NOT(ISNUMBER($O736)),"",IF(ISNUMBER(INDEX('通知一覧'!$F$5:$F$204,$O736)),INDEX('通知一覧'!$F$5:$F$204,$O736),""))</f>
        <v/>
      </c>
      <c r="L736" s="29">
        <f>IF(AND(ISNUMBER($B736),ISNUMBER($K736)),$K736-$B736+1,"")</f>
        <v/>
      </c>
      <c r="M736" s="30">
        <f>IF(OR($L736="",$P736=""),"",IF(INDEX('支払先'!$M$5:$M$104,$P736)="対象外","",IF(AND($L736&gt;60,$K736&gt;=EDATE($B736,2)),"超える","")))</f>
        <v/>
      </c>
      <c r="N736" s="67" t="n"/>
      <c r="O736" s="31">
        <f>IF($A736="","",IFERROR(MATCH($A736,'通知一覧'!$B$5:$B$204,0),"なし"))</f>
        <v/>
      </c>
      <c r="P736" s="31">
        <f>IF(NOT(ISNUMBER($O736)),"",IFERROR(MATCH(INDEX('通知一覧'!$C$5:$C$204,$O736),'支払先'!$B$5:$B$104,0),""))</f>
        <v/>
      </c>
      <c r="Q736" s="31">
        <f>IF(AND($A736&lt;&gt;"",$A736='支払通知書'!$K$2),ROW(),"")</f>
        <v/>
      </c>
    </row>
    <row r="737" ht="18" customHeight="1">
      <c r="A737" s="18" t="n"/>
      <c r="B737" s="24" t="n"/>
      <c r="C737" s="19" t="n"/>
      <c r="D737" s="25" t="n"/>
      <c r="E737" s="18" t="n"/>
      <c r="F737" s="25" t="n"/>
      <c r="G737" s="18" t="n"/>
      <c r="H737" s="18" t="n"/>
      <c r="I737" s="26">
        <f>IF(OR($A737="",$F737=""),"",ROUND(IF($D737="",1,$D737)*$F737,0))</f>
        <v/>
      </c>
      <c r="J737" s="27">
        <f>IF($A737="","",IF($O737="なし","※通知一覧にない通知No",IF($P737="","",INDEX('支払先'!$C$5:$C$104,$P737)&amp;"")))</f>
        <v/>
      </c>
      <c r="K737" s="28">
        <f>IF(NOT(ISNUMBER($O737)),"",IF(ISNUMBER(INDEX('通知一覧'!$F$5:$F$204,$O737)),INDEX('通知一覧'!$F$5:$F$204,$O737),""))</f>
        <v/>
      </c>
      <c r="L737" s="29">
        <f>IF(AND(ISNUMBER($B737),ISNUMBER($K737)),$K737-$B737+1,"")</f>
        <v/>
      </c>
      <c r="M737" s="30">
        <f>IF(OR($L737="",$P737=""),"",IF(INDEX('支払先'!$M$5:$M$104,$P737)="対象外","",IF(AND($L737&gt;60,$K737&gt;=EDATE($B737,2)),"超える","")))</f>
        <v/>
      </c>
      <c r="N737" s="67" t="n"/>
      <c r="O737" s="31">
        <f>IF($A737="","",IFERROR(MATCH($A737,'通知一覧'!$B$5:$B$204,0),"なし"))</f>
        <v/>
      </c>
      <c r="P737" s="31">
        <f>IF(NOT(ISNUMBER($O737)),"",IFERROR(MATCH(INDEX('通知一覧'!$C$5:$C$204,$O737),'支払先'!$B$5:$B$104,0),""))</f>
        <v/>
      </c>
      <c r="Q737" s="31">
        <f>IF(AND($A737&lt;&gt;"",$A737='支払通知書'!$K$2),ROW(),"")</f>
        <v/>
      </c>
    </row>
    <row r="738" ht="18" customHeight="1">
      <c r="A738" s="18" t="n"/>
      <c r="B738" s="24" t="n"/>
      <c r="C738" s="19" t="n"/>
      <c r="D738" s="25" t="n"/>
      <c r="E738" s="18" t="n"/>
      <c r="F738" s="25" t="n"/>
      <c r="G738" s="18" t="n"/>
      <c r="H738" s="18" t="n"/>
      <c r="I738" s="26">
        <f>IF(OR($A738="",$F738=""),"",ROUND(IF($D738="",1,$D738)*$F738,0))</f>
        <v/>
      </c>
      <c r="J738" s="27">
        <f>IF($A738="","",IF($O738="なし","※通知一覧にない通知No",IF($P738="","",INDEX('支払先'!$C$5:$C$104,$P738)&amp;"")))</f>
        <v/>
      </c>
      <c r="K738" s="28">
        <f>IF(NOT(ISNUMBER($O738)),"",IF(ISNUMBER(INDEX('通知一覧'!$F$5:$F$204,$O738)),INDEX('通知一覧'!$F$5:$F$204,$O738),""))</f>
        <v/>
      </c>
      <c r="L738" s="29">
        <f>IF(AND(ISNUMBER($B738),ISNUMBER($K738)),$K738-$B738+1,"")</f>
        <v/>
      </c>
      <c r="M738" s="30">
        <f>IF(OR($L738="",$P738=""),"",IF(INDEX('支払先'!$M$5:$M$104,$P738)="対象外","",IF(AND($L738&gt;60,$K738&gt;=EDATE($B738,2)),"超える","")))</f>
        <v/>
      </c>
      <c r="N738" s="67" t="n"/>
      <c r="O738" s="31">
        <f>IF($A738="","",IFERROR(MATCH($A738,'通知一覧'!$B$5:$B$204,0),"なし"))</f>
        <v/>
      </c>
      <c r="P738" s="31">
        <f>IF(NOT(ISNUMBER($O738)),"",IFERROR(MATCH(INDEX('通知一覧'!$C$5:$C$204,$O738),'支払先'!$B$5:$B$104,0),""))</f>
        <v/>
      </c>
      <c r="Q738" s="31">
        <f>IF(AND($A738&lt;&gt;"",$A738='支払通知書'!$K$2),ROW(),"")</f>
        <v/>
      </c>
    </row>
    <row r="739" ht="18" customHeight="1">
      <c r="A739" s="18" t="n"/>
      <c r="B739" s="24" t="n"/>
      <c r="C739" s="19" t="n"/>
      <c r="D739" s="25" t="n"/>
      <c r="E739" s="18" t="n"/>
      <c r="F739" s="25" t="n"/>
      <c r="G739" s="18" t="n"/>
      <c r="H739" s="18" t="n"/>
      <c r="I739" s="26">
        <f>IF(OR($A739="",$F739=""),"",ROUND(IF($D739="",1,$D739)*$F739,0))</f>
        <v/>
      </c>
      <c r="J739" s="27">
        <f>IF($A739="","",IF($O739="なし","※通知一覧にない通知No",IF($P739="","",INDEX('支払先'!$C$5:$C$104,$P739)&amp;"")))</f>
        <v/>
      </c>
      <c r="K739" s="28">
        <f>IF(NOT(ISNUMBER($O739)),"",IF(ISNUMBER(INDEX('通知一覧'!$F$5:$F$204,$O739)),INDEX('通知一覧'!$F$5:$F$204,$O739),""))</f>
        <v/>
      </c>
      <c r="L739" s="29">
        <f>IF(AND(ISNUMBER($B739),ISNUMBER($K739)),$K739-$B739+1,"")</f>
        <v/>
      </c>
      <c r="M739" s="30">
        <f>IF(OR($L739="",$P739=""),"",IF(INDEX('支払先'!$M$5:$M$104,$P739)="対象外","",IF(AND($L739&gt;60,$K739&gt;=EDATE($B739,2)),"超える","")))</f>
        <v/>
      </c>
      <c r="N739" s="67" t="n"/>
      <c r="O739" s="31">
        <f>IF($A739="","",IFERROR(MATCH($A739,'通知一覧'!$B$5:$B$204,0),"なし"))</f>
        <v/>
      </c>
      <c r="P739" s="31">
        <f>IF(NOT(ISNUMBER($O739)),"",IFERROR(MATCH(INDEX('通知一覧'!$C$5:$C$204,$O739),'支払先'!$B$5:$B$104,0),""))</f>
        <v/>
      </c>
      <c r="Q739" s="31">
        <f>IF(AND($A739&lt;&gt;"",$A739='支払通知書'!$K$2),ROW(),"")</f>
        <v/>
      </c>
    </row>
    <row r="740" ht="18" customHeight="1">
      <c r="A740" s="18" t="n"/>
      <c r="B740" s="24" t="n"/>
      <c r="C740" s="19" t="n"/>
      <c r="D740" s="25" t="n"/>
      <c r="E740" s="18" t="n"/>
      <c r="F740" s="25" t="n"/>
      <c r="G740" s="18" t="n"/>
      <c r="H740" s="18" t="n"/>
      <c r="I740" s="26">
        <f>IF(OR($A740="",$F740=""),"",ROUND(IF($D740="",1,$D740)*$F740,0))</f>
        <v/>
      </c>
      <c r="J740" s="27">
        <f>IF($A740="","",IF($O740="なし","※通知一覧にない通知No",IF($P740="","",INDEX('支払先'!$C$5:$C$104,$P740)&amp;"")))</f>
        <v/>
      </c>
      <c r="K740" s="28">
        <f>IF(NOT(ISNUMBER($O740)),"",IF(ISNUMBER(INDEX('通知一覧'!$F$5:$F$204,$O740)),INDEX('通知一覧'!$F$5:$F$204,$O740),""))</f>
        <v/>
      </c>
      <c r="L740" s="29">
        <f>IF(AND(ISNUMBER($B740),ISNUMBER($K740)),$K740-$B740+1,"")</f>
        <v/>
      </c>
      <c r="M740" s="30">
        <f>IF(OR($L740="",$P740=""),"",IF(INDEX('支払先'!$M$5:$M$104,$P740)="対象外","",IF(AND($L740&gt;60,$K740&gt;=EDATE($B740,2)),"超える","")))</f>
        <v/>
      </c>
      <c r="N740" s="67" t="n"/>
      <c r="O740" s="31">
        <f>IF($A740="","",IFERROR(MATCH($A740,'通知一覧'!$B$5:$B$204,0),"なし"))</f>
        <v/>
      </c>
      <c r="P740" s="31">
        <f>IF(NOT(ISNUMBER($O740)),"",IFERROR(MATCH(INDEX('通知一覧'!$C$5:$C$204,$O740),'支払先'!$B$5:$B$104,0),""))</f>
        <v/>
      </c>
      <c r="Q740" s="31">
        <f>IF(AND($A740&lt;&gt;"",$A740='支払通知書'!$K$2),ROW(),"")</f>
        <v/>
      </c>
    </row>
    <row r="741" ht="18" customHeight="1">
      <c r="A741" s="18" t="n"/>
      <c r="B741" s="24" t="n"/>
      <c r="C741" s="19" t="n"/>
      <c r="D741" s="25" t="n"/>
      <c r="E741" s="18" t="n"/>
      <c r="F741" s="25" t="n"/>
      <c r="G741" s="18" t="n"/>
      <c r="H741" s="18" t="n"/>
      <c r="I741" s="26">
        <f>IF(OR($A741="",$F741=""),"",ROUND(IF($D741="",1,$D741)*$F741,0))</f>
        <v/>
      </c>
      <c r="J741" s="27">
        <f>IF($A741="","",IF($O741="なし","※通知一覧にない通知No",IF($P741="","",INDEX('支払先'!$C$5:$C$104,$P741)&amp;"")))</f>
        <v/>
      </c>
      <c r="K741" s="28">
        <f>IF(NOT(ISNUMBER($O741)),"",IF(ISNUMBER(INDEX('通知一覧'!$F$5:$F$204,$O741)),INDEX('通知一覧'!$F$5:$F$204,$O741),""))</f>
        <v/>
      </c>
      <c r="L741" s="29">
        <f>IF(AND(ISNUMBER($B741),ISNUMBER($K741)),$K741-$B741+1,"")</f>
        <v/>
      </c>
      <c r="M741" s="30">
        <f>IF(OR($L741="",$P741=""),"",IF(INDEX('支払先'!$M$5:$M$104,$P741)="対象外","",IF(AND($L741&gt;60,$K741&gt;=EDATE($B741,2)),"超える","")))</f>
        <v/>
      </c>
      <c r="N741" s="67" t="n"/>
      <c r="O741" s="31">
        <f>IF($A741="","",IFERROR(MATCH($A741,'通知一覧'!$B$5:$B$204,0),"なし"))</f>
        <v/>
      </c>
      <c r="P741" s="31">
        <f>IF(NOT(ISNUMBER($O741)),"",IFERROR(MATCH(INDEX('通知一覧'!$C$5:$C$204,$O741),'支払先'!$B$5:$B$104,0),""))</f>
        <v/>
      </c>
      <c r="Q741" s="31">
        <f>IF(AND($A741&lt;&gt;"",$A741='支払通知書'!$K$2),ROW(),"")</f>
        <v/>
      </c>
    </row>
    <row r="742" ht="18" customHeight="1">
      <c r="A742" s="18" t="n"/>
      <c r="B742" s="24" t="n"/>
      <c r="C742" s="19" t="n"/>
      <c r="D742" s="25" t="n"/>
      <c r="E742" s="18" t="n"/>
      <c r="F742" s="25" t="n"/>
      <c r="G742" s="18" t="n"/>
      <c r="H742" s="18" t="n"/>
      <c r="I742" s="26">
        <f>IF(OR($A742="",$F742=""),"",ROUND(IF($D742="",1,$D742)*$F742,0))</f>
        <v/>
      </c>
      <c r="J742" s="27">
        <f>IF($A742="","",IF($O742="なし","※通知一覧にない通知No",IF($P742="","",INDEX('支払先'!$C$5:$C$104,$P742)&amp;"")))</f>
        <v/>
      </c>
      <c r="K742" s="28">
        <f>IF(NOT(ISNUMBER($O742)),"",IF(ISNUMBER(INDEX('通知一覧'!$F$5:$F$204,$O742)),INDEX('通知一覧'!$F$5:$F$204,$O742),""))</f>
        <v/>
      </c>
      <c r="L742" s="29">
        <f>IF(AND(ISNUMBER($B742),ISNUMBER($K742)),$K742-$B742+1,"")</f>
        <v/>
      </c>
      <c r="M742" s="30">
        <f>IF(OR($L742="",$P742=""),"",IF(INDEX('支払先'!$M$5:$M$104,$P742)="対象外","",IF(AND($L742&gt;60,$K742&gt;=EDATE($B742,2)),"超える","")))</f>
        <v/>
      </c>
      <c r="N742" s="67" t="n"/>
      <c r="O742" s="31">
        <f>IF($A742="","",IFERROR(MATCH($A742,'通知一覧'!$B$5:$B$204,0),"なし"))</f>
        <v/>
      </c>
      <c r="P742" s="31">
        <f>IF(NOT(ISNUMBER($O742)),"",IFERROR(MATCH(INDEX('通知一覧'!$C$5:$C$204,$O742),'支払先'!$B$5:$B$104,0),""))</f>
        <v/>
      </c>
      <c r="Q742" s="31">
        <f>IF(AND($A742&lt;&gt;"",$A742='支払通知書'!$K$2),ROW(),"")</f>
        <v/>
      </c>
    </row>
    <row r="743" ht="18" customHeight="1">
      <c r="A743" s="18" t="n"/>
      <c r="B743" s="24" t="n"/>
      <c r="C743" s="19" t="n"/>
      <c r="D743" s="25" t="n"/>
      <c r="E743" s="18" t="n"/>
      <c r="F743" s="25" t="n"/>
      <c r="G743" s="18" t="n"/>
      <c r="H743" s="18" t="n"/>
      <c r="I743" s="26">
        <f>IF(OR($A743="",$F743=""),"",ROUND(IF($D743="",1,$D743)*$F743,0))</f>
        <v/>
      </c>
      <c r="J743" s="27">
        <f>IF($A743="","",IF($O743="なし","※通知一覧にない通知No",IF($P743="","",INDEX('支払先'!$C$5:$C$104,$P743)&amp;"")))</f>
        <v/>
      </c>
      <c r="K743" s="28">
        <f>IF(NOT(ISNUMBER($O743)),"",IF(ISNUMBER(INDEX('通知一覧'!$F$5:$F$204,$O743)),INDEX('通知一覧'!$F$5:$F$204,$O743),""))</f>
        <v/>
      </c>
      <c r="L743" s="29">
        <f>IF(AND(ISNUMBER($B743),ISNUMBER($K743)),$K743-$B743+1,"")</f>
        <v/>
      </c>
      <c r="M743" s="30">
        <f>IF(OR($L743="",$P743=""),"",IF(INDEX('支払先'!$M$5:$M$104,$P743)="対象外","",IF(AND($L743&gt;60,$K743&gt;=EDATE($B743,2)),"超える","")))</f>
        <v/>
      </c>
      <c r="N743" s="67" t="n"/>
      <c r="O743" s="31">
        <f>IF($A743="","",IFERROR(MATCH($A743,'通知一覧'!$B$5:$B$204,0),"なし"))</f>
        <v/>
      </c>
      <c r="P743" s="31">
        <f>IF(NOT(ISNUMBER($O743)),"",IFERROR(MATCH(INDEX('通知一覧'!$C$5:$C$204,$O743),'支払先'!$B$5:$B$104,0),""))</f>
        <v/>
      </c>
      <c r="Q743" s="31">
        <f>IF(AND($A743&lt;&gt;"",$A743='支払通知書'!$K$2),ROW(),"")</f>
        <v/>
      </c>
    </row>
    <row r="744" ht="18" customHeight="1">
      <c r="A744" s="18" t="n"/>
      <c r="B744" s="24" t="n"/>
      <c r="C744" s="19" t="n"/>
      <c r="D744" s="25" t="n"/>
      <c r="E744" s="18" t="n"/>
      <c r="F744" s="25" t="n"/>
      <c r="G744" s="18" t="n"/>
      <c r="H744" s="18" t="n"/>
      <c r="I744" s="26">
        <f>IF(OR($A744="",$F744=""),"",ROUND(IF($D744="",1,$D744)*$F744,0))</f>
        <v/>
      </c>
      <c r="J744" s="27">
        <f>IF($A744="","",IF($O744="なし","※通知一覧にない通知No",IF($P744="","",INDEX('支払先'!$C$5:$C$104,$P744)&amp;"")))</f>
        <v/>
      </c>
      <c r="K744" s="28">
        <f>IF(NOT(ISNUMBER($O744)),"",IF(ISNUMBER(INDEX('通知一覧'!$F$5:$F$204,$O744)),INDEX('通知一覧'!$F$5:$F$204,$O744),""))</f>
        <v/>
      </c>
      <c r="L744" s="29">
        <f>IF(AND(ISNUMBER($B744),ISNUMBER($K744)),$K744-$B744+1,"")</f>
        <v/>
      </c>
      <c r="M744" s="30">
        <f>IF(OR($L744="",$P744=""),"",IF(INDEX('支払先'!$M$5:$M$104,$P744)="対象外","",IF(AND($L744&gt;60,$K744&gt;=EDATE($B744,2)),"超える","")))</f>
        <v/>
      </c>
      <c r="N744" s="67" t="n"/>
      <c r="O744" s="31">
        <f>IF($A744="","",IFERROR(MATCH($A744,'通知一覧'!$B$5:$B$204,0),"なし"))</f>
        <v/>
      </c>
      <c r="P744" s="31">
        <f>IF(NOT(ISNUMBER($O744)),"",IFERROR(MATCH(INDEX('通知一覧'!$C$5:$C$204,$O744),'支払先'!$B$5:$B$104,0),""))</f>
        <v/>
      </c>
      <c r="Q744" s="31">
        <f>IF(AND($A744&lt;&gt;"",$A744='支払通知書'!$K$2),ROW(),"")</f>
        <v/>
      </c>
    </row>
    <row r="745" ht="18" customHeight="1">
      <c r="A745" s="18" t="n"/>
      <c r="B745" s="24" t="n"/>
      <c r="C745" s="19" t="n"/>
      <c r="D745" s="25" t="n"/>
      <c r="E745" s="18" t="n"/>
      <c r="F745" s="25" t="n"/>
      <c r="G745" s="18" t="n"/>
      <c r="H745" s="18" t="n"/>
      <c r="I745" s="26">
        <f>IF(OR($A745="",$F745=""),"",ROUND(IF($D745="",1,$D745)*$F745,0))</f>
        <v/>
      </c>
      <c r="J745" s="27">
        <f>IF($A745="","",IF($O745="なし","※通知一覧にない通知No",IF($P745="","",INDEX('支払先'!$C$5:$C$104,$P745)&amp;"")))</f>
        <v/>
      </c>
      <c r="K745" s="28">
        <f>IF(NOT(ISNUMBER($O745)),"",IF(ISNUMBER(INDEX('通知一覧'!$F$5:$F$204,$O745)),INDEX('通知一覧'!$F$5:$F$204,$O745),""))</f>
        <v/>
      </c>
      <c r="L745" s="29">
        <f>IF(AND(ISNUMBER($B745),ISNUMBER($K745)),$K745-$B745+1,"")</f>
        <v/>
      </c>
      <c r="M745" s="30">
        <f>IF(OR($L745="",$P745=""),"",IF(INDEX('支払先'!$M$5:$M$104,$P745)="対象外","",IF(AND($L745&gt;60,$K745&gt;=EDATE($B745,2)),"超える","")))</f>
        <v/>
      </c>
      <c r="N745" s="67" t="n"/>
      <c r="O745" s="31">
        <f>IF($A745="","",IFERROR(MATCH($A745,'通知一覧'!$B$5:$B$204,0),"なし"))</f>
        <v/>
      </c>
      <c r="P745" s="31">
        <f>IF(NOT(ISNUMBER($O745)),"",IFERROR(MATCH(INDEX('通知一覧'!$C$5:$C$204,$O745),'支払先'!$B$5:$B$104,0),""))</f>
        <v/>
      </c>
      <c r="Q745" s="31">
        <f>IF(AND($A745&lt;&gt;"",$A745='支払通知書'!$K$2),ROW(),"")</f>
        <v/>
      </c>
    </row>
    <row r="746" ht="18" customHeight="1">
      <c r="A746" s="18" t="n"/>
      <c r="B746" s="24" t="n"/>
      <c r="C746" s="19" t="n"/>
      <c r="D746" s="25" t="n"/>
      <c r="E746" s="18" t="n"/>
      <c r="F746" s="25" t="n"/>
      <c r="G746" s="18" t="n"/>
      <c r="H746" s="18" t="n"/>
      <c r="I746" s="26">
        <f>IF(OR($A746="",$F746=""),"",ROUND(IF($D746="",1,$D746)*$F746,0))</f>
        <v/>
      </c>
      <c r="J746" s="27">
        <f>IF($A746="","",IF($O746="なし","※通知一覧にない通知No",IF($P746="","",INDEX('支払先'!$C$5:$C$104,$P746)&amp;"")))</f>
        <v/>
      </c>
      <c r="K746" s="28">
        <f>IF(NOT(ISNUMBER($O746)),"",IF(ISNUMBER(INDEX('通知一覧'!$F$5:$F$204,$O746)),INDEX('通知一覧'!$F$5:$F$204,$O746),""))</f>
        <v/>
      </c>
      <c r="L746" s="29">
        <f>IF(AND(ISNUMBER($B746),ISNUMBER($K746)),$K746-$B746+1,"")</f>
        <v/>
      </c>
      <c r="M746" s="30">
        <f>IF(OR($L746="",$P746=""),"",IF(INDEX('支払先'!$M$5:$M$104,$P746)="対象外","",IF(AND($L746&gt;60,$K746&gt;=EDATE($B746,2)),"超える","")))</f>
        <v/>
      </c>
      <c r="N746" s="67" t="n"/>
      <c r="O746" s="31">
        <f>IF($A746="","",IFERROR(MATCH($A746,'通知一覧'!$B$5:$B$204,0),"なし"))</f>
        <v/>
      </c>
      <c r="P746" s="31">
        <f>IF(NOT(ISNUMBER($O746)),"",IFERROR(MATCH(INDEX('通知一覧'!$C$5:$C$204,$O746),'支払先'!$B$5:$B$104,0),""))</f>
        <v/>
      </c>
      <c r="Q746" s="31">
        <f>IF(AND($A746&lt;&gt;"",$A746='支払通知書'!$K$2),ROW(),"")</f>
        <v/>
      </c>
    </row>
    <row r="747" ht="18" customHeight="1">
      <c r="A747" s="18" t="n"/>
      <c r="B747" s="24" t="n"/>
      <c r="C747" s="19" t="n"/>
      <c r="D747" s="25" t="n"/>
      <c r="E747" s="18" t="n"/>
      <c r="F747" s="25" t="n"/>
      <c r="G747" s="18" t="n"/>
      <c r="H747" s="18" t="n"/>
      <c r="I747" s="26">
        <f>IF(OR($A747="",$F747=""),"",ROUND(IF($D747="",1,$D747)*$F747,0))</f>
        <v/>
      </c>
      <c r="J747" s="27">
        <f>IF($A747="","",IF($O747="なし","※通知一覧にない通知No",IF($P747="","",INDEX('支払先'!$C$5:$C$104,$P747)&amp;"")))</f>
        <v/>
      </c>
      <c r="K747" s="28">
        <f>IF(NOT(ISNUMBER($O747)),"",IF(ISNUMBER(INDEX('通知一覧'!$F$5:$F$204,$O747)),INDEX('通知一覧'!$F$5:$F$204,$O747),""))</f>
        <v/>
      </c>
      <c r="L747" s="29">
        <f>IF(AND(ISNUMBER($B747),ISNUMBER($K747)),$K747-$B747+1,"")</f>
        <v/>
      </c>
      <c r="M747" s="30">
        <f>IF(OR($L747="",$P747=""),"",IF(INDEX('支払先'!$M$5:$M$104,$P747)="対象外","",IF(AND($L747&gt;60,$K747&gt;=EDATE($B747,2)),"超える","")))</f>
        <v/>
      </c>
      <c r="N747" s="67" t="n"/>
      <c r="O747" s="31">
        <f>IF($A747="","",IFERROR(MATCH($A747,'通知一覧'!$B$5:$B$204,0),"なし"))</f>
        <v/>
      </c>
      <c r="P747" s="31">
        <f>IF(NOT(ISNUMBER($O747)),"",IFERROR(MATCH(INDEX('通知一覧'!$C$5:$C$204,$O747),'支払先'!$B$5:$B$104,0),""))</f>
        <v/>
      </c>
      <c r="Q747" s="31">
        <f>IF(AND($A747&lt;&gt;"",$A747='支払通知書'!$K$2),ROW(),"")</f>
        <v/>
      </c>
    </row>
    <row r="748" ht="18" customHeight="1">
      <c r="A748" s="18" t="n"/>
      <c r="B748" s="24" t="n"/>
      <c r="C748" s="19" t="n"/>
      <c r="D748" s="25" t="n"/>
      <c r="E748" s="18" t="n"/>
      <c r="F748" s="25" t="n"/>
      <c r="G748" s="18" t="n"/>
      <c r="H748" s="18" t="n"/>
      <c r="I748" s="26">
        <f>IF(OR($A748="",$F748=""),"",ROUND(IF($D748="",1,$D748)*$F748,0))</f>
        <v/>
      </c>
      <c r="J748" s="27">
        <f>IF($A748="","",IF($O748="なし","※通知一覧にない通知No",IF($P748="","",INDEX('支払先'!$C$5:$C$104,$P748)&amp;"")))</f>
        <v/>
      </c>
      <c r="K748" s="28">
        <f>IF(NOT(ISNUMBER($O748)),"",IF(ISNUMBER(INDEX('通知一覧'!$F$5:$F$204,$O748)),INDEX('通知一覧'!$F$5:$F$204,$O748),""))</f>
        <v/>
      </c>
      <c r="L748" s="29">
        <f>IF(AND(ISNUMBER($B748),ISNUMBER($K748)),$K748-$B748+1,"")</f>
        <v/>
      </c>
      <c r="M748" s="30">
        <f>IF(OR($L748="",$P748=""),"",IF(INDEX('支払先'!$M$5:$M$104,$P748)="対象外","",IF(AND($L748&gt;60,$K748&gt;=EDATE($B748,2)),"超える","")))</f>
        <v/>
      </c>
      <c r="N748" s="67" t="n"/>
      <c r="O748" s="31">
        <f>IF($A748="","",IFERROR(MATCH($A748,'通知一覧'!$B$5:$B$204,0),"なし"))</f>
        <v/>
      </c>
      <c r="P748" s="31">
        <f>IF(NOT(ISNUMBER($O748)),"",IFERROR(MATCH(INDEX('通知一覧'!$C$5:$C$204,$O748),'支払先'!$B$5:$B$104,0),""))</f>
        <v/>
      </c>
      <c r="Q748" s="31">
        <f>IF(AND($A748&lt;&gt;"",$A748='支払通知書'!$K$2),ROW(),"")</f>
        <v/>
      </c>
    </row>
    <row r="749" ht="18" customHeight="1">
      <c r="A749" s="18" t="n"/>
      <c r="B749" s="24" t="n"/>
      <c r="C749" s="19" t="n"/>
      <c r="D749" s="25" t="n"/>
      <c r="E749" s="18" t="n"/>
      <c r="F749" s="25" t="n"/>
      <c r="G749" s="18" t="n"/>
      <c r="H749" s="18" t="n"/>
      <c r="I749" s="26">
        <f>IF(OR($A749="",$F749=""),"",ROUND(IF($D749="",1,$D749)*$F749,0))</f>
        <v/>
      </c>
      <c r="J749" s="27">
        <f>IF($A749="","",IF($O749="なし","※通知一覧にない通知No",IF($P749="","",INDEX('支払先'!$C$5:$C$104,$P749)&amp;"")))</f>
        <v/>
      </c>
      <c r="K749" s="28">
        <f>IF(NOT(ISNUMBER($O749)),"",IF(ISNUMBER(INDEX('通知一覧'!$F$5:$F$204,$O749)),INDEX('通知一覧'!$F$5:$F$204,$O749),""))</f>
        <v/>
      </c>
      <c r="L749" s="29">
        <f>IF(AND(ISNUMBER($B749),ISNUMBER($K749)),$K749-$B749+1,"")</f>
        <v/>
      </c>
      <c r="M749" s="30">
        <f>IF(OR($L749="",$P749=""),"",IF(INDEX('支払先'!$M$5:$M$104,$P749)="対象外","",IF(AND($L749&gt;60,$K749&gt;=EDATE($B749,2)),"超える","")))</f>
        <v/>
      </c>
      <c r="N749" s="67" t="n"/>
      <c r="O749" s="31">
        <f>IF($A749="","",IFERROR(MATCH($A749,'通知一覧'!$B$5:$B$204,0),"なし"))</f>
        <v/>
      </c>
      <c r="P749" s="31">
        <f>IF(NOT(ISNUMBER($O749)),"",IFERROR(MATCH(INDEX('通知一覧'!$C$5:$C$204,$O749),'支払先'!$B$5:$B$104,0),""))</f>
        <v/>
      </c>
      <c r="Q749" s="31">
        <f>IF(AND($A749&lt;&gt;"",$A749='支払通知書'!$K$2),ROW(),"")</f>
        <v/>
      </c>
    </row>
    <row r="750" ht="18" customHeight="1">
      <c r="A750" s="18" t="n"/>
      <c r="B750" s="24" t="n"/>
      <c r="C750" s="19" t="n"/>
      <c r="D750" s="25" t="n"/>
      <c r="E750" s="18" t="n"/>
      <c r="F750" s="25" t="n"/>
      <c r="G750" s="18" t="n"/>
      <c r="H750" s="18" t="n"/>
      <c r="I750" s="26">
        <f>IF(OR($A750="",$F750=""),"",ROUND(IF($D750="",1,$D750)*$F750,0))</f>
        <v/>
      </c>
      <c r="J750" s="27">
        <f>IF($A750="","",IF($O750="なし","※通知一覧にない通知No",IF($P750="","",INDEX('支払先'!$C$5:$C$104,$P750)&amp;"")))</f>
        <v/>
      </c>
      <c r="K750" s="28">
        <f>IF(NOT(ISNUMBER($O750)),"",IF(ISNUMBER(INDEX('通知一覧'!$F$5:$F$204,$O750)),INDEX('通知一覧'!$F$5:$F$204,$O750),""))</f>
        <v/>
      </c>
      <c r="L750" s="29">
        <f>IF(AND(ISNUMBER($B750),ISNUMBER($K750)),$K750-$B750+1,"")</f>
        <v/>
      </c>
      <c r="M750" s="30">
        <f>IF(OR($L750="",$P750=""),"",IF(INDEX('支払先'!$M$5:$M$104,$P750)="対象外","",IF(AND($L750&gt;60,$K750&gt;=EDATE($B750,2)),"超える","")))</f>
        <v/>
      </c>
      <c r="N750" s="67" t="n"/>
      <c r="O750" s="31">
        <f>IF($A750="","",IFERROR(MATCH($A750,'通知一覧'!$B$5:$B$204,0),"なし"))</f>
        <v/>
      </c>
      <c r="P750" s="31">
        <f>IF(NOT(ISNUMBER($O750)),"",IFERROR(MATCH(INDEX('通知一覧'!$C$5:$C$204,$O750),'支払先'!$B$5:$B$104,0),""))</f>
        <v/>
      </c>
      <c r="Q750" s="31">
        <f>IF(AND($A750&lt;&gt;"",$A750='支払通知書'!$K$2),ROW(),"")</f>
        <v/>
      </c>
    </row>
    <row r="751" ht="18" customHeight="1">
      <c r="A751" s="18" t="n"/>
      <c r="B751" s="24" t="n"/>
      <c r="C751" s="19" t="n"/>
      <c r="D751" s="25" t="n"/>
      <c r="E751" s="18" t="n"/>
      <c r="F751" s="25" t="n"/>
      <c r="G751" s="18" t="n"/>
      <c r="H751" s="18" t="n"/>
      <c r="I751" s="26">
        <f>IF(OR($A751="",$F751=""),"",ROUND(IF($D751="",1,$D751)*$F751,0))</f>
        <v/>
      </c>
      <c r="J751" s="27">
        <f>IF($A751="","",IF($O751="なし","※通知一覧にない通知No",IF($P751="","",INDEX('支払先'!$C$5:$C$104,$P751)&amp;"")))</f>
        <v/>
      </c>
      <c r="K751" s="28">
        <f>IF(NOT(ISNUMBER($O751)),"",IF(ISNUMBER(INDEX('通知一覧'!$F$5:$F$204,$O751)),INDEX('通知一覧'!$F$5:$F$204,$O751),""))</f>
        <v/>
      </c>
      <c r="L751" s="29">
        <f>IF(AND(ISNUMBER($B751),ISNUMBER($K751)),$K751-$B751+1,"")</f>
        <v/>
      </c>
      <c r="M751" s="30">
        <f>IF(OR($L751="",$P751=""),"",IF(INDEX('支払先'!$M$5:$M$104,$P751)="対象外","",IF(AND($L751&gt;60,$K751&gt;=EDATE($B751,2)),"超える","")))</f>
        <v/>
      </c>
      <c r="N751" s="67" t="n"/>
      <c r="O751" s="31">
        <f>IF($A751="","",IFERROR(MATCH($A751,'通知一覧'!$B$5:$B$204,0),"なし"))</f>
        <v/>
      </c>
      <c r="P751" s="31">
        <f>IF(NOT(ISNUMBER($O751)),"",IFERROR(MATCH(INDEX('通知一覧'!$C$5:$C$204,$O751),'支払先'!$B$5:$B$104,0),""))</f>
        <v/>
      </c>
      <c r="Q751" s="31">
        <f>IF(AND($A751&lt;&gt;"",$A751='支払通知書'!$K$2),ROW(),"")</f>
        <v/>
      </c>
    </row>
    <row r="752" ht="18" customHeight="1">
      <c r="A752" s="18" t="n"/>
      <c r="B752" s="24" t="n"/>
      <c r="C752" s="19" t="n"/>
      <c r="D752" s="25" t="n"/>
      <c r="E752" s="18" t="n"/>
      <c r="F752" s="25" t="n"/>
      <c r="G752" s="18" t="n"/>
      <c r="H752" s="18" t="n"/>
      <c r="I752" s="26">
        <f>IF(OR($A752="",$F752=""),"",ROUND(IF($D752="",1,$D752)*$F752,0))</f>
        <v/>
      </c>
      <c r="J752" s="27">
        <f>IF($A752="","",IF($O752="なし","※通知一覧にない通知No",IF($P752="","",INDEX('支払先'!$C$5:$C$104,$P752)&amp;"")))</f>
        <v/>
      </c>
      <c r="K752" s="28">
        <f>IF(NOT(ISNUMBER($O752)),"",IF(ISNUMBER(INDEX('通知一覧'!$F$5:$F$204,$O752)),INDEX('通知一覧'!$F$5:$F$204,$O752),""))</f>
        <v/>
      </c>
      <c r="L752" s="29">
        <f>IF(AND(ISNUMBER($B752),ISNUMBER($K752)),$K752-$B752+1,"")</f>
        <v/>
      </c>
      <c r="M752" s="30">
        <f>IF(OR($L752="",$P752=""),"",IF(INDEX('支払先'!$M$5:$M$104,$P752)="対象外","",IF(AND($L752&gt;60,$K752&gt;=EDATE($B752,2)),"超える","")))</f>
        <v/>
      </c>
      <c r="N752" s="67" t="n"/>
      <c r="O752" s="31">
        <f>IF($A752="","",IFERROR(MATCH($A752,'通知一覧'!$B$5:$B$204,0),"なし"))</f>
        <v/>
      </c>
      <c r="P752" s="31">
        <f>IF(NOT(ISNUMBER($O752)),"",IFERROR(MATCH(INDEX('通知一覧'!$C$5:$C$204,$O752),'支払先'!$B$5:$B$104,0),""))</f>
        <v/>
      </c>
      <c r="Q752" s="31">
        <f>IF(AND($A752&lt;&gt;"",$A752='支払通知書'!$K$2),ROW(),"")</f>
        <v/>
      </c>
    </row>
    <row r="753" ht="18" customHeight="1">
      <c r="A753" s="18" t="n"/>
      <c r="B753" s="24" t="n"/>
      <c r="C753" s="19" t="n"/>
      <c r="D753" s="25" t="n"/>
      <c r="E753" s="18" t="n"/>
      <c r="F753" s="25" t="n"/>
      <c r="G753" s="18" t="n"/>
      <c r="H753" s="18" t="n"/>
      <c r="I753" s="26">
        <f>IF(OR($A753="",$F753=""),"",ROUND(IF($D753="",1,$D753)*$F753,0))</f>
        <v/>
      </c>
      <c r="J753" s="27">
        <f>IF($A753="","",IF($O753="なし","※通知一覧にない通知No",IF($P753="","",INDEX('支払先'!$C$5:$C$104,$P753)&amp;"")))</f>
        <v/>
      </c>
      <c r="K753" s="28">
        <f>IF(NOT(ISNUMBER($O753)),"",IF(ISNUMBER(INDEX('通知一覧'!$F$5:$F$204,$O753)),INDEX('通知一覧'!$F$5:$F$204,$O753),""))</f>
        <v/>
      </c>
      <c r="L753" s="29">
        <f>IF(AND(ISNUMBER($B753),ISNUMBER($K753)),$K753-$B753+1,"")</f>
        <v/>
      </c>
      <c r="M753" s="30">
        <f>IF(OR($L753="",$P753=""),"",IF(INDEX('支払先'!$M$5:$M$104,$P753)="対象外","",IF(AND($L753&gt;60,$K753&gt;=EDATE($B753,2)),"超える","")))</f>
        <v/>
      </c>
      <c r="N753" s="67" t="n"/>
      <c r="O753" s="31">
        <f>IF($A753="","",IFERROR(MATCH($A753,'通知一覧'!$B$5:$B$204,0),"なし"))</f>
        <v/>
      </c>
      <c r="P753" s="31">
        <f>IF(NOT(ISNUMBER($O753)),"",IFERROR(MATCH(INDEX('通知一覧'!$C$5:$C$204,$O753),'支払先'!$B$5:$B$104,0),""))</f>
        <v/>
      </c>
      <c r="Q753" s="31">
        <f>IF(AND($A753&lt;&gt;"",$A753='支払通知書'!$K$2),ROW(),"")</f>
        <v/>
      </c>
    </row>
    <row r="754" ht="18" customHeight="1">
      <c r="A754" s="18" t="n"/>
      <c r="B754" s="24" t="n"/>
      <c r="C754" s="19" t="n"/>
      <c r="D754" s="25" t="n"/>
      <c r="E754" s="18" t="n"/>
      <c r="F754" s="25" t="n"/>
      <c r="G754" s="18" t="n"/>
      <c r="H754" s="18" t="n"/>
      <c r="I754" s="26">
        <f>IF(OR($A754="",$F754=""),"",ROUND(IF($D754="",1,$D754)*$F754,0))</f>
        <v/>
      </c>
      <c r="J754" s="27">
        <f>IF($A754="","",IF($O754="なし","※通知一覧にない通知No",IF($P754="","",INDEX('支払先'!$C$5:$C$104,$P754)&amp;"")))</f>
        <v/>
      </c>
      <c r="K754" s="28">
        <f>IF(NOT(ISNUMBER($O754)),"",IF(ISNUMBER(INDEX('通知一覧'!$F$5:$F$204,$O754)),INDEX('通知一覧'!$F$5:$F$204,$O754),""))</f>
        <v/>
      </c>
      <c r="L754" s="29">
        <f>IF(AND(ISNUMBER($B754),ISNUMBER($K754)),$K754-$B754+1,"")</f>
        <v/>
      </c>
      <c r="M754" s="30">
        <f>IF(OR($L754="",$P754=""),"",IF(INDEX('支払先'!$M$5:$M$104,$P754)="対象外","",IF(AND($L754&gt;60,$K754&gt;=EDATE($B754,2)),"超える","")))</f>
        <v/>
      </c>
      <c r="N754" s="67" t="n"/>
      <c r="O754" s="31">
        <f>IF($A754="","",IFERROR(MATCH($A754,'通知一覧'!$B$5:$B$204,0),"なし"))</f>
        <v/>
      </c>
      <c r="P754" s="31">
        <f>IF(NOT(ISNUMBER($O754)),"",IFERROR(MATCH(INDEX('通知一覧'!$C$5:$C$204,$O754),'支払先'!$B$5:$B$104,0),""))</f>
        <v/>
      </c>
      <c r="Q754" s="31">
        <f>IF(AND($A754&lt;&gt;"",$A754='支払通知書'!$K$2),ROW(),"")</f>
        <v/>
      </c>
    </row>
    <row r="755" ht="18" customHeight="1">
      <c r="A755" s="18" t="n"/>
      <c r="B755" s="24" t="n"/>
      <c r="C755" s="19" t="n"/>
      <c r="D755" s="25" t="n"/>
      <c r="E755" s="18" t="n"/>
      <c r="F755" s="25" t="n"/>
      <c r="G755" s="18" t="n"/>
      <c r="H755" s="18" t="n"/>
      <c r="I755" s="26">
        <f>IF(OR($A755="",$F755=""),"",ROUND(IF($D755="",1,$D755)*$F755,0))</f>
        <v/>
      </c>
      <c r="J755" s="27">
        <f>IF($A755="","",IF($O755="なし","※通知一覧にない通知No",IF($P755="","",INDEX('支払先'!$C$5:$C$104,$P755)&amp;"")))</f>
        <v/>
      </c>
      <c r="K755" s="28">
        <f>IF(NOT(ISNUMBER($O755)),"",IF(ISNUMBER(INDEX('通知一覧'!$F$5:$F$204,$O755)),INDEX('通知一覧'!$F$5:$F$204,$O755),""))</f>
        <v/>
      </c>
      <c r="L755" s="29">
        <f>IF(AND(ISNUMBER($B755),ISNUMBER($K755)),$K755-$B755+1,"")</f>
        <v/>
      </c>
      <c r="M755" s="30">
        <f>IF(OR($L755="",$P755=""),"",IF(INDEX('支払先'!$M$5:$M$104,$P755)="対象外","",IF(AND($L755&gt;60,$K755&gt;=EDATE($B755,2)),"超える","")))</f>
        <v/>
      </c>
      <c r="N755" s="67" t="n"/>
      <c r="O755" s="31">
        <f>IF($A755="","",IFERROR(MATCH($A755,'通知一覧'!$B$5:$B$204,0),"なし"))</f>
        <v/>
      </c>
      <c r="P755" s="31">
        <f>IF(NOT(ISNUMBER($O755)),"",IFERROR(MATCH(INDEX('通知一覧'!$C$5:$C$204,$O755),'支払先'!$B$5:$B$104,0),""))</f>
        <v/>
      </c>
      <c r="Q755" s="31">
        <f>IF(AND($A755&lt;&gt;"",$A755='支払通知書'!$K$2),ROW(),"")</f>
        <v/>
      </c>
    </row>
    <row r="756" ht="18" customHeight="1">
      <c r="A756" s="18" t="n"/>
      <c r="B756" s="24" t="n"/>
      <c r="C756" s="19" t="n"/>
      <c r="D756" s="25" t="n"/>
      <c r="E756" s="18" t="n"/>
      <c r="F756" s="25" t="n"/>
      <c r="G756" s="18" t="n"/>
      <c r="H756" s="18" t="n"/>
      <c r="I756" s="26">
        <f>IF(OR($A756="",$F756=""),"",ROUND(IF($D756="",1,$D756)*$F756,0))</f>
        <v/>
      </c>
      <c r="J756" s="27">
        <f>IF($A756="","",IF($O756="なし","※通知一覧にない通知No",IF($P756="","",INDEX('支払先'!$C$5:$C$104,$P756)&amp;"")))</f>
        <v/>
      </c>
      <c r="K756" s="28">
        <f>IF(NOT(ISNUMBER($O756)),"",IF(ISNUMBER(INDEX('通知一覧'!$F$5:$F$204,$O756)),INDEX('通知一覧'!$F$5:$F$204,$O756),""))</f>
        <v/>
      </c>
      <c r="L756" s="29">
        <f>IF(AND(ISNUMBER($B756),ISNUMBER($K756)),$K756-$B756+1,"")</f>
        <v/>
      </c>
      <c r="M756" s="30">
        <f>IF(OR($L756="",$P756=""),"",IF(INDEX('支払先'!$M$5:$M$104,$P756)="対象外","",IF(AND($L756&gt;60,$K756&gt;=EDATE($B756,2)),"超える","")))</f>
        <v/>
      </c>
      <c r="N756" s="67" t="n"/>
      <c r="O756" s="31">
        <f>IF($A756="","",IFERROR(MATCH($A756,'通知一覧'!$B$5:$B$204,0),"なし"))</f>
        <v/>
      </c>
      <c r="P756" s="31">
        <f>IF(NOT(ISNUMBER($O756)),"",IFERROR(MATCH(INDEX('通知一覧'!$C$5:$C$204,$O756),'支払先'!$B$5:$B$104,0),""))</f>
        <v/>
      </c>
      <c r="Q756" s="31">
        <f>IF(AND($A756&lt;&gt;"",$A756='支払通知書'!$K$2),ROW(),"")</f>
        <v/>
      </c>
    </row>
    <row r="757" ht="18" customHeight="1">
      <c r="A757" s="18" t="n"/>
      <c r="B757" s="24" t="n"/>
      <c r="C757" s="19" t="n"/>
      <c r="D757" s="25" t="n"/>
      <c r="E757" s="18" t="n"/>
      <c r="F757" s="25" t="n"/>
      <c r="G757" s="18" t="n"/>
      <c r="H757" s="18" t="n"/>
      <c r="I757" s="26">
        <f>IF(OR($A757="",$F757=""),"",ROUND(IF($D757="",1,$D757)*$F757,0))</f>
        <v/>
      </c>
      <c r="J757" s="27">
        <f>IF($A757="","",IF($O757="なし","※通知一覧にない通知No",IF($P757="","",INDEX('支払先'!$C$5:$C$104,$P757)&amp;"")))</f>
        <v/>
      </c>
      <c r="K757" s="28">
        <f>IF(NOT(ISNUMBER($O757)),"",IF(ISNUMBER(INDEX('通知一覧'!$F$5:$F$204,$O757)),INDEX('通知一覧'!$F$5:$F$204,$O757),""))</f>
        <v/>
      </c>
      <c r="L757" s="29">
        <f>IF(AND(ISNUMBER($B757),ISNUMBER($K757)),$K757-$B757+1,"")</f>
        <v/>
      </c>
      <c r="M757" s="30">
        <f>IF(OR($L757="",$P757=""),"",IF(INDEX('支払先'!$M$5:$M$104,$P757)="対象外","",IF(AND($L757&gt;60,$K757&gt;=EDATE($B757,2)),"超える","")))</f>
        <v/>
      </c>
      <c r="N757" s="67" t="n"/>
      <c r="O757" s="31">
        <f>IF($A757="","",IFERROR(MATCH($A757,'通知一覧'!$B$5:$B$204,0),"なし"))</f>
        <v/>
      </c>
      <c r="P757" s="31">
        <f>IF(NOT(ISNUMBER($O757)),"",IFERROR(MATCH(INDEX('通知一覧'!$C$5:$C$204,$O757),'支払先'!$B$5:$B$104,0),""))</f>
        <v/>
      </c>
      <c r="Q757" s="31">
        <f>IF(AND($A757&lt;&gt;"",$A757='支払通知書'!$K$2),ROW(),"")</f>
        <v/>
      </c>
    </row>
    <row r="758" ht="18" customHeight="1">
      <c r="A758" s="18" t="n"/>
      <c r="B758" s="24" t="n"/>
      <c r="C758" s="19" t="n"/>
      <c r="D758" s="25" t="n"/>
      <c r="E758" s="18" t="n"/>
      <c r="F758" s="25" t="n"/>
      <c r="G758" s="18" t="n"/>
      <c r="H758" s="18" t="n"/>
      <c r="I758" s="26">
        <f>IF(OR($A758="",$F758=""),"",ROUND(IF($D758="",1,$D758)*$F758,0))</f>
        <v/>
      </c>
      <c r="J758" s="27">
        <f>IF($A758="","",IF($O758="なし","※通知一覧にない通知No",IF($P758="","",INDEX('支払先'!$C$5:$C$104,$P758)&amp;"")))</f>
        <v/>
      </c>
      <c r="K758" s="28">
        <f>IF(NOT(ISNUMBER($O758)),"",IF(ISNUMBER(INDEX('通知一覧'!$F$5:$F$204,$O758)),INDEX('通知一覧'!$F$5:$F$204,$O758),""))</f>
        <v/>
      </c>
      <c r="L758" s="29">
        <f>IF(AND(ISNUMBER($B758),ISNUMBER($K758)),$K758-$B758+1,"")</f>
        <v/>
      </c>
      <c r="M758" s="30">
        <f>IF(OR($L758="",$P758=""),"",IF(INDEX('支払先'!$M$5:$M$104,$P758)="対象外","",IF(AND($L758&gt;60,$K758&gt;=EDATE($B758,2)),"超える","")))</f>
        <v/>
      </c>
      <c r="N758" s="67" t="n"/>
      <c r="O758" s="31">
        <f>IF($A758="","",IFERROR(MATCH($A758,'通知一覧'!$B$5:$B$204,0),"なし"))</f>
        <v/>
      </c>
      <c r="P758" s="31">
        <f>IF(NOT(ISNUMBER($O758)),"",IFERROR(MATCH(INDEX('通知一覧'!$C$5:$C$204,$O758),'支払先'!$B$5:$B$104,0),""))</f>
        <v/>
      </c>
      <c r="Q758" s="31">
        <f>IF(AND($A758&lt;&gt;"",$A758='支払通知書'!$K$2),ROW(),"")</f>
        <v/>
      </c>
    </row>
    <row r="759" ht="18" customHeight="1">
      <c r="A759" s="18" t="n"/>
      <c r="B759" s="24" t="n"/>
      <c r="C759" s="19" t="n"/>
      <c r="D759" s="25" t="n"/>
      <c r="E759" s="18" t="n"/>
      <c r="F759" s="25" t="n"/>
      <c r="G759" s="18" t="n"/>
      <c r="H759" s="18" t="n"/>
      <c r="I759" s="26">
        <f>IF(OR($A759="",$F759=""),"",ROUND(IF($D759="",1,$D759)*$F759,0))</f>
        <v/>
      </c>
      <c r="J759" s="27">
        <f>IF($A759="","",IF($O759="なし","※通知一覧にない通知No",IF($P759="","",INDEX('支払先'!$C$5:$C$104,$P759)&amp;"")))</f>
        <v/>
      </c>
      <c r="K759" s="28">
        <f>IF(NOT(ISNUMBER($O759)),"",IF(ISNUMBER(INDEX('通知一覧'!$F$5:$F$204,$O759)),INDEX('通知一覧'!$F$5:$F$204,$O759),""))</f>
        <v/>
      </c>
      <c r="L759" s="29">
        <f>IF(AND(ISNUMBER($B759),ISNUMBER($K759)),$K759-$B759+1,"")</f>
        <v/>
      </c>
      <c r="M759" s="30">
        <f>IF(OR($L759="",$P759=""),"",IF(INDEX('支払先'!$M$5:$M$104,$P759)="対象外","",IF(AND($L759&gt;60,$K759&gt;=EDATE($B759,2)),"超える","")))</f>
        <v/>
      </c>
      <c r="N759" s="67" t="n"/>
      <c r="O759" s="31">
        <f>IF($A759="","",IFERROR(MATCH($A759,'通知一覧'!$B$5:$B$204,0),"なし"))</f>
        <v/>
      </c>
      <c r="P759" s="31">
        <f>IF(NOT(ISNUMBER($O759)),"",IFERROR(MATCH(INDEX('通知一覧'!$C$5:$C$204,$O759),'支払先'!$B$5:$B$104,0),""))</f>
        <v/>
      </c>
      <c r="Q759" s="31">
        <f>IF(AND($A759&lt;&gt;"",$A759='支払通知書'!$K$2),ROW(),"")</f>
        <v/>
      </c>
    </row>
    <row r="760" ht="18" customHeight="1">
      <c r="A760" s="18" t="n"/>
      <c r="B760" s="24" t="n"/>
      <c r="C760" s="19" t="n"/>
      <c r="D760" s="25" t="n"/>
      <c r="E760" s="18" t="n"/>
      <c r="F760" s="25" t="n"/>
      <c r="G760" s="18" t="n"/>
      <c r="H760" s="18" t="n"/>
      <c r="I760" s="26">
        <f>IF(OR($A760="",$F760=""),"",ROUND(IF($D760="",1,$D760)*$F760,0))</f>
        <v/>
      </c>
      <c r="J760" s="27">
        <f>IF($A760="","",IF($O760="なし","※通知一覧にない通知No",IF($P760="","",INDEX('支払先'!$C$5:$C$104,$P760)&amp;"")))</f>
        <v/>
      </c>
      <c r="K760" s="28">
        <f>IF(NOT(ISNUMBER($O760)),"",IF(ISNUMBER(INDEX('通知一覧'!$F$5:$F$204,$O760)),INDEX('通知一覧'!$F$5:$F$204,$O760),""))</f>
        <v/>
      </c>
      <c r="L760" s="29">
        <f>IF(AND(ISNUMBER($B760),ISNUMBER($K760)),$K760-$B760+1,"")</f>
        <v/>
      </c>
      <c r="M760" s="30">
        <f>IF(OR($L760="",$P760=""),"",IF(INDEX('支払先'!$M$5:$M$104,$P760)="対象外","",IF(AND($L760&gt;60,$K760&gt;=EDATE($B760,2)),"超える","")))</f>
        <v/>
      </c>
      <c r="N760" s="67" t="n"/>
      <c r="O760" s="31">
        <f>IF($A760="","",IFERROR(MATCH($A760,'通知一覧'!$B$5:$B$204,0),"なし"))</f>
        <v/>
      </c>
      <c r="P760" s="31">
        <f>IF(NOT(ISNUMBER($O760)),"",IFERROR(MATCH(INDEX('通知一覧'!$C$5:$C$204,$O760),'支払先'!$B$5:$B$104,0),""))</f>
        <v/>
      </c>
      <c r="Q760" s="31">
        <f>IF(AND($A760&lt;&gt;"",$A760='支払通知書'!$K$2),ROW(),"")</f>
        <v/>
      </c>
    </row>
    <row r="761" ht="18" customHeight="1">
      <c r="A761" s="18" t="n"/>
      <c r="B761" s="24" t="n"/>
      <c r="C761" s="19" t="n"/>
      <c r="D761" s="25" t="n"/>
      <c r="E761" s="18" t="n"/>
      <c r="F761" s="25" t="n"/>
      <c r="G761" s="18" t="n"/>
      <c r="H761" s="18" t="n"/>
      <c r="I761" s="26">
        <f>IF(OR($A761="",$F761=""),"",ROUND(IF($D761="",1,$D761)*$F761,0))</f>
        <v/>
      </c>
      <c r="J761" s="27">
        <f>IF($A761="","",IF($O761="なし","※通知一覧にない通知No",IF($P761="","",INDEX('支払先'!$C$5:$C$104,$P761)&amp;"")))</f>
        <v/>
      </c>
      <c r="K761" s="28">
        <f>IF(NOT(ISNUMBER($O761)),"",IF(ISNUMBER(INDEX('通知一覧'!$F$5:$F$204,$O761)),INDEX('通知一覧'!$F$5:$F$204,$O761),""))</f>
        <v/>
      </c>
      <c r="L761" s="29">
        <f>IF(AND(ISNUMBER($B761),ISNUMBER($K761)),$K761-$B761+1,"")</f>
        <v/>
      </c>
      <c r="M761" s="30">
        <f>IF(OR($L761="",$P761=""),"",IF(INDEX('支払先'!$M$5:$M$104,$P761)="対象外","",IF(AND($L761&gt;60,$K761&gt;=EDATE($B761,2)),"超える","")))</f>
        <v/>
      </c>
      <c r="N761" s="67" t="n"/>
      <c r="O761" s="31">
        <f>IF($A761="","",IFERROR(MATCH($A761,'通知一覧'!$B$5:$B$204,0),"なし"))</f>
        <v/>
      </c>
      <c r="P761" s="31">
        <f>IF(NOT(ISNUMBER($O761)),"",IFERROR(MATCH(INDEX('通知一覧'!$C$5:$C$204,$O761),'支払先'!$B$5:$B$104,0),""))</f>
        <v/>
      </c>
      <c r="Q761" s="31">
        <f>IF(AND($A761&lt;&gt;"",$A761='支払通知書'!$K$2),ROW(),"")</f>
        <v/>
      </c>
    </row>
    <row r="762" ht="18" customHeight="1">
      <c r="A762" s="18" t="n"/>
      <c r="B762" s="24" t="n"/>
      <c r="C762" s="19" t="n"/>
      <c r="D762" s="25" t="n"/>
      <c r="E762" s="18" t="n"/>
      <c r="F762" s="25" t="n"/>
      <c r="G762" s="18" t="n"/>
      <c r="H762" s="18" t="n"/>
      <c r="I762" s="26">
        <f>IF(OR($A762="",$F762=""),"",ROUND(IF($D762="",1,$D762)*$F762,0))</f>
        <v/>
      </c>
      <c r="J762" s="27">
        <f>IF($A762="","",IF($O762="なし","※通知一覧にない通知No",IF($P762="","",INDEX('支払先'!$C$5:$C$104,$P762)&amp;"")))</f>
        <v/>
      </c>
      <c r="K762" s="28">
        <f>IF(NOT(ISNUMBER($O762)),"",IF(ISNUMBER(INDEX('通知一覧'!$F$5:$F$204,$O762)),INDEX('通知一覧'!$F$5:$F$204,$O762),""))</f>
        <v/>
      </c>
      <c r="L762" s="29">
        <f>IF(AND(ISNUMBER($B762),ISNUMBER($K762)),$K762-$B762+1,"")</f>
        <v/>
      </c>
      <c r="M762" s="30">
        <f>IF(OR($L762="",$P762=""),"",IF(INDEX('支払先'!$M$5:$M$104,$P762)="対象外","",IF(AND($L762&gt;60,$K762&gt;=EDATE($B762,2)),"超える","")))</f>
        <v/>
      </c>
      <c r="N762" s="67" t="n"/>
      <c r="O762" s="31">
        <f>IF($A762="","",IFERROR(MATCH($A762,'通知一覧'!$B$5:$B$204,0),"なし"))</f>
        <v/>
      </c>
      <c r="P762" s="31">
        <f>IF(NOT(ISNUMBER($O762)),"",IFERROR(MATCH(INDEX('通知一覧'!$C$5:$C$204,$O762),'支払先'!$B$5:$B$104,0),""))</f>
        <v/>
      </c>
      <c r="Q762" s="31">
        <f>IF(AND($A762&lt;&gt;"",$A762='支払通知書'!$K$2),ROW(),"")</f>
        <v/>
      </c>
    </row>
    <row r="763" ht="18" customHeight="1">
      <c r="A763" s="18" t="n"/>
      <c r="B763" s="24" t="n"/>
      <c r="C763" s="19" t="n"/>
      <c r="D763" s="25" t="n"/>
      <c r="E763" s="18" t="n"/>
      <c r="F763" s="25" t="n"/>
      <c r="G763" s="18" t="n"/>
      <c r="H763" s="18" t="n"/>
      <c r="I763" s="26">
        <f>IF(OR($A763="",$F763=""),"",ROUND(IF($D763="",1,$D763)*$F763,0))</f>
        <v/>
      </c>
      <c r="J763" s="27">
        <f>IF($A763="","",IF($O763="なし","※通知一覧にない通知No",IF($P763="","",INDEX('支払先'!$C$5:$C$104,$P763)&amp;"")))</f>
        <v/>
      </c>
      <c r="K763" s="28">
        <f>IF(NOT(ISNUMBER($O763)),"",IF(ISNUMBER(INDEX('通知一覧'!$F$5:$F$204,$O763)),INDEX('通知一覧'!$F$5:$F$204,$O763),""))</f>
        <v/>
      </c>
      <c r="L763" s="29">
        <f>IF(AND(ISNUMBER($B763),ISNUMBER($K763)),$K763-$B763+1,"")</f>
        <v/>
      </c>
      <c r="M763" s="30">
        <f>IF(OR($L763="",$P763=""),"",IF(INDEX('支払先'!$M$5:$M$104,$P763)="対象外","",IF(AND($L763&gt;60,$K763&gt;=EDATE($B763,2)),"超える","")))</f>
        <v/>
      </c>
      <c r="N763" s="67" t="n"/>
      <c r="O763" s="31">
        <f>IF($A763="","",IFERROR(MATCH($A763,'通知一覧'!$B$5:$B$204,0),"なし"))</f>
        <v/>
      </c>
      <c r="P763" s="31">
        <f>IF(NOT(ISNUMBER($O763)),"",IFERROR(MATCH(INDEX('通知一覧'!$C$5:$C$204,$O763),'支払先'!$B$5:$B$104,0),""))</f>
        <v/>
      </c>
      <c r="Q763" s="31">
        <f>IF(AND($A763&lt;&gt;"",$A763='支払通知書'!$K$2),ROW(),"")</f>
        <v/>
      </c>
    </row>
    <row r="764" ht="18" customHeight="1">
      <c r="A764" s="18" t="n"/>
      <c r="B764" s="24" t="n"/>
      <c r="C764" s="19" t="n"/>
      <c r="D764" s="25" t="n"/>
      <c r="E764" s="18" t="n"/>
      <c r="F764" s="25" t="n"/>
      <c r="G764" s="18" t="n"/>
      <c r="H764" s="18" t="n"/>
      <c r="I764" s="26">
        <f>IF(OR($A764="",$F764=""),"",ROUND(IF($D764="",1,$D764)*$F764,0))</f>
        <v/>
      </c>
      <c r="J764" s="27">
        <f>IF($A764="","",IF($O764="なし","※通知一覧にない通知No",IF($P764="","",INDEX('支払先'!$C$5:$C$104,$P764)&amp;"")))</f>
        <v/>
      </c>
      <c r="K764" s="28">
        <f>IF(NOT(ISNUMBER($O764)),"",IF(ISNUMBER(INDEX('通知一覧'!$F$5:$F$204,$O764)),INDEX('通知一覧'!$F$5:$F$204,$O764),""))</f>
        <v/>
      </c>
      <c r="L764" s="29">
        <f>IF(AND(ISNUMBER($B764),ISNUMBER($K764)),$K764-$B764+1,"")</f>
        <v/>
      </c>
      <c r="M764" s="30">
        <f>IF(OR($L764="",$P764=""),"",IF(INDEX('支払先'!$M$5:$M$104,$P764)="対象外","",IF(AND($L764&gt;60,$K764&gt;=EDATE($B764,2)),"超える","")))</f>
        <v/>
      </c>
      <c r="N764" s="67" t="n"/>
      <c r="O764" s="31">
        <f>IF($A764="","",IFERROR(MATCH($A764,'通知一覧'!$B$5:$B$204,0),"なし"))</f>
        <v/>
      </c>
      <c r="P764" s="31">
        <f>IF(NOT(ISNUMBER($O764)),"",IFERROR(MATCH(INDEX('通知一覧'!$C$5:$C$204,$O764),'支払先'!$B$5:$B$104,0),""))</f>
        <v/>
      </c>
      <c r="Q764" s="31">
        <f>IF(AND($A764&lt;&gt;"",$A764='支払通知書'!$K$2),ROW(),"")</f>
        <v/>
      </c>
    </row>
    <row r="765" ht="18" customHeight="1">
      <c r="A765" s="18" t="n"/>
      <c r="B765" s="24" t="n"/>
      <c r="C765" s="19" t="n"/>
      <c r="D765" s="25" t="n"/>
      <c r="E765" s="18" t="n"/>
      <c r="F765" s="25" t="n"/>
      <c r="G765" s="18" t="n"/>
      <c r="H765" s="18" t="n"/>
      <c r="I765" s="26">
        <f>IF(OR($A765="",$F765=""),"",ROUND(IF($D765="",1,$D765)*$F765,0))</f>
        <v/>
      </c>
      <c r="J765" s="27">
        <f>IF($A765="","",IF($O765="なし","※通知一覧にない通知No",IF($P765="","",INDEX('支払先'!$C$5:$C$104,$P765)&amp;"")))</f>
        <v/>
      </c>
      <c r="K765" s="28">
        <f>IF(NOT(ISNUMBER($O765)),"",IF(ISNUMBER(INDEX('通知一覧'!$F$5:$F$204,$O765)),INDEX('通知一覧'!$F$5:$F$204,$O765),""))</f>
        <v/>
      </c>
      <c r="L765" s="29">
        <f>IF(AND(ISNUMBER($B765),ISNUMBER($K765)),$K765-$B765+1,"")</f>
        <v/>
      </c>
      <c r="M765" s="30">
        <f>IF(OR($L765="",$P765=""),"",IF(INDEX('支払先'!$M$5:$M$104,$P765)="対象外","",IF(AND($L765&gt;60,$K765&gt;=EDATE($B765,2)),"超える","")))</f>
        <v/>
      </c>
      <c r="N765" s="67" t="n"/>
      <c r="O765" s="31">
        <f>IF($A765="","",IFERROR(MATCH($A765,'通知一覧'!$B$5:$B$204,0),"なし"))</f>
        <v/>
      </c>
      <c r="P765" s="31">
        <f>IF(NOT(ISNUMBER($O765)),"",IFERROR(MATCH(INDEX('通知一覧'!$C$5:$C$204,$O765),'支払先'!$B$5:$B$104,0),""))</f>
        <v/>
      </c>
      <c r="Q765" s="31">
        <f>IF(AND($A765&lt;&gt;"",$A765='支払通知書'!$K$2),ROW(),"")</f>
        <v/>
      </c>
    </row>
    <row r="766" ht="18" customHeight="1">
      <c r="A766" s="18" t="n"/>
      <c r="B766" s="24" t="n"/>
      <c r="C766" s="19" t="n"/>
      <c r="D766" s="25" t="n"/>
      <c r="E766" s="18" t="n"/>
      <c r="F766" s="25" t="n"/>
      <c r="G766" s="18" t="n"/>
      <c r="H766" s="18" t="n"/>
      <c r="I766" s="26">
        <f>IF(OR($A766="",$F766=""),"",ROUND(IF($D766="",1,$D766)*$F766,0))</f>
        <v/>
      </c>
      <c r="J766" s="27">
        <f>IF($A766="","",IF($O766="なし","※通知一覧にない通知No",IF($P766="","",INDEX('支払先'!$C$5:$C$104,$P766)&amp;"")))</f>
        <v/>
      </c>
      <c r="K766" s="28">
        <f>IF(NOT(ISNUMBER($O766)),"",IF(ISNUMBER(INDEX('通知一覧'!$F$5:$F$204,$O766)),INDEX('通知一覧'!$F$5:$F$204,$O766),""))</f>
        <v/>
      </c>
      <c r="L766" s="29">
        <f>IF(AND(ISNUMBER($B766),ISNUMBER($K766)),$K766-$B766+1,"")</f>
        <v/>
      </c>
      <c r="M766" s="30">
        <f>IF(OR($L766="",$P766=""),"",IF(INDEX('支払先'!$M$5:$M$104,$P766)="対象外","",IF(AND($L766&gt;60,$K766&gt;=EDATE($B766,2)),"超える","")))</f>
        <v/>
      </c>
      <c r="N766" s="67" t="n"/>
      <c r="O766" s="31">
        <f>IF($A766="","",IFERROR(MATCH($A766,'通知一覧'!$B$5:$B$204,0),"なし"))</f>
        <v/>
      </c>
      <c r="P766" s="31">
        <f>IF(NOT(ISNUMBER($O766)),"",IFERROR(MATCH(INDEX('通知一覧'!$C$5:$C$204,$O766),'支払先'!$B$5:$B$104,0),""))</f>
        <v/>
      </c>
      <c r="Q766" s="31">
        <f>IF(AND($A766&lt;&gt;"",$A766='支払通知書'!$K$2),ROW(),"")</f>
        <v/>
      </c>
    </row>
    <row r="767" ht="18" customHeight="1">
      <c r="A767" s="18" t="n"/>
      <c r="B767" s="24" t="n"/>
      <c r="C767" s="19" t="n"/>
      <c r="D767" s="25" t="n"/>
      <c r="E767" s="18" t="n"/>
      <c r="F767" s="25" t="n"/>
      <c r="G767" s="18" t="n"/>
      <c r="H767" s="18" t="n"/>
      <c r="I767" s="26">
        <f>IF(OR($A767="",$F767=""),"",ROUND(IF($D767="",1,$D767)*$F767,0))</f>
        <v/>
      </c>
      <c r="J767" s="27">
        <f>IF($A767="","",IF($O767="なし","※通知一覧にない通知No",IF($P767="","",INDEX('支払先'!$C$5:$C$104,$P767)&amp;"")))</f>
        <v/>
      </c>
      <c r="K767" s="28">
        <f>IF(NOT(ISNUMBER($O767)),"",IF(ISNUMBER(INDEX('通知一覧'!$F$5:$F$204,$O767)),INDEX('通知一覧'!$F$5:$F$204,$O767),""))</f>
        <v/>
      </c>
      <c r="L767" s="29">
        <f>IF(AND(ISNUMBER($B767),ISNUMBER($K767)),$K767-$B767+1,"")</f>
        <v/>
      </c>
      <c r="M767" s="30">
        <f>IF(OR($L767="",$P767=""),"",IF(INDEX('支払先'!$M$5:$M$104,$P767)="対象外","",IF(AND($L767&gt;60,$K767&gt;=EDATE($B767,2)),"超える","")))</f>
        <v/>
      </c>
      <c r="N767" s="67" t="n"/>
      <c r="O767" s="31">
        <f>IF($A767="","",IFERROR(MATCH($A767,'通知一覧'!$B$5:$B$204,0),"なし"))</f>
        <v/>
      </c>
      <c r="P767" s="31">
        <f>IF(NOT(ISNUMBER($O767)),"",IFERROR(MATCH(INDEX('通知一覧'!$C$5:$C$204,$O767),'支払先'!$B$5:$B$104,0),""))</f>
        <v/>
      </c>
      <c r="Q767" s="31">
        <f>IF(AND($A767&lt;&gt;"",$A767='支払通知書'!$K$2),ROW(),"")</f>
        <v/>
      </c>
    </row>
    <row r="768" ht="18" customHeight="1">
      <c r="A768" s="18" t="n"/>
      <c r="B768" s="24" t="n"/>
      <c r="C768" s="19" t="n"/>
      <c r="D768" s="25" t="n"/>
      <c r="E768" s="18" t="n"/>
      <c r="F768" s="25" t="n"/>
      <c r="G768" s="18" t="n"/>
      <c r="H768" s="18" t="n"/>
      <c r="I768" s="26">
        <f>IF(OR($A768="",$F768=""),"",ROUND(IF($D768="",1,$D768)*$F768,0))</f>
        <v/>
      </c>
      <c r="J768" s="27">
        <f>IF($A768="","",IF($O768="なし","※通知一覧にない通知No",IF($P768="","",INDEX('支払先'!$C$5:$C$104,$P768)&amp;"")))</f>
        <v/>
      </c>
      <c r="K768" s="28">
        <f>IF(NOT(ISNUMBER($O768)),"",IF(ISNUMBER(INDEX('通知一覧'!$F$5:$F$204,$O768)),INDEX('通知一覧'!$F$5:$F$204,$O768),""))</f>
        <v/>
      </c>
      <c r="L768" s="29">
        <f>IF(AND(ISNUMBER($B768),ISNUMBER($K768)),$K768-$B768+1,"")</f>
        <v/>
      </c>
      <c r="M768" s="30">
        <f>IF(OR($L768="",$P768=""),"",IF(INDEX('支払先'!$M$5:$M$104,$P768)="対象外","",IF(AND($L768&gt;60,$K768&gt;=EDATE($B768,2)),"超える","")))</f>
        <v/>
      </c>
      <c r="N768" s="67" t="n"/>
      <c r="O768" s="31">
        <f>IF($A768="","",IFERROR(MATCH($A768,'通知一覧'!$B$5:$B$204,0),"なし"))</f>
        <v/>
      </c>
      <c r="P768" s="31">
        <f>IF(NOT(ISNUMBER($O768)),"",IFERROR(MATCH(INDEX('通知一覧'!$C$5:$C$204,$O768),'支払先'!$B$5:$B$104,0),""))</f>
        <v/>
      </c>
      <c r="Q768" s="31">
        <f>IF(AND($A768&lt;&gt;"",$A768='支払通知書'!$K$2),ROW(),"")</f>
        <v/>
      </c>
    </row>
    <row r="769" ht="18" customHeight="1">
      <c r="A769" s="18" t="n"/>
      <c r="B769" s="24" t="n"/>
      <c r="C769" s="19" t="n"/>
      <c r="D769" s="25" t="n"/>
      <c r="E769" s="18" t="n"/>
      <c r="F769" s="25" t="n"/>
      <c r="G769" s="18" t="n"/>
      <c r="H769" s="18" t="n"/>
      <c r="I769" s="26">
        <f>IF(OR($A769="",$F769=""),"",ROUND(IF($D769="",1,$D769)*$F769,0))</f>
        <v/>
      </c>
      <c r="J769" s="27">
        <f>IF($A769="","",IF($O769="なし","※通知一覧にない通知No",IF($P769="","",INDEX('支払先'!$C$5:$C$104,$P769)&amp;"")))</f>
        <v/>
      </c>
      <c r="K769" s="28">
        <f>IF(NOT(ISNUMBER($O769)),"",IF(ISNUMBER(INDEX('通知一覧'!$F$5:$F$204,$O769)),INDEX('通知一覧'!$F$5:$F$204,$O769),""))</f>
        <v/>
      </c>
      <c r="L769" s="29">
        <f>IF(AND(ISNUMBER($B769),ISNUMBER($K769)),$K769-$B769+1,"")</f>
        <v/>
      </c>
      <c r="M769" s="30">
        <f>IF(OR($L769="",$P769=""),"",IF(INDEX('支払先'!$M$5:$M$104,$P769)="対象外","",IF(AND($L769&gt;60,$K769&gt;=EDATE($B769,2)),"超える","")))</f>
        <v/>
      </c>
      <c r="N769" s="67" t="n"/>
      <c r="O769" s="31">
        <f>IF($A769="","",IFERROR(MATCH($A769,'通知一覧'!$B$5:$B$204,0),"なし"))</f>
        <v/>
      </c>
      <c r="P769" s="31">
        <f>IF(NOT(ISNUMBER($O769)),"",IFERROR(MATCH(INDEX('通知一覧'!$C$5:$C$204,$O769),'支払先'!$B$5:$B$104,0),""))</f>
        <v/>
      </c>
      <c r="Q769" s="31">
        <f>IF(AND($A769&lt;&gt;"",$A769='支払通知書'!$K$2),ROW(),"")</f>
        <v/>
      </c>
    </row>
    <row r="770" ht="18" customHeight="1">
      <c r="A770" s="18" t="n"/>
      <c r="B770" s="24" t="n"/>
      <c r="C770" s="19" t="n"/>
      <c r="D770" s="25" t="n"/>
      <c r="E770" s="18" t="n"/>
      <c r="F770" s="25" t="n"/>
      <c r="G770" s="18" t="n"/>
      <c r="H770" s="18" t="n"/>
      <c r="I770" s="26">
        <f>IF(OR($A770="",$F770=""),"",ROUND(IF($D770="",1,$D770)*$F770,0))</f>
        <v/>
      </c>
      <c r="J770" s="27">
        <f>IF($A770="","",IF($O770="なし","※通知一覧にない通知No",IF($P770="","",INDEX('支払先'!$C$5:$C$104,$P770)&amp;"")))</f>
        <v/>
      </c>
      <c r="K770" s="28">
        <f>IF(NOT(ISNUMBER($O770)),"",IF(ISNUMBER(INDEX('通知一覧'!$F$5:$F$204,$O770)),INDEX('通知一覧'!$F$5:$F$204,$O770),""))</f>
        <v/>
      </c>
      <c r="L770" s="29">
        <f>IF(AND(ISNUMBER($B770),ISNUMBER($K770)),$K770-$B770+1,"")</f>
        <v/>
      </c>
      <c r="M770" s="30">
        <f>IF(OR($L770="",$P770=""),"",IF(INDEX('支払先'!$M$5:$M$104,$P770)="対象外","",IF(AND($L770&gt;60,$K770&gt;=EDATE($B770,2)),"超える","")))</f>
        <v/>
      </c>
      <c r="N770" s="67" t="n"/>
      <c r="O770" s="31">
        <f>IF($A770="","",IFERROR(MATCH($A770,'通知一覧'!$B$5:$B$204,0),"なし"))</f>
        <v/>
      </c>
      <c r="P770" s="31">
        <f>IF(NOT(ISNUMBER($O770)),"",IFERROR(MATCH(INDEX('通知一覧'!$C$5:$C$204,$O770),'支払先'!$B$5:$B$104,0),""))</f>
        <v/>
      </c>
      <c r="Q770" s="31">
        <f>IF(AND($A770&lt;&gt;"",$A770='支払通知書'!$K$2),ROW(),"")</f>
        <v/>
      </c>
    </row>
    <row r="771" ht="18" customHeight="1">
      <c r="A771" s="18" t="n"/>
      <c r="B771" s="24" t="n"/>
      <c r="C771" s="19" t="n"/>
      <c r="D771" s="25" t="n"/>
      <c r="E771" s="18" t="n"/>
      <c r="F771" s="25" t="n"/>
      <c r="G771" s="18" t="n"/>
      <c r="H771" s="18" t="n"/>
      <c r="I771" s="26">
        <f>IF(OR($A771="",$F771=""),"",ROUND(IF($D771="",1,$D771)*$F771,0))</f>
        <v/>
      </c>
      <c r="J771" s="27">
        <f>IF($A771="","",IF($O771="なし","※通知一覧にない通知No",IF($P771="","",INDEX('支払先'!$C$5:$C$104,$P771)&amp;"")))</f>
        <v/>
      </c>
      <c r="K771" s="28">
        <f>IF(NOT(ISNUMBER($O771)),"",IF(ISNUMBER(INDEX('通知一覧'!$F$5:$F$204,$O771)),INDEX('通知一覧'!$F$5:$F$204,$O771),""))</f>
        <v/>
      </c>
      <c r="L771" s="29">
        <f>IF(AND(ISNUMBER($B771),ISNUMBER($K771)),$K771-$B771+1,"")</f>
        <v/>
      </c>
      <c r="M771" s="30">
        <f>IF(OR($L771="",$P771=""),"",IF(INDEX('支払先'!$M$5:$M$104,$P771)="対象外","",IF(AND($L771&gt;60,$K771&gt;=EDATE($B771,2)),"超える","")))</f>
        <v/>
      </c>
      <c r="N771" s="67" t="n"/>
      <c r="O771" s="31">
        <f>IF($A771="","",IFERROR(MATCH($A771,'通知一覧'!$B$5:$B$204,0),"なし"))</f>
        <v/>
      </c>
      <c r="P771" s="31">
        <f>IF(NOT(ISNUMBER($O771)),"",IFERROR(MATCH(INDEX('通知一覧'!$C$5:$C$204,$O771),'支払先'!$B$5:$B$104,0),""))</f>
        <v/>
      </c>
      <c r="Q771" s="31">
        <f>IF(AND($A771&lt;&gt;"",$A771='支払通知書'!$K$2),ROW(),"")</f>
        <v/>
      </c>
    </row>
    <row r="772" ht="18" customHeight="1">
      <c r="A772" s="18" t="n"/>
      <c r="B772" s="24" t="n"/>
      <c r="C772" s="19" t="n"/>
      <c r="D772" s="25" t="n"/>
      <c r="E772" s="18" t="n"/>
      <c r="F772" s="25" t="n"/>
      <c r="G772" s="18" t="n"/>
      <c r="H772" s="18" t="n"/>
      <c r="I772" s="26">
        <f>IF(OR($A772="",$F772=""),"",ROUND(IF($D772="",1,$D772)*$F772,0))</f>
        <v/>
      </c>
      <c r="J772" s="27">
        <f>IF($A772="","",IF($O772="なし","※通知一覧にない通知No",IF($P772="","",INDEX('支払先'!$C$5:$C$104,$P772)&amp;"")))</f>
        <v/>
      </c>
      <c r="K772" s="28">
        <f>IF(NOT(ISNUMBER($O772)),"",IF(ISNUMBER(INDEX('通知一覧'!$F$5:$F$204,$O772)),INDEX('通知一覧'!$F$5:$F$204,$O772),""))</f>
        <v/>
      </c>
      <c r="L772" s="29">
        <f>IF(AND(ISNUMBER($B772),ISNUMBER($K772)),$K772-$B772+1,"")</f>
        <v/>
      </c>
      <c r="M772" s="30">
        <f>IF(OR($L772="",$P772=""),"",IF(INDEX('支払先'!$M$5:$M$104,$P772)="対象外","",IF(AND($L772&gt;60,$K772&gt;=EDATE($B772,2)),"超える","")))</f>
        <v/>
      </c>
      <c r="N772" s="67" t="n"/>
      <c r="O772" s="31">
        <f>IF($A772="","",IFERROR(MATCH($A772,'通知一覧'!$B$5:$B$204,0),"なし"))</f>
        <v/>
      </c>
      <c r="P772" s="31">
        <f>IF(NOT(ISNUMBER($O772)),"",IFERROR(MATCH(INDEX('通知一覧'!$C$5:$C$204,$O772),'支払先'!$B$5:$B$104,0),""))</f>
        <v/>
      </c>
      <c r="Q772" s="31">
        <f>IF(AND($A772&lt;&gt;"",$A772='支払通知書'!$K$2),ROW(),"")</f>
        <v/>
      </c>
    </row>
    <row r="773" ht="18" customHeight="1">
      <c r="A773" s="18" t="n"/>
      <c r="B773" s="24" t="n"/>
      <c r="C773" s="19" t="n"/>
      <c r="D773" s="25" t="n"/>
      <c r="E773" s="18" t="n"/>
      <c r="F773" s="25" t="n"/>
      <c r="G773" s="18" t="n"/>
      <c r="H773" s="18" t="n"/>
      <c r="I773" s="26">
        <f>IF(OR($A773="",$F773=""),"",ROUND(IF($D773="",1,$D773)*$F773,0))</f>
        <v/>
      </c>
      <c r="J773" s="27">
        <f>IF($A773="","",IF($O773="なし","※通知一覧にない通知No",IF($P773="","",INDEX('支払先'!$C$5:$C$104,$P773)&amp;"")))</f>
        <v/>
      </c>
      <c r="K773" s="28">
        <f>IF(NOT(ISNUMBER($O773)),"",IF(ISNUMBER(INDEX('通知一覧'!$F$5:$F$204,$O773)),INDEX('通知一覧'!$F$5:$F$204,$O773),""))</f>
        <v/>
      </c>
      <c r="L773" s="29">
        <f>IF(AND(ISNUMBER($B773),ISNUMBER($K773)),$K773-$B773+1,"")</f>
        <v/>
      </c>
      <c r="M773" s="30">
        <f>IF(OR($L773="",$P773=""),"",IF(INDEX('支払先'!$M$5:$M$104,$P773)="対象外","",IF(AND($L773&gt;60,$K773&gt;=EDATE($B773,2)),"超える","")))</f>
        <v/>
      </c>
      <c r="N773" s="67" t="n"/>
      <c r="O773" s="31">
        <f>IF($A773="","",IFERROR(MATCH($A773,'通知一覧'!$B$5:$B$204,0),"なし"))</f>
        <v/>
      </c>
      <c r="P773" s="31">
        <f>IF(NOT(ISNUMBER($O773)),"",IFERROR(MATCH(INDEX('通知一覧'!$C$5:$C$204,$O773),'支払先'!$B$5:$B$104,0),""))</f>
        <v/>
      </c>
      <c r="Q773" s="31">
        <f>IF(AND($A773&lt;&gt;"",$A773='支払通知書'!$K$2),ROW(),"")</f>
        <v/>
      </c>
    </row>
    <row r="774" ht="18" customHeight="1">
      <c r="A774" s="18" t="n"/>
      <c r="B774" s="24" t="n"/>
      <c r="C774" s="19" t="n"/>
      <c r="D774" s="25" t="n"/>
      <c r="E774" s="18" t="n"/>
      <c r="F774" s="25" t="n"/>
      <c r="G774" s="18" t="n"/>
      <c r="H774" s="18" t="n"/>
      <c r="I774" s="26">
        <f>IF(OR($A774="",$F774=""),"",ROUND(IF($D774="",1,$D774)*$F774,0))</f>
        <v/>
      </c>
      <c r="J774" s="27">
        <f>IF($A774="","",IF($O774="なし","※通知一覧にない通知No",IF($P774="","",INDEX('支払先'!$C$5:$C$104,$P774)&amp;"")))</f>
        <v/>
      </c>
      <c r="K774" s="28">
        <f>IF(NOT(ISNUMBER($O774)),"",IF(ISNUMBER(INDEX('通知一覧'!$F$5:$F$204,$O774)),INDEX('通知一覧'!$F$5:$F$204,$O774),""))</f>
        <v/>
      </c>
      <c r="L774" s="29">
        <f>IF(AND(ISNUMBER($B774),ISNUMBER($K774)),$K774-$B774+1,"")</f>
        <v/>
      </c>
      <c r="M774" s="30">
        <f>IF(OR($L774="",$P774=""),"",IF(INDEX('支払先'!$M$5:$M$104,$P774)="対象外","",IF(AND($L774&gt;60,$K774&gt;=EDATE($B774,2)),"超える","")))</f>
        <v/>
      </c>
      <c r="N774" s="67" t="n"/>
      <c r="O774" s="31">
        <f>IF($A774="","",IFERROR(MATCH($A774,'通知一覧'!$B$5:$B$204,0),"なし"))</f>
        <v/>
      </c>
      <c r="P774" s="31">
        <f>IF(NOT(ISNUMBER($O774)),"",IFERROR(MATCH(INDEX('通知一覧'!$C$5:$C$204,$O774),'支払先'!$B$5:$B$104,0),""))</f>
        <v/>
      </c>
      <c r="Q774" s="31">
        <f>IF(AND($A774&lt;&gt;"",$A774='支払通知書'!$K$2),ROW(),"")</f>
        <v/>
      </c>
    </row>
    <row r="775" ht="18" customHeight="1">
      <c r="A775" s="18" t="n"/>
      <c r="B775" s="24" t="n"/>
      <c r="C775" s="19" t="n"/>
      <c r="D775" s="25" t="n"/>
      <c r="E775" s="18" t="n"/>
      <c r="F775" s="25" t="n"/>
      <c r="G775" s="18" t="n"/>
      <c r="H775" s="18" t="n"/>
      <c r="I775" s="26">
        <f>IF(OR($A775="",$F775=""),"",ROUND(IF($D775="",1,$D775)*$F775,0))</f>
        <v/>
      </c>
      <c r="J775" s="27">
        <f>IF($A775="","",IF($O775="なし","※通知一覧にない通知No",IF($P775="","",INDEX('支払先'!$C$5:$C$104,$P775)&amp;"")))</f>
        <v/>
      </c>
      <c r="K775" s="28">
        <f>IF(NOT(ISNUMBER($O775)),"",IF(ISNUMBER(INDEX('通知一覧'!$F$5:$F$204,$O775)),INDEX('通知一覧'!$F$5:$F$204,$O775),""))</f>
        <v/>
      </c>
      <c r="L775" s="29">
        <f>IF(AND(ISNUMBER($B775),ISNUMBER($K775)),$K775-$B775+1,"")</f>
        <v/>
      </c>
      <c r="M775" s="30">
        <f>IF(OR($L775="",$P775=""),"",IF(INDEX('支払先'!$M$5:$M$104,$P775)="対象外","",IF(AND($L775&gt;60,$K775&gt;=EDATE($B775,2)),"超える","")))</f>
        <v/>
      </c>
      <c r="N775" s="67" t="n"/>
      <c r="O775" s="31">
        <f>IF($A775="","",IFERROR(MATCH($A775,'通知一覧'!$B$5:$B$204,0),"なし"))</f>
        <v/>
      </c>
      <c r="P775" s="31">
        <f>IF(NOT(ISNUMBER($O775)),"",IFERROR(MATCH(INDEX('通知一覧'!$C$5:$C$204,$O775),'支払先'!$B$5:$B$104,0),""))</f>
        <v/>
      </c>
      <c r="Q775" s="31">
        <f>IF(AND($A775&lt;&gt;"",$A775='支払通知書'!$K$2),ROW(),"")</f>
        <v/>
      </c>
    </row>
    <row r="776" ht="18" customHeight="1">
      <c r="A776" s="18" t="n"/>
      <c r="B776" s="24" t="n"/>
      <c r="C776" s="19" t="n"/>
      <c r="D776" s="25" t="n"/>
      <c r="E776" s="18" t="n"/>
      <c r="F776" s="25" t="n"/>
      <c r="G776" s="18" t="n"/>
      <c r="H776" s="18" t="n"/>
      <c r="I776" s="26">
        <f>IF(OR($A776="",$F776=""),"",ROUND(IF($D776="",1,$D776)*$F776,0))</f>
        <v/>
      </c>
      <c r="J776" s="27">
        <f>IF($A776="","",IF($O776="なし","※通知一覧にない通知No",IF($P776="","",INDEX('支払先'!$C$5:$C$104,$P776)&amp;"")))</f>
        <v/>
      </c>
      <c r="K776" s="28">
        <f>IF(NOT(ISNUMBER($O776)),"",IF(ISNUMBER(INDEX('通知一覧'!$F$5:$F$204,$O776)),INDEX('通知一覧'!$F$5:$F$204,$O776),""))</f>
        <v/>
      </c>
      <c r="L776" s="29">
        <f>IF(AND(ISNUMBER($B776),ISNUMBER($K776)),$K776-$B776+1,"")</f>
        <v/>
      </c>
      <c r="M776" s="30">
        <f>IF(OR($L776="",$P776=""),"",IF(INDEX('支払先'!$M$5:$M$104,$P776)="対象外","",IF(AND($L776&gt;60,$K776&gt;=EDATE($B776,2)),"超える","")))</f>
        <v/>
      </c>
      <c r="N776" s="67" t="n"/>
      <c r="O776" s="31">
        <f>IF($A776="","",IFERROR(MATCH($A776,'通知一覧'!$B$5:$B$204,0),"なし"))</f>
        <v/>
      </c>
      <c r="P776" s="31">
        <f>IF(NOT(ISNUMBER($O776)),"",IFERROR(MATCH(INDEX('通知一覧'!$C$5:$C$204,$O776),'支払先'!$B$5:$B$104,0),""))</f>
        <v/>
      </c>
      <c r="Q776" s="31">
        <f>IF(AND($A776&lt;&gt;"",$A776='支払通知書'!$K$2),ROW(),"")</f>
        <v/>
      </c>
    </row>
    <row r="777" ht="18" customHeight="1">
      <c r="A777" s="18" t="n"/>
      <c r="B777" s="24" t="n"/>
      <c r="C777" s="19" t="n"/>
      <c r="D777" s="25" t="n"/>
      <c r="E777" s="18" t="n"/>
      <c r="F777" s="25" t="n"/>
      <c r="G777" s="18" t="n"/>
      <c r="H777" s="18" t="n"/>
      <c r="I777" s="26">
        <f>IF(OR($A777="",$F777=""),"",ROUND(IF($D777="",1,$D777)*$F777,0))</f>
        <v/>
      </c>
      <c r="J777" s="27">
        <f>IF($A777="","",IF($O777="なし","※通知一覧にない通知No",IF($P777="","",INDEX('支払先'!$C$5:$C$104,$P777)&amp;"")))</f>
        <v/>
      </c>
      <c r="K777" s="28">
        <f>IF(NOT(ISNUMBER($O777)),"",IF(ISNUMBER(INDEX('通知一覧'!$F$5:$F$204,$O777)),INDEX('通知一覧'!$F$5:$F$204,$O777),""))</f>
        <v/>
      </c>
      <c r="L777" s="29">
        <f>IF(AND(ISNUMBER($B777),ISNUMBER($K777)),$K777-$B777+1,"")</f>
        <v/>
      </c>
      <c r="M777" s="30">
        <f>IF(OR($L777="",$P777=""),"",IF(INDEX('支払先'!$M$5:$M$104,$P777)="対象外","",IF(AND($L777&gt;60,$K777&gt;=EDATE($B777,2)),"超える","")))</f>
        <v/>
      </c>
      <c r="N777" s="67" t="n"/>
      <c r="O777" s="31">
        <f>IF($A777="","",IFERROR(MATCH($A777,'通知一覧'!$B$5:$B$204,0),"なし"))</f>
        <v/>
      </c>
      <c r="P777" s="31">
        <f>IF(NOT(ISNUMBER($O777)),"",IFERROR(MATCH(INDEX('通知一覧'!$C$5:$C$204,$O777),'支払先'!$B$5:$B$104,0),""))</f>
        <v/>
      </c>
      <c r="Q777" s="31">
        <f>IF(AND($A777&lt;&gt;"",$A777='支払通知書'!$K$2),ROW(),"")</f>
        <v/>
      </c>
    </row>
    <row r="778" ht="18" customHeight="1">
      <c r="A778" s="18" t="n"/>
      <c r="B778" s="24" t="n"/>
      <c r="C778" s="19" t="n"/>
      <c r="D778" s="25" t="n"/>
      <c r="E778" s="18" t="n"/>
      <c r="F778" s="25" t="n"/>
      <c r="G778" s="18" t="n"/>
      <c r="H778" s="18" t="n"/>
      <c r="I778" s="26">
        <f>IF(OR($A778="",$F778=""),"",ROUND(IF($D778="",1,$D778)*$F778,0))</f>
        <v/>
      </c>
      <c r="J778" s="27">
        <f>IF($A778="","",IF($O778="なし","※通知一覧にない通知No",IF($P778="","",INDEX('支払先'!$C$5:$C$104,$P778)&amp;"")))</f>
        <v/>
      </c>
      <c r="K778" s="28">
        <f>IF(NOT(ISNUMBER($O778)),"",IF(ISNUMBER(INDEX('通知一覧'!$F$5:$F$204,$O778)),INDEX('通知一覧'!$F$5:$F$204,$O778),""))</f>
        <v/>
      </c>
      <c r="L778" s="29">
        <f>IF(AND(ISNUMBER($B778),ISNUMBER($K778)),$K778-$B778+1,"")</f>
        <v/>
      </c>
      <c r="M778" s="30">
        <f>IF(OR($L778="",$P778=""),"",IF(INDEX('支払先'!$M$5:$M$104,$P778)="対象外","",IF(AND($L778&gt;60,$K778&gt;=EDATE($B778,2)),"超える","")))</f>
        <v/>
      </c>
      <c r="N778" s="67" t="n"/>
      <c r="O778" s="31">
        <f>IF($A778="","",IFERROR(MATCH($A778,'通知一覧'!$B$5:$B$204,0),"なし"))</f>
        <v/>
      </c>
      <c r="P778" s="31">
        <f>IF(NOT(ISNUMBER($O778)),"",IFERROR(MATCH(INDEX('通知一覧'!$C$5:$C$204,$O778),'支払先'!$B$5:$B$104,0),""))</f>
        <v/>
      </c>
      <c r="Q778" s="31">
        <f>IF(AND($A778&lt;&gt;"",$A778='支払通知書'!$K$2),ROW(),"")</f>
        <v/>
      </c>
    </row>
    <row r="779" ht="18" customHeight="1">
      <c r="A779" s="18" t="n"/>
      <c r="B779" s="24" t="n"/>
      <c r="C779" s="19" t="n"/>
      <c r="D779" s="25" t="n"/>
      <c r="E779" s="18" t="n"/>
      <c r="F779" s="25" t="n"/>
      <c r="G779" s="18" t="n"/>
      <c r="H779" s="18" t="n"/>
      <c r="I779" s="26">
        <f>IF(OR($A779="",$F779=""),"",ROUND(IF($D779="",1,$D779)*$F779,0))</f>
        <v/>
      </c>
      <c r="J779" s="27">
        <f>IF($A779="","",IF($O779="なし","※通知一覧にない通知No",IF($P779="","",INDEX('支払先'!$C$5:$C$104,$P779)&amp;"")))</f>
        <v/>
      </c>
      <c r="K779" s="28">
        <f>IF(NOT(ISNUMBER($O779)),"",IF(ISNUMBER(INDEX('通知一覧'!$F$5:$F$204,$O779)),INDEX('通知一覧'!$F$5:$F$204,$O779),""))</f>
        <v/>
      </c>
      <c r="L779" s="29">
        <f>IF(AND(ISNUMBER($B779),ISNUMBER($K779)),$K779-$B779+1,"")</f>
        <v/>
      </c>
      <c r="M779" s="30">
        <f>IF(OR($L779="",$P779=""),"",IF(INDEX('支払先'!$M$5:$M$104,$P779)="対象外","",IF(AND($L779&gt;60,$K779&gt;=EDATE($B779,2)),"超える","")))</f>
        <v/>
      </c>
      <c r="N779" s="67" t="n"/>
      <c r="O779" s="31">
        <f>IF($A779="","",IFERROR(MATCH($A779,'通知一覧'!$B$5:$B$204,0),"なし"))</f>
        <v/>
      </c>
      <c r="P779" s="31">
        <f>IF(NOT(ISNUMBER($O779)),"",IFERROR(MATCH(INDEX('通知一覧'!$C$5:$C$204,$O779),'支払先'!$B$5:$B$104,0),""))</f>
        <v/>
      </c>
      <c r="Q779" s="31">
        <f>IF(AND($A779&lt;&gt;"",$A779='支払通知書'!$K$2),ROW(),"")</f>
        <v/>
      </c>
    </row>
    <row r="780" ht="18" customHeight="1">
      <c r="A780" s="18" t="n"/>
      <c r="B780" s="24" t="n"/>
      <c r="C780" s="19" t="n"/>
      <c r="D780" s="25" t="n"/>
      <c r="E780" s="18" t="n"/>
      <c r="F780" s="25" t="n"/>
      <c r="G780" s="18" t="n"/>
      <c r="H780" s="18" t="n"/>
      <c r="I780" s="26">
        <f>IF(OR($A780="",$F780=""),"",ROUND(IF($D780="",1,$D780)*$F780,0))</f>
        <v/>
      </c>
      <c r="J780" s="27">
        <f>IF($A780="","",IF($O780="なし","※通知一覧にない通知No",IF($P780="","",INDEX('支払先'!$C$5:$C$104,$P780)&amp;"")))</f>
        <v/>
      </c>
      <c r="K780" s="28">
        <f>IF(NOT(ISNUMBER($O780)),"",IF(ISNUMBER(INDEX('通知一覧'!$F$5:$F$204,$O780)),INDEX('通知一覧'!$F$5:$F$204,$O780),""))</f>
        <v/>
      </c>
      <c r="L780" s="29">
        <f>IF(AND(ISNUMBER($B780),ISNUMBER($K780)),$K780-$B780+1,"")</f>
        <v/>
      </c>
      <c r="M780" s="30">
        <f>IF(OR($L780="",$P780=""),"",IF(INDEX('支払先'!$M$5:$M$104,$P780)="対象外","",IF(AND($L780&gt;60,$K780&gt;=EDATE($B780,2)),"超える","")))</f>
        <v/>
      </c>
      <c r="N780" s="67" t="n"/>
      <c r="O780" s="31">
        <f>IF($A780="","",IFERROR(MATCH($A780,'通知一覧'!$B$5:$B$204,0),"なし"))</f>
        <v/>
      </c>
      <c r="P780" s="31">
        <f>IF(NOT(ISNUMBER($O780)),"",IFERROR(MATCH(INDEX('通知一覧'!$C$5:$C$204,$O780),'支払先'!$B$5:$B$104,0),""))</f>
        <v/>
      </c>
      <c r="Q780" s="31">
        <f>IF(AND($A780&lt;&gt;"",$A780='支払通知書'!$K$2),ROW(),"")</f>
        <v/>
      </c>
    </row>
    <row r="781" ht="18" customHeight="1">
      <c r="A781" s="18" t="n"/>
      <c r="B781" s="24" t="n"/>
      <c r="C781" s="19" t="n"/>
      <c r="D781" s="25" t="n"/>
      <c r="E781" s="18" t="n"/>
      <c r="F781" s="25" t="n"/>
      <c r="G781" s="18" t="n"/>
      <c r="H781" s="18" t="n"/>
      <c r="I781" s="26">
        <f>IF(OR($A781="",$F781=""),"",ROUND(IF($D781="",1,$D781)*$F781,0))</f>
        <v/>
      </c>
      <c r="J781" s="27">
        <f>IF($A781="","",IF($O781="なし","※通知一覧にない通知No",IF($P781="","",INDEX('支払先'!$C$5:$C$104,$P781)&amp;"")))</f>
        <v/>
      </c>
      <c r="K781" s="28">
        <f>IF(NOT(ISNUMBER($O781)),"",IF(ISNUMBER(INDEX('通知一覧'!$F$5:$F$204,$O781)),INDEX('通知一覧'!$F$5:$F$204,$O781),""))</f>
        <v/>
      </c>
      <c r="L781" s="29">
        <f>IF(AND(ISNUMBER($B781),ISNUMBER($K781)),$K781-$B781+1,"")</f>
        <v/>
      </c>
      <c r="M781" s="30">
        <f>IF(OR($L781="",$P781=""),"",IF(INDEX('支払先'!$M$5:$M$104,$P781)="対象外","",IF(AND($L781&gt;60,$K781&gt;=EDATE($B781,2)),"超える","")))</f>
        <v/>
      </c>
      <c r="N781" s="67" t="n"/>
      <c r="O781" s="31">
        <f>IF($A781="","",IFERROR(MATCH($A781,'通知一覧'!$B$5:$B$204,0),"なし"))</f>
        <v/>
      </c>
      <c r="P781" s="31">
        <f>IF(NOT(ISNUMBER($O781)),"",IFERROR(MATCH(INDEX('通知一覧'!$C$5:$C$204,$O781),'支払先'!$B$5:$B$104,0),""))</f>
        <v/>
      </c>
      <c r="Q781" s="31">
        <f>IF(AND($A781&lt;&gt;"",$A781='支払通知書'!$K$2),ROW(),"")</f>
        <v/>
      </c>
    </row>
    <row r="782" ht="18" customHeight="1">
      <c r="A782" s="18" t="n"/>
      <c r="B782" s="24" t="n"/>
      <c r="C782" s="19" t="n"/>
      <c r="D782" s="25" t="n"/>
      <c r="E782" s="18" t="n"/>
      <c r="F782" s="25" t="n"/>
      <c r="G782" s="18" t="n"/>
      <c r="H782" s="18" t="n"/>
      <c r="I782" s="26">
        <f>IF(OR($A782="",$F782=""),"",ROUND(IF($D782="",1,$D782)*$F782,0))</f>
        <v/>
      </c>
      <c r="J782" s="27">
        <f>IF($A782="","",IF($O782="なし","※通知一覧にない通知No",IF($P782="","",INDEX('支払先'!$C$5:$C$104,$P782)&amp;"")))</f>
        <v/>
      </c>
      <c r="K782" s="28">
        <f>IF(NOT(ISNUMBER($O782)),"",IF(ISNUMBER(INDEX('通知一覧'!$F$5:$F$204,$O782)),INDEX('通知一覧'!$F$5:$F$204,$O782),""))</f>
        <v/>
      </c>
      <c r="L782" s="29">
        <f>IF(AND(ISNUMBER($B782),ISNUMBER($K782)),$K782-$B782+1,"")</f>
        <v/>
      </c>
      <c r="M782" s="30">
        <f>IF(OR($L782="",$P782=""),"",IF(INDEX('支払先'!$M$5:$M$104,$P782)="対象外","",IF(AND($L782&gt;60,$K782&gt;=EDATE($B782,2)),"超える","")))</f>
        <v/>
      </c>
      <c r="N782" s="67" t="n"/>
      <c r="O782" s="31">
        <f>IF($A782="","",IFERROR(MATCH($A782,'通知一覧'!$B$5:$B$204,0),"なし"))</f>
        <v/>
      </c>
      <c r="P782" s="31">
        <f>IF(NOT(ISNUMBER($O782)),"",IFERROR(MATCH(INDEX('通知一覧'!$C$5:$C$204,$O782),'支払先'!$B$5:$B$104,0),""))</f>
        <v/>
      </c>
      <c r="Q782" s="31">
        <f>IF(AND($A782&lt;&gt;"",$A782='支払通知書'!$K$2),ROW(),"")</f>
        <v/>
      </c>
    </row>
    <row r="783" ht="18" customHeight="1">
      <c r="A783" s="18" t="n"/>
      <c r="B783" s="24" t="n"/>
      <c r="C783" s="19" t="n"/>
      <c r="D783" s="25" t="n"/>
      <c r="E783" s="18" t="n"/>
      <c r="F783" s="25" t="n"/>
      <c r="G783" s="18" t="n"/>
      <c r="H783" s="18" t="n"/>
      <c r="I783" s="26">
        <f>IF(OR($A783="",$F783=""),"",ROUND(IF($D783="",1,$D783)*$F783,0))</f>
        <v/>
      </c>
      <c r="J783" s="27">
        <f>IF($A783="","",IF($O783="なし","※通知一覧にない通知No",IF($P783="","",INDEX('支払先'!$C$5:$C$104,$P783)&amp;"")))</f>
        <v/>
      </c>
      <c r="K783" s="28">
        <f>IF(NOT(ISNUMBER($O783)),"",IF(ISNUMBER(INDEX('通知一覧'!$F$5:$F$204,$O783)),INDEX('通知一覧'!$F$5:$F$204,$O783),""))</f>
        <v/>
      </c>
      <c r="L783" s="29">
        <f>IF(AND(ISNUMBER($B783),ISNUMBER($K783)),$K783-$B783+1,"")</f>
        <v/>
      </c>
      <c r="M783" s="30">
        <f>IF(OR($L783="",$P783=""),"",IF(INDEX('支払先'!$M$5:$M$104,$P783)="対象外","",IF(AND($L783&gt;60,$K783&gt;=EDATE($B783,2)),"超える","")))</f>
        <v/>
      </c>
      <c r="N783" s="67" t="n"/>
      <c r="O783" s="31">
        <f>IF($A783="","",IFERROR(MATCH($A783,'通知一覧'!$B$5:$B$204,0),"なし"))</f>
        <v/>
      </c>
      <c r="P783" s="31">
        <f>IF(NOT(ISNUMBER($O783)),"",IFERROR(MATCH(INDEX('通知一覧'!$C$5:$C$204,$O783),'支払先'!$B$5:$B$104,0),""))</f>
        <v/>
      </c>
      <c r="Q783" s="31">
        <f>IF(AND($A783&lt;&gt;"",$A783='支払通知書'!$K$2),ROW(),"")</f>
        <v/>
      </c>
    </row>
    <row r="784" ht="18" customHeight="1">
      <c r="A784" s="18" t="n"/>
      <c r="B784" s="24" t="n"/>
      <c r="C784" s="19" t="n"/>
      <c r="D784" s="25" t="n"/>
      <c r="E784" s="18" t="n"/>
      <c r="F784" s="25" t="n"/>
      <c r="G784" s="18" t="n"/>
      <c r="H784" s="18" t="n"/>
      <c r="I784" s="26">
        <f>IF(OR($A784="",$F784=""),"",ROUND(IF($D784="",1,$D784)*$F784,0))</f>
        <v/>
      </c>
      <c r="J784" s="27">
        <f>IF($A784="","",IF($O784="なし","※通知一覧にない通知No",IF($P784="","",INDEX('支払先'!$C$5:$C$104,$P784)&amp;"")))</f>
        <v/>
      </c>
      <c r="K784" s="28">
        <f>IF(NOT(ISNUMBER($O784)),"",IF(ISNUMBER(INDEX('通知一覧'!$F$5:$F$204,$O784)),INDEX('通知一覧'!$F$5:$F$204,$O784),""))</f>
        <v/>
      </c>
      <c r="L784" s="29">
        <f>IF(AND(ISNUMBER($B784),ISNUMBER($K784)),$K784-$B784+1,"")</f>
        <v/>
      </c>
      <c r="M784" s="30">
        <f>IF(OR($L784="",$P784=""),"",IF(INDEX('支払先'!$M$5:$M$104,$P784)="対象外","",IF(AND($L784&gt;60,$K784&gt;=EDATE($B784,2)),"超える","")))</f>
        <v/>
      </c>
      <c r="N784" s="67" t="n"/>
      <c r="O784" s="31">
        <f>IF($A784="","",IFERROR(MATCH($A784,'通知一覧'!$B$5:$B$204,0),"なし"))</f>
        <v/>
      </c>
      <c r="P784" s="31">
        <f>IF(NOT(ISNUMBER($O784)),"",IFERROR(MATCH(INDEX('通知一覧'!$C$5:$C$204,$O784),'支払先'!$B$5:$B$104,0),""))</f>
        <v/>
      </c>
      <c r="Q784" s="31">
        <f>IF(AND($A784&lt;&gt;"",$A784='支払通知書'!$K$2),ROW(),"")</f>
        <v/>
      </c>
    </row>
    <row r="785" ht="18" customHeight="1">
      <c r="A785" s="18" t="n"/>
      <c r="B785" s="24" t="n"/>
      <c r="C785" s="19" t="n"/>
      <c r="D785" s="25" t="n"/>
      <c r="E785" s="18" t="n"/>
      <c r="F785" s="25" t="n"/>
      <c r="G785" s="18" t="n"/>
      <c r="H785" s="18" t="n"/>
      <c r="I785" s="26">
        <f>IF(OR($A785="",$F785=""),"",ROUND(IF($D785="",1,$D785)*$F785,0))</f>
        <v/>
      </c>
      <c r="J785" s="27">
        <f>IF($A785="","",IF($O785="なし","※通知一覧にない通知No",IF($P785="","",INDEX('支払先'!$C$5:$C$104,$P785)&amp;"")))</f>
        <v/>
      </c>
      <c r="K785" s="28">
        <f>IF(NOT(ISNUMBER($O785)),"",IF(ISNUMBER(INDEX('通知一覧'!$F$5:$F$204,$O785)),INDEX('通知一覧'!$F$5:$F$204,$O785),""))</f>
        <v/>
      </c>
      <c r="L785" s="29">
        <f>IF(AND(ISNUMBER($B785),ISNUMBER($K785)),$K785-$B785+1,"")</f>
        <v/>
      </c>
      <c r="M785" s="30">
        <f>IF(OR($L785="",$P785=""),"",IF(INDEX('支払先'!$M$5:$M$104,$P785)="対象外","",IF(AND($L785&gt;60,$K785&gt;=EDATE($B785,2)),"超える","")))</f>
        <v/>
      </c>
      <c r="N785" s="67" t="n"/>
      <c r="O785" s="31">
        <f>IF($A785="","",IFERROR(MATCH($A785,'通知一覧'!$B$5:$B$204,0),"なし"))</f>
        <v/>
      </c>
      <c r="P785" s="31">
        <f>IF(NOT(ISNUMBER($O785)),"",IFERROR(MATCH(INDEX('通知一覧'!$C$5:$C$204,$O785),'支払先'!$B$5:$B$104,0),""))</f>
        <v/>
      </c>
      <c r="Q785" s="31">
        <f>IF(AND($A785&lt;&gt;"",$A785='支払通知書'!$K$2),ROW(),"")</f>
        <v/>
      </c>
    </row>
    <row r="786" ht="18" customHeight="1">
      <c r="A786" s="18" t="n"/>
      <c r="B786" s="24" t="n"/>
      <c r="C786" s="19" t="n"/>
      <c r="D786" s="25" t="n"/>
      <c r="E786" s="18" t="n"/>
      <c r="F786" s="25" t="n"/>
      <c r="G786" s="18" t="n"/>
      <c r="H786" s="18" t="n"/>
      <c r="I786" s="26">
        <f>IF(OR($A786="",$F786=""),"",ROUND(IF($D786="",1,$D786)*$F786,0))</f>
        <v/>
      </c>
      <c r="J786" s="27">
        <f>IF($A786="","",IF($O786="なし","※通知一覧にない通知No",IF($P786="","",INDEX('支払先'!$C$5:$C$104,$P786)&amp;"")))</f>
        <v/>
      </c>
      <c r="K786" s="28">
        <f>IF(NOT(ISNUMBER($O786)),"",IF(ISNUMBER(INDEX('通知一覧'!$F$5:$F$204,$O786)),INDEX('通知一覧'!$F$5:$F$204,$O786),""))</f>
        <v/>
      </c>
      <c r="L786" s="29">
        <f>IF(AND(ISNUMBER($B786),ISNUMBER($K786)),$K786-$B786+1,"")</f>
        <v/>
      </c>
      <c r="M786" s="30">
        <f>IF(OR($L786="",$P786=""),"",IF(INDEX('支払先'!$M$5:$M$104,$P786)="対象外","",IF(AND($L786&gt;60,$K786&gt;=EDATE($B786,2)),"超える","")))</f>
        <v/>
      </c>
      <c r="N786" s="67" t="n"/>
      <c r="O786" s="31">
        <f>IF($A786="","",IFERROR(MATCH($A786,'通知一覧'!$B$5:$B$204,0),"なし"))</f>
        <v/>
      </c>
      <c r="P786" s="31">
        <f>IF(NOT(ISNUMBER($O786)),"",IFERROR(MATCH(INDEX('通知一覧'!$C$5:$C$204,$O786),'支払先'!$B$5:$B$104,0),""))</f>
        <v/>
      </c>
      <c r="Q786" s="31">
        <f>IF(AND($A786&lt;&gt;"",$A786='支払通知書'!$K$2),ROW(),"")</f>
        <v/>
      </c>
    </row>
    <row r="787" ht="18" customHeight="1">
      <c r="A787" s="18" t="n"/>
      <c r="B787" s="24" t="n"/>
      <c r="C787" s="19" t="n"/>
      <c r="D787" s="25" t="n"/>
      <c r="E787" s="18" t="n"/>
      <c r="F787" s="25" t="n"/>
      <c r="G787" s="18" t="n"/>
      <c r="H787" s="18" t="n"/>
      <c r="I787" s="26">
        <f>IF(OR($A787="",$F787=""),"",ROUND(IF($D787="",1,$D787)*$F787,0))</f>
        <v/>
      </c>
      <c r="J787" s="27">
        <f>IF($A787="","",IF($O787="なし","※通知一覧にない通知No",IF($P787="","",INDEX('支払先'!$C$5:$C$104,$P787)&amp;"")))</f>
        <v/>
      </c>
      <c r="K787" s="28">
        <f>IF(NOT(ISNUMBER($O787)),"",IF(ISNUMBER(INDEX('通知一覧'!$F$5:$F$204,$O787)),INDEX('通知一覧'!$F$5:$F$204,$O787),""))</f>
        <v/>
      </c>
      <c r="L787" s="29">
        <f>IF(AND(ISNUMBER($B787),ISNUMBER($K787)),$K787-$B787+1,"")</f>
        <v/>
      </c>
      <c r="M787" s="30">
        <f>IF(OR($L787="",$P787=""),"",IF(INDEX('支払先'!$M$5:$M$104,$P787)="対象外","",IF(AND($L787&gt;60,$K787&gt;=EDATE($B787,2)),"超える","")))</f>
        <v/>
      </c>
      <c r="N787" s="67" t="n"/>
      <c r="O787" s="31">
        <f>IF($A787="","",IFERROR(MATCH($A787,'通知一覧'!$B$5:$B$204,0),"なし"))</f>
        <v/>
      </c>
      <c r="P787" s="31">
        <f>IF(NOT(ISNUMBER($O787)),"",IFERROR(MATCH(INDEX('通知一覧'!$C$5:$C$204,$O787),'支払先'!$B$5:$B$104,0),""))</f>
        <v/>
      </c>
      <c r="Q787" s="31">
        <f>IF(AND($A787&lt;&gt;"",$A787='支払通知書'!$K$2),ROW(),"")</f>
        <v/>
      </c>
    </row>
    <row r="788" ht="18" customHeight="1">
      <c r="A788" s="18" t="n"/>
      <c r="B788" s="24" t="n"/>
      <c r="C788" s="19" t="n"/>
      <c r="D788" s="25" t="n"/>
      <c r="E788" s="18" t="n"/>
      <c r="F788" s="25" t="n"/>
      <c r="G788" s="18" t="n"/>
      <c r="H788" s="18" t="n"/>
      <c r="I788" s="26">
        <f>IF(OR($A788="",$F788=""),"",ROUND(IF($D788="",1,$D788)*$F788,0))</f>
        <v/>
      </c>
      <c r="J788" s="27">
        <f>IF($A788="","",IF($O788="なし","※通知一覧にない通知No",IF($P788="","",INDEX('支払先'!$C$5:$C$104,$P788)&amp;"")))</f>
        <v/>
      </c>
      <c r="K788" s="28">
        <f>IF(NOT(ISNUMBER($O788)),"",IF(ISNUMBER(INDEX('通知一覧'!$F$5:$F$204,$O788)),INDEX('通知一覧'!$F$5:$F$204,$O788),""))</f>
        <v/>
      </c>
      <c r="L788" s="29">
        <f>IF(AND(ISNUMBER($B788),ISNUMBER($K788)),$K788-$B788+1,"")</f>
        <v/>
      </c>
      <c r="M788" s="30">
        <f>IF(OR($L788="",$P788=""),"",IF(INDEX('支払先'!$M$5:$M$104,$P788)="対象外","",IF(AND($L788&gt;60,$K788&gt;=EDATE($B788,2)),"超える","")))</f>
        <v/>
      </c>
      <c r="N788" s="67" t="n"/>
      <c r="O788" s="31">
        <f>IF($A788="","",IFERROR(MATCH($A788,'通知一覧'!$B$5:$B$204,0),"なし"))</f>
        <v/>
      </c>
      <c r="P788" s="31">
        <f>IF(NOT(ISNUMBER($O788)),"",IFERROR(MATCH(INDEX('通知一覧'!$C$5:$C$204,$O788),'支払先'!$B$5:$B$104,0),""))</f>
        <v/>
      </c>
      <c r="Q788" s="31">
        <f>IF(AND($A788&lt;&gt;"",$A788='支払通知書'!$K$2),ROW(),"")</f>
        <v/>
      </c>
    </row>
    <row r="789" ht="18" customHeight="1">
      <c r="A789" s="18" t="n"/>
      <c r="B789" s="24" t="n"/>
      <c r="C789" s="19" t="n"/>
      <c r="D789" s="25" t="n"/>
      <c r="E789" s="18" t="n"/>
      <c r="F789" s="25" t="n"/>
      <c r="G789" s="18" t="n"/>
      <c r="H789" s="18" t="n"/>
      <c r="I789" s="26">
        <f>IF(OR($A789="",$F789=""),"",ROUND(IF($D789="",1,$D789)*$F789,0))</f>
        <v/>
      </c>
      <c r="J789" s="27">
        <f>IF($A789="","",IF($O789="なし","※通知一覧にない通知No",IF($P789="","",INDEX('支払先'!$C$5:$C$104,$P789)&amp;"")))</f>
        <v/>
      </c>
      <c r="K789" s="28">
        <f>IF(NOT(ISNUMBER($O789)),"",IF(ISNUMBER(INDEX('通知一覧'!$F$5:$F$204,$O789)),INDEX('通知一覧'!$F$5:$F$204,$O789),""))</f>
        <v/>
      </c>
      <c r="L789" s="29">
        <f>IF(AND(ISNUMBER($B789),ISNUMBER($K789)),$K789-$B789+1,"")</f>
        <v/>
      </c>
      <c r="M789" s="30">
        <f>IF(OR($L789="",$P789=""),"",IF(INDEX('支払先'!$M$5:$M$104,$P789)="対象外","",IF(AND($L789&gt;60,$K789&gt;=EDATE($B789,2)),"超える","")))</f>
        <v/>
      </c>
      <c r="N789" s="67" t="n"/>
      <c r="O789" s="31">
        <f>IF($A789="","",IFERROR(MATCH($A789,'通知一覧'!$B$5:$B$204,0),"なし"))</f>
        <v/>
      </c>
      <c r="P789" s="31">
        <f>IF(NOT(ISNUMBER($O789)),"",IFERROR(MATCH(INDEX('通知一覧'!$C$5:$C$204,$O789),'支払先'!$B$5:$B$104,0),""))</f>
        <v/>
      </c>
      <c r="Q789" s="31">
        <f>IF(AND($A789&lt;&gt;"",$A789='支払通知書'!$K$2),ROW(),"")</f>
        <v/>
      </c>
    </row>
    <row r="790" ht="18" customHeight="1">
      <c r="A790" s="18" t="n"/>
      <c r="B790" s="24" t="n"/>
      <c r="C790" s="19" t="n"/>
      <c r="D790" s="25" t="n"/>
      <c r="E790" s="18" t="n"/>
      <c r="F790" s="25" t="n"/>
      <c r="G790" s="18" t="n"/>
      <c r="H790" s="18" t="n"/>
      <c r="I790" s="26">
        <f>IF(OR($A790="",$F790=""),"",ROUND(IF($D790="",1,$D790)*$F790,0))</f>
        <v/>
      </c>
      <c r="J790" s="27">
        <f>IF($A790="","",IF($O790="なし","※通知一覧にない通知No",IF($P790="","",INDEX('支払先'!$C$5:$C$104,$P790)&amp;"")))</f>
        <v/>
      </c>
      <c r="K790" s="28">
        <f>IF(NOT(ISNUMBER($O790)),"",IF(ISNUMBER(INDEX('通知一覧'!$F$5:$F$204,$O790)),INDEX('通知一覧'!$F$5:$F$204,$O790),""))</f>
        <v/>
      </c>
      <c r="L790" s="29">
        <f>IF(AND(ISNUMBER($B790),ISNUMBER($K790)),$K790-$B790+1,"")</f>
        <v/>
      </c>
      <c r="M790" s="30">
        <f>IF(OR($L790="",$P790=""),"",IF(INDEX('支払先'!$M$5:$M$104,$P790)="対象外","",IF(AND($L790&gt;60,$K790&gt;=EDATE($B790,2)),"超える","")))</f>
        <v/>
      </c>
      <c r="N790" s="67" t="n"/>
      <c r="O790" s="31">
        <f>IF($A790="","",IFERROR(MATCH($A790,'通知一覧'!$B$5:$B$204,0),"なし"))</f>
        <v/>
      </c>
      <c r="P790" s="31">
        <f>IF(NOT(ISNUMBER($O790)),"",IFERROR(MATCH(INDEX('通知一覧'!$C$5:$C$204,$O790),'支払先'!$B$5:$B$104,0),""))</f>
        <v/>
      </c>
      <c r="Q790" s="31">
        <f>IF(AND($A790&lt;&gt;"",$A790='支払通知書'!$K$2),ROW(),"")</f>
        <v/>
      </c>
    </row>
    <row r="791" ht="18" customHeight="1">
      <c r="A791" s="18" t="n"/>
      <c r="B791" s="24" t="n"/>
      <c r="C791" s="19" t="n"/>
      <c r="D791" s="25" t="n"/>
      <c r="E791" s="18" t="n"/>
      <c r="F791" s="25" t="n"/>
      <c r="G791" s="18" t="n"/>
      <c r="H791" s="18" t="n"/>
      <c r="I791" s="26">
        <f>IF(OR($A791="",$F791=""),"",ROUND(IF($D791="",1,$D791)*$F791,0))</f>
        <v/>
      </c>
      <c r="J791" s="27">
        <f>IF($A791="","",IF($O791="なし","※通知一覧にない通知No",IF($P791="","",INDEX('支払先'!$C$5:$C$104,$P791)&amp;"")))</f>
        <v/>
      </c>
      <c r="K791" s="28">
        <f>IF(NOT(ISNUMBER($O791)),"",IF(ISNUMBER(INDEX('通知一覧'!$F$5:$F$204,$O791)),INDEX('通知一覧'!$F$5:$F$204,$O791),""))</f>
        <v/>
      </c>
      <c r="L791" s="29">
        <f>IF(AND(ISNUMBER($B791),ISNUMBER($K791)),$K791-$B791+1,"")</f>
        <v/>
      </c>
      <c r="M791" s="30">
        <f>IF(OR($L791="",$P791=""),"",IF(INDEX('支払先'!$M$5:$M$104,$P791)="対象外","",IF(AND($L791&gt;60,$K791&gt;=EDATE($B791,2)),"超える","")))</f>
        <v/>
      </c>
      <c r="N791" s="67" t="n"/>
      <c r="O791" s="31">
        <f>IF($A791="","",IFERROR(MATCH($A791,'通知一覧'!$B$5:$B$204,0),"なし"))</f>
        <v/>
      </c>
      <c r="P791" s="31">
        <f>IF(NOT(ISNUMBER($O791)),"",IFERROR(MATCH(INDEX('通知一覧'!$C$5:$C$204,$O791),'支払先'!$B$5:$B$104,0),""))</f>
        <v/>
      </c>
      <c r="Q791" s="31">
        <f>IF(AND($A791&lt;&gt;"",$A791='支払通知書'!$K$2),ROW(),"")</f>
        <v/>
      </c>
    </row>
    <row r="792" ht="18" customHeight="1">
      <c r="A792" s="18" t="n"/>
      <c r="B792" s="24" t="n"/>
      <c r="C792" s="19" t="n"/>
      <c r="D792" s="25" t="n"/>
      <c r="E792" s="18" t="n"/>
      <c r="F792" s="25" t="n"/>
      <c r="G792" s="18" t="n"/>
      <c r="H792" s="18" t="n"/>
      <c r="I792" s="26">
        <f>IF(OR($A792="",$F792=""),"",ROUND(IF($D792="",1,$D792)*$F792,0))</f>
        <v/>
      </c>
      <c r="J792" s="27">
        <f>IF($A792="","",IF($O792="なし","※通知一覧にない通知No",IF($P792="","",INDEX('支払先'!$C$5:$C$104,$P792)&amp;"")))</f>
        <v/>
      </c>
      <c r="K792" s="28">
        <f>IF(NOT(ISNUMBER($O792)),"",IF(ISNUMBER(INDEX('通知一覧'!$F$5:$F$204,$O792)),INDEX('通知一覧'!$F$5:$F$204,$O792),""))</f>
        <v/>
      </c>
      <c r="L792" s="29">
        <f>IF(AND(ISNUMBER($B792),ISNUMBER($K792)),$K792-$B792+1,"")</f>
        <v/>
      </c>
      <c r="M792" s="30">
        <f>IF(OR($L792="",$P792=""),"",IF(INDEX('支払先'!$M$5:$M$104,$P792)="対象外","",IF(AND($L792&gt;60,$K792&gt;=EDATE($B792,2)),"超える","")))</f>
        <v/>
      </c>
      <c r="N792" s="67" t="n"/>
      <c r="O792" s="31">
        <f>IF($A792="","",IFERROR(MATCH($A792,'通知一覧'!$B$5:$B$204,0),"なし"))</f>
        <v/>
      </c>
      <c r="P792" s="31">
        <f>IF(NOT(ISNUMBER($O792)),"",IFERROR(MATCH(INDEX('通知一覧'!$C$5:$C$204,$O792),'支払先'!$B$5:$B$104,0),""))</f>
        <v/>
      </c>
      <c r="Q792" s="31">
        <f>IF(AND($A792&lt;&gt;"",$A792='支払通知書'!$K$2),ROW(),"")</f>
        <v/>
      </c>
    </row>
    <row r="793" ht="18" customHeight="1">
      <c r="A793" s="18" t="n"/>
      <c r="B793" s="24" t="n"/>
      <c r="C793" s="19" t="n"/>
      <c r="D793" s="25" t="n"/>
      <c r="E793" s="18" t="n"/>
      <c r="F793" s="25" t="n"/>
      <c r="G793" s="18" t="n"/>
      <c r="H793" s="18" t="n"/>
      <c r="I793" s="26">
        <f>IF(OR($A793="",$F793=""),"",ROUND(IF($D793="",1,$D793)*$F793,0))</f>
        <v/>
      </c>
      <c r="J793" s="27">
        <f>IF($A793="","",IF($O793="なし","※通知一覧にない通知No",IF($P793="","",INDEX('支払先'!$C$5:$C$104,$P793)&amp;"")))</f>
        <v/>
      </c>
      <c r="K793" s="28">
        <f>IF(NOT(ISNUMBER($O793)),"",IF(ISNUMBER(INDEX('通知一覧'!$F$5:$F$204,$O793)),INDEX('通知一覧'!$F$5:$F$204,$O793),""))</f>
        <v/>
      </c>
      <c r="L793" s="29">
        <f>IF(AND(ISNUMBER($B793),ISNUMBER($K793)),$K793-$B793+1,"")</f>
        <v/>
      </c>
      <c r="M793" s="30">
        <f>IF(OR($L793="",$P793=""),"",IF(INDEX('支払先'!$M$5:$M$104,$P793)="対象外","",IF(AND($L793&gt;60,$K793&gt;=EDATE($B793,2)),"超える","")))</f>
        <v/>
      </c>
      <c r="N793" s="67" t="n"/>
      <c r="O793" s="31">
        <f>IF($A793="","",IFERROR(MATCH($A793,'通知一覧'!$B$5:$B$204,0),"なし"))</f>
        <v/>
      </c>
      <c r="P793" s="31">
        <f>IF(NOT(ISNUMBER($O793)),"",IFERROR(MATCH(INDEX('通知一覧'!$C$5:$C$204,$O793),'支払先'!$B$5:$B$104,0),""))</f>
        <v/>
      </c>
      <c r="Q793" s="31">
        <f>IF(AND($A793&lt;&gt;"",$A793='支払通知書'!$K$2),ROW(),"")</f>
        <v/>
      </c>
    </row>
    <row r="794" ht="18" customHeight="1">
      <c r="A794" s="18" t="n"/>
      <c r="B794" s="24" t="n"/>
      <c r="C794" s="19" t="n"/>
      <c r="D794" s="25" t="n"/>
      <c r="E794" s="18" t="n"/>
      <c r="F794" s="25" t="n"/>
      <c r="G794" s="18" t="n"/>
      <c r="H794" s="18" t="n"/>
      <c r="I794" s="26">
        <f>IF(OR($A794="",$F794=""),"",ROUND(IF($D794="",1,$D794)*$F794,0))</f>
        <v/>
      </c>
      <c r="J794" s="27">
        <f>IF($A794="","",IF($O794="なし","※通知一覧にない通知No",IF($P794="","",INDEX('支払先'!$C$5:$C$104,$P794)&amp;"")))</f>
        <v/>
      </c>
      <c r="K794" s="28">
        <f>IF(NOT(ISNUMBER($O794)),"",IF(ISNUMBER(INDEX('通知一覧'!$F$5:$F$204,$O794)),INDEX('通知一覧'!$F$5:$F$204,$O794),""))</f>
        <v/>
      </c>
      <c r="L794" s="29">
        <f>IF(AND(ISNUMBER($B794),ISNUMBER($K794)),$K794-$B794+1,"")</f>
        <v/>
      </c>
      <c r="M794" s="30">
        <f>IF(OR($L794="",$P794=""),"",IF(INDEX('支払先'!$M$5:$M$104,$P794)="対象外","",IF(AND($L794&gt;60,$K794&gt;=EDATE($B794,2)),"超える","")))</f>
        <v/>
      </c>
      <c r="N794" s="67" t="n"/>
      <c r="O794" s="31">
        <f>IF($A794="","",IFERROR(MATCH($A794,'通知一覧'!$B$5:$B$204,0),"なし"))</f>
        <v/>
      </c>
      <c r="P794" s="31">
        <f>IF(NOT(ISNUMBER($O794)),"",IFERROR(MATCH(INDEX('通知一覧'!$C$5:$C$204,$O794),'支払先'!$B$5:$B$104,0),""))</f>
        <v/>
      </c>
      <c r="Q794" s="31">
        <f>IF(AND($A794&lt;&gt;"",$A794='支払通知書'!$K$2),ROW(),"")</f>
        <v/>
      </c>
    </row>
    <row r="795" ht="18" customHeight="1">
      <c r="A795" s="18" t="n"/>
      <c r="B795" s="24" t="n"/>
      <c r="C795" s="19" t="n"/>
      <c r="D795" s="25" t="n"/>
      <c r="E795" s="18" t="n"/>
      <c r="F795" s="25" t="n"/>
      <c r="G795" s="18" t="n"/>
      <c r="H795" s="18" t="n"/>
      <c r="I795" s="26">
        <f>IF(OR($A795="",$F795=""),"",ROUND(IF($D795="",1,$D795)*$F795,0))</f>
        <v/>
      </c>
      <c r="J795" s="27">
        <f>IF($A795="","",IF($O795="なし","※通知一覧にない通知No",IF($P795="","",INDEX('支払先'!$C$5:$C$104,$P795)&amp;"")))</f>
        <v/>
      </c>
      <c r="K795" s="28">
        <f>IF(NOT(ISNUMBER($O795)),"",IF(ISNUMBER(INDEX('通知一覧'!$F$5:$F$204,$O795)),INDEX('通知一覧'!$F$5:$F$204,$O795),""))</f>
        <v/>
      </c>
      <c r="L795" s="29">
        <f>IF(AND(ISNUMBER($B795),ISNUMBER($K795)),$K795-$B795+1,"")</f>
        <v/>
      </c>
      <c r="M795" s="30">
        <f>IF(OR($L795="",$P795=""),"",IF(INDEX('支払先'!$M$5:$M$104,$P795)="対象外","",IF(AND($L795&gt;60,$K795&gt;=EDATE($B795,2)),"超える","")))</f>
        <v/>
      </c>
      <c r="N795" s="67" t="n"/>
      <c r="O795" s="31">
        <f>IF($A795="","",IFERROR(MATCH($A795,'通知一覧'!$B$5:$B$204,0),"なし"))</f>
        <v/>
      </c>
      <c r="P795" s="31">
        <f>IF(NOT(ISNUMBER($O795)),"",IFERROR(MATCH(INDEX('通知一覧'!$C$5:$C$204,$O795),'支払先'!$B$5:$B$104,0),""))</f>
        <v/>
      </c>
      <c r="Q795" s="31">
        <f>IF(AND($A795&lt;&gt;"",$A795='支払通知書'!$K$2),ROW(),"")</f>
        <v/>
      </c>
    </row>
    <row r="796" ht="18" customHeight="1">
      <c r="A796" s="18" t="n"/>
      <c r="B796" s="24" t="n"/>
      <c r="C796" s="19" t="n"/>
      <c r="D796" s="25" t="n"/>
      <c r="E796" s="18" t="n"/>
      <c r="F796" s="25" t="n"/>
      <c r="G796" s="18" t="n"/>
      <c r="H796" s="18" t="n"/>
      <c r="I796" s="26">
        <f>IF(OR($A796="",$F796=""),"",ROUND(IF($D796="",1,$D796)*$F796,0))</f>
        <v/>
      </c>
      <c r="J796" s="27">
        <f>IF($A796="","",IF($O796="なし","※通知一覧にない通知No",IF($P796="","",INDEX('支払先'!$C$5:$C$104,$P796)&amp;"")))</f>
        <v/>
      </c>
      <c r="K796" s="28">
        <f>IF(NOT(ISNUMBER($O796)),"",IF(ISNUMBER(INDEX('通知一覧'!$F$5:$F$204,$O796)),INDEX('通知一覧'!$F$5:$F$204,$O796),""))</f>
        <v/>
      </c>
      <c r="L796" s="29">
        <f>IF(AND(ISNUMBER($B796),ISNUMBER($K796)),$K796-$B796+1,"")</f>
        <v/>
      </c>
      <c r="M796" s="30">
        <f>IF(OR($L796="",$P796=""),"",IF(INDEX('支払先'!$M$5:$M$104,$P796)="対象外","",IF(AND($L796&gt;60,$K796&gt;=EDATE($B796,2)),"超える","")))</f>
        <v/>
      </c>
      <c r="N796" s="67" t="n"/>
      <c r="O796" s="31">
        <f>IF($A796="","",IFERROR(MATCH($A796,'通知一覧'!$B$5:$B$204,0),"なし"))</f>
        <v/>
      </c>
      <c r="P796" s="31">
        <f>IF(NOT(ISNUMBER($O796)),"",IFERROR(MATCH(INDEX('通知一覧'!$C$5:$C$204,$O796),'支払先'!$B$5:$B$104,0),""))</f>
        <v/>
      </c>
      <c r="Q796" s="31">
        <f>IF(AND($A796&lt;&gt;"",$A796='支払通知書'!$K$2),ROW(),"")</f>
        <v/>
      </c>
    </row>
    <row r="797" ht="18" customHeight="1">
      <c r="A797" s="18" t="n"/>
      <c r="B797" s="24" t="n"/>
      <c r="C797" s="19" t="n"/>
      <c r="D797" s="25" t="n"/>
      <c r="E797" s="18" t="n"/>
      <c r="F797" s="25" t="n"/>
      <c r="G797" s="18" t="n"/>
      <c r="H797" s="18" t="n"/>
      <c r="I797" s="26">
        <f>IF(OR($A797="",$F797=""),"",ROUND(IF($D797="",1,$D797)*$F797,0))</f>
        <v/>
      </c>
      <c r="J797" s="27">
        <f>IF($A797="","",IF($O797="なし","※通知一覧にない通知No",IF($P797="","",INDEX('支払先'!$C$5:$C$104,$P797)&amp;"")))</f>
        <v/>
      </c>
      <c r="K797" s="28">
        <f>IF(NOT(ISNUMBER($O797)),"",IF(ISNUMBER(INDEX('通知一覧'!$F$5:$F$204,$O797)),INDEX('通知一覧'!$F$5:$F$204,$O797),""))</f>
        <v/>
      </c>
      <c r="L797" s="29">
        <f>IF(AND(ISNUMBER($B797),ISNUMBER($K797)),$K797-$B797+1,"")</f>
        <v/>
      </c>
      <c r="M797" s="30">
        <f>IF(OR($L797="",$P797=""),"",IF(INDEX('支払先'!$M$5:$M$104,$P797)="対象外","",IF(AND($L797&gt;60,$K797&gt;=EDATE($B797,2)),"超える","")))</f>
        <v/>
      </c>
      <c r="N797" s="67" t="n"/>
      <c r="O797" s="31">
        <f>IF($A797="","",IFERROR(MATCH($A797,'通知一覧'!$B$5:$B$204,0),"なし"))</f>
        <v/>
      </c>
      <c r="P797" s="31">
        <f>IF(NOT(ISNUMBER($O797)),"",IFERROR(MATCH(INDEX('通知一覧'!$C$5:$C$204,$O797),'支払先'!$B$5:$B$104,0),""))</f>
        <v/>
      </c>
      <c r="Q797" s="31">
        <f>IF(AND($A797&lt;&gt;"",$A797='支払通知書'!$K$2),ROW(),"")</f>
        <v/>
      </c>
    </row>
    <row r="798" ht="18" customHeight="1">
      <c r="A798" s="18" t="n"/>
      <c r="B798" s="24" t="n"/>
      <c r="C798" s="19" t="n"/>
      <c r="D798" s="25" t="n"/>
      <c r="E798" s="18" t="n"/>
      <c r="F798" s="25" t="n"/>
      <c r="G798" s="18" t="n"/>
      <c r="H798" s="18" t="n"/>
      <c r="I798" s="26">
        <f>IF(OR($A798="",$F798=""),"",ROUND(IF($D798="",1,$D798)*$F798,0))</f>
        <v/>
      </c>
      <c r="J798" s="27">
        <f>IF($A798="","",IF($O798="なし","※通知一覧にない通知No",IF($P798="","",INDEX('支払先'!$C$5:$C$104,$P798)&amp;"")))</f>
        <v/>
      </c>
      <c r="K798" s="28">
        <f>IF(NOT(ISNUMBER($O798)),"",IF(ISNUMBER(INDEX('通知一覧'!$F$5:$F$204,$O798)),INDEX('通知一覧'!$F$5:$F$204,$O798),""))</f>
        <v/>
      </c>
      <c r="L798" s="29">
        <f>IF(AND(ISNUMBER($B798),ISNUMBER($K798)),$K798-$B798+1,"")</f>
        <v/>
      </c>
      <c r="M798" s="30">
        <f>IF(OR($L798="",$P798=""),"",IF(INDEX('支払先'!$M$5:$M$104,$P798)="対象外","",IF(AND($L798&gt;60,$K798&gt;=EDATE($B798,2)),"超える","")))</f>
        <v/>
      </c>
      <c r="N798" s="67" t="n"/>
      <c r="O798" s="31">
        <f>IF($A798="","",IFERROR(MATCH($A798,'通知一覧'!$B$5:$B$204,0),"なし"))</f>
        <v/>
      </c>
      <c r="P798" s="31">
        <f>IF(NOT(ISNUMBER($O798)),"",IFERROR(MATCH(INDEX('通知一覧'!$C$5:$C$204,$O798),'支払先'!$B$5:$B$104,0),""))</f>
        <v/>
      </c>
      <c r="Q798" s="31">
        <f>IF(AND($A798&lt;&gt;"",$A798='支払通知書'!$K$2),ROW(),"")</f>
        <v/>
      </c>
    </row>
    <row r="799" ht="18" customHeight="1">
      <c r="A799" s="18" t="n"/>
      <c r="B799" s="24" t="n"/>
      <c r="C799" s="19" t="n"/>
      <c r="D799" s="25" t="n"/>
      <c r="E799" s="18" t="n"/>
      <c r="F799" s="25" t="n"/>
      <c r="G799" s="18" t="n"/>
      <c r="H799" s="18" t="n"/>
      <c r="I799" s="26">
        <f>IF(OR($A799="",$F799=""),"",ROUND(IF($D799="",1,$D799)*$F799,0))</f>
        <v/>
      </c>
      <c r="J799" s="27">
        <f>IF($A799="","",IF($O799="なし","※通知一覧にない通知No",IF($P799="","",INDEX('支払先'!$C$5:$C$104,$P799)&amp;"")))</f>
        <v/>
      </c>
      <c r="K799" s="28">
        <f>IF(NOT(ISNUMBER($O799)),"",IF(ISNUMBER(INDEX('通知一覧'!$F$5:$F$204,$O799)),INDEX('通知一覧'!$F$5:$F$204,$O799),""))</f>
        <v/>
      </c>
      <c r="L799" s="29">
        <f>IF(AND(ISNUMBER($B799),ISNUMBER($K799)),$K799-$B799+1,"")</f>
        <v/>
      </c>
      <c r="M799" s="30">
        <f>IF(OR($L799="",$P799=""),"",IF(INDEX('支払先'!$M$5:$M$104,$P799)="対象外","",IF(AND($L799&gt;60,$K799&gt;=EDATE($B799,2)),"超える","")))</f>
        <v/>
      </c>
      <c r="N799" s="67" t="n"/>
      <c r="O799" s="31">
        <f>IF($A799="","",IFERROR(MATCH($A799,'通知一覧'!$B$5:$B$204,0),"なし"))</f>
        <v/>
      </c>
      <c r="P799" s="31">
        <f>IF(NOT(ISNUMBER($O799)),"",IFERROR(MATCH(INDEX('通知一覧'!$C$5:$C$204,$O799),'支払先'!$B$5:$B$104,0),""))</f>
        <v/>
      </c>
      <c r="Q799" s="31">
        <f>IF(AND($A799&lt;&gt;"",$A799='支払通知書'!$K$2),ROW(),"")</f>
        <v/>
      </c>
    </row>
    <row r="800" ht="18" customHeight="1">
      <c r="A800" s="18" t="n"/>
      <c r="B800" s="24" t="n"/>
      <c r="C800" s="19" t="n"/>
      <c r="D800" s="25" t="n"/>
      <c r="E800" s="18" t="n"/>
      <c r="F800" s="25" t="n"/>
      <c r="G800" s="18" t="n"/>
      <c r="H800" s="18" t="n"/>
      <c r="I800" s="26">
        <f>IF(OR($A800="",$F800=""),"",ROUND(IF($D800="",1,$D800)*$F800,0))</f>
        <v/>
      </c>
      <c r="J800" s="27">
        <f>IF($A800="","",IF($O800="なし","※通知一覧にない通知No",IF($P800="","",INDEX('支払先'!$C$5:$C$104,$P800)&amp;"")))</f>
        <v/>
      </c>
      <c r="K800" s="28">
        <f>IF(NOT(ISNUMBER($O800)),"",IF(ISNUMBER(INDEX('通知一覧'!$F$5:$F$204,$O800)),INDEX('通知一覧'!$F$5:$F$204,$O800),""))</f>
        <v/>
      </c>
      <c r="L800" s="29">
        <f>IF(AND(ISNUMBER($B800),ISNUMBER($K800)),$K800-$B800+1,"")</f>
        <v/>
      </c>
      <c r="M800" s="30">
        <f>IF(OR($L800="",$P800=""),"",IF(INDEX('支払先'!$M$5:$M$104,$P800)="対象外","",IF(AND($L800&gt;60,$K800&gt;=EDATE($B800,2)),"超える","")))</f>
        <v/>
      </c>
      <c r="N800" s="67" t="n"/>
      <c r="O800" s="31">
        <f>IF($A800="","",IFERROR(MATCH($A800,'通知一覧'!$B$5:$B$204,0),"なし"))</f>
        <v/>
      </c>
      <c r="P800" s="31">
        <f>IF(NOT(ISNUMBER($O800)),"",IFERROR(MATCH(INDEX('通知一覧'!$C$5:$C$204,$O800),'支払先'!$B$5:$B$104,0),""))</f>
        <v/>
      </c>
      <c r="Q800" s="31">
        <f>IF(AND($A800&lt;&gt;"",$A800='支払通知書'!$K$2),ROW(),"")</f>
        <v/>
      </c>
    </row>
    <row r="801" ht="18" customHeight="1">
      <c r="A801" s="18" t="n"/>
      <c r="B801" s="24" t="n"/>
      <c r="C801" s="19" t="n"/>
      <c r="D801" s="25" t="n"/>
      <c r="E801" s="18" t="n"/>
      <c r="F801" s="25" t="n"/>
      <c r="G801" s="18" t="n"/>
      <c r="H801" s="18" t="n"/>
      <c r="I801" s="26">
        <f>IF(OR($A801="",$F801=""),"",ROUND(IF($D801="",1,$D801)*$F801,0))</f>
        <v/>
      </c>
      <c r="J801" s="27">
        <f>IF($A801="","",IF($O801="なし","※通知一覧にない通知No",IF($P801="","",INDEX('支払先'!$C$5:$C$104,$P801)&amp;"")))</f>
        <v/>
      </c>
      <c r="K801" s="28">
        <f>IF(NOT(ISNUMBER($O801)),"",IF(ISNUMBER(INDEX('通知一覧'!$F$5:$F$204,$O801)),INDEX('通知一覧'!$F$5:$F$204,$O801),""))</f>
        <v/>
      </c>
      <c r="L801" s="29">
        <f>IF(AND(ISNUMBER($B801),ISNUMBER($K801)),$K801-$B801+1,"")</f>
        <v/>
      </c>
      <c r="M801" s="30">
        <f>IF(OR($L801="",$P801=""),"",IF(INDEX('支払先'!$M$5:$M$104,$P801)="対象外","",IF(AND($L801&gt;60,$K801&gt;=EDATE($B801,2)),"超える","")))</f>
        <v/>
      </c>
      <c r="N801" s="67" t="n"/>
      <c r="O801" s="31">
        <f>IF($A801="","",IFERROR(MATCH($A801,'通知一覧'!$B$5:$B$204,0),"なし"))</f>
        <v/>
      </c>
      <c r="P801" s="31">
        <f>IF(NOT(ISNUMBER($O801)),"",IFERROR(MATCH(INDEX('通知一覧'!$C$5:$C$204,$O801),'支払先'!$B$5:$B$104,0),""))</f>
        <v/>
      </c>
      <c r="Q801" s="31">
        <f>IF(AND($A801&lt;&gt;"",$A801='支払通知書'!$K$2),ROW(),"")</f>
        <v/>
      </c>
    </row>
    <row r="802" ht="18" customHeight="1">
      <c r="A802" s="18" t="n"/>
      <c r="B802" s="24" t="n"/>
      <c r="C802" s="19" t="n"/>
      <c r="D802" s="25" t="n"/>
      <c r="E802" s="18" t="n"/>
      <c r="F802" s="25" t="n"/>
      <c r="G802" s="18" t="n"/>
      <c r="H802" s="18" t="n"/>
      <c r="I802" s="26">
        <f>IF(OR($A802="",$F802=""),"",ROUND(IF($D802="",1,$D802)*$F802,0))</f>
        <v/>
      </c>
      <c r="J802" s="27">
        <f>IF($A802="","",IF($O802="なし","※通知一覧にない通知No",IF($P802="","",INDEX('支払先'!$C$5:$C$104,$P802)&amp;"")))</f>
        <v/>
      </c>
      <c r="K802" s="28">
        <f>IF(NOT(ISNUMBER($O802)),"",IF(ISNUMBER(INDEX('通知一覧'!$F$5:$F$204,$O802)),INDEX('通知一覧'!$F$5:$F$204,$O802),""))</f>
        <v/>
      </c>
      <c r="L802" s="29">
        <f>IF(AND(ISNUMBER($B802),ISNUMBER($K802)),$K802-$B802+1,"")</f>
        <v/>
      </c>
      <c r="M802" s="30">
        <f>IF(OR($L802="",$P802=""),"",IF(INDEX('支払先'!$M$5:$M$104,$P802)="対象外","",IF(AND($L802&gt;60,$K802&gt;=EDATE($B802,2)),"超える","")))</f>
        <v/>
      </c>
      <c r="N802" s="67" t="n"/>
      <c r="O802" s="31">
        <f>IF($A802="","",IFERROR(MATCH($A802,'通知一覧'!$B$5:$B$204,0),"なし"))</f>
        <v/>
      </c>
      <c r="P802" s="31">
        <f>IF(NOT(ISNUMBER($O802)),"",IFERROR(MATCH(INDEX('通知一覧'!$C$5:$C$204,$O802),'支払先'!$B$5:$B$104,0),""))</f>
        <v/>
      </c>
      <c r="Q802" s="31">
        <f>IF(AND($A802&lt;&gt;"",$A802='支払通知書'!$K$2),ROW(),"")</f>
        <v/>
      </c>
    </row>
    <row r="803" ht="18" customHeight="1">
      <c r="A803" s="18" t="n"/>
      <c r="B803" s="24" t="n"/>
      <c r="C803" s="19" t="n"/>
      <c r="D803" s="25" t="n"/>
      <c r="E803" s="18" t="n"/>
      <c r="F803" s="25" t="n"/>
      <c r="G803" s="18" t="n"/>
      <c r="H803" s="18" t="n"/>
      <c r="I803" s="26">
        <f>IF(OR($A803="",$F803=""),"",ROUND(IF($D803="",1,$D803)*$F803,0))</f>
        <v/>
      </c>
      <c r="J803" s="27">
        <f>IF($A803="","",IF($O803="なし","※通知一覧にない通知No",IF($P803="","",INDEX('支払先'!$C$5:$C$104,$P803)&amp;"")))</f>
        <v/>
      </c>
      <c r="K803" s="28">
        <f>IF(NOT(ISNUMBER($O803)),"",IF(ISNUMBER(INDEX('通知一覧'!$F$5:$F$204,$O803)),INDEX('通知一覧'!$F$5:$F$204,$O803),""))</f>
        <v/>
      </c>
      <c r="L803" s="29">
        <f>IF(AND(ISNUMBER($B803),ISNUMBER($K803)),$K803-$B803+1,"")</f>
        <v/>
      </c>
      <c r="M803" s="30">
        <f>IF(OR($L803="",$P803=""),"",IF(INDEX('支払先'!$M$5:$M$104,$P803)="対象外","",IF(AND($L803&gt;60,$K803&gt;=EDATE($B803,2)),"超える","")))</f>
        <v/>
      </c>
      <c r="N803" s="67" t="n"/>
      <c r="O803" s="31">
        <f>IF($A803="","",IFERROR(MATCH($A803,'通知一覧'!$B$5:$B$204,0),"なし"))</f>
        <v/>
      </c>
      <c r="P803" s="31">
        <f>IF(NOT(ISNUMBER($O803)),"",IFERROR(MATCH(INDEX('通知一覧'!$C$5:$C$204,$O803),'支払先'!$B$5:$B$104,0),""))</f>
        <v/>
      </c>
      <c r="Q803" s="31">
        <f>IF(AND($A803&lt;&gt;"",$A803='支払通知書'!$K$2),ROW(),"")</f>
        <v/>
      </c>
    </row>
    <row r="804" ht="18" customHeight="1">
      <c r="A804" s="18" t="n"/>
      <c r="B804" s="24" t="n"/>
      <c r="C804" s="19" t="n"/>
      <c r="D804" s="25" t="n"/>
      <c r="E804" s="18" t="n"/>
      <c r="F804" s="25" t="n"/>
      <c r="G804" s="18" t="n"/>
      <c r="H804" s="18" t="n"/>
      <c r="I804" s="26">
        <f>IF(OR($A804="",$F804=""),"",ROUND(IF($D804="",1,$D804)*$F804,0))</f>
        <v/>
      </c>
      <c r="J804" s="27">
        <f>IF($A804="","",IF($O804="なし","※通知一覧にない通知No",IF($P804="","",INDEX('支払先'!$C$5:$C$104,$P804)&amp;"")))</f>
        <v/>
      </c>
      <c r="K804" s="28">
        <f>IF(NOT(ISNUMBER($O804)),"",IF(ISNUMBER(INDEX('通知一覧'!$F$5:$F$204,$O804)),INDEX('通知一覧'!$F$5:$F$204,$O804),""))</f>
        <v/>
      </c>
      <c r="L804" s="29">
        <f>IF(AND(ISNUMBER($B804),ISNUMBER($K804)),$K804-$B804+1,"")</f>
        <v/>
      </c>
      <c r="M804" s="30">
        <f>IF(OR($L804="",$P804=""),"",IF(INDEX('支払先'!$M$5:$M$104,$P804)="対象外","",IF(AND($L804&gt;60,$K804&gt;=EDATE($B804,2)),"超える","")))</f>
        <v/>
      </c>
      <c r="N804" s="67" t="n"/>
      <c r="O804" s="31">
        <f>IF($A804="","",IFERROR(MATCH($A804,'通知一覧'!$B$5:$B$204,0),"なし"))</f>
        <v/>
      </c>
      <c r="P804" s="31">
        <f>IF(NOT(ISNUMBER($O804)),"",IFERROR(MATCH(INDEX('通知一覧'!$C$5:$C$204,$O804),'支払先'!$B$5:$B$104,0),""))</f>
        <v/>
      </c>
      <c r="Q804" s="31">
        <f>IF(AND($A804&lt;&gt;"",$A804='支払通知書'!$K$2),ROW(),"")</f>
        <v/>
      </c>
    </row>
    <row r="805" ht="18" customHeight="1">
      <c r="A805" s="18" t="n"/>
      <c r="B805" s="24" t="n"/>
      <c r="C805" s="19" t="n"/>
      <c r="D805" s="25" t="n"/>
      <c r="E805" s="18" t="n"/>
      <c r="F805" s="25" t="n"/>
      <c r="G805" s="18" t="n"/>
      <c r="H805" s="18" t="n"/>
      <c r="I805" s="26">
        <f>IF(OR($A805="",$F805=""),"",ROUND(IF($D805="",1,$D805)*$F805,0))</f>
        <v/>
      </c>
      <c r="J805" s="27">
        <f>IF($A805="","",IF($O805="なし","※通知一覧にない通知No",IF($P805="","",INDEX('支払先'!$C$5:$C$104,$P805)&amp;"")))</f>
        <v/>
      </c>
      <c r="K805" s="28">
        <f>IF(NOT(ISNUMBER($O805)),"",IF(ISNUMBER(INDEX('通知一覧'!$F$5:$F$204,$O805)),INDEX('通知一覧'!$F$5:$F$204,$O805),""))</f>
        <v/>
      </c>
      <c r="L805" s="29">
        <f>IF(AND(ISNUMBER($B805),ISNUMBER($K805)),$K805-$B805+1,"")</f>
        <v/>
      </c>
      <c r="M805" s="30">
        <f>IF(OR($L805="",$P805=""),"",IF(INDEX('支払先'!$M$5:$M$104,$P805)="対象外","",IF(AND($L805&gt;60,$K805&gt;=EDATE($B805,2)),"超える","")))</f>
        <v/>
      </c>
      <c r="N805" s="67" t="n"/>
      <c r="O805" s="31">
        <f>IF($A805="","",IFERROR(MATCH($A805,'通知一覧'!$B$5:$B$204,0),"なし"))</f>
        <v/>
      </c>
      <c r="P805" s="31">
        <f>IF(NOT(ISNUMBER($O805)),"",IFERROR(MATCH(INDEX('通知一覧'!$C$5:$C$204,$O805),'支払先'!$B$5:$B$104,0),""))</f>
        <v/>
      </c>
      <c r="Q805" s="31">
        <f>IF(AND($A805&lt;&gt;"",$A805='支払通知書'!$K$2),ROW(),"")</f>
        <v/>
      </c>
    </row>
    <row r="806" ht="18" customHeight="1">
      <c r="A806" s="18" t="n"/>
      <c r="B806" s="24" t="n"/>
      <c r="C806" s="19" t="n"/>
      <c r="D806" s="25" t="n"/>
      <c r="E806" s="18" t="n"/>
      <c r="F806" s="25" t="n"/>
      <c r="G806" s="18" t="n"/>
      <c r="H806" s="18" t="n"/>
      <c r="I806" s="26">
        <f>IF(OR($A806="",$F806=""),"",ROUND(IF($D806="",1,$D806)*$F806,0))</f>
        <v/>
      </c>
      <c r="J806" s="27">
        <f>IF($A806="","",IF($O806="なし","※通知一覧にない通知No",IF($P806="","",INDEX('支払先'!$C$5:$C$104,$P806)&amp;"")))</f>
        <v/>
      </c>
      <c r="K806" s="28">
        <f>IF(NOT(ISNUMBER($O806)),"",IF(ISNUMBER(INDEX('通知一覧'!$F$5:$F$204,$O806)),INDEX('通知一覧'!$F$5:$F$204,$O806),""))</f>
        <v/>
      </c>
      <c r="L806" s="29">
        <f>IF(AND(ISNUMBER($B806),ISNUMBER($K806)),$K806-$B806+1,"")</f>
        <v/>
      </c>
      <c r="M806" s="30">
        <f>IF(OR($L806="",$P806=""),"",IF(INDEX('支払先'!$M$5:$M$104,$P806)="対象外","",IF(AND($L806&gt;60,$K806&gt;=EDATE($B806,2)),"超える","")))</f>
        <v/>
      </c>
      <c r="N806" s="67" t="n"/>
      <c r="O806" s="31">
        <f>IF($A806="","",IFERROR(MATCH($A806,'通知一覧'!$B$5:$B$204,0),"なし"))</f>
        <v/>
      </c>
      <c r="P806" s="31">
        <f>IF(NOT(ISNUMBER($O806)),"",IFERROR(MATCH(INDEX('通知一覧'!$C$5:$C$204,$O806),'支払先'!$B$5:$B$104,0),""))</f>
        <v/>
      </c>
      <c r="Q806" s="31">
        <f>IF(AND($A806&lt;&gt;"",$A806='支払通知書'!$K$2),ROW(),"")</f>
        <v/>
      </c>
    </row>
    <row r="807" ht="18" customHeight="1">
      <c r="A807" s="18" t="n"/>
      <c r="B807" s="24" t="n"/>
      <c r="C807" s="19" t="n"/>
      <c r="D807" s="25" t="n"/>
      <c r="E807" s="18" t="n"/>
      <c r="F807" s="25" t="n"/>
      <c r="G807" s="18" t="n"/>
      <c r="H807" s="18" t="n"/>
      <c r="I807" s="26">
        <f>IF(OR($A807="",$F807=""),"",ROUND(IF($D807="",1,$D807)*$F807,0))</f>
        <v/>
      </c>
      <c r="J807" s="27">
        <f>IF($A807="","",IF($O807="なし","※通知一覧にない通知No",IF($P807="","",INDEX('支払先'!$C$5:$C$104,$P807)&amp;"")))</f>
        <v/>
      </c>
      <c r="K807" s="28">
        <f>IF(NOT(ISNUMBER($O807)),"",IF(ISNUMBER(INDEX('通知一覧'!$F$5:$F$204,$O807)),INDEX('通知一覧'!$F$5:$F$204,$O807),""))</f>
        <v/>
      </c>
      <c r="L807" s="29">
        <f>IF(AND(ISNUMBER($B807),ISNUMBER($K807)),$K807-$B807+1,"")</f>
        <v/>
      </c>
      <c r="M807" s="30">
        <f>IF(OR($L807="",$P807=""),"",IF(INDEX('支払先'!$M$5:$M$104,$P807)="対象外","",IF(AND($L807&gt;60,$K807&gt;=EDATE($B807,2)),"超える","")))</f>
        <v/>
      </c>
      <c r="N807" s="67" t="n"/>
      <c r="O807" s="31">
        <f>IF($A807="","",IFERROR(MATCH($A807,'通知一覧'!$B$5:$B$204,0),"なし"))</f>
        <v/>
      </c>
      <c r="P807" s="31">
        <f>IF(NOT(ISNUMBER($O807)),"",IFERROR(MATCH(INDEX('通知一覧'!$C$5:$C$204,$O807),'支払先'!$B$5:$B$104,0),""))</f>
        <v/>
      </c>
      <c r="Q807" s="31">
        <f>IF(AND($A807&lt;&gt;"",$A807='支払通知書'!$K$2),ROW(),"")</f>
        <v/>
      </c>
    </row>
    <row r="808" ht="18" customHeight="1">
      <c r="A808" s="18" t="n"/>
      <c r="B808" s="24" t="n"/>
      <c r="C808" s="19" t="n"/>
      <c r="D808" s="25" t="n"/>
      <c r="E808" s="18" t="n"/>
      <c r="F808" s="25" t="n"/>
      <c r="G808" s="18" t="n"/>
      <c r="H808" s="18" t="n"/>
      <c r="I808" s="26">
        <f>IF(OR($A808="",$F808=""),"",ROUND(IF($D808="",1,$D808)*$F808,0))</f>
        <v/>
      </c>
      <c r="J808" s="27">
        <f>IF($A808="","",IF($O808="なし","※通知一覧にない通知No",IF($P808="","",INDEX('支払先'!$C$5:$C$104,$P808)&amp;"")))</f>
        <v/>
      </c>
      <c r="K808" s="28">
        <f>IF(NOT(ISNUMBER($O808)),"",IF(ISNUMBER(INDEX('通知一覧'!$F$5:$F$204,$O808)),INDEX('通知一覧'!$F$5:$F$204,$O808),""))</f>
        <v/>
      </c>
      <c r="L808" s="29">
        <f>IF(AND(ISNUMBER($B808),ISNUMBER($K808)),$K808-$B808+1,"")</f>
        <v/>
      </c>
      <c r="M808" s="30">
        <f>IF(OR($L808="",$P808=""),"",IF(INDEX('支払先'!$M$5:$M$104,$P808)="対象外","",IF(AND($L808&gt;60,$K808&gt;=EDATE($B808,2)),"超える","")))</f>
        <v/>
      </c>
      <c r="N808" s="67" t="n"/>
      <c r="O808" s="31">
        <f>IF($A808="","",IFERROR(MATCH($A808,'通知一覧'!$B$5:$B$204,0),"なし"))</f>
        <v/>
      </c>
      <c r="P808" s="31">
        <f>IF(NOT(ISNUMBER($O808)),"",IFERROR(MATCH(INDEX('通知一覧'!$C$5:$C$204,$O808),'支払先'!$B$5:$B$104,0),""))</f>
        <v/>
      </c>
      <c r="Q808" s="31">
        <f>IF(AND($A808&lt;&gt;"",$A808='支払通知書'!$K$2),ROW(),"")</f>
        <v/>
      </c>
    </row>
    <row r="809" ht="18" customHeight="1">
      <c r="A809" s="18" t="n"/>
      <c r="B809" s="24" t="n"/>
      <c r="C809" s="19" t="n"/>
      <c r="D809" s="25" t="n"/>
      <c r="E809" s="18" t="n"/>
      <c r="F809" s="25" t="n"/>
      <c r="G809" s="18" t="n"/>
      <c r="H809" s="18" t="n"/>
      <c r="I809" s="26">
        <f>IF(OR($A809="",$F809=""),"",ROUND(IF($D809="",1,$D809)*$F809,0))</f>
        <v/>
      </c>
      <c r="J809" s="27">
        <f>IF($A809="","",IF($O809="なし","※通知一覧にない通知No",IF($P809="","",INDEX('支払先'!$C$5:$C$104,$P809)&amp;"")))</f>
        <v/>
      </c>
      <c r="K809" s="28">
        <f>IF(NOT(ISNUMBER($O809)),"",IF(ISNUMBER(INDEX('通知一覧'!$F$5:$F$204,$O809)),INDEX('通知一覧'!$F$5:$F$204,$O809),""))</f>
        <v/>
      </c>
      <c r="L809" s="29">
        <f>IF(AND(ISNUMBER($B809),ISNUMBER($K809)),$K809-$B809+1,"")</f>
        <v/>
      </c>
      <c r="M809" s="30">
        <f>IF(OR($L809="",$P809=""),"",IF(INDEX('支払先'!$M$5:$M$104,$P809)="対象外","",IF(AND($L809&gt;60,$K809&gt;=EDATE($B809,2)),"超える","")))</f>
        <v/>
      </c>
      <c r="N809" s="67" t="n"/>
      <c r="O809" s="31">
        <f>IF($A809="","",IFERROR(MATCH($A809,'通知一覧'!$B$5:$B$204,0),"なし"))</f>
        <v/>
      </c>
      <c r="P809" s="31">
        <f>IF(NOT(ISNUMBER($O809)),"",IFERROR(MATCH(INDEX('通知一覧'!$C$5:$C$204,$O809),'支払先'!$B$5:$B$104,0),""))</f>
        <v/>
      </c>
      <c r="Q809" s="31">
        <f>IF(AND($A809&lt;&gt;"",$A809='支払通知書'!$K$2),ROW(),"")</f>
        <v/>
      </c>
    </row>
    <row r="810" ht="18" customHeight="1">
      <c r="A810" s="18" t="n"/>
      <c r="B810" s="24" t="n"/>
      <c r="C810" s="19" t="n"/>
      <c r="D810" s="25" t="n"/>
      <c r="E810" s="18" t="n"/>
      <c r="F810" s="25" t="n"/>
      <c r="G810" s="18" t="n"/>
      <c r="H810" s="18" t="n"/>
      <c r="I810" s="26">
        <f>IF(OR($A810="",$F810=""),"",ROUND(IF($D810="",1,$D810)*$F810,0))</f>
        <v/>
      </c>
      <c r="J810" s="27">
        <f>IF($A810="","",IF($O810="なし","※通知一覧にない通知No",IF($P810="","",INDEX('支払先'!$C$5:$C$104,$P810)&amp;"")))</f>
        <v/>
      </c>
      <c r="K810" s="28">
        <f>IF(NOT(ISNUMBER($O810)),"",IF(ISNUMBER(INDEX('通知一覧'!$F$5:$F$204,$O810)),INDEX('通知一覧'!$F$5:$F$204,$O810),""))</f>
        <v/>
      </c>
      <c r="L810" s="29">
        <f>IF(AND(ISNUMBER($B810),ISNUMBER($K810)),$K810-$B810+1,"")</f>
        <v/>
      </c>
      <c r="M810" s="30">
        <f>IF(OR($L810="",$P810=""),"",IF(INDEX('支払先'!$M$5:$M$104,$P810)="対象外","",IF(AND($L810&gt;60,$K810&gt;=EDATE($B810,2)),"超える","")))</f>
        <v/>
      </c>
      <c r="N810" s="67" t="n"/>
      <c r="O810" s="31">
        <f>IF($A810="","",IFERROR(MATCH($A810,'通知一覧'!$B$5:$B$204,0),"なし"))</f>
        <v/>
      </c>
      <c r="P810" s="31">
        <f>IF(NOT(ISNUMBER($O810)),"",IFERROR(MATCH(INDEX('通知一覧'!$C$5:$C$204,$O810),'支払先'!$B$5:$B$104,0),""))</f>
        <v/>
      </c>
      <c r="Q810" s="31">
        <f>IF(AND($A810&lt;&gt;"",$A810='支払通知書'!$K$2),ROW(),"")</f>
        <v/>
      </c>
    </row>
    <row r="811" ht="18" customHeight="1">
      <c r="A811" s="18" t="n"/>
      <c r="B811" s="24" t="n"/>
      <c r="C811" s="19" t="n"/>
      <c r="D811" s="25" t="n"/>
      <c r="E811" s="18" t="n"/>
      <c r="F811" s="25" t="n"/>
      <c r="G811" s="18" t="n"/>
      <c r="H811" s="18" t="n"/>
      <c r="I811" s="26">
        <f>IF(OR($A811="",$F811=""),"",ROUND(IF($D811="",1,$D811)*$F811,0))</f>
        <v/>
      </c>
      <c r="J811" s="27">
        <f>IF($A811="","",IF($O811="なし","※通知一覧にない通知No",IF($P811="","",INDEX('支払先'!$C$5:$C$104,$P811)&amp;"")))</f>
        <v/>
      </c>
      <c r="K811" s="28">
        <f>IF(NOT(ISNUMBER($O811)),"",IF(ISNUMBER(INDEX('通知一覧'!$F$5:$F$204,$O811)),INDEX('通知一覧'!$F$5:$F$204,$O811),""))</f>
        <v/>
      </c>
      <c r="L811" s="29">
        <f>IF(AND(ISNUMBER($B811),ISNUMBER($K811)),$K811-$B811+1,"")</f>
        <v/>
      </c>
      <c r="M811" s="30">
        <f>IF(OR($L811="",$P811=""),"",IF(INDEX('支払先'!$M$5:$M$104,$P811)="対象外","",IF(AND($L811&gt;60,$K811&gt;=EDATE($B811,2)),"超える","")))</f>
        <v/>
      </c>
      <c r="N811" s="67" t="n"/>
      <c r="O811" s="31">
        <f>IF($A811="","",IFERROR(MATCH($A811,'通知一覧'!$B$5:$B$204,0),"なし"))</f>
        <v/>
      </c>
      <c r="P811" s="31">
        <f>IF(NOT(ISNUMBER($O811)),"",IFERROR(MATCH(INDEX('通知一覧'!$C$5:$C$204,$O811),'支払先'!$B$5:$B$104,0),""))</f>
        <v/>
      </c>
      <c r="Q811" s="31">
        <f>IF(AND($A811&lt;&gt;"",$A811='支払通知書'!$K$2),ROW(),"")</f>
        <v/>
      </c>
    </row>
    <row r="812" ht="18" customHeight="1">
      <c r="A812" s="18" t="n"/>
      <c r="B812" s="24" t="n"/>
      <c r="C812" s="19" t="n"/>
      <c r="D812" s="25" t="n"/>
      <c r="E812" s="18" t="n"/>
      <c r="F812" s="25" t="n"/>
      <c r="G812" s="18" t="n"/>
      <c r="H812" s="18" t="n"/>
      <c r="I812" s="26">
        <f>IF(OR($A812="",$F812=""),"",ROUND(IF($D812="",1,$D812)*$F812,0))</f>
        <v/>
      </c>
      <c r="J812" s="27">
        <f>IF($A812="","",IF($O812="なし","※通知一覧にない通知No",IF($P812="","",INDEX('支払先'!$C$5:$C$104,$P812)&amp;"")))</f>
        <v/>
      </c>
      <c r="K812" s="28">
        <f>IF(NOT(ISNUMBER($O812)),"",IF(ISNUMBER(INDEX('通知一覧'!$F$5:$F$204,$O812)),INDEX('通知一覧'!$F$5:$F$204,$O812),""))</f>
        <v/>
      </c>
      <c r="L812" s="29">
        <f>IF(AND(ISNUMBER($B812),ISNUMBER($K812)),$K812-$B812+1,"")</f>
        <v/>
      </c>
      <c r="M812" s="30">
        <f>IF(OR($L812="",$P812=""),"",IF(INDEX('支払先'!$M$5:$M$104,$P812)="対象外","",IF(AND($L812&gt;60,$K812&gt;=EDATE($B812,2)),"超える","")))</f>
        <v/>
      </c>
      <c r="N812" s="67" t="n"/>
      <c r="O812" s="31">
        <f>IF($A812="","",IFERROR(MATCH($A812,'通知一覧'!$B$5:$B$204,0),"なし"))</f>
        <v/>
      </c>
      <c r="P812" s="31">
        <f>IF(NOT(ISNUMBER($O812)),"",IFERROR(MATCH(INDEX('通知一覧'!$C$5:$C$204,$O812),'支払先'!$B$5:$B$104,0),""))</f>
        <v/>
      </c>
      <c r="Q812" s="31">
        <f>IF(AND($A812&lt;&gt;"",$A812='支払通知書'!$K$2),ROW(),"")</f>
        <v/>
      </c>
    </row>
    <row r="813" ht="18" customHeight="1">
      <c r="A813" s="18" t="n"/>
      <c r="B813" s="24" t="n"/>
      <c r="C813" s="19" t="n"/>
      <c r="D813" s="25" t="n"/>
      <c r="E813" s="18" t="n"/>
      <c r="F813" s="25" t="n"/>
      <c r="G813" s="18" t="n"/>
      <c r="H813" s="18" t="n"/>
      <c r="I813" s="26">
        <f>IF(OR($A813="",$F813=""),"",ROUND(IF($D813="",1,$D813)*$F813,0))</f>
        <v/>
      </c>
      <c r="J813" s="27">
        <f>IF($A813="","",IF($O813="なし","※通知一覧にない通知No",IF($P813="","",INDEX('支払先'!$C$5:$C$104,$P813)&amp;"")))</f>
        <v/>
      </c>
      <c r="K813" s="28">
        <f>IF(NOT(ISNUMBER($O813)),"",IF(ISNUMBER(INDEX('通知一覧'!$F$5:$F$204,$O813)),INDEX('通知一覧'!$F$5:$F$204,$O813),""))</f>
        <v/>
      </c>
      <c r="L813" s="29">
        <f>IF(AND(ISNUMBER($B813),ISNUMBER($K813)),$K813-$B813+1,"")</f>
        <v/>
      </c>
      <c r="M813" s="30">
        <f>IF(OR($L813="",$P813=""),"",IF(INDEX('支払先'!$M$5:$M$104,$P813)="対象外","",IF(AND($L813&gt;60,$K813&gt;=EDATE($B813,2)),"超える","")))</f>
        <v/>
      </c>
      <c r="N813" s="67" t="n"/>
      <c r="O813" s="31">
        <f>IF($A813="","",IFERROR(MATCH($A813,'通知一覧'!$B$5:$B$204,0),"なし"))</f>
        <v/>
      </c>
      <c r="P813" s="31">
        <f>IF(NOT(ISNUMBER($O813)),"",IFERROR(MATCH(INDEX('通知一覧'!$C$5:$C$204,$O813),'支払先'!$B$5:$B$104,0),""))</f>
        <v/>
      </c>
      <c r="Q813" s="31">
        <f>IF(AND($A813&lt;&gt;"",$A813='支払通知書'!$K$2),ROW(),"")</f>
        <v/>
      </c>
    </row>
    <row r="814" ht="18" customHeight="1">
      <c r="A814" s="18" t="n"/>
      <c r="B814" s="24" t="n"/>
      <c r="C814" s="19" t="n"/>
      <c r="D814" s="25" t="n"/>
      <c r="E814" s="18" t="n"/>
      <c r="F814" s="25" t="n"/>
      <c r="G814" s="18" t="n"/>
      <c r="H814" s="18" t="n"/>
      <c r="I814" s="26">
        <f>IF(OR($A814="",$F814=""),"",ROUND(IF($D814="",1,$D814)*$F814,0))</f>
        <v/>
      </c>
      <c r="J814" s="27">
        <f>IF($A814="","",IF($O814="なし","※通知一覧にない通知No",IF($P814="","",INDEX('支払先'!$C$5:$C$104,$P814)&amp;"")))</f>
        <v/>
      </c>
      <c r="K814" s="28">
        <f>IF(NOT(ISNUMBER($O814)),"",IF(ISNUMBER(INDEX('通知一覧'!$F$5:$F$204,$O814)),INDEX('通知一覧'!$F$5:$F$204,$O814),""))</f>
        <v/>
      </c>
      <c r="L814" s="29">
        <f>IF(AND(ISNUMBER($B814),ISNUMBER($K814)),$K814-$B814+1,"")</f>
        <v/>
      </c>
      <c r="M814" s="30">
        <f>IF(OR($L814="",$P814=""),"",IF(INDEX('支払先'!$M$5:$M$104,$P814)="対象外","",IF(AND($L814&gt;60,$K814&gt;=EDATE($B814,2)),"超える","")))</f>
        <v/>
      </c>
      <c r="N814" s="67" t="n"/>
      <c r="O814" s="31">
        <f>IF($A814="","",IFERROR(MATCH($A814,'通知一覧'!$B$5:$B$204,0),"なし"))</f>
        <v/>
      </c>
      <c r="P814" s="31">
        <f>IF(NOT(ISNUMBER($O814)),"",IFERROR(MATCH(INDEX('通知一覧'!$C$5:$C$204,$O814),'支払先'!$B$5:$B$104,0),""))</f>
        <v/>
      </c>
      <c r="Q814" s="31">
        <f>IF(AND($A814&lt;&gt;"",$A814='支払通知書'!$K$2),ROW(),"")</f>
        <v/>
      </c>
    </row>
    <row r="815" ht="18" customHeight="1">
      <c r="A815" s="18" t="n"/>
      <c r="B815" s="24" t="n"/>
      <c r="C815" s="19" t="n"/>
      <c r="D815" s="25" t="n"/>
      <c r="E815" s="18" t="n"/>
      <c r="F815" s="25" t="n"/>
      <c r="G815" s="18" t="n"/>
      <c r="H815" s="18" t="n"/>
      <c r="I815" s="26">
        <f>IF(OR($A815="",$F815=""),"",ROUND(IF($D815="",1,$D815)*$F815,0))</f>
        <v/>
      </c>
      <c r="J815" s="27">
        <f>IF($A815="","",IF($O815="なし","※通知一覧にない通知No",IF($P815="","",INDEX('支払先'!$C$5:$C$104,$P815)&amp;"")))</f>
        <v/>
      </c>
      <c r="K815" s="28">
        <f>IF(NOT(ISNUMBER($O815)),"",IF(ISNUMBER(INDEX('通知一覧'!$F$5:$F$204,$O815)),INDEX('通知一覧'!$F$5:$F$204,$O815),""))</f>
        <v/>
      </c>
      <c r="L815" s="29">
        <f>IF(AND(ISNUMBER($B815),ISNUMBER($K815)),$K815-$B815+1,"")</f>
        <v/>
      </c>
      <c r="M815" s="30">
        <f>IF(OR($L815="",$P815=""),"",IF(INDEX('支払先'!$M$5:$M$104,$P815)="対象外","",IF(AND($L815&gt;60,$K815&gt;=EDATE($B815,2)),"超える","")))</f>
        <v/>
      </c>
      <c r="N815" s="67" t="n"/>
      <c r="O815" s="31">
        <f>IF($A815="","",IFERROR(MATCH($A815,'通知一覧'!$B$5:$B$204,0),"なし"))</f>
        <v/>
      </c>
      <c r="P815" s="31">
        <f>IF(NOT(ISNUMBER($O815)),"",IFERROR(MATCH(INDEX('通知一覧'!$C$5:$C$204,$O815),'支払先'!$B$5:$B$104,0),""))</f>
        <v/>
      </c>
      <c r="Q815" s="31">
        <f>IF(AND($A815&lt;&gt;"",$A815='支払通知書'!$K$2),ROW(),"")</f>
        <v/>
      </c>
    </row>
    <row r="816" ht="18" customHeight="1">
      <c r="A816" s="18" t="n"/>
      <c r="B816" s="24" t="n"/>
      <c r="C816" s="19" t="n"/>
      <c r="D816" s="25" t="n"/>
      <c r="E816" s="18" t="n"/>
      <c r="F816" s="25" t="n"/>
      <c r="G816" s="18" t="n"/>
      <c r="H816" s="18" t="n"/>
      <c r="I816" s="26">
        <f>IF(OR($A816="",$F816=""),"",ROUND(IF($D816="",1,$D816)*$F816,0))</f>
        <v/>
      </c>
      <c r="J816" s="27">
        <f>IF($A816="","",IF($O816="なし","※通知一覧にない通知No",IF($P816="","",INDEX('支払先'!$C$5:$C$104,$P816)&amp;"")))</f>
        <v/>
      </c>
      <c r="K816" s="28">
        <f>IF(NOT(ISNUMBER($O816)),"",IF(ISNUMBER(INDEX('通知一覧'!$F$5:$F$204,$O816)),INDEX('通知一覧'!$F$5:$F$204,$O816),""))</f>
        <v/>
      </c>
      <c r="L816" s="29">
        <f>IF(AND(ISNUMBER($B816),ISNUMBER($K816)),$K816-$B816+1,"")</f>
        <v/>
      </c>
      <c r="M816" s="30">
        <f>IF(OR($L816="",$P816=""),"",IF(INDEX('支払先'!$M$5:$M$104,$P816)="対象外","",IF(AND($L816&gt;60,$K816&gt;=EDATE($B816,2)),"超える","")))</f>
        <v/>
      </c>
      <c r="N816" s="67" t="n"/>
      <c r="O816" s="31">
        <f>IF($A816="","",IFERROR(MATCH($A816,'通知一覧'!$B$5:$B$204,0),"なし"))</f>
        <v/>
      </c>
      <c r="P816" s="31">
        <f>IF(NOT(ISNUMBER($O816)),"",IFERROR(MATCH(INDEX('通知一覧'!$C$5:$C$204,$O816),'支払先'!$B$5:$B$104,0),""))</f>
        <v/>
      </c>
      <c r="Q816" s="31">
        <f>IF(AND($A816&lt;&gt;"",$A816='支払通知書'!$K$2),ROW(),"")</f>
        <v/>
      </c>
    </row>
    <row r="817" ht="18" customHeight="1">
      <c r="A817" s="18" t="n"/>
      <c r="B817" s="24" t="n"/>
      <c r="C817" s="19" t="n"/>
      <c r="D817" s="25" t="n"/>
      <c r="E817" s="18" t="n"/>
      <c r="F817" s="25" t="n"/>
      <c r="G817" s="18" t="n"/>
      <c r="H817" s="18" t="n"/>
      <c r="I817" s="26">
        <f>IF(OR($A817="",$F817=""),"",ROUND(IF($D817="",1,$D817)*$F817,0))</f>
        <v/>
      </c>
      <c r="J817" s="27">
        <f>IF($A817="","",IF($O817="なし","※通知一覧にない通知No",IF($P817="","",INDEX('支払先'!$C$5:$C$104,$P817)&amp;"")))</f>
        <v/>
      </c>
      <c r="K817" s="28">
        <f>IF(NOT(ISNUMBER($O817)),"",IF(ISNUMBER(INDEX('通知一覧'!$F$5:$F$204,$O817)),INDEX('通知一覧'!$F$5:$F$204,$O817),""))</f>
        <v/>
      </c>
      <c r="L817" s="29">
        <f>IF(AND(ISNUMBER($B817),ISNUMBER($K817)),$K817-$B817+1,"")</f>
        <v/>
      </c>
      <c r="M817" s="30">
        <f>IF(OR($L817="",$P817=""),"",IF(INDEX('支払先'!$M$5:$M$104,$P817)="対象外","",IF(AND($L817&gt;60,$K817&gt;=EDATE($B817,2)),"超える","")))</f>
        <v/>
      </c>
      <c r="N817" s="67" t="n"/>
      <c r="O817" s="31">
        <f>IF($A817="","",IFERROR(MATCH($A817,'通知一覧'!$B$5:$B$204,0),"なし"))</f>
        <v/>
      </c>
      <c r="P817" s="31">
        <f>IF(NOT(ISNUMBER($O817)),"",IFERROR(MATCH(INDEX('通知一覧'!$C$5:$C$204,$O817),'支払先'!$B$5:$B$104,0),""))</f>
        <v/>
      </c>
      <c r="Q817" s="31">
        <f>IF(AND($A817&lt;&gt;"",$A817='支払通知書'!$K$2),ROW(),"")</f>
        <v/>
      </c>
    </row>
    <row r="818" ht="18" customHeight="1">
      <c r="A818" s="18" t="n"/>
      <c r="B818" s="24" t="n"/>
      <c r="C818" s="19" t="n"/>
      <c r="D818" s="25" t="n"/>
      <c r="E818" s="18" t="n"/>
      <c r="F818" s="25" t="n"/>
      <c r="G818" s="18" t="n"/>
      <c r="H818" s="18" t="n"/>
      <c r="I818" s="26">
        <f>IF(OR($A818="",$F818=""),"",ROUND(IF($D818="",1,$D818)*$F818,0))</f>
        <v/>
      </c>
      <c r="J818" s="27">
        <f>IF($A818="","",IF($O818="なし","※通知一覧にない通知No",IF($P818="","",INDEX('支払先'!$C$5:$C$104,$P818)&amp;"")))</f>
        <v/>
      </c>
      <c r="K818" s="28">
        <f>IF(NOT(ISNUMBER($O818)),"",IF(ISNUMBER(INDEX('通知一覧'!$F$5:$F$204,$O818)),INDEX('通知一覧'!$F$5:$F$204,$O818),""))</f>
        <v/>
      </c>
      <c r="L818" s="29">
        <f>IF(AND(ISNUMBER($B818),ISNUMBER($K818)),$K818-$B818+1,"")</f>
        <v/>
      </c>
      <c r="M818" s="30">
        <f>IF(OR($L818="",$P818=""),"",IF(INDEX('支払先'!$M$5:$M$104,$P818)="対象外","",IF(AND($L818&gt;60,$K818&gt;=EDATE($B818,2)),"超える","")))</f>
        <v/>
      </c>
      <c r="N818" s="67" t="n"/>
      <c r="O818" s="31">
        <f>IF($A818="","",IFERROR(MATCH($A818,'通知一覧'!$B$5:$B$204,0),"なし"))</f>
        <v/>
      </c>
      <c r="P818" s="31">
        <f>IF(NOT(ISNUMBER($O818)),"",IFERROR(MATCH(INDEX('通知一覧'!$C$5:$C$204,$O818),'支払先'!$B$5:$B$104,0),""))</f>
        <v/>
      </c>
      <c r="Q818" s="31">
        <f>IF(AND($A818&lt;&gt;"",$A818='支払通知書'!$K$2),ROW(),"")</f>
        <v/>
      </c>
    </row>
    <row r="819" ht="18" customHeight="1">
      <c r="A819" s="18" t="n"/>
      <c r="B819" s="24" t="n"/>
      <c r="C819" s="19" t="n"/>
      <c r="D819" s="25" t="n"/>
      <c r="E819" s="18" t="n"/>
      <c r="F819" s="25" t="n"/>
      <c r="G819" s="18" t="n"/>
      <c r="H819" s="18" t="n"/>
      <c r="I819" s="26">
        <f>IF(OR($A819="",$F819=""),"",ROUND(IF($D819="",1,$D819)*$F819,0))</f>
        <v/>
      </c>
      <c r="J819" s="27">
        <f>IF($A819="","",IF($O819="なし","※通知一覧にない通知No",IF($P819="","",INDEX('支払先'!$C$5:$C$104,$P819)&amp;"")))</f>
        <v/>
      </c>
      <c r="K819" s="28">
        <f>IF(NOT(ISNUMBER($O819)),"",IF(ISNUMBER(INDEX('通知一覧'!$F$5:$F$204,$O819)),INDEX('通知一覧'!$F$5:$F$204,$O819),""))</f>
        <v/>
      </c>
      <c r="L819" s="29">
        <f>IF(AND(ISNUMBER($B819),ISNUMBER($K819)),$K819-$B819+1,"")</f>
        <v/>
      </c>
      <c r="M819" s="30">
        <f>IF(OR($L819="",$P819=""),"",IF(INDEX('支払先'!$M$5:$M$104,$P819)="対象外","",IF(AND($L819&gt;60,$K819&gt;=EDATE($B819,2)),"超える","")))</f>
        <v/>
      </c>
      <c r="N819" s="67" t="n"/>
      <c r="O819" s="31">
        <f>IF($A819="","",IFERROR(MATCH($A819,'通知一覧'!$B$5:$B$204,0),"なし"))</f>
        <v/>
      </c>
      <c r="P819" s="31">
        <f>IF(NOT(ISNUMBER($O819)),"",IFERROR(MATCH(INDEX('通知一覧'!$C$5:$C$204,$O819),'支払先'!$B$5:$B$104,0),""))</f>
        <v/>
      </c>
      <c r="Q819" s="31">
        <f>IF(AND($A819&lt;&gt;"",$A819='支払通知書'!$K$2),ROW(),"")</f>
        <v/>
      </c>
    </row>
    <row r="820" ht="18" customHeight="1">
      <c r="A820" s="18" t="n"/>
      <c r="B820" s="24" t="n"/>
      <c r="C820" s="19" t="n"/>
      <c r="D820" s="25" t="n"/>
      <c r="E820" s="18" t="n"/>
      <c r="F820" s="25" t="n"/>
      <c r="G820" s="18" t="n"/>
      <c r="H820" s="18" t="n"/>
      <c r="I820" s="26">
        <f>IF(OR($A820="",$F820=""),"",ROUND(IF($D820="",1,$D820)*$F820,0))</f>
        <v/>
      </c>
      <c r="J820" s="27">
        <f>IF($A820="","",IF($O820="なし","※通知一覧にない通知No",IF($P820="","",INDEX('支払先'!$C$5:$C$104,$P820)&amp;"")))</f>
        <v/>
      </c>
      <c r="K820" s="28">
        <f>IF(NOT(ISNUMBER($O820)),"",IF(ISNUMBER(INDEX('通知一覧'!$F$5:$F$204,$O820)),INDEX('通知一覧'!$F$5:$F$204,$O820),""))</f>
        <v/>
      </c>
      <c r="L820" s="29">
        <f>IF(AND(ISNUMBER($B820),ISNUMBER($K820)),$K820-$B820+1,"")</f>
        <v/>
      </c>
      <c r="M820" s="30">
        <f>IF(OR($L820="",$P820=""),"",IF(INDEX('支払先'!$M$5:$M$104,$P820)="対象外","",IF(AND($L820&gt;60,$K820&gt;=EDATE($B820,2)),"超える","")))</f>
        <v/>
      </c>
      <c r="N820" s="67" t="n"/>
      <c r="O820" s="31">
        <f>IF($A820="","",IFERROR(MATCH($A820,'通知一覧'!$B$5:$B$204,0),"なし"))</f>
        <v/>
      </c>
      <c r="P820" s="31">
        <f>IF(NOT(ISNUMBER($O820)),"",IFERROR(MATCH(INDEX('通知一覧'!$C$5:$C$204,$O820),'支払先'!$B$5:$B$104,0),""))</f>
        <v/>
      </c>
      <c r="Q820" s="31">
        <f>IF(AND($A820&lt;&gt;"",$A820='支払通知書'!$K$2),ROW(),"")</f>
        <v/>
      </c>
    </row>
    <row r="821" ht="18" customHeight="1">
      <c r="A821" s="18" t="n"/>
      <c r="B821" s="24" t="n"/>
      <c r="C821" s="19" t="n"/>
      <c r="D821" s="25" t="n"/>
      <c r="E821" s="18" t="n"/>
      <c r="F821" s="25" t="n"/>
      <c r="G821" s="18" t="n"/>
      <c r="H821" s="18" t="n"/>
      <c r="I821" s="26">
        <f>IF(OR($A821="",$F821=""),"",ROUND(IF($D821="",1,$D821)*$F821,0))</f>
        <v/>
      </c>
      <c r="J821" s="27">
        <f>IF($A821="","",IF($O821="なし","※通知一覧にない通知No",IF($P821="","",INDEX('支払先'!$C$5:$C$104,$P821)&amp;"")))</f>
        <v/>
      </c>
      <c r="K821" s="28">
        <f>IF(NOT(ISNUMBER($O821)),"",IF(ISNUMBER(INDEX('通知一覧'!$F$5:$F$204,$O821)),INDEX('通知一覧'!$F$5:$F$204,$O821),""))</f>
        <v/>
      </c>
      <c r="L821" s="29">
        <f>IF(AND(ISNUMBER($B821),ISNUMBER($K821)),$K821-$B821+1,"")</f>
        <v/>
      </c>
      <c r="M821" s="30">
        <f>IF(OR($L821="",$P821=""),"",IF(INDEX('支払先'!$M$5:$M$104,$P821)="対象外","",IF(AND($L821&gt;60,$K821&gt;=EDATE($B821,2)),"超える","")))</f>
        <v/>
      </c>
      <c r="N821" s="67" t="n"/>
      <c r="O821" s="31">
        <f>IF($A821="","",IFERROR(MATCH($A821,'通知一覧'!$B$5:$B$204,0),"なし"))</f>
        <v/>
      </c>
      <c r="P821" s="31">
        <f>IF(NOT(ISNUMBER($O821)),"",IFERROR(MATCH(INDEX('通知一覧'!$C$5:$C$204,$O821),'支払先'!$B$5:$B$104,0),""))</f>
        <v/>
      </c>
      <c r="Q821" s="31">
        <f>IF(AND($A821&lt;&gt;"",$A821='支払通知書'!$K$2),ROW(),"")</f>
        <v/>
      </c>
    </row>
    <row r="822" ht="18" customHeight="1">
      <c r="A822" s="18" t="n"/>
      <c r="B822" s="24" t="n"/>
      <c r="C822" s="19" t="n"/>
      <c r="D822" s="25" t="n"/>
      <c r="E822" s="18" t="n"/>
      <c r="F822" s="25" t="n"/>
      <c r="G822" s="18" t="n"/>
      <c r="H822" s="18" t="n"/>
      <c r="I822" s="26">
        <f>IF(OR($A822="",$F822=""),"",ROUND(IF($D822="",1,$D822)*$F822,0))</f>
        <v/>
      </c>
      <c r="J822" s="27">
        <f>IF($A822="","",IF($O822="なし","※通知一覧にない通知No",IF($P822="","",INDEX('支払先'!$C$5:$C$104,$P822)&amp;"")))</f>
        <v/>
      </c>
      <c r="K822" s="28">
        <f>IF(NOT(ISNUMBER($O822)),"",IF(ISNUMBER(INDEX('通知一覧'!$F$5:$F$204,$O822)),INDEX('通知一覧'!$F$5:$F$204,$O822),""))</f>
        <v/>
      </c>
      <c r="L822" s="29">
        <f>IF(AND(ISNUMBER($B822),ISNUMBER($K822)),$K822-$B822+1,"")</f>
        <v/>
      </c>
      <c r="M822" s="30">
        <f>IF(OR($L822="",$P822=""),"",IF(INDEX('支払先'!$M$5:$M$104,$P822)="対象外","",IF(AND($L822&gt;60,$K822&gt;=EDATE($B822,2)),"超える","")))</f>
        <v/>
      </c>
      <c r="N822" s="67" t="n"/>
      <c r="O822" s="31">
        <f>IF($A822="","",IFERROR(MATCH($A822,'通知一覧'!$B$5:$B$204,0),"なし"))</f>
        <v/>
      </c>
      <c r="P822" s="31">
        <f>IF(NOT(ISNUMBER($O822)),"",IFERROR(MATCH(INDEX('通知一覧'!$C$5:$C$204,$O822),'支払先'!$B$5:$B$104,0),""))</f>
        <v/>
      </c>
      <c r="Q822" s="31">
        <f>IF(AND($A822&lt;&gt;"",$A822='支払通知書'!$K$2),ROW(),"")</f>
        <v/>
      </c>
    </row>
    <row r="823" ht="18" customHeight="1">
      <c r="A823" s="18" t="n"/>
      <c r="B823" s="24" t="n"/>
      <c r="C823" s="19" t="n"/>
      <c r="D823" s="25" t="n"/>
      <c r="E823" s="18" t="n"/>
      <c r="F823" s="25" t="n"/>
      <c r="G823" s="18" t="n"/>
      <c r="H823" s="18" t="n"/>
      <c r="I823" s="26">
        <f>IF(OR($A823="",$F823=""),"",ROUND(IF($D823="",1,$D823)*$F823,0))</f>
        <v/>
      </c>
      <c r="J823" s="27">
        <f>IF($A823="","",IF($O823="なし","※通知一覧にない通知No",IF($P823="","",INDEX('支払先'!$C$5:$C$104,$P823)&amp;"")))</f>
        <v/>
      </c>
      <c r="K823" s="28">
        <f>IF(NOT(ISNUMBER($O823)),"",IF(ISNUMBER(INDEX('通知一覧'!$F$5:$F$204,$O823)),INDEX('通知一覧'!$F$5:$F$204,$O823),""))</f>
        <v/>
      </c>
      <c r="L823" s="29">
        <f>IF(AND(ISNUMBER($B823),ISNUMBER($K823)),$K823-$B823+1,"")</f>
        <v/>
      </c>
      <c r="M823" s="30">
        <f>IF(OR($L823="",$P823=""),"",IF(INDEX('支払先'!$M$5:$M$104,$P823)="対象外","",IF(AND($L823&gt;60,$K823&gt;=EDATE($B823,2)),"超える","")))</f>
        <v/>
      </c>
      <c r="N823" s="67" t="n"/>
      <c r="O823" s="31">
        <f>IF($A823="","",IFERROR(MATCH($A823,'通知一覧'!$B$5:$B$204,0),"なし"))</f>
        <v/>
      </c>
      <c r="P823" s="31">
        <f>IF(NOT(ISNUMBER($O823)),"",IFERROR(MATCH(INDEX('通知一覧'!$C$5:$C$204,$O823),'支払先'!$B$5:$B$104,0),""))</f>
        <v/>
      </c>
      <c r="Q823" s="31">
        <f>IF(AND($A823&lt;&gt;"",$A823='支払通知書'!$K$2),ROW(),"")</f>
        <v/>
      </c>
    </row>
    <row r="824" ht="18" customHeight="1">
      <c r="A824" s="18" t="n"/>
      <c r="B824" s="24" t="n"/>
      <c r="C824" s="19" t="n"/>
      <c r="D824" s="25" t="n"/>
      <c r="E824" s="18" t="n"/>
      <c r="F824" s="25" t="n"/>
      <c r="G824" s="18" t="n"/>
      <c r="H824" s="18" t="n"/>
      <c r="I824" s="26">
        <f>IF(OR($A824="",$F824=""),"",ROUND(IF($D824="",1,$D824)*$F824,0))</f>
        <v/>
      </c>
      <c r="J824" s="27">
        <f>IF($A824="","",IF($O824="なし","※通知一覧にない通知No",IF($P824="","",INDEX('支払先'!$C$5:$C$104,$P824)&amp;"")))</f>
        <v/>
      </c>
      <c r="K824" s="28">
        <f>IF(NOT(ISNUMBER($O824)),"",IF(ISNUMBER(INDEX('通知一覧'!$F$5:$F$204,$O824)),INDEX('通知一覧'!$F$5:$F$204,$O824),""))</f>
        <v/>
      </c>
      <c r="L824" s="29">
        <f>IF(AND(ISNUMBER($B824),ISNUMBER($K824)),$K824-$B824+1,"")</f>
        <v/>
      </c>
      <c r="M824" s="30">
        <f>IF(OR($L824="",$P824=""),"",IF(INDEX('支払先'!$M$5:$M$104,$P824)="対象外","",IF(AND($L824&gt;60,$K824&gt;=EDATE($B824,2)),"超える","")))</f>
        <v/>
      </c>
      <c r="N824" s="67" t="n"/>
      <c r="O824" s="31">
        <f>IF($A824="","",IFERROR(MATCH($A824,'通知一覧'!$B$5:$B$204,0),"なし"))</f>
        <v/>
      </c>
      <c r="P824" s="31">
        <f>IF(NOT(ISNUMBER($O824)),"",IFERROR(MATCH(INDEX('通知一覧'!$C$5:$C$204,$O824),'支払先'!$B$5:$B$104,0),""))</f>
        <v/>
      </c>
      <c r="Q824" s="31">
        <f>IF(AND($A824&lt;&gt;"",$A824='支払通知書'!$K$2),ROW(),"")</f>
        <v/>
      </c>
    </row>
    <row r="825" ht="18" customHeight="1">
      <c r="A825" s="18" t="n"/>
      <c r="B825" s="24" t="n"/>
      <c r="C825" s="19" t="n"/>
      <c r="D825" s="25" t="n"/>
      <c r="E825" s="18" t="n"/>
      <c r="F825" s="25" t="n"/>
      <c r="G825" s="18" t="n"/>
      <c r="H825" s="18" t="n"/>
      <c r="I825" s="26">
        <f>IF(OR($A825="",$F825=""),"",ROUND(IF($D825="",1,$D825)*$F825,0))</f>
        <v/>
      </c>
      <c r="J825" s="27">
        <f>IF($A825="","",IF($O825="なし","※通知一覧にない通知No",IF($P825="","",INDEX('支払先'!$C$5:$C$104,$P825)&amp;"")))</f>
        <v/>
      </c>
      <c r="K825" s="28">
        <f>IF(NOT(ISNUMBER($O825)),"",IF(ISNUMBER(INDEX('通知一覧'!$F$5:$F$204,$O825)),INDEX('通知一覧'!$F$5:$F$204,$O825),""))</f>
        <v/>
      </c>
      <c r="L825" s="29">
        <f>IF(AND(ISNUMBER($B825),ISNUMBER($K825)),$K825-$B825+1,"")</f>
        <v/>
      </c>
      <c r="M825" s="30">
        <f>IF(OR($L825="",$P825=""),"",IF(INDEX('支払先'!$M$5:$M$104,$P825)="対象外","",IF(AND($L825&gt;60,$K825&gt;=EDATE($B825,2)),"超える","")))</f>
        <v/>
      </c>
      <c r="N825" s="67" t="n"/>
      <c r="O825" s="31">
        <f>IF($A825="","",IFERROR(MATCH($A825,'通知一覧'!$B$5:$B$204,0),"なし"))</f>
        <v/>
      </c>
      <c r="P825" s="31">
        <f>IF(NOT(ISNUMBER($O825)),"",IFERROR(MATCH(INDEX('通知一覧'!$C$5:$C$204,$O825),'支払先'!$B$5:$B$104,0),""))</f>
        <v/>
      </c>
      <c r="Q825" s="31">
        <f>IF(AND($A825&lt;&gt;"",$A825='支払通知書'!$K$2),ROW(),"")</f>
        <v/>
      </c>
    </row>
    <row r="826" ht="18" customHeight="1">
      <c r="A826" s="18" t="n"/>
      <c r="B826" s="24" t="n"/>
      <c r="C826" s="19" t="n"/>
      <c r="D826" s="25" t="n"/>
      <c r="E826" s="18" t="n"/>
      <c r="F826" s="25" t="n"/>
      <c r="G826" s="18" t="n"/>
      <c r="H826" s="18" t="n"/>
      <c r="I826" s="26">
        <f>IF(OR($A826="",$F826=""),"",ROUND(IF($D826="",1,$D826)*$F826,0))</f>
        <v/>
      </c>
      <c r="J826" s="27">
        <f>IF($A826="","",IF($O826="なし","※通知一覧にない通知No",IF($P826="","",INDEX('支払先'!$C$5:$C$104,$P826)&amp;"")))</f>
        <v/>
      </c>
      <c r="K826" s="28">
        <f>IF(NOT(ISNUMBER($O826)),"",IF(ISNUMBER(INDEX('通知一覧'!$F$5:$F$204,$O826)),INDEX('通知一覧'!$F$5:$F$204,$O826),""))</f>
        <v/>
      </c>
      <c r="L826" s="29">
        <f>IF(AND(ISNUMBER($B826),ISNUMBER($K826)),$K826-$B826+1,"")</f>
        <v/>
      </c>
      <c r="M826" s="30">
        <f>IF(OR($L826="",$P826=""),"",IF(INDEX('支払先'!$M$5:$M$104,$P826)="対象外","",IF(AND($L826&gt;60,$K826&gt;=EDATE($B826,2)),"超える","")))</f>
        <v/>
      </c>
      <c r="N826" s="67" t="n"/>
      <c r="O826" s="31">
        <f>IF($A826="","",IFERROR(MATCH($A826,'通知一覧'!$B$5:$B$204,0),"なし"))</f>
        <v/>
      </c>
      <c r="P826" s="31">
        <f>IF(NOT(ISNUMBER($O826)),"",IFERROR(MATCH(INDEX('通知一覧'!$C$5:$C$204,$O826),'支払先'!$B$5:$B$104,0),""))</f>
        <v/>
      </c>
      <c r="Q826" s="31">
        <f>IF(AND($A826&lt;&gt;"",$A826='支払通知書'!$K$2),ROW(),"")</f>
        <v/>
      </c>
    </row>
    <row r="827" ht="18" customHeight="1">
      <c r="A827" s="18" t="n"/>
      <c r="B827" s="24" t="n"/>
      <c r="C827" s="19" t="n"/>
      <c r="D827" s="25" t="n"/>
      <c r="E827" s="18" t="n"/>
      <c r="F827" s="25" t="n"/>
      <c r="G827" s="18" t="n"/>
      <c r="H827" s="18" t="n"/>
      <c r="I827" s="26">
        <f>IF(OR($A827="",$F827=""),"",ROUND(IF($D827="",1,$D827)*$F827,0))</f>
        <v/>
      </c>
      <c r="J827" s="27">
        <f>IF($A827="","",IF($O827="なし","※通知一覧にない通知No",IF($P827="","",INDEX('支払先'!$C$5:$C$104,$P827)&amp;"")))</f>
        <v/>
      </c>
      <c r="K827" s="28">
        <f>IF(NOT(ISNUMBER($O827)),"",IF(ISNUMBER(INDEX('通知一覧'!$F$5:$F$204,$O827)),INDEX('通知一覧'!$F$5:$F$204,$O827),""))</f>
        <v/>
      </c>
      <c r="L827" s="29">
        <f>IF(AND(ISNUMBER($B827),ISNUMBER($K827)),$K827-$B827+1,"")</f>
        <v/>
      </c>
      <c r="M827" s="30">
        <f>IF(OR($L827="",$P827=""),"",IF(INDEX('支払先'!$M$5:$M$104,$P827)="対象外","",IF(AND($L827&gt;60,$K827&gt;=EDATE($B827,2)),"超える","")))</f>
        <v/>
      </c>
      <c r="N827" s="67" t="n"/>
      <c r="O827" s="31">
        <f>IF($A827="","",IFERROR(MATCH($A827,'通知一覧'!$B$5:$B$204,0),"なし"))</f>
        <v/>
      </c>
      <c r="P827" s="31">
        <f>IF(NOT(ISNUMBER($O827)),"",IFERROR(MATCH(INDEX('通知一覧'!$C$5:$C$204,$O827),'支払先'!$B$5:$B$104,0),""))</f>
        <v/>
      </c>
      <c r="Q827" s="31">
        <f>IF(AND($A827&lt;&gt;"",$A827='支払通知書'!$K$2),ROW(),"")</f>
        <v/>
      </c>
    </row>
    <row r="828" ht="18" customHeight="1">
      <c r="A828" s="18" t="n"/>
      <c r="B828" s="24" t="n"/>
      <c r="C828" s="19" t="n"/>
      <c r="D828" s="25" t="n"/>
      <c r="E828" s="18" t="n"/>
      <c r="F828" s="25" t="n"/>
      <c r="G828" s="18" t="n"/>
      <c r="H828" s="18" t="n"/>
      <c r="I828" s="26">
        <f>IF(OR($A828="",$F828=""),"",ROUND(IF($D828="",1,$D828)*$F828,0))</f>
        <v/>
      </c>
      <c r="J828" s="27">
        <f>IF($A828="","",IF($O828="なし","※通知一覧にない通知No",IF($P828="","",INDEX('支払先'!$C$5:$C$104,$P828)&amp;"")))</f>
        <v/>
      </c>
      <c r="K828" s="28">
        <f>IF(NOT(ISNUMBER($O828)),"",IF(ISNUMBER(INDEX('通知一覧'!$F$5:$F$204,$O828)),INDEX('通知一覧'!$F$5:$F$204,$O828),""))</f>
        <v/>
      </c>
      <c r="L828" s="29">
        <f>IF(AND(ISNUMBER($B828),ISNUMBER($K828)),$K828-$B828+1,"")</f>
        <v/>
      </c>
      <c r="M828" s="30">
        <f>IF(OR($L828="",$P828=""),"",IF(INDEX('支払先'!$M$5:$M$104,$P828)="対象外","",IF(AND($L828&gt;60,$K828&gt;=EDATE($B828,2)),"超える","")))</f>
        <v/>
      </c>
      <c r="N828" s="67" t="n"/>
      <c r="O828" s="31">
        <f>IF($A828="","",IFERROR(MATCH($A828,'通知一覧'!$B$5:$B$204,0),"なし"))</f>
        <v/>
      </c>
      <c r="P828" s="31">
        <f>IF(NOT(ISNUMBER($O828)),"",IFERROR(MATCH(INDEX('通知一覧'!$C$5:$C$204,$O828),'支払先'!$B$5:$B$104,0),""))</f>
        <v/>
      </c>
      <c r="Q828" s="31">
        <f>IF(AND($A828&lt;&gt;"",$A828='支払通知書'!$K$2),ROW(),"")</f>
        <v/>
      </c>
    </row>
    <row r="829" ht="18" customHeight="1">
      <c r="A829" s="18" t="n"/>
      <c r="B829" s="24" t="n"/>
      <c r="C829" s="19" t="n"/>
      <c r="D829" s="25" t="n"/>
      <c r="E829" s="18" t="n"/>
      <c r="F829" s="25" t="n"/>
      <c r="G829" s="18" t="n"/>
      <c r="H829" s="18" t="n"/>
      <c r="I829" s="26">
        <f>IF(OR($A829="",$F829=""),"",ROUND(IF($D829="",1,$D829)*$F829,0))</f>
        <v/>
      </c>
      <c r="J829" s="27">
        <f>IF($A829="","",IF($O829="なし","※通知一覧にない通知No",IF($P829="","",INDEX('支払先'!$C$5:$C$104,$P829)&amp;"")))</f>
        <v/>
      </c>
      <c r="K829" s="28">
        <f>IF(NOT(ISNUMBER($O829)),"",IF(ISNUMBER(INDEX('通知一覧'!$F$5:$F$204,$O829)),INDEX('通知一覧'!$F$5:$F$204,$O829),""))</f>
        <v/>
      </c>
      <c r="L829" s="29">
        <f>IF(AND(ISNUMBER($B829),ISNUMBER($K829)),$K829-$B829+1,"")</f>
        <v/>
      </c>
      <c r="M829" s="30">
        <f>IF(OR($L829="",$P829=""),"",IF(INDEX('支払先'!$M$5:$M$104,$P829)="対象外","",IF(AND($L829&gt;60,$K829&gt;=EDATE($B829,2)),"超える","")))</f>
        <v/>
      </c>
      <c r="N829" s="67" t="n"/>
      <c r="O829" s="31">
        <f>IF($A829="","",IFERROR(MATCH($A829,'通知一覧'!$B$5:$B$204,0),"なし"))</f>
        <v/>
      </c>
      <c r="P829" s="31">
        <f>IF(NOT(ISNUMBER($O829)),"",IFERROR(MATCH(INDEX('通知一覧'!$C$5:$C$204,$O829),'支払先'!$B$5:$B$104,0),""))</f>
        <v/>
      </c>
      <c r="Q829" s="31">
        <f>IF(AND($A829&lt;&gt;"",$A829='支払通知書'!$K$2),ROW(),"")</f>
        <v/>
      </c>
    </row>
    <row r="830" ht="18" customHeight="1">
      <c r="A830" s="18" t="n"/>
      <c r="B830" s="24" t="n"/>
      <c r="C830" s="19" t="n"/>
      <c r="D830" s="25" t="n"/>
      <c r="E830" s="18" t="n"/>
      <c r="F830" s="25" t="n"/>
      <c r="G830" s="18" t="n"/>
      <c r="H830" s="18" t="n"/>
      <c r="I830" s="26">
        <f>IF(OR($A830="",$F830=""),"",ROUND(IF($D830="",1,$D830)*$F830,0))</f>
        <v/>
      </c>
      <c r="J830" s="27">
        <f>IF($A830="","",IF($O830="なし","※通知一覧にない通知No",IF($P830="","",INDEX('支払先'!$C$5:$C$104,$P830)&amp;"")))</f>
        <v/>
      </c>
      <c r="K830" s="28">
        <f>IF(NOT(ISNUMBER($O830)),"",IF(ISNUMBER(INDEX('通知一覧'!$F$5:$F$204,$O830)),INDEX('通知一覧'!$F$5:$F$204,$O830),""))</f>
        <v/>
      </c>
      <c r="L830" s="29">
        <f>IF(AND(ISNUMBER($B830),ISNUMBER($K830)),$K830-$B830+1,"")</f>
        <v/>
      </c>
      <c r="M830" s="30">
        <f>IF(OR($L830="",$P830=""),"",IF(INDEX('支払先'!$M$5:$M$104,$P830)="対象外","",IF(AND($L830&gt;60,$K830&gt;=EDATE($B830,2)),"超える","")))</f>
        <v/>
      </c>
      <c r="N830" s="67" t="n"/>
      <c r="O830" s="31">
        <f>IF($A830="","",IFERROR(MATCH($A830,'通知一覧'!$B$5:$B$204,0),"なし"))</f>
        <v/>
      </c>
      <c r="P830" s="31">
        <f>IF(NOT(ISNUMBER($O830)),"",IFERROR(MATCH(INDEX('通知一覧'!$C$5:$C$204,$O830),'支払先'!$B$5:$B$104,0),""))</f>
        <v/>
      </c>
      <c r="Q830" s="31">
        <f>IF(AND($A830&lt;&gt;"",$A830='支払通知書'!$K$2),ROW(),"")</f>
        <v/>
      </c>
    </row>
    <row r="831" ht="18" customHeight="1">
      <c r="A831" s="18" t="n"/>
      <c r="B831" s="24" t="n"/>
      <c r="C831" s="19" t="n"/>
      <c r="D831" s="25" t="n"/>
      <c r="E831" s="18" t="n"/>
      <c r="F831" s="25" t="n"/>
      <c r="G831" s="18" t="n"/>
      <c r="H831" s="18" t="n"/>
      <c r="I831" s="26">
        <f>IF(OR($A831="",$F831=""),"",ROUND(IF($D831="",1,$D831)*$F831,0))</f>
        <v/>
      </c>
      <c r="J831" s="27">
        <f>IF($A831="","",IF($O831="なし","※通知一覧にない通知No",IF($P831="","",INDEX('支払先'!$C$5:$C$104,$P831)&amp;"")))</f>
        <v/>
      </c>
      <c r="K831" s="28">
        <f>IF(NOT(ISNUMBER($O831)),"",IF(ISNUMBER(INDEX('通知一覧'!$F$5:$F$204,$O831)),INDEX('通知一覧'!$F$5:$F$204,$O831),""))</f>
        <v/>
      </c>
      <c r="L831" s="29">
        <f>IF(AND(ISNUMBER($B831),ISNUMBER($K831)),$K831-$B831+1,"")</f>
        <v/>
      </c>
      <c r="M831" s="30">
        <f>IF(OR($L831="",$P831=""),"",IF(INDEX('支払先'!$M$5:$M$104,$P831)="対象外","",IF(AND($L831&gt;60,$K831&gt;=EDATE($B831,2)),"超える","")))</f>
        <v/>
      </c>
      <c r="N831" s="67" t="n"/>
      <c r="O831" s="31">
        <f>IF($A831="","",IFERROR(MATCH($A831,'通知一覧'!$B$5:$B$204,0),"なし"))</f>
        <v/>
      </c>
      <c r="P831" s="31">
        <f>IF(NOT(ISNUMBER($O831)),"",IFERROR(MATCH(INDEX('通知一覧'!$C$5:$C$204,$O831),'支払先'!$B$5:$B$104,0),""))</f>
        <v/>
      </c>
      <c r="Q831" s="31">
        <f>IF(AND($A831&lt;&gt;"",$A831='支払通知書'!$K$2),ROW(),"")</f>
        <v/>
      </c>
    </row>
    <row r="832" ht="18" customHeight="1">
      <c r="A832" s="18" t="n"/>
      <c r="B832" s="24" t="n"/>
      <c r="C832" s="19" t="n"/>
      <c r="D832" s="25" t="n"/>
      <c r="E832" s="18" t="n"/>
      <c r="F832" s="25" t="n"/>
      <c r="G832" s="18" t="n"/>
      <c r="H832" s="18" t="n"/>
      <c r="I832" s="26">
        <f>IF(OR($A832="",$F832=""),"",ROUND(IF($D832="",1,$D832)*$F832,0))</f>
        <v/>
      </c>
      <c r="J832" s="27">
        <f>IF($A832="","",IF($O832="なし","※通知一覧にない通知No",IF($P832="","",INDEX('支払先'!$C$5:$C$104,$P832)&amp;"")))</f>
        <v/>
      </c>
      <c r="K832" s="28">
        <f>IF(NOT(ISNUMBER($O832)),"",IF(ISNUMBER(INDEX('通知一覧'!$F$5:$F$204,$O832)),INDEX('通知一覧'!$F$5:$F$204,$O832),""))</f>
        <v/>
      </c>
      <c r="L832" s="29">
        <f>IF(AND(ISNUMBER($B832),ISNUMBER($K832)),$K832-$B832+1,"")</f>
        <v/>
      </c>
      <c r="M832" s="30">
        <f>IF(OR($L832="",$P832=""),"",IF(INDEX('支払先'!$M$5:$M$104,$P832)="対象外","",IF(AND($L832&gt;60,$K832&gt;=EDATE($B832,2)),"超える","")))</f>
        <v/>
      </c>
      <c r="N832" s="67" t="n"/>
      <c r="O832" s="31">
        <f>IF($A832="","",IFERROR(MATCH($A832,'通知一覧'!$B$5:$B$204,0),"なし"))</f>
        <v/>
      </c>
      <c r="P832" s="31">
        <f>IF(NOT(ISNUMBER($O832)),"",IFERROR(MATCH(INDEX('通知一覧'!$C$5:$C$204,$O832),'支払先'!$B$5:$B$104,0),""))</f>
        <v/>
      </c>
      <c r="Q832" s="31">
        <f>IF(AND($A832&lt;&gt;"",$A832='支払通知書'!$K$2),ROW(),"")</f>
        <v/>
      </c>
    </row>
    <row r="833" ht="18" customHeight="1">
      <c r="A833" s="18" t="n"/>
      <c r="B833" s="24" t="n"/>
      <c r="C833" s="19" t="n"/>
      <c r="D833" s="25" t="n"/>
      <c r="E833" s="18" t="n"/>
      <c r="F833" s="25" t="n"/>
      <c r="G833" s="18" t="n"/>
      <c r="H833" s="18" t="n"/>
      <c r="I833" s="26">
        <f>IF(OR($A833="",$F833=""),"",ROUND(IF($D833="",1,$D833)*$F833,0))</f>
        <v/>
      </c>
      <c r="J833" s="27">
        <f>IF($A833="","",IF($O833="なし","※通知一覧にない通知No",IF($P833="","",INDEX('支払先'!$C$5:$C$104,$P833)&amp;"")))</f>
        <v/>
      </c>
      <c r="K833" s="28">
        <f>IF(NOT(ISNUMBER($O833)),"",IF(ISNUMBER(INDEX('通知一覧'!$F$5:$F$204,$O833)),INDEX('通知一覧'!$F$5:$F$204,$O833),""))</f>
        <v/>
      </c>
      <c r="L833" s="29">
        <f>IF(AND(ISNUMBER($B833),ISNUMBER($K833)),$K833-$B833+1,"")</f>
        <v/>
      </c>
      <c r="M833" s="30">
        <f>IF(OR($L833="",$P833=""),"",IF(INDEX('支払先'!$M$5:$M$104,$P833)="対象外","",IF(AND($L833&gt;60,$K833&gt;=EDATE($B833,2)),"超える","")))</f>
        <v/>
      </c>
      <c r="N833" s="67" t="n"/>
      <c r="O833" s="31">
        <f>IF($A833="","",IFERROR(MATCH($A833,'通知一覧'!$B$5:$B$204,0),"なし"))</f>
        <v/>
      </c>
      <c r="P833" s="31">
        <f>IF(NOT(ISNUMBER($O833)),"",IFERROR(MATCH(INDEX('通知一覧'!$C$5:$C$204,$O833),'支払先'!$B$5:$B$104,0),""))</f>
        <v/>
      </c>
      <c r="Q833" s="31">
        <f>IF(AND($A833&lt;&gt;"",$A833='支払通知書'!$K$2),ROW(),"")</f>
        <v/>
      </c>
    </row>
    <row r="834" ht="18" customHeight="1">
      <c r="A834" s="18" t="n"/>
      <c r="B834" s="24" t="n"/>
      <c r="C834" s="19" t="n"/>
      <c r="D834" s="25" t="n"/>
      <c r="E834" s="18" t="n"/>
      <c r="F834" s="25" t="n"/>
      <c r="G834" s="18" t="n"/>
      <c r="H834" s="18" t="n"/>
      <c r="I834" s="26">
        <f>IF(OR($A834="",$F834=""),"",ROUND(IF($D834="",1,$D834)*$F834,0))</f>
        <v/>
      </c>
      <c r="J834" s="27">
        <f>IF($A834="","",IF($O834="なし","※通知一覧にない通知No",IF($P834="","",INDEX('支払先'!$C$5:$C$104,$P834)&amp;"")))</f>
        <v/>
      </c>
      <c r="K834" s="28">
        <f>IF(NOT(ISNUMBER($O834)),"",IF(ISNUMBER(INDEX('通知一覧'!$F$5:$F$204,$O834)),INDEX('通知一覧'!$F$5:$F$204,$O834),""))</f>
        <v/>
      </c>
      <c r="L834" s="29">
        <f>IF(AND(ISNUMBER($B834),ISNUMBER($K834)),$K834-$B834+1,"")</f>
        <v/>
      </c>
      <c r="M834" s="30">
        <f>IF(OR($L834="",$P834=""),"",IF(INDEX('支払先'!$M$5:$M$104,$P834)="対象外","",IF(AND($L834&gt;60,$K834&gt;=EDATE($B834,2)),"超える","")))</f>
        <v/>
      </c>
      <c r="N834" s="67" t="n"/>
      <c r="O834" s="31">
        <f>IF($A834="","",IFERROR(MATCH($A834,'通知一覧'!$B$5:$B$204,0),"なし"))</f>
        <v/>
      </c>
      <c r="P834" s="31">
        <f>IF(NOT(ISNUMBER($O834)),"",IFERROR(MATCH(INDEX('通知一覧'!$C$5:$C$204,$O834),'支払先'!$B$5:$B$104,0),""))</f>
        <v/>
      </c>
      <c r="Q834" s="31">
        <f>IF(AND($A834&lt;&gt;"",$A834='支払通知書'!$K$2),ROW(),"")</f>
        <v/>
      </c>
    </row>
    <row r="835" ht="18" customHeight="1">
      <c r="A835" s="18" t="n"/>
      <c r="B835" s="24" t="n"/>
      <c r="C835" s="19" t="n"/>
      <c r="D835" s="25" t="n"/>
      <c r="E835" s="18" t="n"/>
      <c r="F835" s="25" t="n"/>
      <c r="G835" s="18" t="n"/>
      <c r="H835" s="18" t="n"/>
      <c r="I835" s="26">
        <f>IF(OR($A835="",$F835=""),"",ROUND(IF($D835="",1,$D835)*$F835,0))</f>
        <v/>
      </c>
      <c r="J835" s="27">
        <f>IF($A835="","",IF($O835="なし","※通知一覧にない通知No",IF($P835="","",INDEX('支払先'!$C$5:$C$104,$P835)&amp;"")))</f>
        <v/>
      </c>
      <c r="K835" s="28">
        <f>IF(NOT(ISNUMBER($O835)),"",IF(ISNUMBER(INDEX('通知一覧'!$F$5:$F$204,$O835)),INDEX('通知一覧'!$F$5:$F$204,$O835),""))</f>
        <v/>
      </c>
      <c r="L835" s="29">
        <f>IF(AND(ISNUMBER($B835),ISNUMBER($K835)),$K835-$B835+1,"")</f>
        <v/>
      </c>
      <c r="M835" s="30">
        <f>IF(OR($L835="",$P835=""),"",IF(INDEX('支払先'!$M$5:$M$104,$P835)="対象外","",IF(AND($L835&gt;60,$K835&gt;=EDATE($B835,2)),"超える","")))</f>
        <v/>
      </c>
      <c r="N835" s="67" t="n"/>
      <c r="O835" s="31">
        <f>IF($A835="","",IFERROR(MATCH($A835,'通知一覧'!$B$5:$B$204,0),"なし"))</f>
        <v/>
      </c>
      <c r="P835" s="31">
        <f>IF(NOT(ISNUMBER($O835)),"",IFERROR(MATCH(INDEX('通知一覧'!$C$5:$C$204,$O835),'支払先'!$B$5:$B$104,0),""))</f>
        <v/>
      </c>
      <c r="Q835" s="31">
        <f>IF(AND($A835&lt;&gt;"",$A835='支払通知書'!$K$2),ROW(),"")</f>
        <v/>
      </c>
    </row>
    <row r="836" ht="18" customHeight="1">
      <c r="A836" s="18" t="n"/>
      <c r="B836" s="24" t="n"/>
      <c r="C836" s="19" t="n"/>
      <c r="D836" s="25" t="n"/>
      <c r="E836" s="18" t="n"/>
      <c r="F836" s="25" t="n"/>
      <c r="G836" s="18" t="n"/>
      <c r="H836" s="18" t="n"/>
      <c r="I836" s="26">
        <f>IF(OR($A836="",$F836=""),"",ROUND(IF($D836="",1,$D836)*$F836,0))</f>
        <v/>
      </c>
      <c r="J836" s="27">
        <f>IF($A836="","",IF($O836="なし","※通知一覧にない通知No",IF($P836="","",INDEX('支払先'!$C$5:$C$104,$P836)&amp;"")))</f>
        <v/>
      </c>
      <c r="K836" s="28">
        <f>IF(NOT(ISNUMBER($O836)),"",IF(ISNUMBER(INDEX('通知一覧'!$F$5:$F$204,$O836)),INDEX('通知一覧'!$F$5:$F$204,$O836),""))</f>
        <v/>
      </c>
      <c r="L836" s="29">
        <f>IF(AND(ISNUMBER($B836),ISNUMBER($K836)),$K836-$B836+1,"")</f>
        <v/>
      </c>
      <c r="M836" s="30">
        <f>IF(OR($L836="",$P836=""),"",IF(INDEX('支払先'!$M$5:$M$104,$P836)="対象外","",IF(AND($L836&gt;60,$K836&gt;=EDATE($B836,2)),"超える","")))</f>
        <v/>
      </c>
      <c r="N836" s="67" t="n"/>
      <c r="O836" s="31">
        <f>IF($A836="","",IFERROR(MATCH($A836,'通知一覧'!$B$5:$B$204,0),"なし"))</f>
        <v/>
      </c>
      <c r="P836" s="31">
        <f>IF(NOT(ISNUMBER($O836)),"",IFERROR(MATCH(INDEX('通知一覧'!$C$5:$C$204,$O836),'支払先'!$B$5:$B$104,0),""))</f>
        <v/>
      </c>
      <c r="Q836" s="31">
        <f>IF(AND($A836&lt;&gt;"",$A836='支払通知書'!$K$2),ROW(),"")</f>
        <v/>
      </c>
    </row>
    <row r="837" ht="18" customHeight="1">
      <c r="A837" s="18" t="n"/>
      <c r="B837" s="24" t="n"/>
      <c r="C837" s="19" t="n"/>
      <c r="D837" s="25" t="n"/>
      <c r="E837" s="18" t="n"/>
      <c r="F837" s="25" t="n"/>
      <c r="G837" s="18" t="n"/>
      <c r="H837" s="18" t="n"/>
      <c r="I837" s="26">
        <f>IF(OR($A837="",$F837=""),"",ROUND(IF($D837="",1,$D837)*$F837,0))</f>
        <v/>
      </c>
      <c r="J837" s="27">
        <f>IF($A837="","",IF($O837="なし","※通知一覧にない通知No",IF($P837="","",INDEX('支払先'!$C$5:$C$104,$P837)&amp;"")))</f>
        <v/>
      </c>
      <c r="K837" s="28">
        <f>IF(NOT(ISNUMBER($O837)),"",IF(ISNUMBER(INDEX('通知一覧'!$F$5:$F$204,$O837)),INDEX('通知一覧'!$F$5:$F$204,$O837),""))</f>
        <v/>
      </c>
      <c r="L837" s="29">
        <f>IF(AND(ISNUMBER($B837),ISNUMBER($K837)),$K837-$B837+1,"")</f>
        <v/>
      </c>
      <c r="M837" s="30">
        <f>IF(OR($L837="",$P837=""),"",IF(INDEX('支払先'!$M$5:$M$104,$P837)="対象外","",IF(AND($L837&gt;60,$K837&gt;=EDATE($B837,2)),"超える","")))</f>
        <v/>
      </c>
      <c r="N837" s="67" t="n"/>
      <c r="O837" s="31">
        <f>IF($A837="","",IFERROR(MATCH($A837,'通知一覧'!$B$5:$B$204,0),"なし"))</f>
        <v/>
      </c>
      <c r="P837" s="31">
        <f>IF(NOT(ISNUMBER($O837)),"",IFERROR(MATCH(INDEX('通知一覧'!$C$5:$C$204,$O837),'支払先'!$B$5:$B$104,0),""))</f>
        <v/>
      </c>
      <c r="Q837" s="31">
        <f>IF(AND($A837&lt;&gt;"",$A837='支払通知書'!$K$2),ROW(),"")</f>
        <v/>
      </c>
    </row>
    <row r="838" ht="18" customHeight="1">
      <c r="A838" s="18" t="n"/>
      <c r="B838" s="24" t="n"/>
      <c r="C838" s="19" t="n"/>
      <c r="D838" s="25" t="n"/>
      <c r="E838" s="18" t="n"/>
      <c r="F838" s="25" t="n"/>
      <c r="G838" s="18" t="n"/>
      <c r="H838" s="18" t="n"/>
      <c r="I838" s="26">
        <f>IF(OR($A838="",$F838=""),"",ROUND(IF($D838="",1,$D838)*$F838,0))</f>
        <v/>
      </c>
      <c r="J838" s="27">
        <f>IF($A838="","",IF($O838="なし","※通知一覧にない通知No",IF($P838="","",INDEX('支払先'!$C$5:$C$104,$P838)&amp;"")))</f>
        <v/>
      </c>
      <c r="K838" s="28">
        <f>IF(NOT(ISNUMBER($O838)),"",IF(ISNUMBER(INDEX('通知一覧'!$F$5:$F$204,$O838)),INDEX('通知一覧'!$F$5:$F$204,$O838),""))</f>
        <v/>
      </c>
      <c r="L838" s="29">
        <f>IF(AND(ISNUMBER($B838),ISNUMBER($K838)),$K838-$B838+1,"")</f>
        <v/>
      </c>
      <c r="M838" s="30">
        <f>IF(OR($L838="",$P838=""),"",IF(INDEX('支払先'!$M$5:$M$104,$P838)="対象外","",IF(AND($L838&gt;60,$K838&gt;=EDATE($B838,2)),"超える","")))</f>
        <v/>
      </c>
      <c r="N838" s="67" t="n"/>
      <c r="O838" s="31">
        <f>IF($A838="","",IFERROR(MATCH($A838,'通知一覧'!$B$5:$B$204,0),"なし"))</f>
        <v/>
      </c>
      <c r="P838" s="31">
        <f>IF(NOT(ISNUMBER($O838)),"",IFERROR(MATCH(INDEX('通知一覧'!$C$5:$C$204,$O838),'支払先'!$B$5:$B$104,0),""))</f>
        <v/>
      </c>
      <c r="Q838" s="31">
        <f>IF(AND($A838&lt;&gt;"",$A838='支払通知書'!$K$2),ROW(),"")</f>
        <v/>
      </c>
    </row>
    <row r="839" ht="18" customHeight="1">
      <c r="A839" s="18" t="n"/>
      <c r="B839" s="24" t="n"/>
      <c r="C839" s="19" t="n"/>
      <c r="D839" s="25" t="n"/>
      <c r="E839" s="18" t="n"/>
      <c r="F839" s="25" t="n"/>
      <c r="G839" s="18" t="n"/>
      <c r="H839" s="18" t="n"/>
      <c r="I839" s="26">
        <f>IF(OR($A839="",$F839=""),"",ROUND(IF($D839="",1,$D839)*$F839,0))</f>
        <v/>
      </c>
      <c r="J839" s="27">
        <f>IF($A839="","",IF($O839="なし","※通知一覧にない通知No",IF($P839="","",INDEX('支払先'!$C$5:$C$104,$P839)&amp;"")))</f>
        <v/>
      </c>
      <c r="K839" s="28">
        <f>IF(NOT(ISNUMBER($O839)),"",IF(ISNUMBER(INDEX('通知一覧'!$F$5:$F$204,$O839)),INDEX('通知一覧'!$F$5:$F$204,$O839),""))</f>
        <v/>
      </c>
      <c r="L839" s="29">
        <f>IF(AND(ISNUMBER($B839),ISNUMBER($K839)),$K839-$B839+1,"")</f>
        <v/>
      </c>
      <c r="M839" s="30">
        <f>IF(OR($L839="",$P839=""),"",IF(INDEX('支払先'!$M$5:$M$104,$P839)="対象外","",IF(AND($L839&gt;60,$K839&gt;=EDATE($B839,2)),"超える","")))</f>
        <v/>
      </c>
      <c r="N839" s="67" t="n"/>
      <c r="O839" s="31">
        <f>IF($A839="","",IFERROR(MATCH($A839,'通知一覧'!$B$5:$B$204,0),"なし"))</f>
        <v/>
      </c>
      <c r="P839" s="31">
        <f>IF(NOT(ISNUMBER($O839)),"",IFERROR(MATCH(INDEX('通知一覧'!$C$5:$C$204,$O839),'支払先'!$B$5:$B$104,0),""))</f>
        <v/>
      </c>
      <c r="Q839" s="31">
        <f>IF(AND($A839&lt;&gt;"",$A839='支払通知書'!$K$2),ROW(),"")</f>
        <v/>
      </c>
    </row>
    <row r="840" ht="18" customHeight="1">
      <c r="A840" s="18" t="n"/>
      <c r="B840" s="24" t="n"/>
      <c r="C840" s="19" t="n"/>
      <c r="D840" s="25" t="n"/>
      <c r="E840" s="18" t="n"/>
      <c r="F840" s="25" t="n"/>
      <c r="G840" s="18" t="n"/>
      <c r="H840" s="18" t="n"/>
      <c r="I840" s="26">
        <f>IF(OR($A840="",$F840=""),"",ROUND(IF($D840="",1,$D840)*$F840,0))</f>
        <v/>
      </c>
      <c r="J840" s="27">
        <f>IF($A840="","",IF($O840="なし","※通知一覧にない通知No",IF($P840="","",INDEX('支払先'!$C$5:$C$104,$P840)&amp;"")))</f>
        <v/>
      </c>
      <c r="K840" s="28">
        <f>IF(NOT(ISNUMBER($O840)),"",IF(ISNUMBER(INDEX('通知一覧'!$F$5:$F$204,$O840)),INDEX('通知一覧'!$F$5:$F$204,$O840),""))</f>
        <v/>
      </c>
      <c r="L840" s="29">
        <f>IF(AND(ISNUMBER($B840),ISNUMBER($K840)),$K840-$B840+1,"")</f>
        <v/>
      </c>
      <c r="M840" s="30">
        <f>IF(OR($L840="",$P840=""),"",IF(INDEX('支払先'!$M$5:$M$104,$P840)="対象外","",IF(AND($L840&gt;60,$K840&gt;=EDATE($B840,2)),"超える","")))</f>
        <v/>
      </c>
      <c r="N840" s="67" t="n"/>
      <c r="O840" s="31">
        <f>IF($A840="","",IFERROR(MATCH($A840,'通知一覧'!$B$5:$B$204,0),"なし"))</f>
        <v/>
      </c>
      <c r="P840" s="31">
        <f>IF(NOT(ISNUMBER($O840)),"",IFERROR(MATCH(INDEX('通知一覧'!$C$5:$C$204,$O840),'支払先'!$B$5:$B$104,0),""))</f>
        <v/>
      </c>
      <c r="Q840" s="31">
        <f>IF(AND($A840&lt;&gt;"",$A840='支払通知書'!$K$2),ROW(),"")</f>
        <v/>
      </c>
    </row>
    <row r="841" ht="18" customHeight="1">
      <c r="A841" s="18" t="n"/>
      <c r="B841" s="24" t="n"/>
      <c r="C841" s="19" t="n"/>
      <c r="D841" s="25" t="n"/>
      <c r="E841" s="18" t="n"/>
      <c r="F841" s="25" t="n"/>
      <c r="G841" s="18" t="n"/>
      <c r="H841" s="18" t="n"/>
      <c r="I841" s="26">
        <f>IF(OR($A841="",$F841=""),"",ROUND(IF($D841="",1,$D841)*$F841,0))</f>
        <v/>
      </c>
      <c r="J841" s="27">
        <f>IF($A841="","",IF($O841="なし","※通知一覧にない通知No",IF($P841="","",INDEX('支払先'!$C$5:$C$104,$P841)&amp;"")))</f>
        <v/>
      </c>
      <c r="K841" s="28">
        <f>IF(NOT(ISNUMBER($O841)),"",IF(ISNUMBER(INDEX('通知一覧'!$F$5:$F$204,$O841)),INDEX('通知一覧'!$F$5:$F$204,$O841),""))</f>
        <v/>
      </c>
      <c r="L841" s="29">
        <f>IF(AND(ISNUMBER($B841),ISNUMBER($K841)),$K841-$B841+1,"")</f>
        <v/>
      </c>
      <c r="M841" s="30">
        <f>IF(OR($L841="",$P841=""),"",IF(INDEX('支払先'!$M$5:$M$104,$P841)="対象外","",IF(AND($L841&gt;60,$K841&gt;=EDATE($B841,2)),"超える","")))</f>
        <v/>
      </c>
      <c r="N841" s="67" t="n"/>
      <c r="O841" s="31">
        <f>IF($A841="","",IFERROR(MATCH($A841,'通知一覧'!$B$5:$B$204,0),"なし"))</f>
        <v/>
      </c>
      <c r="P841" s="31">
        <f>IF(NOT(ISNUMBER($O841)),"",IFERROR(MATCH(INDEX('通知一覧'!$C$5:$C$204,$O841),'支払先'!$B$5:$B$104,0),""))</f>
        <v/>
      </c>
      <c r="Q841" s="31">
        <f>IF(AND($A841&lt;&gt;"",$A841='支払通知書'!$K$2),ROW(),"")</f>
        <v/>
      </c>
    </row>
    <row r="842" ht="18" customHeight="1">
      <c r="A842" s="18" t="n"/>
      <c r="B842" s="24" t="n"/>
      <c r="C842" s="19" t="n"/>
      <c r="D842" s="25" t="n"/>
      <c r="E842" s="18" t="n"/>
      <c r="F842" s="25" t="n"/>
      <c r="G842" s="18" t="n"/>
      <c r="H842" s="18" t="n"/>
      <c r="I842" s="26">
        <f>IF(OR($A842="",$F842=""),"",ROUND(IF($D842="",1,$D842)*$F842,0))</f>
        <v/>
      </c>
      <c r="J842" s="27">
        <f>IF($A842="","",IF($O842="なし","※通知一覧にない通知No",IF($P842="","",INDEX('支払先'!$C$5:$C$104,$P842)&amp;"")))</f>
        <v/>
      </c>
      <c r="K842" s="28">
        <f>IF(NOT(ISNUMBER($O842)),"",IF(ISNUMBER(INDEX('通知一覧'!$F$5:$F$204,$O842)),INDEX('通知一覧'!$F$5:$F$204,$O842),""))</f>
        <v/>
      </c>
      <c r="L842" s="29">
        <f>IF(AND(ISNUMBER($B842),ISNUMBER($K842)),$K842-$B842+1,"")</f>
        <v/>
      </c>
      <c r="M842" s="30">
        <f>IF(OR($L842="",$P842=""),"",IF(INDEX('支払先'!$M$5:$M$104,$P842)="対象外","",IF(AND($L842&gt;60,$K842&gt;=EDATE($B842,2)),"超える","")))</f>
        <v/>
      </c>
      <c r="N842" s="67" t="n"/>
      <c r="O842" s="31">
        <f>IF($A842="","",IFERROR(MATCH($A842,'通知一覧'!$B$5:$B$204,0),"なし"))</f>
        <v/>
      </c>
      <c r="P842" s="31">
        <f>IF(NOT(ISNUMBER($O842)),"",IFERROR(MATCH(INDEX('通知一覧'!$C$5:$C$204,$O842),'支払先'!$B$5:$B$104,0),""))</f>
        <v/>
      </c>
      <c r="Q842" s="31">
        <f>IF(AND($A842&lt;&gt;"",$A842='支払通知書'!$K$2),ROW(),"")</f>
        <v/>
      </c>
    </row>
    <row r="843" ht="18" customHeight="1">
      <c r="A843" s="18" t="n"/>
      <c r="B843" s="24" t="n"/>
      <c r="C843" s="19" t="n"/>
      <c r="D843" s="25" t="n"/>
      <c r="E843" s="18" t="n"/>
      <c r="F843" s="25" t="n"/>
      <c r="G843" s="18" t="n"/>
      <c r="H843" s="18" t="n"/>
      <c r="I843" s="26">
        <f>IF(OR($A843="",$F843=""),"",ROUND(IF($D843="",1,$D843)*$F843,0))</f>
        <v/>
      </c>
      <c r="J843" s="27">
        <f>IF($A843="","",IF($O843="なし","※通知一覧にない通知No",IF($P843="","",INDEX('支払先'!$C$5:$C$104,$P843)&amp;"")))</f>
        <v/>
      </c>
      <c r="K843" s="28">
        <f>IF(NOT(ISNUMBER($O843)),"",IF(ISNUMBER(INDEX('通知一覧'!$F$5:$F$204,$O843)),INDEX('通知一覧'!$F$5:$F$204,$O843),""))</f>
        <v/>
      </c>
      <c r="L843" s="29">
        <f>IF(AND(ISNUMBER($B843),ISNUMBER($K843)),$K843-$B843+1,"")</f>
        <v/>
      </c>
      <c r="M843" s="30">
        <f>IF(OR($L843="",$P843=""),"",IF(INDEX('支払先'!$M$5:$M$104,$P843)="対象外","",IF(AND($L843&gt;60,$K843&gt;=EDATE($B843,2)),"超える","")))</f>
        <v/>
      </c>
      <c r="N843" s="67" t="n"/>
      <c r="O843" s="31">
        <f>IF($A843="","",IFERROR(MATCH($A843,'通知一覧'!$B$5:$B$204,0),"なし"))</f>
        <v/>
      </c>
      <c r="P843" s="31">
        <f>IF(NOT(ISNUMBER($O843)),"",IFERROR(MATCH(INDEX('通知一覧'!$C$5:$C$204,$O843),'支払先'!$B$5:$B$104,0),""))</f>
        <v/>
      </c>
      <c r="Q843" s="31">
        <f>IF(AND($A843&lt;&gt;"",$A843='支払通知書'!$K$2),ROW(),"")</f>
        <v/>
      </c>
    </row>
    <row r="844" ht="18" customHeight="1">
      <c r="A844" s="18" t="n"/>
      <c r="B844" s="24" t="n"/>
      <c r="C844" s="19" t="n"/>
      <c r="D844" s="25" t="n"/>
      <c r="E844" s="18" t="n"/>
      <c r="F844" s="25" t="n"/>
      <c r="G844" s="18" t="n"/>
      <c r="H844" s="18" t="n"/>
      <c r="I844" s="26">
        <f>IF(OR($A844="",$F844=""),"",ROUND(IF($D844="",1,$D844)*$F844,0))</f>
        <v/>
      </c>
      <c r="J844" s="27">
        <f>IF($A844="","",IF($O844="なし","※通知一覧にない通知No",IF($P844="","",INDEX('支払先'!$C$5:$C$104,$P844)&amp;"")))</f>
        <v/>
      </c>
      <c r="K844" s="28">
        <f>IF(NOT(ISNUMBER($O844)),"",IF(ISNUMBER(INDEX('通知一覧'!$F$5:$F$204,$O844)),INDEX('通知一覧'!$F$5:$F$204,$O844),""))</f>
        <v/>
      </c>
      <c r="L844" s="29">
        <f>IF(AND(ISNUMBER($B844),ISNUMBER($K844)),$K844-$B844+1,"")</f>
        <v/>
      </c>
      <c r="M844" s="30">
        <f>IF(OR($L844="",$P844=""),"",IF(INDEX('支払先'!$M$5:$M$104,$P844)="対象外","",IF(AND($L844&gt;60,$K844&gt;=EDATE($B844,2)),"超える","")))</f>
        <v/>
      </c>
      <c r="N844" s="67" t="n"/>
      <c r="O844" s="31">
        <f>IF($A844="","",IFERROR(MATCH($A844,'通知一覧'!$B$5:$B$204,0),"なし"))</f>
        <v/>
      </c>
      <c r="P844" s="31">
        <f>IF(NOT(ISNUMBER($O844)),"",IFERROR(MATCH(INDEX('通知一覧'!$C$5:$C$204,$O844),'支払先'!$B$5:$B$104,0),""))</f>
        <v/>
      </c>
      <c r="Q844" s="31">
        <f>IF(AND($A844&lt;&gt;"",$A844='支払通知書'!$K$2),ROW(),"")</f>
        <v/>
      </c>
    </row>
    <row r="845" ht="18" customHeight="1">
      <c r="A845" s="18" t="n"/>
      <c r="B845" s="24" t="n"/>
      <c r="C845" s="19" t="n"/>
      <c r="D845" s="25" t="n"/>
      <c r="E845" s="18" t="n"/>
      <c r="F845" s="25" t="n"/>
      <c r="G845" s="18" t="n"/>
      <c r="H845" s="18" t="n"/>
      <c r="I845" s="26">
        <f>IF(OR($A845="",$F845=""),"",ROUND(IF($D845="",1,$D845)*$F845,0))</f>
        <v/>
      </c>
      <c r="J845" s="27">
        <f>IF($A845="","",IF($O845="なし","※通知一覧にない通知No",IF($P845="","",INDEX('支払先'!$C$5:$C$104,$P845)&amp;"")))</f>
        <v/>
      </c>
      <c r="K845" s="28">
        <f>IF(NOT(ISNUMBER($O845)),"",IF(ISNUMBER(INDEX('通知一覧'!$F$5:$F$204,$O845)),INDEX('通知一覧'!$F$5:$F$204,$O845),""))</f>
        <v/>
      </c>
      <c r="L845" s="29">
        <f>IF(AND(ISNUMBER($B845),ISNUMBER($K845)),$K845-$B845+1,"")</f>
        <v/>
      </c>
      <c r="M845" s="30">
        <f>IF(OR($L845="",$P845=""),"",IF(INDEX('支払先'!$M$5:$M$104,$P845)="対象外","",IF(AND($L845&gt;60,$K845&gt;=EDATE($B845,2)),"超える","")))</f>
        <v/>
      </c>
      <c r="N845" s="67" t="n"/>
      <c r="O845" s="31">
        <f>IF($A845="","",IFERROR(MATCH($A845,'通知一覧'!$B$5:$B$204,0),"なし"))</f>
        <v/>
      </c>
      <c r="P845" s="31">
        <f>IF(NOT(ISNUMBER($O845)),"",IFERROR(MATCH(INDEX('通知一覧'!$C$5:$C$204,$O845),'支払先'!$B$5:$B$104,0),""))</f>
        <v/>
      </c>
      <c r="Q845" s="31">
        <f>IF(AND($A845&lt;&gt;"",$A845='支払通知書'!$K$2),ROW(),"")</f>
        <v/>
      </c>
    </row>
    <row r="846" ht="18" customHeight="1">
      <c r="A846" s="18" t="n"/>
      <c r="B846" s="24" t="n"/>
      <c r="C846" s="19" t="n"/>
      <c r="D846" s="25" t="n"/>
      <c r="E846" s="18" t="n"/>
      <c r="F846" s="25" t="n"/>
      <c r="G846" s="18" t="n"/>
      <c r="H846" s="18" t="n"/>
      <c r="I846" s="26">
        <f>IF(OR($A846="",$F846=""),"",ROUND(IF($D846="",1,$D846)*$F846,0))</f>
        <v/>
      </c>
      <c r="J846" s="27">
        <f>IF($A846="","",IF($O846="なし","※通知一覧にない通知No",IF($P846="","",INDEX('支払先'!$C$5:$C$104,$P846)&amp;"")))</f>
        <v/>
      </c>
      <c r="K846" s="28">
        <f>IF(NOT(ISNUMBER($O846)),"",IF(ISNUMBER(INDEX('通知一覧'!$F$5:$F$204,$O846)),INDEX('通知一覧'!$F$5:$F$204,$O846),""))</f>
        <v/>
      </c>
      <c r="L846" s="29">
        <f>IF(AND(ISNUMBER($B846),ISNUMBER($K846)),$K846-$B846+1,"")</f>
        <v/>
      </c>
      <c r="M846" s="30">
        <f>IF(OR($L846="",$P846=""),"",IF(INDEX('支払先'!$M$5:$M$104,$P846)="対象外","",IF(AND($L846&gt;60,$K846&gt;=EDATE($B846,2)),"超える","")))</f>
        <v/>
      </c>
      <c r="N846" s="67" t="n"/>
      <c r="O846" s="31">
        <f>IF($A846="","",IFERROR(MATCH($A846,'通知一覧'!$B$5:$B$204,0),"なし"))</f>
        <v/>
      </c>
      <c r="P846" s="31">
        <f>IF(NOT(ISNUMBER($O846)),"",IFERROR(MATCH(INDEX('通知一覧'!$C$5:$C$204,$O846),'支払先'!$B$5:$B$104,0),""))</f>
        <v/>
      </c>
      <c r="Q846" s="31">
        <f>IF(AND($A846&lt;&gt;"",$A846='支払通知書'!$K$2),ROW(),"")</f>
        <v/>
      </c>
    </row>
    <row r="847" ht="18" customHeight="1">
      <c r="A847" s="18" t="n"/>
      <c r="B847" s="24" t="n"/>
      <c r="C847" s="19" t="n"/>
      <c r="D847" s="25" t="n"/>
      <c r="E847" s="18" t="n"/>
      <c r="F847" s="25" t="n"/>
      <c r="G847" s="18" t="n"/>
      <c r="H847" s="18" t="n"/>
      <c r="I847" s="26">
        <f>IF(OR($A847="",$F847=""),"",ROUND(IF($D847="",1,$D847)*$F847,0))</f>
        <v/>
      </c>
      <c r="J847" s="27">
        <f>IF($A847="","",IF($O847="なし","※通知一覧にない通知No",IF($P847="","",INDEX('支払先'!$C$5:$C$104,$P847)&amp;"")))</f>
        <v/>
      </c>
      <c r="K847" s="28">
        <f>IF(NOT(ISNUMBER($O847)),"",IF(ISNUMBER(INDEX('通知一覧'!$F$5:$F$204,$O847)),INDEX('通知一覧'!$F$5:$F$204,$O847),""))</f>
        <v/>
      </c>
      <c r="L847" s="29">
        <f>IF(AND(ISNUMBER($B847),ISNUMBER($K847)),$K847-$B847+1,"")</f>
        <v/>
      </c>
      <c r="M847" s="30">
        <f>IF(OR($L847="",$P847=""),"",IF(INDEX('支払先'!$M$5:$M$104,$P847)="対象外","",IF(AND($L847&gt;60,$K847&gt;=EDATE($B847,2)),"超える","")))</f>
        <v/>
      </c>
      <c r="N847" s="67" t="n"/>
      <c r="O847" s="31">
        <f>IF($A847="","",IFERROR(MATCH($A847,'通知一覧'!$B$5:$B$204,0),"なし"))</f>
        <v/>
      </c>
      <c r="P847" s="31">
        <f>IF(NOT(ISNUMBER($O847)),"",IFERROR(MATCH(INDEX('通知一覧'!$C$5:$C$204,$O847),'支払先'!$B$5:$B$104,0),""))</f>
        <v/>
      </c>
      <c r="Q847" s="31">
        <f>IF(AND($A847&lt;&gt;"",$A847='支払通知書'!$K$2),ROW(),"")</f>
        <v/>
      </c>
    </row>
    <row r="848" ht="18" customHeight="1">
      <c r="A848" s="18" t="n"/>
      <c r="B848" s="24" t="n"/>
      <c r="C848" s="19" t="n"/>
      <c r="D848" s="25" t="n"/>
      <c r="E848" s="18" t="n"/>
      <c r="F848" s="25" t="n"/>
      <c r="G848" s="18" t="n"/>
      <c r="H848" s="18" t="n"/>
      <c r="I848" s="26">
        <f>IF(OR($A848="",$F848=""),"",ROUND(IF($D848="",1,$D848)*$F848,0))</f>
        <v/>
      </c>
      <c r="J848" s="27">
        <f>IF($A848="","",IF($O848="なし","※通知一覧にない通知No",IF($P848="","",INDEX('支払先'!$C$5:$C$104,$P848)&amp;"")))</f>
        <v/>
      </c>
      <c r="K848" s="28">
        <f>IF(NOT(ISNUMBER($O848)),"",IF(ISNUMBER(INDEX('通知一覧'!$F$5:$F$204,$O848)),INDEX('通知一覧'!$F$5:$F$204,$O848),""))</f>
        <v/>
      </c>
      <c r="L848" s="29">
        <f>IF(AND(ISNUMBER($B848),ISNUMBER($K848)),$K848-$B848+1,"")</f>
        <v/>
      </c>
      <c r="M848" s="30">
        <f>IF(OR($L848="",$P848=""),"",IF(INDEX('支払先'!$M$5:$M$104,$P848)="対象外","",IF(AND($L848&gt;60,$K848&gt;=EDATE($B848,2)),"超える","")))</f>
        <v/>
      </c>
      <c r="N848" s="67" t="n"/>
      <c r="O848" s="31">
        <f>IF($A848="","",IFERROR(MATCH($A848,'通知一覧'!$B$5:$B$204,0),"なし"))</f>
        <v/>
      </c>
      <c r="P848" s="31">
        <f>IF(NOT(ISNUMBER($O848)),"",IFERROR(MATCH(INDEX('通知一覧'!$C$5:$C$204,$O848),'支払先'!$B$5:$B$104,0),""))</f>
        <v/>
      </c>
      <c r="Q848" s="31">
        <f>IF(AND($A848&lt;&gt;"",$A848='支払通知書'!$K$2),ROW(),"")</f>
        <v/>
      </c>
    </row>
    <row r="849" ht="18" customHeight="1">
      <c r="A849" s="18" t="n"/>
      <c r="B849" s="24" t="n"/>
      <c r="C849" s="19" t="n"/>
      <c r="D849" s="25" t="n"/>
      <c r="E849" s="18" t="n"/>
      <c r="F849" s="25" t="n"/>
      <c r="G849" s="18" t="n"/>
      <c r="H849" s="18" t="n"/>
      <c r="I849" s="26">
        <f>IF(OR($A849="",$F849=""),"",ROUND(IF($D849="",1,$D849)*$F849,0))</f>
        <v/>
      </c>
      <c r="J849" s="27">
        <f>IF($A849="","",IF($O849="なし","※通知一覧にない通知No",IF($P849="","",INDEX('支払先'!$C$5:$C$104,$P849)&amp;"")))</f>
        <v/>
      </c>
      <c r="K849" s="28">
        <f>IF(NOT(ISNUMBER($O849)),"",IF(ISNUMBER(INDEX('通知一覧'!$F$5:$F$204,$O849)),INDEX('通知一覧'!$F$5:$F$204,$O849),""))</f>
        <v/>
      </c>
      <c r="L849" s="29">
        <f>IF(AND(ISNUMBER($B849),ISNUMBER($K849)),$K849-$B849+1,"")</f>
        <v/>
      </c>
      <c r="M849" s="30">
        <f>IF(OR($L849="",$P849=""),"",IF(INDEX('支払先'!$M$5:$M$104,$P849)="対象外","",IF(AND($L849&gt;60,$K849&gt;=EDATE($B849,2)),"超える","")))</f>
        <v/>
      </c>
      <c r="N849" s="67" t="n"/>
      <c r="O849" s="31">
        <f>IF($A849="","",IFERROR(MATCH($A849,'通知一覧'!$B$5:$B$204,0),"なし"))</f>
        <v/>
      </c>
      <c r="P849" s="31">
        <f>IF(NOT(ISNUMBER($O849)),"",IFERROR(MATCH(INDEX('通知一覧'!$C$5:$C$204,$O849),'支払先'!$B$5:$B$104,0),""))</f>
        <v/>
      </c>
      <c r="Q849" s="31">
        <f>IF(AND($A849&lt;&gt;"",$A849='支払通知書'!$K$2),ROW(),"")</f>
        <v/>
      </c>
    </row>
    <row r="850" ht="18" customHeight="1">
      <c r="A850" s="18" t="n"/>
      <c r="B850" s="24" t="n"/>
      <c r="C850" s="19" t="n"/>
      <c r="D850" s="25" t="n"/>
      <c r="E850" s="18" t="n"/>
      <c r="F850" s="25" t="n"/>
      <c r="G850" s="18" t="n"/>
      <c r="H850" s="18" t="n"/>
      <c r="I850" s="26">
        <f>IF(OR($A850="",$F850=""),"",ROUND(IF($D850="",1,$D850)*$F850,0))</f>
        <v/>
      </c>
      <c r="J850" s="27">
        <f>IF($A850="","",IF($O850="なし","※通知一覧にない通知No",IF($P850="","",INDEX('支払先'!$C$5:$C$104,$P850)&amp;"")))</f>
        <v/>
      </c>
      <c r="K850" s="28">
        <f>IF(NOT(ISNUMBER($O850)),"",IF(ISNUMBER(INDEX('通知一覧'!$F$5:$F$204,$O850)),INDEX('通知一覧'!$F$5:$F$204,$O850),""))</f>
        <v/>
      </c>
      <c r="L850" s="29">
        <f>IF(AND(ISNUMBER($B850),ISNUMBER($K850)),$K850-$B850+1,"")</f>
        <v/>
      </c>
      <c r="M850" s="30">
        <f>IF(OR($L850="",$P850=""),"",IF(INDEX('支払先'!$M$5:$M$104,$P850)="対象外","",IF(AND($L850&gt;60,$K850&gt;=EDATE($B850,2)),"超える","")))</f>
        <v/>
      </c>
      <c r="N850" s="67" t="n"/>
      <c r="O850" s="31">
        <f>IF($A850="","",IFERROR(MATCH($A850,'通知一覧'!$B$5:$B$204,0),"なし"))</f>
        <v/>
      </c>
      <c r="P850" s="31">
        <f>IF(NOT(ISNUMBER($O850)),"",IFERROR(MATCH(INDEX('通知一覧'!$C$5:$C$204,$O850),'支払先'!$B$5:$B$104,0),""))</f>
        <v/>
      </c>
      <c r="Q850" s="31">
        <f>IF(AND($A850&lt;&gt;"",$A850='支払通知書'!$K$2),ROW(),"")</f>
        <v/>
      </c>
    </row>
    <row r="851" ht="18" customHeight="1">
      <c r="A851" s="18" t="n"/>
      <c r="B851" s="24" t="n"/>
      <c r="C851" s="19" t="n"/>
      <c r="D851" s="25" t="n"/>
      <c r="E851" s="18" t="n"/>
      <c r="F851" s="25" t="n"/>
      <c r="G851" s="18" t="n"/>
      <c r="H851" s="18" t="n"/>
      <c r="I851" s="26">
        <f>IF(OR($A851="",$F851=""),"",ROUND(IF($D851="",1,$D851)*$F851,0))</f>
        <v/>
      </c>
      <c r="J851" s="27">
        <f>IF($A851="","",IF($O851="なし","※通知一覧にない通知No",IF($P851="","",INDEX('支払先'!$C$5:$C$104,$P851)&amp;"")))</f>
        <v/>
      </c>
      <c r="K851" s="28">
        <f>IF(NOT(ISNUMBER($O851)),"",IF(ISNUMBER(INDEX('通知一覧'!$F$5:$F$204,$O851)),INDEX('通知一覧'!$F$5:$F$204,$O851),""))</f>
        <v/>
      </c>
      <c r="L851" s="29">
        <f>IF(AND(ISNUMBER($B851),ISNUMBER($K851)),$K851-$B851+1,"")</f>
        <v/>
      </c>
      <c r="M851" s="30">
        <f>IF(OR($L851="",$P851=""),"",IF(INDEX('支払先'!$M$5:$M$104,$P851)="対象外","",IF(AND($L851&gt;60,$K851&gt;=EDATE($B851,2)),"超える","")))</f>
        <v/>
      </c>
      <c r="N851" s="67" t="n"/>
      <c r="O851" s="31">
        <f>IF($A851="","",IFERROR(MATCH($A851,'通知一覧'!$B$5:$B$204,0),"なし"))</f>
        <v/>
      </c>
      <c r="P851" s="31">
        <f>IF(NOT(ISNUMBER($O851)),"",IFERROR(MATCH(INDEX('通知一覧'!$C$5:$C$204,$O851),'支払先'!$B$5:$B$104,0),""))</f>
        <v/>
      </c>
      <c r="Q851" s="31">
        <f>IF(AND($A851&lt;&gt;"",$A851='支払通知書'!$K$2),ROW(),"")</f>
        <v/>
      </c>
    </row>
    <row r="852" ht="18" customHeight="1">
      <c r="A852" s="18" t="n"/>
      <c r="B852" s="24" t="n"/>
      <c r="C852" s="19" t="n"/>
      <c r="D852" s="25" t="n"/>
      <c r="E852" s="18" t="n"/>
      <c r="F852" s="25" t="n"/>
      <c r="G852" s="18" t="n"/>
      <c r="H852" s="18" t="n"/>
      <c r="I852" s="26">
        <f>IF(OR($A852="",$F852=""),"",ROUND(IF($D852="",1,$D852)*$F852,0))</f>
        <v/>
      </c>
      <c r="J852" s="27">
        <f>IF($A852="","",IF($O852="なし","※通知一覧にない通知No",IF($P852="","",INDEX('支払先'!$C$5:$C$104,$P852)&amp;"")))</f>
        <v/>
      </c>
      <c r="K852" s="28">
        <f>IF(NOT(ISNUMBER($O852)),"",IF(ISNUMBER(INDEX('通知一覧'!$F$5:$F$204,$O852)),INDEX('通知一覧'!$F$5:$F$204,$O852),""))</f>
        <v/>
      </c>
      <c r="L852" s="29">
        <f>IF(AND(ISNUMBER($B852),ISNUMBER($K852)),$K852-$B852+1,"")</f>
        <v/>
      </c>
      <c r="M852" s="30">
        <f>IF(OR($L852="",$P852=""),"",IF(INDEX('支払先'!$M$5:$M$104,$P852)="対象外","",IF(AND($L852&gt;60,$K852&gt;=EDATE($B852,2)),"超える","")))</f>
        <v/>
      </c>
      <c r="N852" s="67" t="n"/>
      <c r="O852" s="31">
        <f>IF($A852="","",IFERROR(MATCH($A852,'通知一覧'!$B$5:$B$204,0),"なし"))</f>
        <v/>
      </c>
      <c r="P852" s="31">
        <f>IF(NOT(ISNUMBER($O852)),"",IFERROR(MATCH(INDEX('通知一覧'!$C$5:$C$204,$O852),'支払先'!$B$5:$B$104,0),""))</f>
        <v/>
      </c>
      <c r="Q852" s="31">
        <f>IF(AND($A852&lt;&gt;"",$A852='支払通知書'!$K$2),ROW(),"")</f>
        <v/>
      </c>
    </row>
    <row r="853" ht="18" customHeight="1">
      <c r="A853" s="18" t="n"/>
      <c r="B853" s="24" t="n"/>
      <c r="C853" s="19" t="n"/>
      <c r="D853" s="25" t="n"/>
      <c r="E853" s="18" t="n"/>
      <c r="F853" s="25" t="n"/>
      <c r="G853" s="18" t="n"/>
      <c r="H853" s="18" t="n"/>
      <c r="I853" s="26">
        <f>IF(OR($A853="",$F853=""),"",ROUND(IF($D853="",1,$D853)*$F853,0))</f>
        <v/>
      </c>
      <c r="J853" s="27">
        <f>IF($A853="","",IF($O853="なし","※通知一覧にない通知No",IF($P853="","",INDEX('支払先'!$C$5:$C$104,$P853)&amp;"")))</f>
        <v/>
      </c>
      <c r="K853" s="28">
        <f>IF(NOT(ISNUMBER($O853)),"",IF(ISNUMBER(INDEX('通知一覧'!$F$5:$F$204,$O853)),INDEX('通知一覧'!$F$5:$F$204,$O853),""))</f>
        <v/>
      </c>
      <c r="L853" s="29">
        <f>IF(AND(ISNUMBER($B853),ISNUMBER($K853)),$K853-$B853+1,"")</f>
        <v/>
      </c>
      <c r="M853" s="30">
        <f>IF(OR($L853="",$P853=""),"",IF(INDEX('支払先'!$M$5:$M$104,$P853)="対象外","",IF(AND($L853&gt;60,$K853&gt;=EDATE($B853,2)),"超える","")))</f>
        <v/>
      </c>
      <c r="N853" s="67" t="n"/>
      <c r="O853" s="31">
        <f>IF($A853="","",IFERROR(MATCH($A853,'通知一覧'!$B$5:$B$204,0),"なし"))</f>
        <v/>
      </c>
      <c r="P853" s="31">
        <f>IF(NOT(ISNUMBER($O853)),"",IFERROR(MATCH(INDEX('通知一覧'!$C$5:$C$204,$O853),'支払先'!$B$5:$B$104,0),""))</f>
        <v/>
      </c>
      <c r="Q853" s="31">
        <f>IF(AND($A853&lt;&gt;"",$A853='支払通知書'!$K$2),ROW(),"")</f>
        <v/>
      </c>
    </row>
    <row r="854" ht="18" customHeight="1">
      <c r="A854" s="18" t="n"/>
      <c r="B854" s="24" t="n"/>
      <c r="C854" s="19" t="n"/>
      <c r="D854" s="25" t="n"/>
      <c r="E854" s="18" t="n"/>
      <c r="F854" s="25" t="n"/>
      <c r="G854" s="18" t="n"/>
      <c r="H854" s="18" t="n"/>
      <c r="I854" s="26">
        <f>IF(OR($A854="",$F854=""),"",ROUND(IF($D854="",1,$D854)*$F854,0))</f>
        <v/>
      </c>
      <c r="J854" s="27">
        <f>IF($A854="","",IF($O854="なし","※通知一覧にない通知No",IF($P854="","",INDEX('支払先'!$C$5:$C$104,$P854)&amp;"")))</f>
        <v/>
      </c>
      <c r="K854" s="28">
        <f>IF(NOT(ISNUMBER($O854)),"",IF(ISNUMBER(INDEX('通知一覧'!$F$5:$F$204,$O854)),INDEX('通知一覧'!$F$5:$F$204,$O854),""))</f>
        <v/>
      </c>
      <c r="L854" s="29">
        <f>IF(AND(ISNUMBER($B854),ISNUMBER($K854)),$K854-$B854+1,"")</f>
        <v/>
      </c>
      <c r="M854" s="30">
        <f>IF(OR($L854="",$P854=""),"",IF(INDEX('支払先'!$M$5:$M$104,$P854)="対象外","",IF(AND($L854&gt;60,$K854&gt;=EDATE($B854,2)),"超える","")))</f>
        <v/>
      </c>
      <c r="N854" s="67" t="n"/>
      <c r="O854" s="31">
        <f>IF($A854="","",IFERROR(MATCH($A854,'通知一覧'!$B$5:$B$204,0),"なし"))</f>
        <v/>
      </c>
      <c r="P854" s="31">
        <f>IF(NOT(ISNUMBER($O854)),"",IFERROR(MATCH(INDEX('通知一覧'!$C$5:$C$204,$O854),'支払先'!$B$5:$B$104,0),""))</f>
        <v/>
      </c>
      <c r="Q854" s="31">
        <f>IF(AND($A854&lt;&gt;"",$A854='支払通知書'!$K$2),ROW(),"")</f>
        <v/>
      </c>
    </row>
    <row r="855" ht="18" customHeight="1">
      <c r="A855" s="18" t="n"/>
      <c r="B855" s="24" t="n"/>
      <c r="C855" s="19" t="n"/>
      <c r="D855" s="25" t="n"/>
      <c r="E855" s="18" t="n"/>
      <c r="F855" s="25" t="n"/>
      <c r="G855" s="18" t="n"/>
      <c r="H855" s="18" t="n"/>
      <c r="I855" s="26">
        <f>IF(OR($A855="",$F855=""),"",ROUND(IF($D855="",1,$D855)*$F855,0))</f>
        <v/>
      </c>
      <c r="J855" s="27">
        <f>IF($A855="","",IF($O855="なし","※通知一覧にない通知No",IF($P855="","",INDEX('支払先'!$C$5:$C$104,$P855)&amp;"")))</f>
        <v/>
      </c>
      <c r="K855" s="28">
        <f>IF(NOT(ISNUMBER($O855)),"",IF(ISNUMBER(INDEX('通知一覧'!$F$5:$F$204,$O855)),INDEX('通知一覧'!$F$5:$F$204,$O855),""))</f>
        <v/>
      </c>
      <c r="L855" s="29">
        <f>IF(AND(ISNUMBER($B855),ISNUMBER($K855)),$K855-$B855+1,"")</f>
        <v/>
      </c>
      <c r="M855" s="30">
        <f>IF(OR($L855="",$P855=""),"",IF(INDEX('支払先'!$M$5:$M$104,$P855)="対象外","",IF(AND($L855&gt;60,$K855&gt;=EDATE($B855,2)),"超える","")))</f>
        <v/>
      </c>
      <c r="N855" s="67" t="n"/>
      <c r="O855" s="31">
        <f>IF($A855="","",IFERROR(MATCH($A855,'通知一覧'!$B$5:$B$204,0),"なし"))</f>
        <v/>
      </c>
      <c r="P855" s="31">
        <f>IF(NOT(ISNUMBER($O855)),"",IFERROR(MATCH(INDEX('通知一覧'!$C$5:$C$204,$O855),'支払先'!$B$5:$B$104,0),""))</f>
        <v/>
      </c>
      <c r="Q855" s="31">
        <f>IF(AND($A855&lt;&gt;"",$A855='支払通知書'!$K$2),ROW(),"")</f>
        <v/>
      </c>
    </row>
    <row r="856" ht="18" customHeight="1">
      <c r="A856" s="18" t="n"/>
      <c r="B856" s="24" t="n"/>
      <c r="C856" s="19" t="n"/>
      <c r="D856" s="25" t="n"/>
      <c r="E856" s="18" t="n"/>
      <c r="F856" s="25" t="n"/>
      <c r="G856" s="18" t="n"/>
      <c r="H856" s="18" t="n"/>
      <c r="I856" s="26">
        <f>IF(OR($A856="",$F856=""),"",ROUND(IF($D856="",1,$D856)*$F856,0))</f>
        <v/>
      </c>
      <c r="J856" s="27">
        <f>IF($A856="","",IF($O856="なし","※通知一覧にない通知No",IF($P856="","",INDEX('支払先'!$C$5:$C$104,$P856)&amp;"")))</f>
        <v/>
      </c>
      <c r="K856" s="28">
        <f>IF(NOT(ISNUMBER($O856)),"",IF(ISNUMBER(INDEX('通知一覧'!$F$5:$F$204,$O856)),INDEX('通知一覧'!$F$5:$F$204,$O856),""))</f>
        <v/>
      </c>
      <c r="L856" s="29">
        <f>IF(AND(ISNUMBER($B856),ISNUMBER($K856)),$K856-$B856+1,"")</f>
        <v/>
      </c>
      <c r="M856" s="30">
        <f>IF(OR($L856="",$P856=""),"",IF(INDEX('支払先'!$M$5:$M$104,$P856)="対象外","",IF(AND($L856&gt;60,$K856&gt;=EDATE($B856,2)),"超える","")))</f>
        <v/>
      </c>
      <c r="N856" s="67" t="n"/>
      <c r="O856" s="31">
        <f>IF($A856="","",IFERROR(MATCH($A856,'通知一覧'!$B$5:$B$204,0),"なし"))</f>
        <v/>
      </c>
      <c r="P856" s="31">
        <f>IF(NOT(ISNUMBER($O856)),"",IFERROR(MATCH(INDEX('通知一覧'!$C$5:$C$204,$O856),'支払先'!$B$5:$B$104,0),""))</f>
        <v/>
      </c>
      <c r="Q856" s="31">
        <f>IF(AND($A856&lt;&gt;"",$A856='支払通知書'!$K$2),ROW(),"")</f>
        <v/>
      </c>
    </row>
    <row r="857" ht="18" customHeight="1">
      <c r="A857" s="18" t="n"/>
      <c r="B857" s="24" t="n"/>
      <c r="C857" s="19" t="n"/>
      <c r="D857" s="25" t="n"/>
      <c r="E857" s="18" t="n"/>
      <c r="F857" s="25" t="n"/>
      <c r="G857" s="18" t="n"/>
      <c r="H857" s="18" t="n"/>
      <c r="I857" s="26">
        <f>IF(OR($A857="",$F857=""),"",ROUND(IF($D857="",1,$D857)*$F857,0))</f>
        <v/>
      </c>
      <c r="J857" s="27">
        <f>IF($A857="","",IF($O857="なし","※通知一覧にない通知No",IF($P857="","",INDEX('支払先'!$C$5:$C$104,$P857)&amp;"")))</f>
        <v/>
      </c>
      <c r="K857" s="28">
        <f>IF(NOT(ISNUMBER($O857)),"",IF(ISNUMBER(INDEX('通知一覧'!$F$5:$F$204,$O857)),INDEX('通知一覧'!$F$5:$F$204,$O857),""))</f>
        <v/>
      </c>
      <c r="L857" s="29">
        <f>IF(AND(ISNUMBER($B857),ISNUMBER($K857)),$K857-$B857+1,"")</f>
        <v/>
      </c>
      <c r="M857" s="30">
        <f>IF(OR($L857="",$P857=""),"",IF(INDEX('支払先'!$M$5:$M$104,$P857)="対象外","",IF(AND($L857&gt;60,$K857&gt;=EDATE($B857,2)),"超える","")))</f>
        <v/>
      </c>
      <c r="N857" s="67" t="n"/>
      <c r="O857" s="31">
        <f>IF($A857="","",IFERROR(MATCH($A857,'通知一覧'!$B$5:$B$204,0),"なし"))</f>
        <v/>
      </c>
      <c r="P857" s="31">
        <f>IF(NOT(ISNUMBER($O857)),"",IFERROR(MATCH(INDEX('通知一覧'!$C$5:$C$204,$O857),'支払先'!$B$5:$B$104,0),""))</f>
        <v/>
      </c>
      <c r="Q857" s="31">
        <f>IF(AND($A857&lt;&gt;"",$A857='支払通知書'!$K$2),ROW(),"")</f>
        <v/>
      </c>
    </row>
    <row r="858" ht="18" customHeight="1">
      <c r="A858" s="18" t="n"/>
      <c r="B858" s="24" t="n"/>
      <c r="C858" s="19" t="n"/>
      <c r="D858" s="25" t="n"/>
      <c r="E858" s="18" t="n"/>
      <c r="F858" s="25" t="n"/>
      <c r="G858" s="18" t="n"/>
      <c r="H858" s="18" t="n"/>
      <c r="I858" s="26">
        <f>IF(OR($A858="",$F858=""),"",ROUND(IF($D858="",1,$D858)*$F858,0))</f>
        <v/>
      </c>
      <c r="J858" s="27">
        <f>IF($A858="","",IF($O858="なし","※通知一覧にない通知No",IF($P858="","",INDEX('支払先'!$C$5:$C$104,$P858)&amp;"")))</f>
        <v/>
      </c>
      <c r="K858" s="28">
        <f>IF(NOT(ISNUMBER($O858)),"",IF(ISNUMBER(INDEX('通知一覧'!$F$5:$F$204,$O858)),INDEX('通知一覧'!$F$5:$F$204,$O858),""))</f>
        <v/>
      </c>
      <c r="L858" s="29">
        <f>IF(AND(ISNUMBER($B858),ISNUMBER($K858)),$K858-$B858+1,"")</f>
        <v/>
      </c>
      <c r="M858" s="30">
        <f>IF(OR($L858="",$P858=""),"",IF(INDEX('支払先'!$M$5:$M$104,$P858)="対象外","",IF(AND($L858&gt;60,$K858&gt;=EDATE($B858,2)),"超える","")))</f>
        <v/>
      </c>
      <c r="N858" s="67" t="n"/>
      <c r="O858" s="31">
        <f>IF($A858="","",IFERROR(MATCH($A858,'通知一覧'!$B$5:$B$204,0),"なし"))</f>
        <v/>
      </c>
      <c r="P858" s="31">
        <f>IF(NOT(ISNUMBER($O858)),"",IFERROR(MATCH(INDEX('通知一覧'!$C$5:$C$204,$O858),'支払先'!$B$5:$B$104,0),""))</f>
        <v/>
      </c>
      <c r="Q858" s="31">
        <f>IF(AND($A858&lt;&gt;"",$A858='支払通知書'!$K$2),ROW(),"")</f>
        <v/>
      </c>
    </row>
    <row r="859" ht="18" customHeight="1">
      <c r="A859" s="18" t="n"/>
      <c r="B859" s="24" t="n"/>
      <c r="C859" s="19" t="n"/>
      <c r="D859" s="25" t="n"/>
      <c r="E859" s="18" t="n"/>
      <c r="F859" s="25" t="n"/>
      <c r="G859" s="18" t="n"/>
      <c r="H859" s="18" t="n"/>
      <c r="I859" s="26">
        <f>IF(OR($A859="",$F859=""),"",ROUND(IF($D859="",1,$D859)*$F859,0))</f>
        <v/>
      </c>
      <c r="J859" s="27">
        <f>IF($A859="","",IF($O859="なし","※通知一覧にない通知No",IF($P859="","",INDEX('支払先'!$C$5:$C$104,$P859)&amp;"")))</f>
        <v/>
      </c>
      <c r="K859" s="28">
        <f>IF(NOT(ISNUMBER($O859)),"",IF(ISNUMBER(INDEX('通知一覧'!$F$5:$F$204,$O859)),INDEX('通知一覧'!$F$5:$F$204,$O859),""))</f>
        <v/>
      </c>
      <c r="L859" s="29">
        <f>IF(AND(ISNUMBER($B859),ISNUMBER($K859)),$K859-$B859+1,"")</f>
        <v/>
      </c>
      <c r="M859" s="30">
        <f>IF(OR($L859="",$P859=""),"",IF(INDEX('支払先'!$M$5:$M$104,$P859)="対象外","",IF(AND($L859&gt;60,$K859&gt;=EDATE($B859,2)),"超える","")))</f>
        <v/>
      </c>
      <c r="N859" s="67" t="n"/>
      <c r="O859" s="31">
        <f>IF($A859="","",IFERROR(MATCH($A859,'通知一覧'!$B$5:$B$204,0),"なし"))</f>
        <v/>
      </c>
      <c r="P859" s="31">
        <f>IF(NOT(ISNUMBER($O859)),"",IFERROR(MATCH(INDEX('通知一覧'!$C$5:$C$204,$O859),'支払先'!$B$5:$B$104,0),""))</f>
        <v/>
      </c>
      <c r="Q859" s="31">
        <f>IF(AND($A859&lt;&gt;"",$A859='支払通知書'!$K$2),ROW(),"")</f>
        <v/>
      </c>
    </row>
    <row r="860" ht="18" customHeight="1">
      <c r="A860" s="18" t="n"/>
      <c r="B860" s="24" t="n"/>
      <c r="C860" s="19" t="n"/>
      <c r="D860" s="25" t="n"/>
      <c r="E860" s="18" t="n"/>
      <c r="F860" s="25" t="n"/>
      <c r="G860" s="18" t="n"/>
      <c r="H860" s="18" t="n"/>
      <c r="I860" s="26">
        <f>IF(OR($A860="",$F860=""),"",ROUND(IF($D860="",1,$D860)*$F860,0))</f>
        <v/>
      </c>
      <c r="J860" s="27">
        <f>IF($A860="","",IF($O860="なし","※通知一覧にない通知No",IF($P860="","",INDEX('支払先'!$C$5:$C$104,$P860)&amp;"")))</f>
        <v/>
      </c>
      <c r="K860" s="28">
        <f>IF(NOT(ISNUMBER($O860)),"",IF(ISNUMBER(INDEX('通知一覧'!$F$5:$F$204,$O860)),INDEX('通知一覧'!$F$5:$F$204,$O860),""))</f>
        <v/>
      </c>
      <c r="L860" s="29">
        <f>IF(AND(ISNUMBER($B860),ISNUMBER($K860)),$K860-$B860+1,"")</f>
        <v/>
      </c>
      <c r="M860" s="30">
        <f>IF(OR($L860="",$P860=""),"",IF(INDEX('支払先'!$M$5:$M$104,$P860)="対象外","",IF(AND($L860&gt;60,$K860&gt;=EDATE($B860,2)),"超える","")))</f>
        <v/>
      </c>
      <c r="N860" s="67" t="n"/>
      <c r="O860" s="31">
        <f>IF($A860="","",IFERROR(MATCH($A860,'通知一覧'!$B$5:$B$204,0),"なし"))</f>
        <v/>
      </c>
      <c r="P860" s="31">
        <f>IF(NOT(ISNUMBER($O860)),"",IFERROR(MATCH(INDEX('通知一覧'!$C$5:$C$204,$O860),'支払先'!$B$5:$B$104,0),""))</f>
        <v/>
      </c>
      <c r="Q860" s="31">
        <f>IF(AND($A860&lt;&gt;"",$A860='支払通知書'!$K$2),ROW(),"")</f>
        <v/>
      </c>
    </row>
    <row r="861" ht="18" customHeight="1">
      <c r="A861" s="18" t="n"/>
      <c r="B861" s="24" t="n"/>
      <c r="C861" s="19" t="n"/>
      <c r="D861" s="25" t="n"/>
      <c r="E861" s="18" t="n"/>
      <c r="F861" s="25" t="n"/>
      <c r="G861" s="18" t="n"/>
      <c r="H861" s="18" t="n"/>
      <c r="I861" s="26">
        <f>IF(OR($A861="",$F861=""),"",ROUND(IF($D861="",1,$D861)*$F861,0))</f>
        <v/>
      </c>
      <c r="J861" s="27">
        <f>IF($A861="","",IF($O861="なし","※通知一覧にない通知No",IF($P861="","",INDEX('支払先'!$C$5:$C$104,$P861)&amp;"")))</f>
        <v/>
      </c>
      <c r="K861" s="28">
        <f>IF(NOT(ISNUMBER($O861)),"",IF(ISNUMBER(INDEX('通知一覧'!$F$5:$F$204,$O861)),INDEX('通知一覧'!$F$5:$F$204,$O861),""))</f>
        <v/>
      </c>
      <c r="L861" s="29">
        <f>IF(AND(ISNUMBER($B861),ISNUMBER($K861)),$K861-$B861+1,"")</f>
        <v/>
      </c>
      <c r="M861" s="30">
        <f>IF(OR($L861="",$P861=""),"",IF(INDEX('支払先'!$M$5:$M$104,$P861)="対象外","",IF(AND($L861&gt;60,$K861&gt;=EDATE($B861,2)),"超える","")))</f>
        <v/>
      </c>
      <c r="N861" s="67" t="n"/>
      <c r="O861" s="31">
        <f>IF($A861="","",IFERROR(MATCH($A861,'通知一覧'!$B$5:$B$204,0),"なし"))</f>
        <v/>
      </c>
      <c r="P861" s="31">
        <f>IF(NOT(ISNUMBER($O861)),"",IFERROR(MATCH(INDEX('通知一覧'!$C$5:$C$204,$O861),'支払先'!$B$5:$B$104,0),""))</f>
        <v/>
      </c>
      <c r="Q861" s="31">
        <f>IF(AND($A861&lt;&gt;"",$A861='支払通知書'!$K$2),ROW(),"")</f>
        <v/>
      </c>
    </row>
    <row r="862" ht="18" customHeight="1">
      <c r="A862" s="18" t="n"/>
      <c r="B862" s="24" t="n"/>
      <c r="C862" s="19" t="n"/>
      <c r="D862" s="25" t="n"/>
      <c r="E862" s="18" t="n"/>
      <c r="F862" s="25" t="n"/>
      <c r="G862" s="18" t="n"/>
      <c r="H862" s="18" t="n"/>
      <c r="I862" s="26">
        <f>IF(OR($A862="",$F862=""),"",ROUND(IF($D862="",1,$D862)*$F862,0))</f>
        <v/>
      </c>
      <c r="J862" s="27">
        <f>IF($A862="","",IF($O862="なし","※通知一覧にない通知No",IF($P862="","",INDEX('支払先'!$C$5:$C$104,$P862)&amp;"")))</f>
        <v/>
      </c>
      <c r="K862" s="28">
        <f>IF(NOT(ISNUMBER($O862)),"",IF(ISNUMBER(INDEX('通知一覧'!$F$5:$F$204,$O862)),INDEX('通知一覧'!$F$5:$F$204,$O862),""))</f>
        <v/>
      </c>
      <c r="L862" s="29">
        <f>IF(AND(ISNUMBER($B862),ISNUMBER($K862)),$K862-$B862+1,"")</f>
        <v/>
      </c>
      <c r="M862" s="30">
        <f>IF(OR($L862="",$P862=""),"",IF(INDEX('支払先'!$M$5:$M$104,$P862)="対象外","",IF(AND($L862&gt;60,$K862&gt;=EDATE($B862,2)),"超える","")))</f>
        <v/>
      </c>
      <c r="N862" s="67" t="n"/>
      <c r="O862" s="31">
        <f>IF($A862="","",IFERROR(MATCH($A862,'通知一覧'!$B$5:$B$204,0),"なし"))</f>
        <v/>
      </c>
      <c r="P862" s="31">
        <f>IF(NOT(ISNUMBER($O862)),"",IFERROR(MATCH(INDEX('通知一覧'!$C$5:$C$204,$O862),'支払先'!$B$5:$B$104,0),""))</f>
        <v/>
      </c>
      <c r="Q862" s="31">
        <f>IF(AND($A862&lt;&gt;"",$A862='支払通知書'!$K$2),ROW(),"")</f>
        <v/>
      </c>
    </row>
    <row r="863" ht="18" customHeight="1">
      <c r="A863" s="18" t="n"/>
      <c r="B863" s="24" t="n"/>
      <c r="C863" s="19" t="n"/>
      <c r="D863" s="25" t="n"/>
      <c r="E863" s="18" t="n"/>
      <c r="F863" s="25" t="n"/>
      <c r="G863" s="18" t="n"/>
      <c r="H863" s="18" t="n"/>
      <c r="I863" s="26">
        <f>IF(OR($A863="",$F863=""),"",ROUND(IF($D863="",1,$D863)*$F863,0))</f>
        <v/>
      </c>
      <c r="J863" s="27">
        <f>IF($A863="","",IF($O863="なし","※通知一覧にない通知No",IF($P863="","",INDEX('支払先'!$C$5:$C$104,$P863)&amp;"")))</f>
        <v/>
      </c>
      <c r="K863" s="28">
        <f>IF(NOT(ISNUMBER($O863)),"",IF(ISNUMBER(INDEX('通知一覧'!$F$5:$F$204,$O863)),INDEX('通知一覧'!$F$5:$F$204,$O863),""))</f>
        <v/>
      </c>
      <c r="L863" s="29">
        <f>IF(AND(ISNUMBER($B863),ISNUMBER($K863)),$K863-$B863+1,"")</f>
        <v/>
      </c>
      <c r="M863" s="30">
        <f>IF(OR($L863="",$P863=""),"",IF(INDEX('支払先'!$M$5:$M$104,$P863)="対象外","",IF(AND($L863&gt;60,$K863&gt;=EDATE($B863,2)),"超える","")))</f>
        <v/>
      </c>
      <c r="N863" s="67" t="n"/>
      <c r="O863" s="31">
        <f>IF($A863="","",IFERROR(MATCH($A863,'通知一覧'!$B$5:$B$204,0),"なし"))</f>
        <v/>
      </c>
      <c r="P863" s="31">
        <f>IF(NOT(ISNUMBER($O863)),"",IFERROR(MATCH(INDEX('通知一覧'!$C$5:$C$204,$O863),'支払先'!$B$5:$B$104,0),""))</f>
        <v/>
      </c>
      <c r="Q863" s="31">
        <f>IF(AND($A863&lt;&gt;"",$A863='支払通知書'!$K$2),ROW(),"")</f>
        <v/>
      </c>
    </row>
    <row r="864" ht="18" customHeight="1">
      <c r="A864" s="18" t="n"/>
      <c r="B864" s="24" t="n"/>
      <c r="C864" s="19" t="n"/>
      <c r="D864" s="25" t="n"/>
      <c r="E864" s="18" t="n"/>
      <c r="F864" s="25" t="n"/>
      <c r="G864" s="18" t="n"/>
      <c r="H864" s="18" t="n"/>
      <c r="I864" s="26">
        <f>IF(OR($A864="",$F864=""),"",ROUND(IF($D864="",1,$D864)*$F864,0))</f>
        <v/>
      </c>
      <c r="J864" s="27">
        <f>IF($A864="","",IF($O864="なし","※通知一覧にない通知No",IF($P864="","",INDEX('支払先'!$C$5:$C$104,$P864)&amp;"")))</f>
        <v/>
      </c>
      <c r="K864" s="28">
        <f>IF(NOT(ISNUMBER($O864)),"",IF(ISNUMBER(INDEX('通知一覧'!$F$5:$F$204,$O864)),INDEX('通知一覧'!$F$5:$F$204,$O864),""))</f>
        <v/>
      </c>
      <c r="L864" s="29">
        <f>IF(AND(ISNUMBER($B864),ISNUMBER($K864)),$K864-$B864+1,"")</f>
        <v/>
      </c>
      <c r="M864" s="30">
        <f>IF(OR($L864="",$P864=""),"",IF(INDEX('支払先'!$M$5:$M$104,$P864)="対象外","",IF(AND($L864&gt;60,$K864&gt;=EDATE($B864,2)),"超える","")))</f>
        <v/>
      </c>
      <c r="N864" s="67" t="n"/>
      <c r="O864" s="31">
        <f>IF($A864="","",IFERROR(MATCH($A864,'通知一覧'!$B$5:$B$204,0),"なし"))</f>
        <v/>
      </c>
      <c r="P864" s="31">
        <f>IF(NOT(ISNUMBER($O864)),"",IFERROR(MATCH(INDEX('通知一覧'!$C$5:$C$204,$O864),'支払先'!$B$5:$B$104,0),""))</f>
        <v/>
      </c>
      <c r="Q864" s="31">
        <f>IF(AND($A864&lt;&gt;"",$A864='支払通知書'!$K$2),ROW(),"")</f>
        <v/>
      </c>
    </row>
    <row r="865" ht="18" customHeight="1">
      <c r="A865" s="18" t="n"/>
      <c r="B865" s="24" t="n"/>
      <c r="C865" s="19" t="n"/>
      <c r="D865" s="25" t="n"/>
      <c r="E865" s="18" t="n"/>
      <c r="F865" s="25" t="n"/>
      <c r="G865" s="18" t="n"/>
      <c r="H865" s="18" t="n"/>
      <c r="I865" s="26">
        <f>IF(OR($A865="",$F865=""),"",ROUND(IF($D865="",1,$D865)*$F865,0))</f>
        <v/>
      </c>
      <c r="J865" s="27">
        <f>IF($A865="","",IF($O865="なし","※通知一覧にない通知No",IF($P865="","",INDEX('支払先'!$C$5:$C$104,$P865)&amp;"")))</f>
        <v/>
      </c>
      <c r="K865" s="28">
        <f>IF(NOT(ISNUMBER($O865)),"",IF(ISNUMBER(INDEX('通知一覧'!$F$5:$F$204,$O865)),INDEX('通知一覧'!$F$5:$F$204,$O865),""))</f>
        <v/>
      </c>
      <c r="L865" s="29">
        <f>IF(AND(ISNUMBER($B865),ISNUMBER($K865)),$K865-$B865+1,"")</f>
        <v/>
      </c>
      <c r="M865" s="30">
        <f>IF(OR($L865="",$P865=""),"",IF(INDEX('支払先'!$M$5:$M$104,$P865)="対象外","",IF(AND($L865&gt;60,$K865&gt;=EDATE($B865,2)),"超える","")))</f>
        <v/>
      </c>
      <c r="N865" s="67" t="n"/>
      <c r="O865" s="31">
        <f>IF($A865="","",IFERROR(MATCH($A865,'通知一覧'!$B$5:$B$204,0),"なし"))</f>
        <v/>
      </c>
      <c r="P865" s="31">
        <f>IF(NOT(ISNUMBER($O865)),"",IFERROR(MATCH(INDEX('通知一覧'!$C$5:$C$204,$O865),'支払先'!$B$5:$B$104,0),""))</f>
        <v/>
      </c>
      <c r="Q865" s="31">
        <f>IF(AND($A865&lt;&gt;"",$A865='支払通知書'!$K$2),ROW(),"")</f>
        <v/>
      </c>
    </row>
    <row r="866" ht="18" customHeight="1">
      <c r="A866" s="18" t="n"/>
      <c r="B866" s="24" t="n"/>
      <c r="C866" s="19" t="n"/>
      <c r="D866" s="25" t="n"/>
      <c r="E866" s="18" t="n"/>
      <c r="F866" s="25" t="n"/>
      <c r="G866" s="18" t="n"/>
      <c r="H866" s="18" t="n"/>
      <c r="I866" s="26">
        <f>IF(OR($A866="",$F866=""),"",ROUND(IF($D866="",1,$D866)*$F866,0))</f>
        <v/>
      </c>
      <c r="J866" s="27">
        <f>IF($A866="","",IF($O866="なし","※通知一覧にない通知No",IF($P866="","",INDEX('支払先'!$C$5:$C$104,$P866)&amp;"")))</f>
        <v/>
      </c>
      <c r="K866" s="28">
        <f>IF(NOT(ISNUMBER($O866)),"",IF(ISNUMBER(INDEX('通知一覧'!$F$5:$F$204,$O866)),INDEX('通知一覧'!$F$5:$F$204,$O866),""))</f>
        <v/>
      </c>
      <c r="L866" s="29">
        <f>IF(AND(ISNUMBER($B866),ISNUMBER($K866)),$K866-$B866+1,"")</f>
        <v/>
      </c>
      <c r="M866" s="30">
        <f>IF(OR($L866="",$P866=""),"",IF(INDEX('支払先'!$M$5:$M$104,$P866)="対象外","",IF(AND($L866&gt;60,$K866&gt;=EDATE($B866,2)),"超える","")))</f>
        <v/>
      </c>
      <c r="N866" s="67" t="n"/>
      <c r="O866" s="31">
        <f>IF($A866="","",IFERROR(MATCH($A866,'通知一覧'!$B$5:$B$204,0),"なし"))</f>
        <v/>
      </c>
      <c r="P866" s="31">
        <f>IF(NOT(ISNUMBER($O866)),"",IFERROR(MATCH(INDEX('通知一覧'!$C$5:$C$204,$O866),'支払先'!$B$5:$B$104,0),""))</f>
        <v/>
      </c>
      <c r="Q866" s="31">
        <f>IF(AND($A866&lt;&gt;"",$A866='支払通知書'!$K$2),ROW(),"")</f>
        <v/>
      </c>
    </row>
    <row r="867" ht="18" customHeight="1">
      <c r="A867" s="18" t="n"/>
      <c r="B867" s="24" t="n"/>
      <c r="C867" s="19" t="n"/>
      <c r="D867" s="25" t="n"/>
      <c r="E867" s="18" t="n"/>
      <c r="F867" s="25" t="n"/>
      <c r="G867" s="18" t="n"/>
      <c r="H867" s="18" t="n"/>
      <c r="I867" s="26">
        <f>IF(OR($A867="",$F867=""),"",ROUND(IF($D867="",1,$D867)*$F867,0))</f>
        <v/>
      </c>
      <c r="J867" s="27">
        <f>IF($A867="","",IF($O867="なし","※通知一覧にない通知No",IF($P867="","",INDEX('支払先'!$C$5:$C$104,$P867)&amp;"")))</f>
        <v/>
      </c>
      <c r="K867" s="28">
        <f>IF(NOT(ISNUMBER($O867)),"",IF(ISNUMBER(INDEX('通知一覧'!$F$5:$F$204,$O867)),INDEX('通知一覧'!$F$5:$F$204,$O867),""))</f>
        <v/>
      </c>
      <c r="L867" s="29">
        <f>IF(AND(ISNUMBER($B867),ISNUMBER($K867)),$K867-$B867+1,"")</f>
        <v/>
      </c>
      <c r="M867" s="30">
        <f>IF(OR($L867="",$P867=""),"",IF(INDEX('支払先'!$M$5:$M$104,$P867)="対象外","",IF(AND($L867&gt;60,$K867&gt;=EDATE($B867,2)),"超える","")))</f>
        <v/>
      </c>
      <c r="N867" s="67" t="n"/>
      <c r="O867" s="31">
        <f>IF($A867="","",IFERROR(MATCH($A867,'通知一覧'!$B$5:$B$204,0),"なし"))</f>
        <v/>
      </c>
      <c r="P867" s="31">
        <f>IF(NOT(ISNUMBER($O867)),"",IFERROR(MATCH(INDEX('通知一覧'!$C$5:$C$204,$O867),'支払先'!$B$5:$B$104,0),""))</f>
        <v/>
      </c>
      <c r="Q867" s="31">
        <f>IF(AND($A867&lt;&gt;"",$A867='支払通知書'!$K$2),ROW(),"")</f>
        <v/>
      </c>
    </row>
    <row r="868" ht="18" customHeight="1">
      <c r="A868" s="18" t="n"/>
      <c r="B868" s="24" t="n"/>
      <c r="C868" s="19" t="n"/>
      <c r="D868" s="25" t="n"/>
      <c r="E868" s="18" t="n"/>
      <c r="F868" s="25" t="n"/>
      <c r="G868" s="18" t="n"/>
      <c r="H868" s="18" t="n"/>
      <c r="I868" s="26">
        <f>IF(OR($A868="",$F868=""),"",ROUND(IF($D868="",1,$D868)*$F868,0))</f>
        <v/>
      </c>
      <c r="J868" s="27">
        <f>IF($A868="","",IF($O868="なし","※通知一覧にない通知No",IF($P868="","",INDEX('支払先'!$C$5:$C$104,$P868)&amp;"")))</f>
        <v/>
      </c>
      <c r="K868" s="28">
        <f>IF(NOT(ISNUMBER($O868)),"",IF(ISNUMBER(INDEX('通知一覧'!$F$5:$F$204,$O868)),INDEX('通知一覧'!$F$5:$F$204,$O868),""))</f>
        <v/>
      </c>
      <c r="L868" s="29">
        <f>IF(AND(ISNUMBER($B868),ISNUMBER($K868)),$K868-$B868+1,"")</f>
        <v/>
      </c>
      <c r="M868" s="30">
        <f>IF(OR($L868="",$P868=""),"",IF(INDEX('支払先'!$M$5:$M$104,$P868)="対象外","",IF(AND($L868&gt;60,$K868&gt;=EDATE($B868,2)),"超える","")))</f>
        <v/>
      </c>
      <c r="N868" s="67" t="n"/>
      <c r="O868" s="31">
        <f>IF($A868="","",IFERROR(MATCH($A868,'通知一覧'!$B$5:$B$204,0),"なし"))</f>
        <v/>
      </c>
      <c r="P868" s="31">
        <f>IF(NOT(ISNUMBER($O868)),"",IFERROR(MATCH(INDEX('通知一覧'!$C$5:$C$204,$O868),'支払先'!$B$5:$B$104,0),""))</f>
        <v/>
      </c>
      <c r="Q868" s="31">
        <f>IF(AND($A868&lt;&gt;"",$A868='支払通知書'!$K$2),ROW(),"")</f>
        <v/>
      </c>
    </row>
    <row r="869" ht="18" customHeight="1">
      <c r="A869" s="18" t="n"/>
      <c r="B869" s="24" t="n"/>
      <c r="C869" s="19" t="n"/>
      <c r="D869" s="25" t="n"/>
      <c r="E869" s="18" t="n"/>
      <c r="F869" s="25" t="n"/>
      <c r="G869" s="18" t="n"/>
      <c r="H869" s="18" t="n"/>
      <c r="I869" s="26">
        <f>IF(OR($A869="",$F869=""),"",ROUND(IF($D869="",1,$D869)*$F869,0))</f>
        <v/>
      </c>
      <c r="J869" s="27">
        <f>IF($A869="","",IF($O869="なし","※通知一覧にない通知No",IF($P869="","",INDEX('支払先'!$C$5:$C$104,$P869)&amp;"")))</f>
        <v/>
      </c>
      <c r="K869" s="28">
        <f>IF(NOT(ISNUMBER($O869)),"",IF(ISNUMBER(INDEX('通知一覧'!$F$5:$F$204,$O869)),INDEX('通知一覧'!$F$5:$F$204,$O869),""))</f>
        <v/>
      </c>
      <c r="L869" s="29">
        <f>IF(AND(ISNUMBER($B869),ISNUMBER($K869)),$K869-$B869+1,"")</f>
        <v/>
      </c>
      <c r="M869" s="30">
        <f>IF(OR($L869="",$P869=""),"",IF(INDEX('支払先'!$M$5:$M$104,$P869)="対象外","",IF(AND($L869&gt;60,$K869&gt;=EDATE($B869,2)),"超える","")))</f>
        <v/>
      </c>
      <c r="N869" s="67" t="n"/>
      <c r="O869" s="31">
        <f>IF($A869="","",IFERROR(MATCH($A869,'通知一覧'!$B$5:$B$204,0),"なし"))</f>
        <v/>
      </c>
      <c r="P869" s="31">
        <f>IF(NOT(ISNUMBER($O869)),"",IFERROR(MATCH(INDEX('通知一覧'!$C$5:$C$204,$O869),'支払先'!$B$5:$B$104,0),""))</f>
        <v/>
      </c>
      <c r="Q869" s="31">
        <f>IF(AND($A869&lt;&gt;"",$A869='支払通知書'!$K$2),ROW(),"")</f>
        <v/>
      </c>
    </row>
    <row r="870" ht="18" customHeight="1">
      <c r="A870" s="18" t="n"/>
      <c r="B870" s="24" t="n"/>
      <c r="C870" s="19" t="n"/>
      <c r="D870" s="25" t="n"/>
      <c r="E870" s="18" t="n"/>
      <c r="F870" s="25" t="n"/>
      <c r="G870" s="18" t="n"/>
      <c r="H870" s="18" t="n"/>
      <c r="I870" s="26">
        <f>IF(OR($A870="",$F870=""),"",ROUND(IF($D870="",1,$D870)*$F870,0))</f>
        <v/>
      </c>
      <c r="J870" s="27">
        <f>IF($A870="","",IF($O870="なし","※通知一覧にない通知No",IF($P870="","",INDEX('支払先'!$C$5:$C$104,$P870)&amp;"")))</f>
        <v/>
      </c>
      <c r="K870" s="28">
        <f>IF(NOT(ISNUMBER($O870)),"",IF(ISNUMBER(INDEX('通知一覧'!$F$5:$F$204,$O870)),INDEX('通知一覧'!$F$5:$F$204,$O870),""))</f>
        <v/>
      </c>
      <c r="L870" s="29">
        <f>IF(AND(ISNUMBER($B870),ISNUMBER($K870)),$K870-$B870+1,"")</f>
        <v/>
      </c>
      <c r="M870" s="30">
        <f>IF(OR($L870="",$P870=""),"",IF(INDEX('支払先'!$M$5:$M$104,$P870)="対象外","",IF(AND($L870&gt;60,$K870&gt;=EDATE($B870,2)),"超える","")))</f>
        <v/>
      </c>
      <c r="N870" s="67" t="n"/>
      <c r="O870" s="31">
        <f>IF($A870="","",IFERROR(MATCH($A870,'通知一覧'!$B$5:$B$204,0),"なし"))</f>
        <v/>
      </c>
      <c r="P870" s="31">
        <f>IF(NOT(ISNUMBER($O870)),"",IFERROR(MATCH(INDEX('通知一覧'!$C$5:$C$204,$O870),'支払先'!$B$5:$B$104,0),""))</f>
        <v/>
      </c>
      <c r="Q870" s="31">
        <f>IF(AND($A870&lt;&gt;"",$A870='支払通知書'!$K$2),ROW(),"")</f>
        <v/>
      </c>
    </row>
    <row r="871" ht="18" customHeight="1">
      <c r="A871" s="18" t="n"/>
      <c r="B871" s="24" t="n"/>
      <c r="C871" s="19" t="n"/>
      <c r="D871" s="25" t="n"/>
      <c r="E871" s="18" t="n"/>
      <c r="F871" s="25" t="n"/>
      <c r="G871" s="18" t="n"/>
      <c r="H871" s="18" t="n"/>
      <c r="I871" s="26">
        <f>IF(OR($A871="",$F871=""),"",ROUND(IF($D871="",1,$D871)*$F871,0))</f>
        <v/>
      </c>
      <c r="J871" s="27">
        <f>IF($A871="","",IF($O871="なし","※通知一覧にない通知No",IF($P871="","",INDEX('支払先'!$C$5:$C$104,$P871)&amp;"")))</f>
        <v/>
      </c>
      <c r="K871" s="28">
        <f>IF(NOT(ISNUMBER($O871)),"",IF(ISNUMBER(INDEX('通知一覧'!$F$5:$F$204,$O871)),INDEX('通知一覧'!$F$5:$F$204,$O871),""))</f>
        <v/>
      </c>
      <c r="L871" s="29">
        <f>IF(AND(ISNUMBER($B871),ISNUMBER($K871)),$K871-$B871+1,"")</f>
        <v/>
      </c>
      <c r="M871" s="30">
        <f>IF(OR($L871="",$P871=""),"",IF(INDEX('支払先'!$M$5:$M$104,$P871)="対象外","",IF(AND($L871&gt;60,$K871&gt;=EDATE($B871,2)),"超える","")))</f>
        <v/>
      </c>
      <c r="N871" s="67" t="n"/>
      <c r="O871" s="31">
        <f>IF($A871="","",IFERROR(MATCH($A871,'通知一覧'!$B$5:$B$204,0),"なし"))</f>
        <v/>
      </c>
      <c r="P871" s="31">
        <f>IF(NOT(ISNUMBER($O871)),"",IFERROR(MATCH(INDEX('通知一覧'!$C$5:$C$204,$O871),'支払先'!$B$5:$B$104,0),""))</f>
        <v/>
      </c>
      <c r="Q871" s="31">
        <f>IF(AND($A871&lt;&gt;"",$A871='支払通知書'!$K$2),ROW(),"")</f>
        <v/>
      </c>
    </row>
    <row r="872" ht="18" customHeight="1">
      <c r="A872" s="18" t="n"/>
      <c r="B872" s="24" t="n"/>
      <c r="C872" s="19" t="n"/>
      <c r="D872" s="25" t="n"/>
      <c r="E872" s="18" t="n"/>
      <c r="F872" s="25" t="n"/>
      <c r="G872" s="18" t="n"/>
      <c r="H872" s="18" t="n"/>
      <c r="I872" s="26">
        <f>IF(OR($A872="",$F872=""),"",ROUND(IF($D872="",1,$D872)*$F872,0))</f>
        <v/>
      </c>
      <c r="J872" s="27">
        <f>IF($A872="","",IF($O872="なし","※通知一覧にない通知No",IF($P872="","",INDEX('支払先'!$C$5:$C$104,$P872)&amp;"")))</f>
        <v/>
      </c>
      <c r="K872" s="28">
        <f>IF(NOT(ISNUMBER($O872)),"",IF(ISNUMBER(INDEX('通知一覧'!$F$5:$F$204,$O872)),INDEX('通知一覧'!$F$5:$F$204,$O872),""))</f>
        <v/>
      </c>
      <c r="L872" s="29">
        <f>IF(AND(ISNUMBER($B872),ISNUMBER($K872)),$K872-$B872+1,"")</f>
        <v/>
      </c>
      <c r="M872" s="30">
        <f>IF(OR($L872="",$P872=""),"",IF(INDEX('支払先'!$M$5:$M$104,$P872)="対象外","",IF(AND($L872&gt;60,$K872&gt;=EDATE($B872,2)),"超える","")))</f>
        <v/>
      </c>
      <c r="N872" s="67" t="n"/>
      <c r="O872" s="31">
        <f>IF($A872="","",IFERROR(MATCH($A872,'通知一覧'!$B$5:$B$204,0),"なし"))</f>
        <v/>
      </c>
      <c r="P872" s="31">
        <f>IF(NOT(ISNUMBER($O872)),"",IFERROR(MATCH(INDEX('通知一覧'!$C$5:$C$204,$O872),'支払先'!$B$5:$B$104,0),""))</f>
        <v/>
      </c>
      <c r="Q872" s="31">
        <f>IF(AND($A872&lt;&gt;"",$A872='支払通知書'!$K$2),ROW(),"")</f>
        <v/>
      </c>
    </row>
    <row r="873" ht="18" customHeight="1">
      <c r="A873" s="18" t="n"/>
      <c r="B873" s="24" t="n"/>
      <c r="C873" s="19" t="n"/>
      <c r="D873" s="25" t="n"/>
      <c r="E873" s="18" t="n"/>
      <c r="F873" s="25" t="n"/>
      <c r="G873" s="18" t="n"/>
      <c r="H873" s="18" t="n"/>
      <c r="I873" s="26">
        <f>IF(OR($A873="",$F873=""),"",ROUND(IF($D873="",1,$D873)*$F873,0))</f>
        <v/>
      </c>
      <c r="J873" s="27">
        <f>IF($A873="","",IF($O873="なし","※通知一覧にない通知No",IF($P873="","",INDEX('支払先'!$C$5:$C$104,$P873)&amp;"")))</f>
        <v/>
      </c>
      <c r="K873" s="28">
        <f>IF(NOT(ISNUMBER($O873)),"",IF(ISNUMBER(INDEX('通知一覧'!$F$5:$F$204,$O873)),INDEX('通知一覧'!$F$5:$F$204,$O873),""))</f>
        <v/>
      </c>
      <c r="L873" s="29">
        <f>IF(AND(ISNUMBER($B873),ISNUMBER($K873)),$K873-$B873+1,"")</f>
        <v/>
      </c>
      <c r="M873" s="30">
        <f>IF(OR($L873="",$P873=""),"",IF(INDEX('支払先'!$M$5:$M$104,$P873)="対象外","",IF(AND($L873&gt;60,$K873&gt;=EDATE($B873,2)),"超える","")))</f>
        <v/>
      </c>
      <c r="N873" s="67" t="n"/>
      <c r="O873" s="31">
        <f>IF($A873="","",IFERROR(MATCH($A873,'通知一覧'!$B$5:$B$204,0),"なし"))</f>
        <v/>
      </c>
      <c r="P873" s="31">
        <f>IF(NOT(ISNUMBER($O873)),"",IFERROR(MATCH(INDEX('通知一覧'!$C$5:$C$204,$O873),'支払先'!$B$5:$B$104,0),""))</f>
        <v/>
      </c>
      <c r="Q873" s="31">
        <f>IF(AND($A873&lt;&gt;"",$A873='支払通知書'!$K$2),ROW(),"")</f>
        <v/>
      </c>
    </row>
    <row r="874" ht="18" customHeight="1">
      <c r="A874" s="18" t="n"/>
      <c r="B874" s="24" t="n"/>
      <c r="C874" s="19" t="n"/>
      <c r="D874" s="25" t="n"/>
      <c r="E874" s="18" t="n"/>
      <c r="F874" s="25" t="n"/>
      <c r="G874" s="18" t="n"/>
      <c r="H874" s="18" t="n"/>
      <c r="I874" s="26">
        <f>IF(OR($A874="",$F874=""),"",ROUND(IF($D874="",1,$D874)*$F874,0))</f>
        <v/>
      </c>
      <c r="J874" s="27">
        <f>IF($A874="","",IF($O874="なし","※通知一覧にない通知No",IF($P874="","",INDEX('支払先'!$C$5:$C$104,$P874)&amp;"")))</f>
        <v/>
      </c>
      <c r="K874" s="28">
        <f>IF(NOT(ISNUMBER($O874)),"",IF(ISNUMBER(INDEX('通知一覧'!$F$5:$F$204,$O874)),INDEX('通知一覧'!$F$5:$F$204,$O874),""))</f>
        <v/>
      </c>
      <c r="L874" s="29">
        <f>IF(AND(ISNUMBER($B874),ISNUMBER($K874)),$K874-$B874+1,"")</f>
        <v/>
      </c>
      <c r="M874" s="30">
        <f>IF(OR($L874="",$P874=""),"",IF(INDEX('支払先'!$M$5:$M$104,$P874)="対象外","",IF(AND($L874&gt;60,$K874&gt;=EDATE($B874,2)),"超える","")))</f>
        <v/>
      </c>
      <c r="N874" s="67" t="n"/>
      <c r="O874" s="31">
        <f>IF($A874="","",IFERROR(MATCH($A874,'通知一覧'!$B$5:$B$204,0),"なし"))</f>
        <v/>
      </c>
      <c r="P874" s="31">
        <f>IF(NOT(ISNUMBER($O874)),"",IFERROR(MATCH(INDEX('通知一覧'!$C$5:$C$204,$O874),'支払先'!$B$5:$B$104,0),""))</f>
        <v/>
      </c>
      <c r="Q874" s="31">
        <f>IF(AND($A874&lt;&gt;"",$A874='支払通知書'!$K$2),ROW(),"")</f>
        <v/>
      </c>
    </row>
    <row r="875" ht="18" customHeight="1">
      <c r="A875" s="18" t="n"/>
      <c r="B875" s="24" t="n"/>
      <c r="C875" s="19" t="n"/>
      <c r="D875" s="25" t="n"/>
      <c r="E875" s="18" t="n"/>
      <c r="F875" s="25" t="n"/>
      <c r="G875" s="18" t="n"/>
      <c r="H875" s="18" t="n"/>
      <c r="I875" s="26">
        <f>IF(OR($A875="",$F875=""),"",ROUND(IF($D875="",1,$D875)*$F875,0))</f>
        <v/>
      </c>
      <c r="J875" s="27">
        <f>IF($A875="","",IF($O875="なし","※通知一覧にない通知No",IF($P875="","",INDEX('支払先'!$C$5:$C$104,$P875)&amp;"")))</f>
        <v/>
      </c>
      <c r="K875" s="28">
        <f>IF(NOT(ISNUMBER($O875)),"",IF(ISNUMBER(INDEX('通知一覧'!$F$5:$F$204,$O875)),INDEX('通知一覧'!$F$5:$F$204,$O875),""))</f>
        <v/>
      </c>
      <c r="L875" s="29">
        <f>IF(AND(ISNUMBER($B875),ISNUMBER($K875)),$K875-$B875+1,"")</f>
        <v/>
      </c>
      <c r="M875" s="30">
        <f>IF(OR($L875="",$P875=""),"",IF(INDEX('支払先'!$M$5:$M$104,$P875)="対象外","",IF(AND($L875&gt;60,$K875&gt;=EDATE($B875,2)),"超える","")))</f>
        <v/>
      </c>
      <c r="N875" s="67" t="n"/>
      <c r="O875" s="31">
        <f>IF($A875="","",IFERROR(MATCH($A875,'通知一覧'!$B$5:$B$204,0),"なし"))</f>
        <v/>
      </c>
      <c r="P875" s="31">
        <f>IF(NOT(ISNUMBER($O875)),"",IFERROR(MATCH(INDEX('通知一覧'!$C$5:$C$204,$O875),'支払先'!$B$5:$B$104,0),""))</f>
        <v/>
      </c>
      <c r="Q875" s="31">
        <f>IF(AND($A875&lt;&gt;"",$A875='支払通知書'!$K$2),ROW(),"")</f>
        <v/>
      </c>
    </row>
    <row r="876" ht="18" customHeight="1">
      <c r="A876" s="18" t="n"/>
      <c r="B876" s="24" t="n"/>
      <c r="C876" s="19" t="n"/>
      <c r="D876" s="25" t="n"/>
      <c r="E876" s="18" t="n"/>
      <c r="F876" s="25" t="n"/>
      <c r="G876" s="18" t="n"/>
      <c r="H876" s="18" t="n"/>
      <c r="I876" s="26">
        <f>IF(OR($A876="",$F876=""),"",ROUND(IF($D876="",1,$D876)*$F876,0))</f>
        <v/>
      </c>
      <c r="J876" s="27">
        <f>IF($A876="","",IF($O876="なし","※通知一覧にない通知No",IF($P876="","",INDEX('支払先'!$C$5:$C$104,$P876)&amp;"")))</f>
        <v/>
      </c>
      <c r="K876" s="28">
        <f>IF(NOT(ISNUMBER($O876)),"",IF(ISNUMBER(INDEX('通知一覧'!$F$5:$F$204,$O876)),INDEX('通知一覧'!$F$5:$F$204,$O876),""))</f>
        <v/>
      </c>
      <c r="L876" s="29">
        <f>IF(AND(ISNUMBER($B876),ISNUMBER($K876)),$K876-$B876+1,"")</f>
        <v/>
      </c>
      <c r="M876" s="30">
        <f>IF(OR($L876="",$P876=""),"",IF(INDEX('支払先'!$M$5:$M$104,$P876)="対象外","",IF(AND($L876&gt;60,$K876&gt;=EDATE($B876,2)),"超える","")))</f>
        <v/>
      </c>
      <c r="N876" s="67" t="n"/>
      <c r="O876" s="31">
        <f>IF($A876="","",IFERROR(MATCH($A876,'通知一覧'!$B$5:$B$204,0),"なし"))</f>
        <v/>
      </c>
      <c r="P876" s="31">
        <f>IF(NOT(ISNUMBER($O876)),"",IFERROR(MATCH(INDEX('通知一覧'!$C$5:$C$204,$O876),'支払先'!$B$5:$B$104,0),""))</f>
        <v/>
      </c>
      <c r="Q876" s="31">
        <f>IF(AND($A876&lt;&gt;"",$A876='支払通知書'!$K$2),ROW(),"")</f>
        <v/>
      </c>
    </row>
    <row r="877" ht="18" customHeight="1">
      <c r="A877" s="18" t="n"/>
      <c r="B877" s="24" t="n"/>
      <c r="C877" s="19" t="n"/>
      <c r="D877" s="25" t="n"/>
      <c r="E877" s="18" t="n"/>
      <c r="F877" s="25" t="n"/>
      <c r="G877" s="18" t="n"/>
      <c r="H877" s="18" t="n"/>
      <c r="I877" s="26">
        <f>IF(OR($A877="",$F877=""),"",ROUND(IF($D877="",1,$D877)*$F877,0))</f>
        <v/>
      </c>
      <c r="J877" s="27">
        <f>IF($A877="","",IF($O877="なし","※通知一覧にない通知No",IF($P877="","",INDEX('支払先'!$C$5:$C$104,$P877)&amp;"")))</f>
        <v/>
      </c>
      <c r="K877" s="28">
        <f>IF(NOT(ISNUMBER($O877)),"",IF(ISNUMBER(INDEX('通知一覧'!$F$5:$F$204,$O877)),INDEX('通知一覧'!$F$5:$F$204,$O877),""))</f>
        <v/>
      </c>
      <c r="L877" s="29">
        <f>IF(AND(ISNUMBER($B877),ISNUMBER($K877)),$K877-$B877+1,"")</f>
        <v/>
      </c>
      <c r="M877" s="30">
        <f>IF(OR($L877="",$P877=""),"",IF(INDEX('支払先'!$M$5:$M$104,$P877)="対象外","",IF(AND($L877&gt;60,$K877&gt;=EDATE($B877,2)),"超える","")))</f>
        <v/>
      </c>
      <c r="N877" s="67" t="n"/>
      <c r="O877" s="31">
        <f>IF($A877="","",IFERROR(MATCH($A877,'通知一覧'!$B$5:$B$204,0),"なし"))</f>
        <v/>
      </c>
      <c r="P877" s="31">
        <f>IF(NOT(ISNUMBER($O877)),"",IFERROR(MATCH(INDEX('通知一覧'!$C$5:$C$204,$O877),'支払先'!$B$5:$B$104,0),""))</f>
        <v/>
      </c>
      <c r="Q877" s="31">
        <f>IF(AND($A877&lt;&gt;"",$A877='支払通知書'!$K$2),ROW(),"")</f>
        <v/>
      </c>
    </row>
    <row r="878" ht="18" customHeight="1">
      <c r="A878" s="18" t="n"/>
      <c r="B878" s="24" t="n"/>
      <c r="C878" s="19" t="n"/>
      <c r="D878" s="25" t="n"/>
      <c r="E878" s="18" t="n"/>
      <c r="F878" s="25" t="n"/>
      <c r="G878" s="18" t="n"/>
      <c r="H878" s="18" t="n"/>
      <c r="I878" s="26">
        <f>IF(OR($A878="",$F878=""),"",ROUND(IF($D878="",1,$D878)*$F878,0))</f>
        <v/>
      </c>
      <c r="J878" s="27">
        <f>IF($A878="","",IF($O878="なし","※通知一覧にない通知No",IF($P878="","",INDEX('支払先'!$C$5:$C$104,$P878)&amp;"")))</f>
        <v/>
      </c>
      <c r="K878" s="28">
        <f>IF(NOT(ISNUMBER($O878)),"",IF(ISNUMBER(INDEX('通知一覧'!$F$5:$F$204,$O878)),INDEX('通知一覧'!$F$5:$F$204,$O878),""))</f>
        <v/>
      </c>
      <c r="L878" s="29">
        <f>IF(AND(ISNUMBER($B878),ISNUMBER($K878)),$K878-$B878+1,"")</f>
        <v/>
      </c>
      <c r="M878" s="30">
        <f>IF(OR($L878="",$P878=""),"",IF(INDEX('支払先'!$M$5:$M$104,$P878)="対象外","",IF(AND($L878&gt;60,$K878&gt;=EDATE($B878,2)),"超える","")))</f>
        <v/>
      </c>
      <c r="N878" s="67" t="n"/>
      <c r="O878" s="31">
        <f>IF($A878="","",IFERROR(MATCH($A878,'通知一覧'!$B$5:$B$204,0),"なし"))</f>
        <v/>
      </c>
      <c r="P878" s="31">
        <f>IF(NOT(ISNUMBER($O878)),"",IFERROR(MATCH(INDEX('通知一覧'!$C$5:$C$204,$O878),'支払先'!$B$5:$B$104,0),""))</f>
        <v/>
      </c>
      <c r="Q878" s="31">
        <f>IF(AND($A878&lt;&gt;"",$A878='支払通知書'!$K$2),ROW(),"")</f>
        <v/>
      </c>
    </row>
    <row r="879" ht="18" customHeight="1">
      <c r="A879" s="18" t="n"/>
      <c r="B879" s="24" t="n"/>
      <c r="C879" s="19" t="n"/>
      <c r="D879" s="25" t="n"/>
      <c r="E879" s="18" t="n"/>
      <c r="F879" s="25" t="n"/>
      <c r="G879" s="18" t="n"/>
      <c r="H879" s="18" t="n"/>
      <c r="I879" s="26">
        <f>IF(OR($A879="",$F879=""),"",ROUND(IF($D879="",1,$D879)*$F879,0))</f>
        <v/>
      </c>
      <c r="J879" s="27">
        <f>IF($A879="","",IF($O879="なし","※通知一覧にない通知No",IF($P879="","",INDEX('支払先'!$C$5:$C$104,$P879)&amp;"")))</f>
        <v/>
      </c>
      <c r="K879" s="28">
        <f>IF(NOT(ISNUMBER($O879)),"",IF(ISNUMBER(INDEX('通知一覧'!$F$5:$F$204,$O879)),INDEX('通知一覧'!$F$5:$F$204,$O879),""))</f>
        <v/>
      </c>
      <c r="L879" s="29">
        <f>IF(AND(ISNUMBER($B879),ISNUMBER($K879)),$K879-$B879+1,"")</f>
        <v/>
      </c>
      <c r="M879" s="30">
        <f>IF(OR($L879="",$P879=""),"",IF(INDEX('支払先'!$M$5:$M$104,$P879)="対象外","",IF(AND($L879&gt;60,$K879&gt;=EDATE($B879,2)),"超える","")))</f>
        <v/>
      </c>
      <c r="N879" s="67" t="n"/>
      <c r="O879" s="31">
        <f>IF($A879="","",IFERROR(MATCH($A879,'通知一覧'!$B$5:$B$204,0),"なし"))</f>
        <v/>
      </c>
      <c r="P879" s="31">
        <f>IF(NOT(ISNUMBER($O879)),"",IFERROR(MATCH(INDEX('通知一覧'!$C$5:$C$204,$O879),'支払先'!$B$5:$B$104,0),""))</f>
        <v/>
      </c>
      <c r="Q879" s="31">
        <f>IF(AND($A879&lt;&gt;"",$A879='支払通知書'!$K$2),ROW(),"")</f>
        <v/>
      </c>
    </row>
    <row r="880" ht="18" customHeight="1">
      <c r="A880" s="18" t="n"/>
      <c r="B880" s="24" t="n"/>
      <c r="C880" s="19" t="n"/>
      <c r="D880" s="25" t="n"/>
      <c r="E880" s="18" t="n"/>
      <c r="F880" s="25" t="n"/>
      <c r="G880" s="18" t="n"/>
      <c r="H880" s="18" t="n"/>
      <c r="I880" s="26">
        <f>IF(OR($A880="",$F880=""),"",ROUND(IF($D880="",1,$D880)*$F880,0))</f>
        <v/>
      </c>
      <c r="J880" s="27">
        <f>IF($A880="","",IF($O880="なし","※通知一覧にない通知No",IF($P880="","",INDEX('支払先'!$C$5:$C$104,$P880)&amp;"")))</f>
        <v/>
      </c>
      <c r="K880" s="28">
        <f>IF(NOT(ISNUMBER($O880)),"",IF(ISNUMBER(INDEX('通知一覧'!$F$5:$F$204,$O880)),INDEX('通知一覧'!$F$5:$F$204,$O880),""))</f>
        <v/>
      </c>
      <c r="L880" s="29">
        <f>IF(AND(ISNUMBER($B880),ISNUMBER($K880)),$K880-$B880+1,"")</f>
        <v/>
      </c>
      <c r="M880" s="30">
        <f>IF(OR($L880="",$P880=""),"",IF(INDEX('支払先'!$M$5:$M$104,$P880)="対象外","",IF(AND($L880&gt;60,$K880&gt;=EDATE($B880,2)),"超える","")))</f>
        <v/>
      </c>
      <c r="N880" s="67" t="n"/>
      <c r="O880" s="31">
        <f>IF($A880="","",IFERROR(MATCH($A880,'通知一覧'!$B$5:$B$204,0),"なし"))</f>
        <v/>
      </c>
      <c r="P880" s="31">
        <f>IF(NOT(ISNUMBER($O880)),"",IFERROR(MATCH(INDEX('通知一覧'!$C$5:$C$204,$O880),'支払先'!$B$5:$B$104,0),""))</f>
        <v/>
      </c>
      <c r="Q880" s="31">
        <f>IF(AND($A880&lt;&gt;"",$A880='支払通知書'!$K$2),ROW(),"")</f>
        <v/>
      </c>
    </row>
    <row r="881" ht="18" customHeight="1">
      <c r="A881" s="18" t="n"/>
      <c r="B881" s="24" t="n"/>
      <c r="C881" s="19" t="n"/>
      <c r="D881" s="25" t="n"/>
      <c r="E881" s="18" t="n"/>
      <c r="F881" s="25" t="n"/>
      <c r="G881" s="18" t="n"/>
      <c r="H881" s="18" t="n"/>
      <c r="I881" s="26">
        <f>IF(OR($A881="",$F881=""),"",ROUND(IF($D881="",1,$D881)*$F881,0))</f>
        <v/>
      </c>
      <c r="J881" s="27">
        <f>IF($A881="","",IF($O881="なし","※通知一覧にない通知No",IF($P881="","",INDEX('支払先'!$C$5:$C$104,$P881)&amp;"")))</f>
        <v/>
      </c>
      <c r="K881" s="28">
        <f>IF(NOT(ISNUMBER($O881)),"",IF(ISNUMBER(INDEX('通知一覧'!$F$5:$F$204,$O881)),INDEX('通知一覧'!$F$5:$F$204,$O881),""))</f>
        <v/>
      </c>
      <c r="L881" s="29">
        <f>IF(AND(ISNUMBER($B881),ISNUMBER($K881)),$K881-$B881+1,"")</f>
        <v/>
      </c>
      <c r="M881" s="30">
        <f>IF(OR($L881="",$P881=""),"",IF(INDEX('支払先'!$M$5:$M$104,$P881)="対象外","",IF(AND($L881&gt;60,$K881&gt;=EDATE($B881,2)),"超える","")))</f>
        <v/>
      </c>
      <c r="N881" s="67" t="n"/>
      <c r="O881" s="31">
        <f>IF($A881="","",IFERROR(MATCH($A881,'通知一覧'!$B$5:$B$204,0),"なし"))</f>
        <v/>
      </c>
      <c r="P881" s="31">
        <f>IF(NOT(ISNUMBER($O881)),"",IFERROR(MATCH(INDEX('通知一覧'!$C$5:$C$204,$O881),'支払先'!$B$5:$B$104,0),""))</f>
        <v/>
      </c>
      <c r="Q881" s="31">
        <f>IF(AND($A881&lt;&gt;"",$A881='支払通知書'!$K$2),ROW(),"")</f>
        <v/>
      </c>
    </row>
    <row r="882" ht="18" customHeight="1">
      <c r="A882" s="18" t="n"/>
      <c r="B882" s="24" t="n"/>
      <c r="C882" s="19" t="n"/>
      <c r="D882" s="25" t="n"/>
      <c r="E882" s="18" t="n"/>
      <c r="F882" s="25" t="n"/>
      <c r="G882" s="18" t="n"/>
      <c r="H882" s="18" t="n"/>
      <c r="I882" s="26">
        <f>IF(OR($A882="",$F882=""),"",ROUND(IF($D882="",1,$D882)*$F882,0))</f>
        <v/>
      </c>
      <c r="J882" s="27">
        <f>IF($A882="","",IF($O882="なし","※通知一覧にない通知No",IF($P882="","",INDEX('支払先'!$C$5:$C$104,$P882)&amp;"")))</f>
        <v/>
      </c>
      <c r="K882" s="28">
        <f>IF(NOT(ISNUMBER($O882)),"",IF(ISNUMBER(INDEX('通知一覧'!$F$5:$F$204,$O882)),INDEX('通知一覧'!$F$5:$F$204,$O882),""))</f>
        <v/>
      </c>
      <c r="L882" s="29">
        <f>IF(AND(ISNUMBER($B882),ISNUMBER($K882)),$K882-$B882+1,"")</f>
        <v/>
      </c>
      <c r="M882" s="30">
        <f>IF(OR($L882="",$P882=""),"",IF(INDEX('支払先'!$M$5:$M$104,$P882)="対象外","",IF(AND($L882&gt;60,$K882&gt;=EDATE($B882,2)),"超える","")))</f>
        <v/>
      </c>
      <c r="N882" s="67" t="n"/>
      <c r="O882" s="31">
        <f>IF($A882="","",IFERROR(MATCH($A882,'通知一覧'!$B$5:$B$204,0),"なし"))</f>
        <v/>
      </c>
      <c r="P882" s="31">
        <f>IF(NOT(ISNUMBER($O882)),"",IFERROR(MATCH(INDEX('通知一覧'!$C$5:$C$204,$O882),'支払先'!$B$5:$B$104,0),""))</f>
        <v/>
      </c>
      <c r="Q882" s="31">
        <f>IF(AND($A882&lt;&gt;"",$A882='支払通知書'!$K$2),ROW(),"")</f>
        <v/>
      </c>
    </row>
    <row r="883" ht="18" customHeight="1">
      <c r="A883" s="18" t="n"/>
      <c r="B883" s="24" t="n"/>
      <c r="C883" s="19" t="n"/>
      <c r="D883" s="25" t="n"/>
      <c r="E883" s="18" t="n"/>
      <c r="F883" s="25" t="n"/>
      <c r="G883" s="18" t="n"/>
      <c r="H883" s="18" t="n"/>
      <c r="I883" s="26">
        <f>IF(OR($A883="",$F883=""),"",ROUND(IF($D883="",1,$D883)*$F883,0))</f>
        <v/>
      </c>
      <c r="J883" s="27">
        <f>IF($A883="","",IF($O883="なし","※通知一覧にない通知No",IF($P883="","",INDEX('支払先'!$C$5:$C$104,$P883)&amp;"")))</f>
        <v/>
      </c>
      <c r="K883" s="28">
        <f>IF(NOT(ISNUMBER($O883)),"",IF(ISNUMBER(INDEX('通知一覧'!$F$5:$F$204,$O883)),INDEX('通知一覧'!$F$5:$F$204,$O883),""))</f>
        <v/>
      </c>
      <c r="L883" s="29">
        <f>IF(AND(ISNUMBER($B883),ISNUMBER($K883)),$K883-$B883+1,"")</f>
        <v/>
      </c>
      <c r="M883" s="30">
        <f>IF(OR($L883="",$P883=""),"",IF(INDEX('支払先'!$M$5:$M$104,$P883)="対象外","",IF(AND($L883&gt;60,$K883&gt;=EDATE($B883,2)),"超える","")))</f>
        <v/>
      </c>
      <c r="N883" s="67" t="n"/>
      <c r="O883" s="31">
        <f>IF($A883="","",IFERROR(MATCH($A883,'通知一覧'!$B$5:$B$204,0),"なし"))</f>
        <v/>
      </c>
      <c r="P883" s="31">
        <f>IF(NOT(ISNUMBER($O883)),"",IFERROR(MATCH(INDEX('通知一覧'!$C$5:$C$204,$O883),'支払先'!$B$5:$B$104,0),""))</f>
        <v/>
      </c>
      <c r="Q883" s="31">
        <f>IF(AND($A883&lt;&gt;"",$A883='支払通知書'!$K$2),ROW(),"")</f>
        <v/>
      </c>
    </row>
    <row r="884" ht="18" customHeight="1">
      <c r="A884" s="18" t="n"/>
      <c r="B884" s="24" t="n"/>
      <c r="C884" s="19" t="n"/>
      <c r="D884" s="25" t="n"/>
      <c r="E884" s="18" t="n"/>
      <c r="F884" s="25" t="n"/>
      <c r="G884" s="18" t="n"/>
      <c r="H884" s="18" t="n"/>
      <c r="I884" s="26">
        <f>IF(OR($A884="",$F884=""),"",ROUND(IF($D884="",1,$D884)*$F884,0))</f>
        <v/>
      </c>
      <c r="J884" s="27">
        <f>IF($A884="","",IF($O884="なし","※通知一覧にない通知No",IF($P884="","",INDEX('支払先'!$C$5:$C$104,$P884)&amp;"")))</f>
        <v/>
      </c>
      <c r="K884" s="28">
        <f>IF(NOT(ISNUMBER($O884)),"",IF(ISNUMBER(INDEX('通知一覧'!$F$5:$F$204,$O884)),INDEX('通知一覧'!$F$5:$F$204,$O884),""))</f>
        <v/>
      </c>
      <c r="L884" s="29">
        <f>IF(AND(ISNUMBER($B884),ISNUMBER($K884)),$K884-$B884+1,"")</f>
        <v/>
      </c>
      <c r="M884" s="30">
        <f>IF(OR($L884="",$P884=""),"",IF(INDEX('支払先'!$M$5:$M$104,$P884)="対象外","",IF(AND($L884&gt;60,$K884&gt;=EDATE($B884,2)),"超える","")))</f>
        <v/>
      </c>
      <c r="N884" s="67" t="n"/>
      <c r="O884" s="31">
        <f>IF($A884="","",IFERROR(MATCH($A884,'通知一覧'!$B$5:$B$204,0),"なし"))</f>
        <v/>
      </c>
      <c r="P884" s="31">
        <f>IF(NOT(ISNUMBER($O884)),"",IFERROR(MATCH(INDEX('通知一覧'!$C$5:$C$204,$O884),'支払先'!$B$5:$B$104,0),""))</f>
        <v/>
      </c>
      <c r="Q884" s="31">
        <f>IF(AND($A884&lt;&gt;"",$A884='支払通知書'!$K$2),ROW(),"")</f>
        <v/>
      </c>
    </row>
    <row r="885" ht="18" customHeight="1">
      <c r="A885" s="18" t="n"/>
      <c r="B885" s="24" t="n"/>
      <c r="C885" s="19" t="n"/>
      <c r="D885" s="25" t="n"/>
      <c r="E885" s="18" t="n"/>
      <c r="F885" s="25" t="n"/>
      <c r="G885" s="18" t="n"/>
      <c r="H885" s="18" t="n"/>
      <c r="I885" s="26">
        <f>IF(OR($A885="",$F885=""),"",ROUND(IF($D885="",1,$D885)*$F885,0))</f>
        <v/>
      </c>
      <c r="J885" s="27">
        <f>IF($A885="","",IF($O885="なし","※通知一覧にない通知No",IF($P885="","",INDEX('支払先'!$C$5:$C$104,$P885)&amp;"")))</f>
        <v/>
      </c>
      <c r="K885" s="28">
        <f>IF(NOT(ISNUMBER($O885)),"",IF(ISNUMBER(INDEX('通知一覧'!$F$5:$F$204,$O885)),INDEX('通知一覧'!$F$5:$F$204,$O885),""))</f>
        <v/>
      </c>
      <c r="L885" s="29">
        <f>IF(AND(ISNUMBER($B885),ISNUMBER($K885)),$K885-$B885+1,"")</f>
        <v/>
      </c>
      <c r="M885" s="30">
        <f>IF(OR($L885="",$P885=""),"",IF(INDEX('支払先'!$M$5:$M$104,$P885)="対象外","",IF(AND($L885&gt;60,$K885&gt;=EDATE($B885,2)),"超える","")))</f>
        <v/>
      </c>
      <c r="N885" s="67" t="n"/>
      <c r="O885" s="31">
        <f>IF($A885="","",IFERROR(MATCH($A885,'通知一覧'!$B$5:$B$204,0),"なし"))</f>
        <v/>
      </c>
      <c r="P885" s="31">
        <f>IF(NOT(ISNUMBER($O885)),"",IFERROR(MATCH(INDEX('通知一覧'!$C$5:$C$204,$O885),'支払先'!$B$5:$B$104,0),""))</f>
        <v/>
      </c>
      <c r="Q885" s="31">
        <f>IF(AND($A885&lt;&gt;"",$A885='支払通知書'!$K$2),ROW(),"")</f>
        <v/>
      </c>
    </row>
    <row r="886" ht="18" customHeight="1">
      <c r="A886" s="18" t="n"/>
      <c r="B886" s="24" t="n"/>
      <c r="C886" s="19" t="n"/>
      <c r="D886" s="25" t="n"/>
      <c r="E886" s="18" t="n"/>
      <c r="F886" s="25" t="n"/>
      <c r="G886" s="18" t="n"/>
      <c r="H886" s="18" t="n"/>
      <c r="I886" s="26">
        <f>IF(OR($A886="",$F886=""),"",ROUND(IF($D886="",1,$D886)*$F886,0))</f>
        <v/>
      </c>
      <c r="J886" s="27">
        <f>IF($A886="","",IF($O886="なし","※通知一覧にない通知No",IF($P886="","",INDEX('支払先'!$C$5:$C$104,$P886)&amp;"")))</f>
        <v/>
      </c>
      <c r="K886" s="28">
        <f>IF(NOT(ISNUMBER($O886)),"",IF(ISNUMBER(INDEX('通知一覧'!$F$5:$F$204,$O886)),INDEX('通知一覧'!$F$5:$F$204,$O886),""))</f>
        <v/>
      </c>
      <c r="L886" s="29">
        <f>IF(AND(ISNUMBER($B886),ISNUMBER($K886)),$K886-$B886+1,"")</f>
        <v/>
      </c>
      <c r="M886" s="30">
        <f>IF(OR($L886="",$P886=""),"",IF(INDEX('支払先'!$M$5:$M$104,$P886)="対象外","",IF(AND($L886&gt;60,$K886&gt;=EDATE($B886,2)),"超える","")))</f>
        <v/>
      </c>
      <c r="N886" s="67" t="n"/>
      <c r="O886" s="31">
        <f>IF($A886="","",IFERROR(MATCH($A886,'通知一覧'!$B$5:$B$204,0),"なし"))</f>
        <v/>
      </c>
      <c r="P886" s="31">
        <f>IF(NOT(ISNUMBER($O886)),"",IFERROR(MATCH(INDEX('通知一覧'!$C$5:$C$204,$O886),'支払先'!$B$5:$B$104,0),""))</f>
        <v/>
      </c>
      <c r="Q886" s="31">
        <f>IF(AND($A886&lt;&gt;"",$A886='支払通知書'!$K$2),ROW(),"")</f>
        <v/>
      </c>
    </row>
    <row r="887" ht="18" customHeight="1">
      <c r="A887" s="18" t="n"/>
      <c r="B887" s="24" t="n"/>
      <c r="C887" s="19" t="n"/>
      <c r="D887" s="25" t="n"/>
      <c r="E887" s="18" t="n"/>
      <c r="F887" s="25" t="n"/>
      <c r="G887" s="18" t="n"/>
      <c r="H887" s="18" t="n"/>
      <c r="I887" s="26">
        <f>IF(OR($A887="",$F887=""),"",ROUND(IF($D887="",1,$D887)*$F887,0))</f>
        <v/>
      </c>
      <c r="J887" s="27">
        <f>IF($A887="","",IF($O887="なし","※通知一覧にない通知No",IF($P887="","",INDEX('支払先'!$C$5:$C$104,$P887)&amp;"")))</f>
        <v/>
      </c>
      <c r="K887" s="28">
        <f>IF(NOT(ISNUMBER($O887)),"",IF(ISNUMBER(INDEX('通知一覧'!$F$5:$F$204,$O887)),INDEX('通知一覧'!$F$5:$F$204,$O887),""))</f>
        <v/>
      </c>
      <c r="L887" s="29">
        <f>IF(AND(ISNUMBER($B887),ISNUMBER($K887)),$K887-$B887+1,"")</f>
        <v/>
      </c>
      <c r="M887" s="30">
        <f>IF(OR($L887="",$P887=""),"",IF(INDEX('支払先'!$M$5:$M$104,$P887)="対象外","",IF(AND($L887&gt;60,$K887&gt;=EDATE($B887,2)),"超える","")))</f>
        <v/>
      </c>
      <c r="N887" s="67" t="n"/>
      <c r="O887" s="31">
        <f>IF($A887="","",IFERROR(MATCH($A887,'通知一覧'!$B$5:$B$204,0),"なし"))</f>
        <v/>
      </c>
      <c r="P887" s="31">
        <f>IF(NOT(ISNUMBER($O887)),"",IFERROR(MATCH(INDEX('通知一覧'!$C$5:$C$204,$O887),'支払先'!$B$5:$B$104,0),""))</f>
        <v/>
      </c>
      <c r="Q887" s="31">
        <f>IF(AND($A887&lt;&gt;"",$A887='支払通知書'!$K$2),ROW(),"")</f>
        <v/>
      </c>
    </row>
    <row r="888" ht="18" customHeight="1">
      <c r="A888" s="18" t="n"/>
      <c r="B888" s="24" t="n"/>
      <c r="C888" s="19" t="n"/>
      <c r="D888" s="25" t="n"/>
      <c r="E888" s="18" t="n"/>
      <c r="F888" s="25" t="n"/>
      <c r="G888" s="18" t="n"/>
      <c r="H888" s="18" t="n"/>
      <c r="I888" s="26">
        <f>IF(OR($A888="",$F888=""),"",ROUND(IF($D888="",1,$D888)*$F888,0))</f>
        <v/>
      </c>
      <c r="J888" s="27">
        <f>IF($A888="","",IF($O888="なし","※通知一覧にない通知No",IF($P888="","",INDEX('支払先'!$C$5:$C$104,$P888)&amp;"")))</f>
        <v/>
      </c>
      <c r="K888" s="28">
        <f>IF(NOT(ISNUMBER($O888)),"",IF(ISNUMBER(INDEX('通知一覧'!$F$5:$F$204,$O888)),INDEX('通知一覧'!$F$5:$F$204,$O888),""))</f>
        <v/>
      </c>
      <c r="L888" s="29">
        <f>IF(AND(ISNUMBER($B888),ISNUMBER($K888)),$K888-$B888+1,"")</f>
        <v/>
      </c>
      <c r="M888" s="30">
        <f>IF(OR($L888="",$P888=""),"",IF(INDEX('支払先'!$M$5:$M$104,$P888)="対象外","",IF(AND($L888&gt;60,$K888&gt;=EDATE($B888,2)),"超える","")))</f>
        <v/>
      </c>
      <c r="N888" s="67" t="n"/>
      <c r="O888" s="31">
        <f>IF($A888="","",IFERROR(MATCH($A888,'通知一覧'!$B$5:$B$204,0),"なし"))</f>
        <v/>
      </c>
      <c r="P888" s="31">
        <f>IF(NOT(ISNUMBER($O888)),"",IFERROR(MATCH(INDEX('通知一覧'!$C$5:$C$204,$O888),'支払先'!$B$5:$B$104,0),""))</f>
        <v/>
      </c>
      <c r="Q888" s="31">
        <f>IF(AND($A888&lt;&gt;"",$A888='支払通知書'!$K$2),ROW(),"")</f>
        <v/>
      </c>
    </row>
    <row r="889" ht="18" customHeight="1">
      <c r="A889" s="18" t="n"/>
      <c r="B889" s="24" t="n"/>
      <c r="C889" s="19" t="n"/>
      <c r="D889" s="25" t="n"/>
      <c r="E889" s="18" t="n"/>
      <c r="F889" s="25" t="n"/>
      <c r="G889" s="18" t="n"/>
      <c r="H889" s="18" t="n"/>
      <c r="I889" s="26">
        <f>IF(OR($A889="",$F889=""),"",ROUND(IF($D889="",1,$D889)*$F889,0))</f>
        <v/>
      </c>
      <c r="J889" s="27">
        <f>IF($A889="","",IF($O889="なし","※通知一覧にない通知No",IF($P889="","",INDEX('支払先'!$C$5:$C$104,$P889)&amp;"")))</f>
        <v/>
      </c>
      <c r="K889" s="28">
        <f>IF(NOT(ISNUMBER($O889)),"",IF(ISNUMBER(INDEX('通知一覧'!$F$5:$F$204,$O889)),INDEX('通知一覧'!$F$5:$F$204,$O889),""))</f>
        <v/>
      </c>
      <c r="L889" s="29">
        <f>IF(AND(ISNUMBER($B889),ISNUMBER($K889)),$K889-$B889+1,"")</f>
        <v/>
      </c>
      <c r="M889" s="30">
        <f>IF(OR($L889="",$P889=""),"",IF(INDEX('支払先'!$M$5:$M$104,$P889)="対象外","",IF(AND($L889&gt;60,$K889&gt;=EDATE($B889,2)),"超える","")))</f>
        <v/>
      </c>
      <c r="N889" s="67" t="n"/>
      <c r="O889" s="31">
        <f>IF($A889="","",IFERROR(MATCH($A889,'通知一覧'!$B$5:$B$204,0),"なし"))</f>
        <v/>
      </c>
      <c r="P889" s="31">
        <f>IF(NOT(ISNUMBER($O889)),"",IFERROR(MATCH(INDEX('通知一覧'!$C$5:$C$204,$O889),'支払先'!$B$5:$B$104,0),""))</f>
        <v/>
      </c>
      <c r="Q889" s="31">
        <f>IF(AND($A889&lt;&gt;"",$A889='支払通知書'!$K$2),ROW(),"")</f>
        <v/>
      </c>
    </row>
    <row r="890" ht="18" customHeight="1">
      <c r="A890" s="18" t="n"/>
      <c r="B890" s="24" t="n"/>
      <c r="C890" s="19" t="n"/>
      <c r="D890" s="25" t="n"/>
      <c r="E890" s="18" t="n"/>
      <c r="F890" s="25" t="n"/>
      <c r="G890" s="18" t="n"/>
      <c r="H890" s="18" t="n"/>
      <c r="I890" s="26">
        <f>IF(OR($A890="",$F890=""),"",ROUND(IF($D890="",1,$D890)*$F890,0))</f>
        <v/>
      </c>
      <c r="J890" s="27">
        <f>IF($A890="","",IF($O890="なし","※通知一覧にない通知No",IF($P890="","",INDEX('支払先'!$C$5:$C$104,$P890)&amp;"")))</f>
        <v/>
      </c>
      <c r="K890" s="28">
        <f>IF(NOT(ISNUMBER($O890)),"",IF(ISNUMBER(INDEX('通知一覧'!$F$5:$F$204,$O890)),INDEX('通知一覧'!$F$5:$F$204,$O890),""))</f>
        <v/>
      </c>
      <c r="L890" s="29">
        <f>IF(AND(ISNUMBER($B890),ISNUMBER($K890)),$K890-$B890+1,"")</f>
        <v/>
      </c>
      <c r="M890" s="30">
        <f>IF(OR($L890="",$P890=""),"",IF(INDEX('支払先'!$M$5:$M$104,$P890)="対象外","",IF(AND($L890&gt;60,$K890&gt;=EDATE($B890,2)),"超える","")))</f>
        <v/>
      </c>
      <c r="N890" s="67" t="n"/>
      <c r="O890" s="31">
        <f>IF($A890="","",IFERROR(MATCH($A890,'通知一覧'!$B$5:$B$204,0),"なし"))</f>
        <v/>
      </c>
      <c r="P890" s="31">
        <f>IF(NOT(ISNUMBER($O890)),"",IFERROR(MATCH(INDEX('通知一覧'!$C$5:$C$204,$O890),'支払先'!$B$5:$B$104,0),""))</f>
        <v/>
      </c>
      <c r="Q890" s="31">
        <f>IF(AND($A890&lt;&gt;"",$A890='支払通知書'!$K$2),ROW(),"")</f>
        <v/>
      </c>
    </row>
    <row r="891" ht="18" customHeight="1">
      <c r="A891" s="18" t="n"/>
      <c r="B891" s="24" t="n"/>
      <c r="C891" s="19" t="n"/>
      <c r="D891" s="25" t="n"/>
      <c r="E891" s="18" t="n"/>
      <c r="F891" s="25" t="n"/>
      <c r="G891" s="18" t="n"/>
      <c r="H891" s="18" t="n"/>
      <c r="I891" s="26">
        <f>IF(OR($A891="",$F891=""),"",ROUND(IF($D891="",1,$D891)*$F891,0))</f>
        <v/>
      </c>
      <c r="J891" s="27">
        <f>IF($A891="","",IF($O891="なし","※通知一覧にない通知No",IF($P891="","",INDEX('支払先'!$C$5:$C$104,$P891)&amp;"")))</f>
        <v/>
      </c>
      <c r="K891" s="28">
        <f>IF(NOT(ISNUMBER($O891)),"",IF(ISNUMBER(INDEX('通知一覧'!$F$5:$F$204,$O891)),INDEX('通知一覧'!$F$5:$F$204,$O891),""))</f>
        <v/>
      </c>
      <c r="L891" s="29">
        <f>IF(AND(ISNUMBER($B891),ISNUMBER($K891)),$K891-$B891+1,"")</f>
        <v/>
      </c>
      <c r="M891" s="30">
        <f>IF(OR($L891="",$P891=""),"",IF(INDEX('支払先'!$M$5:$M$104,$P891)="対象外","",IF(AND($L891&gt;60,$K891&gt;=EDATE($B891,2)),"超える","")))</f>
        <v/>
      </c>
      <c r="N891" s="67" t="n"/>
      <c r="O891" s="31">
        <f>IF($A891="","",IFERROR(MATCH($A891,'通知一覧'!$B$5:$B$204,0),"なし"))</f>
        <v/>
      </c>
      <c r="P891" s="31">
        <f>IF(NOT(ISNUMBER($O891)),"",IFERROR(MATCH(INDEX('通知一覧'!$C$5:$C$204,$O891),'支払先'!$B$5:$B$104,0),""))</f>
        <v/>
      </c>
      <c r="Q891" s="31">
        <f>IF(AND($A891&lt;&gt;"",$A891='支払通知書'!$K$2),ROW(),"")</f>
        <v/>
      </c>
    </row>
    <row r="892" ht="18" customHeight="1">
      <c r="A892" s="18" t="n"/>
      <c r="B892" s="24" t="n"/>
      <c r="C892" s="19" t="n"/>
      <c r="D892" s="25" t="n"/>
      <c r="E892" s="18" t="n"/>
      <c r="F892" s="25" t="n"/>
      <c r="G892" s="18" t="n"/>
      <c r="H892" s="18" t="n"/>
      <c r="I892" s="26">
        <f>IF(OR($A892="",$F892=""),"",ROUND(IF($D892="",1,$D892)*$F892,0))</f>
        <v/>
      </c>
      <c r="J892" s="27">
        <f>IF($A892="","",IF($O892="なし","※通知一覧にない通知No",IF($P892="","",INDEX('支払先'!$C$5:$C$104,$P892)&amp;"")))</f>
        <v/>
      </c>
      <c r="K892" s="28">
        <f>IF(NOT(ISNUMBER($O892)),"",IF(ISNUMBER(INDEX('通知一覧'!$F$5:$F$204,$O892)),INDEX('通知一覧'!$F$5:$F$204,$O892),""))</f>
        <v/>
      </c>
      <c r="L892" s="29">
        <f>IF(AND(ISNUMBER($B892),ISNUMBER($K892)),$K892-$B892+1,"")</f>
        <v/>
      </c>
      <c r="M892" s="30">
        <f>IF(OR($L892="",$P892=""),"",IF(INDEX('支払先'!$M$5:$M$104,$P892)="対象外","",IF(AND($L892&gt;60,$K892&gt;=EDATE($B892,2)),"超える","")))</f>
        <v/>
      </c>
      <c r="N892" s="67" t="n"/>
      <c r="O892" s="31">
        <f>IF($A892="","",IFERROR(MATCH($A892,'通知一覧'!$B$5:$B$204,0),"なし"))</f>
        <v/>
      </c>
      <c r="P892" s="31">
        <f>IF(NOT(ISNUMBER($O892)),"",IFERROR(MATCH(INDEX('通知一覧'!$C$5:$C$204,$O892),'支払先'!$B$5:$B$104,0),""))</f>
        <v/>
      </c>
      <c r="Q892" s="31">
        <f>IF(AND($A892&lt;&gt;"",$A892='支払通知書'!$K$2),ROW(),"")</f>
        <v/>
      </c>
    </row>
    <row r="893" ht="18" customHeight="1">
      <c r="A893" s="18" t="n"/>
      <c r="B893" s="24" t="n"/>
      <c r="C893" s="19" t="n"/>
      <c r="D893" s="25" t="n"/>
      <c r="E893" s="18" t="n"/>
      <c r="F893" s="25" t="n"/>
      <c r="G893" s="18" t="n"/>
      <c r="H893" s="18" t="n"/>
      <c r="I893" s="26">
        <f>IF(OR($A893="",$F893=""),"",ROUND(IF($D893="",1,$D893)*$F893,0))</f>
        <v/>
      </c>
      <c r="J893" s="27">
        <f>IF($A893="","",IF($O893="なし","※通知一覧にない通知No",IF($P893="","",INDEX('支払先'!$C$5:$C$104,$P893)&amp;"")))</f>
        <v/>
      </c>
      <c r="K893" s="28">
        <f>IF(NOT(ISNUMBER($O893)),"",IF(ISNUMBER(INDEX('通知一覧'!$F$5:$F$204,$O893)),INDEX('通知一覧'!$F$5:$F$204,$O893),""))</f>
        <v/>
      </c>
      <c r="L893" s="29">
        <f>IF(AND(ISNUMBER($B893),ISNUMBER($K893)),$K893-$B893+1,"")</f>
        <v/>
      </c>
      <c r="M893" s="30">
        <f>IF(OR($L893="",$P893=""),"",IF(INDEX('支払先'!$M$5:$M$104,$P893)="対象外","",IF(AND($L893&gt;60,$K893&gt;=EDATE($B893,2)),"超える","")))</f>
        <v/>
      </c>
      <c r="N893" s="67" t="n"/>
      <c r="O893" s="31">
        <f>IF($A893="","",IFERROR(MATCH($A893,'通知一覧'!$B$5:$B$204,0),"なし"))</f>
        <v/>
      </c>
      <c r="P893" s="31">
        <f>IF(NOT(ISNUMBER($O893)),"",IFERROR(MATCH(INDEX('通知一覧'!$C$5:$C$204,$O893),'支払先'!$B$5:$B$104,0),""))</f>
        <v/>
      </c>
      <c r="Q893" s="31">
        <f>IF(AND($A893&lt;&gt;"",$A893='支払通知書'!$K$2),ROW(),"")</f>
        <v/>
      </c>
    </row>
    <row r="894" ht="18" customHeight="1">
      <c r="A894" s="18" t="n"/>
      <c r="B894" s="24" t="n"/>
      <c r="C894" s="19" t="n"/>
      <c r="D894" s="25" t="n"/>
      <c r="E894" s="18" t="n"/>
      <c r="F894" s="25" t="n"/>
      <c r="G894" s="18" t="n"/>
      <c r="H894" s="18" t="n"/>
      <c r="I894" s="26">
        <f>IF(OR($A894="",$F894=""),"",ROUND(IF($D894="",1,$D894)*$F894,0))</f>
        <v/>
      </c>
      <c r="J894" s="27">
        <f>IF($A894="","",IF($O894="なし","※通知一覧にない通知No",IF($P894="","",INDEX('支払先'!$C$5:$C$104,$P894)&amp;"")))</f>
        <v/>
      </c>
      <c r="K894" s="28">
        <f>IF(NOT(ISNUMBER($O894)),"",IF(ISNUMBER(INDEX('通知一覧'!$F$5:$F$204,$O894)),INDEX('通知一覧'!$F$5:$F$204,$O894),""))</f>
        <v/>
      </c>
      <c r="L894" s="29">
        <f>IF(AND(ISNUMBER($B894),ISNUMBER($K894)),$K894-$B894+1,"")</f>
        <v/>
      </c>
      <c r="M894" s="30">
        <f>IF(OR($L894="",$P894=""),"",IF(INDEX('支払先'!$M$5:$M$104,$P894)="対象外","",IF(AND($L894&gt;60,$K894&gt;=EDATE($B894,2)),"超える","")))</f>
        <v/>
      </c>
      <c r="N894" s="67" t="n"/>
      <c r="O894" s="31">
        <f>IF($A894="","",IFERROR(MATCH($A894,'通知一覧'!$B$5:$B$204,0),"なし"))</f>
        <v/>
      </c>
      <c r="P894" s="31">
        <f>IF(NOT(ISNUMBER($O894)),"",IFERROR(MATCH(INDEX('通知一覧'!$C$5:$C$204,$O894),'支払先'!$B$5:$B$104,0),""))</f>
        <v/>
      </c>
      <c r="Q894" s="31">
        <f>IF(AND($A894&lt;&gt;"",$A894='支払通知書'!$K$2),ROW(),"")</f>
        <v/>
      </c>
    </row>
    <row r="895" ht="18" customHeight="1">
      <c r="A895" s="18" t="n"/>
      <c r="B895" s="24" t="n"/>
      <c r="C895" s="19" t="n"/>
      <c r="D895" s="25" t="n"/>
      <c r="E895" s="18" t="n"/>
      <c r="F895" s="25" t="n"/>
      <c r="G895" s="18" t="n"/>
      <c r="H895" s="18" t="n"/>
      <c r="I895" s="26">
        <f>IF(OR($A895="",$F895=""),"",ROUND(IF($D895="",1,$D895)*$F895,0))</f>
        <v/>
      </c>
      <c r="J895" s="27">
        <f>IF($A895="","",IF($O895="なし","※通知一覧にない通知No",IF($P895="","",INDEX('支払先'!$C$5:$C$104,$P895)&amp;"")))</f>
        <v/>
      </c>
      <c r="K895" s="28">
        <f>IF(NOT(ISNUMBER($O895)),"",IF(ISNUMBER(INDEX('通知一覧'!$F$5:$F$204,$O895)),INDEX('通知一覧'!$F$5:$F$204,$O895),""))</f>
        <v/>
      </c>
      <c r="L895" s="29">
        <f>IF(AND(ISNUMBER($B895),ISNUMBER($K895)),$K895-$B895+1,"")</f>
        <v/>
      </c>
      <c r="M895" s="30">
        <f>IF(OR($L895="",$P895=""),"",IF(INDEX('支払先'!$M$5:$M$104,$P895)="対象外","",IF(AND($L895&gt;60,$K895&gt;=EDATE($B895,2)),"超える","")))</f>
        <v/>
      </c>
      <c r="N895" s="67" t="n"/>
      <c r="O895" s="31">
        <f>IF($A895="","",IFERROR(MATCH($A895,'通知一覧'!$B$5:$B$204,0),"なし"))</f>
        <v/>
      </c>
      <c r="P895" s="31">
        <f>IF(NOT(ISNUMBER($O895)),"",IFERROR(MATCH(INDEX('通知一覧'!$C$5:$C$204,$O895),'支払先'!$B$5:$B$104,0),""))</f>
        <v/>
      </c>
      <c r="Q895" s="31">
        <f>IF(AND($A895&lt;&gt;"",$A895='支払通知書'!$K$2),ROW(),"")</f>
        <v/>
      </c>
    </row>
    <row r="896" ht="18" customHeight="1">
      <c r="A896" s="18" t="n"/>
      <c r="B896" s="24" t="n"/>
      <c r="C896" s="19" t="n"/>
      <c r="D896" s="25" t="n"/>
      <c r="E896" s="18" t="n"/>
      <c r="F896" s="25" t="n"/>
      <c r="G896" s="18" t="n"/>
      <c r="H896" s="18" t="n"/>
      <c r="I896" s="26">
        <f>IF(OR($A896="",$F896=""),"",ROUND(IF($D896="",1,$D896)*$F896,0))</f>
        <v/>
      </c>
      <c r="J896" s="27">
        <f>IF($A896="","",IF($O896="なし","※通知一覧にない通知No",IF($P896="","",INDEX('支払先'!$C$5:$C$104,$P896)&amp;"")))</f>
        <v/>
      </c>
      <c r="K896" s="28">
        <f>IF(NOT(ISNUMBER($O896)),"",IF(ISNUMBER(INDEX('通知一覧'!$F$5:$F$204,$O896)),INDEX('通知一覧'!$F$5:$F$204,$O896),""))</f>
        <v/>
      </c>
      <c r="L896" s="29">
        <f>IF(AND(ISNUMBER($B896),ISNUMBER($K896)),$K896-$B896+1,"")</f>
        <v/>
      </c>
      <c r="M896" s="30">
        <f>IF(OR($L896="",$P896=""),"",IF(INDEX('支払先'!$M$5:$M$104,$P896)="対象外","",IF(AND($L896&gt;60,$K896&gt;=EDATE($B896,2)),"超える","")))</f>
        <v/>
      </c>
      <c r="N896" s="67" t="n"/>
      <c r="O896" s="31">
        <f>IF($A896="","",IFERROR(MATCH($A896,'通知一覧'!$B$5:$B$204,0),"なし"))</f>
        <v/>
      </c>
      <c r="P896" s="31">
        <f>IF(NOT(ISNUMBER($O896)),"",IFERROR(MATCH(INDEX('通知一覧'!$C$5:$C$204,$O896),'支払先'!$B$5:$B$104,0),""))</f>
        <v/>
      </c>
      <c r="Q896" s="31">
        <f>IF(AND($A896&lt;&gt;"",$A896='支払通知書'!$K$2),ROW(),"")</f>
        <v/>
      </c>
    </row>
    <row r="897" ht="18" customHeight="1">
      <c r="A897" s="18" t="n"/>
      <c r="B897" s="24" t="n"/>
      <c r="C897" s="19" t="n"/>
      <c r="D897" s="25" t="n"/>
      <c r="E897" s="18" t="n"/>
      <c r="F897" s="25" t="n"/>
      <c r="G897" s="18" t="n"/>
      <c r="H897" s="18" t="n"/>
      <c r="I897" s="26">
        <f>IF(OR($A897="",$F897=""),"",ROUND(IF($D897="",1,$D897)*$F897,0))</f>
        <v/>
      </c>
      <c r="J897" s="27">
        <f>IF($A897="","",IF($O897="なし","※通知一覧にない通知No",IF($P897="","",INDEX('支払先'!$C$5:$C$104,$P897)&amp;"")))</f>
        <v/>
      </c>
      <c r="K897" s="28">
        <f>IF(NOT(ISNUMBER($O897)),"",IF(ISNUMBER(INDEX('通知一覧'!$F$5:$F$204,$O897)),INDEX('通知一覧'!$F$5:$F$204,$O897),""))</f>
        <v/>
      </c>
      <c r="L897" s="29">
        <f>IF(AND(ISNUMBER($B897),ISNUMBER($K897)),$K897-$B897+1,"")</f>
        <v/>
      </c>
      <c r="M897" s="30">
        <f>IF(OR($L897="",$P897=""),"",IF(INDEX('支払先'!$M$5:$M$104,$P897)="対象外","",IF(AND($L897&gt;60,$K897&gt;=EDATE($B897,2)),"超える","")))</f>
        <v/>
      </c>
      <c r="N897" s="67" t="n"/>
      <c r="O897" s="31">
        <f>IF($A897="","",IFERROR(MATCH($A897,'通知一覧'!$B$5:$B$204,0),"なし"))</f>
        <v/>
      </c>
      <c r="P897" s="31">
        <f>IF(NOT(ISNUMBER($O897)),"",IFERROR(MATCH(INDEX('通知一覧'!$C$5:$C$204,$O897),'支払先'!$B$5:$B$104,0),""))</f>
        <v/>
      </c>
      <c r="Q897" s="31">
        <f>IF(AND($A897&lt;&gt;"",$A897='支払通知書'!$K$2),ROW(),"")</f>
        <v/>
      </c>
    </row>
    <row r="898" ht="18" customHeight="1">
      <c r="A898" s="18" t="n"/>
      <c r="B898" s="24" t="n"/>
      <c r="C898" s="19" t="n"/>
      <c r="D898" s="25" t="n"/>
      <c r="E898" s="18" t="n"/>
      <c r="F898" s="25" t="n"/>
      <c r="G898" s="18" t="n"/>
      <c r="H898" s="18" t="n"/>
      <c r="I898" s="26">
        <f>IF(OR($A898="",$F898=""),"",ROUND(IF($D898="",1,$D898)*$F898,0))</f>
        <v/>
      </c>
      <c r="J898" s="27">
        <f>IF($A898="","",IF($O898="なし","※通知一覧にない通知No",IF($P898="","",INDEX('支払先'!$C$5:$C$104,$P898)&amp;"")))</f>
        <v/>
      </c>
      <c r="K898" s="28">
        <f>IF(NOT(ISNUMBER($O898)),"",IF(ISNUMBER(INDEX('通知一覧'!$F$5:$F$204,$O898)),INDEX('通知一覧'!$F$5:$F$204,$O898),""))</f>
        <v/>
      </c>
      <c r="L898" s="29">
        <f>IF(AND(ISNUMBER($B898),ISNUMBER($K898)),$K898-$B898+1,"")</f>
        <v/>
      </c>
      <c r="M898" s="30">
        <f>IF(OR($L898="",$P898=""),"",IF(INDEX('支払先'!$M$5:$M$104,$P898)="対象外","",IF(AND($L898&gt;60,$K898&gt;=EDATE($B898,2)),"超える","")))</f>
        <v/>
      </c>
      <c r="N898" s="67" t="n"/>
      <c r="O898" s="31">
        <f>IF($A898="","",IFERROR(MATCH($A898,'通知一覧'!$B$5:$B$204,0),"なし"))</f>
        <v/>
      </c>
      <c r="P898" s="31">
        <f>IF(NOT(ISNUMBER($O898)),"",IFERROR(MATCH(INDEX('通知一覧'!$C$5:$C$204,$O898),'支払先'!$B$5:$B$104,0),""))</f>
        <v/>
      </c>
      <c r="Q898" s="31">
        <f>IF(AND($A898&lt;&gt;"",$A898='支払通知書'!$K$2),ROW(),"")</f>
        <v/>
      </c>
    </row>
    <row r="899" ht="18" customHeight="1">
      <c r="A899" s="18" t="n"/>
      <c r="B899" s="24" t="n"/>
      <c r="C899" s="19" t="n"/>
      <c r="D899" s="25" t="n"/>
      <c r="E899" s="18" t="n"/>
      <c r="F899" s="25" t="n"/>
      <c r="G899" s="18" t="n"/>
      <c r="H899" s="18" t="n"/>
      <c r="I899" s="26">
        <f>IF(OR($A899="",$F899=""),"",ROUND(IF($D899="",1,$D899)*$F899,0))</f>
        <v/>
      </c>
      <c r="J899" s="27">
        <f>IF($A899="","",IF($O899="なし","※通知一覧にない通知No",IF($P899="","",INDEX('支払先'!$C$5:$C$104,$P899)&amp;"")))</f>
        <v/>
      </c>
      <c r="K899" s="28">
        <f>IF(NOT(ISNUMBER($O899)),"",IF(ISNUMBER(INDEX('通知一覧'!$F$5:$F$204,$O899)),INDEX('通知一覧'!$F$5:$F$204,$O899),""))</f>
        <v/>
      </c>
      <c r="L899" s="29">
        <f>IF(AND(ISNUMBER($B899),ISNUMBER($K899)),$K899-$B899+1,"")</f>
        <v/>
      </c>
      <c r="M899" s="30">
        <f>IF(OR($L899="",$P899=""),"",IF(INDEX('支払先'!$M$5:$M$104,$P899)="対象外","",IF(AND($L899&gt;60,$K899&gt;=EDATE($B899,2)),"超える","")))</f>
        <v/>
      </c>
      <c r="N899" s="67" t="n"/>
      <c r="O899" s="31">
        <f>IF($A899="","",IFERROR(MATCH($A899,'通知一覧'!$B$5:$B$204,0),"なし"))</f>
        <v/>
      </c>
      <c r="P899" s="31">
        <f>IF(NOT(ISNUMBER($O899)),"",IFERROR(MATCH(INDEX('通知一覧'!$C$5:$C$204,$O899),'支払先'!$B$5:$B$104,0),""))</f>
        <v/>
      </c>
      <c r="Q899" s="31">
        <f>IF(AND($A899&lt;&gt;"",$A899='支払通知書'!$K$2),ROW(),"")</f>
        <v/>
      </c>
    </row>
    <row r="900" ht="18" customHeight="1">
      <c r="A900" s="18" t="n"/>
      <c r="B900" s="24" t="n"/>
      <c r="C900" s="19" t="n"/>
      <c r="D900" s="25" t="n"/>
      <c r="E900" s="18" t="n"/>
      <c r="F900" s="25" t="n"/>
      <c r="G900" s="18" t="n"/>
      <c r="H900" s="18" t="n"/>
      <c r="I900" s="26">
        <f>IF(OR($A900="",$F900=""),"",ROUND(IF($D900="",1,$D900)*$F900,0))</f>
        <v/>
      </c>
      <c r="J900" s="27">
        <f>IF($A900="","",IF($O900="なし","※通知一覧にない通知No",IF($P900="","",INDEX('支払先'!$C$5:$C$104,$P900)&amp;"")))</f>
        <v/>
      </c>
      <c r="K900" s="28">
        <f>IF(NOT(ISNUMBER($O900)),"",IF(ISNUMBER(INDEX('通知一覧'!$F$5:$F$204,$O900)),INDEX('通知一覧'!$F$5:$F$204,$O900),""))</f>
        <v/>
      </c>
      <c r="L900" s="29">
        <f>IF(AND(ISNUMBER($B900),ISNUMBER($K900)),$K900-$B900+1,"")</f>
        <v/>
      </c>
      <c r="M900" s="30">
        <f>IF(OR($L900="",$P900=""),"",IF(INDEX('支払先'!$M$5:$M$104,$P900)="対象外","",IF(AND($L900&gt;60,$K900&gt;=EDATE($B900,2)),"超える","")))</f>
        <v/>
      </c>
      <c r="N900" s="67" t="n"/>
      <c r="O900" s="31">
        <f>IF($A900="","",IFERROR(MATCH($A900,'通知一覧'!$B$5:$B$204,0),"なし"))</f>
        <v/>
      </c>
      <c r="P900" s="31">
        <f>IF(NOT(ISNUMBER($O900)),"",IFERROR(MATCH(INDEX('通知一覧'!$C$5:$C$204,$O900),'支払先'!$B$5:$B$104,0),""))</f>
        <v/>
      </c>
      <c r="Q900" s="31">
        <f>IF(AND($A900&lt;&gt;"",$A900='支払通知書'!$K$2),ROW(),"")</f>
        <v/>
      </c>
    </row>
    <row r="901" ht="18" customHeight="1">
      <c r="A901" s="18" t="n"/>
      <c r="B901" s="24" t="n"/>
      <c r="C901" s="19" t="n"/>
      <c r="D901" s="25" t="n"/>
      <c r="E901" s="18" t="n"/>
      <c r="F901" s="25" t="n"/>
      <c r="G901" s="18" t="n"/>
      <c r="H901" s="18" t="n"/>
      <c r="I901" s="26">
        <f>IF(OR($A901="",$F901=""),"",ROUND(IF($D901="",1,$D901)*$F901,0))</f>
        <v/>
      </c>
      <c r="J901" s="27">
        <f>IF($A901="","",IF($O901="なし","※通知一覧にない通知No",IF($P901="","",INDEX('支払先'!$C$5:$C$104,$P901)&amp;"")))</f>
        <v/>
      </c>
      <c r="K901" s="28">
        <f>IF(NOT(ISNUMBER($O901)),"",IF(ISNUMBER(INDEX('通知一覧'!$F$5:$F$204,$O901)),INDEX('通知一覧'!$F$5:$F$204,$O901),""))</f>
        <v/>
      </c>
      <c r="L901" s="29">
        <f>IF(AND(ISNUMBER($B901),ISNUMBER($K901)),$K901-$B901+1,"")</f>
        <v/>
      </c>
      <c r="M901" s="30">
        <f>IF(OR($L901="",$P901=""),"",IF(INDEX('支払先'!$M$5:$M$104,$P901)="対象外","",IF(AND($L901&gt;60,$K901&gt;=EDATE($B901,2)),"超える","")))</f>
        <v/>
      </c>
      <c r="N901" s="67" t="n"/>
      <c r="O901" s="31">
        <f>IF($A901="","",IFERROR(MATCH($A901,'通知一覧'!$B$5:$B$204,0),"なし"))</f>
        <v/>
      </c>
      <c r="P901" s="31">
        <f>IF(NOT(ISNUMBER($O901)),"",IFERROR(MATCH(INDEX('通知一覧'!$C$5:$C$204,$O901),'支払先'!$B$5:$B$104,0),""))</f>
        <v/>
      </c>
      <c r="Q901" s="31">
        <f>IF(AND($A901&lt;&gt;"",$A901='支払通知書'!$K$2),ROW(),"")</f>
        <v/>
      </c>
    </row>
    <row r="902" ht="18" customHeight="1">
      <c r="A902" s="18" t="n"/>
      <c r="B902" s="24" t="n"/>
      <c r="C902" s="19" t="n"/>
      <c r="D902" s="25" t="n"/>
      <c r="E902" s="18" t="n"/>
      <c r="F902" s="25" t="n"/>
      <c r="G902" s="18" t="n"/>
      <c r="H902" s="18" t="n"/>
      <c r="I902" s="26">
        <f>IF(OR($A902="",$F902=""),"",ROUND(IF($D902="",1,$D902)*$F902,0))</f>
        <v/>
      </c>
      <c r="J902" s="27">
        <f>IF($A902="","",IF($O902="なし","※通知一覧にない通知No",IF($P902="","",INDEX('支払先'!$C$5:$C$104,$P902)&amp;"")))</f>
        <v/>
      </c>
      <c r="K902" s="28">
        <f>IF(NOT(ISNUMBER($O902)),"",IF(ISNUMBER(INDEX('通知一覧'!$F$5:$F$204,$O902)),INDEX('通知一覧'!$F$5:$F$204,$O902),""))</f>
        <v/>
      </c>
      <c r="L902" s="29">
        <f>IF(AND(ISNUMBER($B902),ISNUMBER($K902)),$K902-$B902+1,"")</f>
        <v/>
      </c>
      <c r="M902" s="30">
        <f>IF(OR($L902="",$P902=""),"",IF(INDEX('支払先'!$M$5:$M$104,$P902)="対象外","",IF(AND($L902&gt;60,$K902&gt;=EDATE($B902,2)),"超える","")))</f>
        <v/>
      </c>
      <c r="N902" s="67" t="n"/>
      <c r="O902" s="31">
        <f>IF($A902="","",IFERROR(MATCH($A902,'通知一覧'!$B$5:$B$204,0),"なし"))</f>
        <v/>
      </c>
      <c r="P902" s="31">
        <f>IF(NOT(ISNUMBER($O902)),"",IFERROR(MATCH(INDEX('通知一覧'!$C$5:$C$204,$O902),'支払先'!$B$5:$B$104,0),""))</f>
        <v/>
      </c>
      <c r="Q902" s="31">
        <f>IF(AND($A902&lt;&gt;"",$A902='支払通知書'!$K$2),ROW(),"")</f>
        <v/>
      </c>
    </row>
    <row r="903" ht="18" customHeight="1">
      <c r="A903" s="18" t="n"/>
      <c r="B903" s="24" t="n"/>
      <c r="C903" s="19" t="n"/>
      <c r="D903" s="25" t="n"/>
      <c r="E903" s="18" t="n"/>
      <c r="F903" s="25" t="n"/>
      <c r="G903" s="18" t="n"/>
      <c r="H903" s="18" t="n"/>
      <c r="I903" s="26">
        <f>IF(OR($A903="",$F903=""),"",ROUND(IF($D903="",1,$D903)*$F903,0))</f>
        <v/>
      </c>
      <c r="J903" s="27">
        <f>IF($A903="","",IF($O903="なし","※通知一覧にない通知No",IF($P903="","",INDEX('支払先'!$C$5:$C$104,$P903)&amp;"")))</f>
        <v/>
      </c>
      <c r="K903" s="28">
        <f>IF(NOT(ISNUMBER($O903)),"",IF(ISNUMBER(INDEX('通知一覧'!$F$5:$F$204,$O903)),INDEX('通知一覧'!$F$5:$F$204,$O903),""))</f>
        <v/>
      </c>
      <c r="L903" s="29">
        <f>IF(AND(ISNUMBER($B903),ISNUMBER($K903)),$K903-$B903+1,"")</f>
        <v/>
      </c>
      <c r="M903" s="30">
        <f>IF(OR($L903="",$P903=""),"",IF(INDEX('支払先'!$M$5:$M$104,$P903)="対象外","",IF(AND($L903&gt;60,$K903&gt;=EDATE($B903,2)),"超える","")))</f>
        <v/>
      </c>
      <c r="N903" s="67" t="n"/>
      <c r="O903" s="31">
        <f>IF($A903="","",IFERROR(MATCH($A903,'通知一覧'!$B$5:$B$204,0),"なし"))</f>
        <v/>
      </c>
      <c r="P903" s="31">
        <f>IF(NOT(ISNUMBER($O903)),"",IFERROR(MATCH(INDEX('通知一覧'!$C$5:$C$204,$O903),'支払先'!$B$5:$B$104,0),""))</f>
        <v/>
      </c>
      <c r="Q903" s="31">
        <f>IF(AND($A903&lt;&gt;"",$A903='支払通知書'!$K$2),ROW(),"")</f>
        <v/>
      </c>
    </row>
    <row r="904" ht="18" customHeight="1">
      <c r="A904" s="18" t="n"/>
      <c r="B904" s="24" t="n"/>
      <c r="C904" s="19" t="n"/>
      <c r="D904" s="25" t="n"/>
      <c r="E904" s="18" t="n"/>
      <c r="F904" s="25" t="n"/>
      <c r="G904" s="18" t="n"/>
      <c r="H904" s="18" t="n"/>
      <c r="I904" s="26">
        <f>IF(OR($A904="",$F904=""),"",ROUND(IF($D904="",1,$D904)*$F904,0))</f>
        <v/>
      </c>
      <c r="J904" s="27">
        <f>IF($A904="","",IF($O904="なし","※通知一覧にない通知No",IF($P904="","",INDEX('支払先'!$C$5:$C$104,$P904)&amp;"")))</f>
        <v/>
      </c>
      <c r="K904" s="28">
        <f>IF(NOT(ISNUMBER($O904)),"",IF(ISNUMBER(INDEX('通知一覧'!$F$5:$F$204,$O904)),INDEX('通知一覧'!$F$5:$F$204,$O904),""))</f>
        <v/>
      </c>
      <c r="L904" s="29">
        <f>IF(AND(ISNUMBER($B904),ISNUMBER($K904)),$K904-$B904+1,"")</f>
        <v/>
      </c>
      <c r="M904" s="30">
        <f>IF(OR($L904="",$P904=""),"",IF(INDEX('支払先'!$M$5:$M$104,$P904)="対象外","",IF(AND($L904&gt;60,$K904&gt;=EDATE($B904,2)),"超える","")))</f>
        <v/>
      </c>
      <c r="N904" s="67" t="n"/>
      <c r="O904" s="31">
        <f>IF($A904="","",IFERROR(MATCH($A904,'通知一覧'!$B$5:$B$204,0),"なし"))</f>
        <v/>
      </c>
      <c r="P904" s="31">
        <f>IF(NOT(ISNUMBER($O904)),"",IFERROR(MATCH(INDEX('通知一覧'!$C$5:$C$204,$O904),'支払先'!$B$5:$B$104,0),""))</f>
        <v/>
      </c>
      <c r="Q904" s="31">
        <f>IF(AND($A904&lt;&gt;"",$A904='支払通知書'!$K$2),ROW(),"")</f>
        <v/>
      </c>
    </row>
    <row r="905" ht="18" customHeight="1">
      <c r="A905" s="18" t="n"/>
      <c r="B905" s="24" t="n"/>
      <c r="C905" s="19" t="n"/>
      <c r="D905" s="25" t="n"/>
      <c r="E905" s="18" t="n"/>
      <c r="F905" s="25" t="n"/>
      <c r="G905" s="18" t="n"/>
      <c r="H905" s="18" t="n"/>
      <c r="I905" s="26">
        <f>IF(OR($A905="",$F905=""),"",ROUND(IF($D905="",1,$D905)*$F905,0))</f>
        <v/>
      </c>
      <c r="J905" s="27">
        <f>IF($A905="","",IF($O905="なし","※通知一覧にない通知No",IF($P905="","",INDEX('支払先'!$C$5:$C$104,$P905)&amp;"")))</f>
        <v/>
      </c>
      <c r="K905" s="28">
        <f>IF(NOT(ISNUMBER($O905)),"",IF(ISNUMBER(INDEX('通知一覧'!$F$5:$F$204,$O905)),INDEX('通知一覧'!$F$5:$F$204,$O905),""))</f>
        <v/>
      </c>
      <c r="L905" s="29">
        <f>IF(AND(ISNUMBER($B905),ISNUMBER($K905)),$K905-$B905+1,"")</f>
        <v/>
      </c>
      <c r="M905" s="30">
        <f>IF(OR($L905="",$P905=""),"",IF(INDEX('支払先'!$M$5:$M$104,$P905)="対象外","",IF(AND($L905&gt;60,$K905&gt;=EDATE($B905,2)),"超える","")))</f>
        <v/>
      </c>
      <c r="N905" s="67" t="n"/>
      <c r="O905" s="31">
        <f>IF($A905="","",IFERROR(MATCH($A905,'通知一覧'!$B$5:$B$204,0),"なし"))</f>
        <v/>
      </c>
      <c r="P905" s="31">
        <f>IF(NOT(ISNUMBER($O905)),"",IFERROR(MATCH(INDEX('通知一覧'!$C$5:$C$204,$O905),'支払先'!$B$5:$B$104,0),""))</f>
        <v/>
      </c>
      <c r="Q905" s="31">
        <f>IF(AND($A905&lt;&gt;"",$A905='支払通知書'!$K$2),ROW(),"")</f>
        <v/>
      </c>
    </row>
    <row r="906" ht="18" customHeight="1">
      <c r="A906" s="18" t="n"/>
      <c r="B906" s="24" t="n"/>
      <c r="C906" s="19" t="n"/>
      <c r="D906" s="25" t="n"/>
      <c r="E906" s="18" t="n"/>
      <c r="F906" s="25" t="n"/>
      <c r="G906" s="18" t="n"/>
      <c r="H906" s="18" t="n"/>
      <c r="I906" s="26">
        <f>IF(OR($A906="",$F906=""),"",ROUND(IF($D906="",1,$D906)*$F906,0))</f>
        <v/>
      </c>
      <c r="J906" s="27">
        <f>IF($A906="","",IF($O906="なし","※通知一覧にない通知No",IF($P906="","",INDEX('支払先'!$C$5:$C$104,$P906)&amp;"")))</f>
        <v/>
      </c>
      <c r="K906" s="28">
        <f>IF(NOT(ISNUMBER($O906)),"",IF(ISNUMBER(INDEX('通知一覧'!$F$5:$F$204,$O906)),INDEX('通知一覧'!$F$5:$F$204,$O906),""))</f>
        <v/>
      </c>
      <c r="L906" s="29">
        <f>IF(AND(ISNUMBER($B906),ISNUMBER($K906)),$K906-$B906+1,"")</f>
        <v/>
      </c>
      <c r="M906" s="30">
        <f>IF(OR($L906="",$P906=""),"",IF(INDEX('支払先'!$M$5:$M$104,$P906)="対象外","",IF(AND($L906&gt;60,$K906&gt;=EDATE($B906,2)),"超える","")))</f>
        <v/>
      </c>
      <c r="N906" s="67" t="n"/>
      <c r="O906" s="31">
        <f>IF($A906="","",IFERROR(MATCH($A906,'通知一覧'!$B$5:$B$204,0),"なし"))</f>
        <v/>
      </c>
      <c r="P906" s="31">
        <f>IF(NOT(ISNUMBER($O906)),"",IFERROR(MATCH(INDEX('通知一覧'!$C$5:$C$204,$O906),'支払先'!$B$5:$B$104,0),""))</f>
        <v/>
      </c>
      <c r="Q906" s="31">
        <f>IF(AND($A906&lt;&gt;"",$A906='支払通知書'!$K$2),ROW(),"")</f>
        <v/>
      </c>
    </row>
    <row r="907" ht="18" customHeight="1">
      <c r="A907" s="18" t="n"/>
      <c r="B907" s="24" t="n"/>
      <c r="C907" s="19" t="n"/>
      <c r="D907" s="25" t="n"/>
      <c r="E907" s="18" t="n"/>
      <c r="F907" s="25" t="n"/>
      <c r="G907" s="18" t="n"/>
      <c r="H907" s="18" t="n"/>
      <c r="I907" s="26">
        <f>IF(OR($A907="",$F907=""),"",ROUND(IF($D907="",1,$D907)*$F907,0))</f>
        <v/>
      </c>
      <c r="J907" s="27">
        <f>IF($A907="","",IF($O907="なし","※通知一覧にない通知No",IF($P907="","",INDEX('支払先'!$C$5:$C$104,$P907)&amp;"")))</f>
        <v/>
      </c>
      <c r="K907" s="28">
        <f>IF(NOT(ISNUMBER($O907)),"",IF(ISNUMBER(INDEX('通知一覧'!$F$5:$F$204,$O907)),INDEX('通知一覧'!$F$5:$F$204,$O907),""))</f>
        <v/>
      </c>
      <c r="L907" s="29">
        <f>IF(AND(ISNUMBER($B907),ISNUMBER($K907)),$K907-$B907+1,"")</f>
        <v/>
      </c>
      <c r="M907" s="30">
        <f>IF(OR($L907="",$P907=""),"",IF(INDEX('支払先'!$M$5:$M$104,$P907)="対象外","",IF(AND($L907&gt;60,$K907&gt;=EDATE($B907,2)),"超える","")))</f>
        <v/>
      </c>
      <c r="N907" s="67" t="n"/>
      <c r="O907" s="31">
        <f>IF($A907="","",IFERROR(MATCH($A907,'通知一覧'!$B$5:$B$204,0),"なし"))</f>
        <v/>
      </c>
      <c r="P907" s="31">
        <f>IF(NOT(ISNUMBER($O907)),"",IFERROR(MATCH(INDEX('通知一覧'!$C$5:$C$204,$O907),'支払先'!$B$5:$B$104,0),""))</f>
        <v/>
      </c>
      <c r="Q907" s="31">
        <f>IF(AND($A907&lt;&gt;"",$A907='支払通知書'!$K$2),ROW(),"")</f>
        <v/>
      </c>
    </row>
    <row r="908" ht="18" customHeight="1">
      <c r="A908" s="18" t="n"/>
      <c r="B908" s="24" t="n"/>
      <c r="C908" s="19" t="n"/>
      <c r="D908" s="25" t="n"/>
      <c r="E908" s="18" t="n"/>
      <c r="F908" s="25" t="n"/>
      <c r="G908" s="18" t="n"/>
      <c r="H908" s="18" t="n"/>
      <c r="I908" s="26">
        <f>IF(OR($A908="",$F908=""),"",ROUND(IF($D908="",1,$D908)*$F908,0))</f>
        <v/>
      </c>
      <c r="J908" s="27">
        <f>IF($A908="","",IF($O908="なし","※通知一覧にない通知No",IF($P908="","",INDEX('支払先'!$C$5:$C$104,$P908)&amp;"")))</f>
        <v/>
      </c>
      <c r="K908" s="28">
        <f>IF(NOT(ISNUMBER($O908)),"",IF(ISNUMBER(INDEX('通知一覧'!$F$5:$F$204,$O908)),INDEX('通知一覧'!$F$5:$F$204,$O908),""))</f>
        <v/>
      </c>
      <c r="L908" s="29">
        <f>IF(AND(ISNUMBER($B908),ISNUMBER($K908)),$K908-$B908+1,"")</f>
        <v/>
      </c>
      <c r="M908" s="30">
        <f>IF(OR($L908="",$P908=""),"",IF(INDEX('支払先'!$M$5:$M$104,$P908)="対象外","",IF(AND($L908&gt;60,$K908&gt;=EDATE($B908,2)),"超える","")))</f>
        <v/>
      </c>
      <c r="N908" s="67" t="n"/>
      <c r="O908" s="31">
        <f>IF($A908="","",IFERROR(MATCH($A908,'通知一覧'!$B$5:$B$204,0),"なし"))</f>
        <v/>
      </c>
      <c r="P908" s="31">
        <f>IF(NOT(ISNUMBER($O908)),"",IFERROR(MATCH(INDEX('通知一覧'!$C$5:$C$204,$O908),'支払先'!$B$5:$B$104,0),""))</f>
        <v/>
      </c>
      <c r="Q908" s="31">
        <f>IF(AND($A908&lt;&gt;"",$A908='支払通知書'!$K$2),ROW(),"")</f>
        <v/>
      </c>
    </row>
    <row r="909" ht="18" customHeight="1">
      <c r="A909" s="18" t="n"/>
      <c r="B909" s="24" t="n"/>
      <c r="C909" s="19" t="n"/>
      <c r="D909" s="25" t="n"/>
      <c r="E909" s="18" t="n"/>
      <c r="F909" s="25" t="n"/>
      <c r="G909" s="18" t="n"/>
      <c r="H909" s="18" t="n"/>
      <c r="I909" s="26">
        <f>IF(OR($A909="",$F909=""),"",ROUND(IF($D909="",1,$D909)*$F909,0))</f>
        <v/>
      </c>
      <c r="J909" s="27">
        <f>IF($A909="","",IF($O909="なし","※通知一覧にない通知No",IF($P909="","",INDEX('支払先'!$C$5:$C$104,$P909)&amp;"")))</f>
        <v/>
      </c>
      <c r="K909" s="28">
        <f>IF(NOT(ISNUMBER($O909)),"",IF(ISNUMBER(INDEX('通知一覧'!$F$5:$F$204,$O909)),INDEX('通知一覧'!$F$5:$F$204,$O909),""))</f>
        <v/>
      </c>
      <c r="L909" s="29">
        <f>IF(AND(ISNUMBER($B909),ISNUMBER($K909)),$K909-$B909+1,"")</f>
        <v/>
      </c>
      <c r="M909" s="30">
        <f>IF(OR($L909="",$P909=""),"",IF(INDEX('支払先'!$M$5:$M$104,$P909)="対象外","",IF(AND($L909&gt;60,$K909&gt;=EDATE($B909,2)),"超える","")))</f>
        <v/>
      </c>
      <c r="N909" s="67" t="n"/>
      <c r="O909" s="31">
        <f>IF($A909="","",IFERROR(MATCH($A909,'通知一覧'!$B$5:$B$204,0),"なし"))</f>
        <v/>
      </c>
      <c r="P909" s="31">
        <f>IF(NOT(ISNUMBER($O909)),"",IFERROR(MATCH(INDEX('通知一覧'!$C$5:$C$204,$O909),'支払先'!$B$5:$B$104,0),""))</f>
        <v/>
      </c>
      <c r="Q909" s="31">
        <f>IF(AND($A909&lt;&gt;"",$A909='支払通知書'!$K$2),ROW(),"")</f>
        <v/>
      </c>
    </row>
    <row r="910" ht="18" customHeight="1">
      <c r="A910" s="18" t="n"/>
      <c r="B910" s="24" t="n"/>
      <c r="C910" s="19" t="n"/>
      <c r="D910" s="25" t="n"/>
      <c r="E910" s="18" t="n"/>
      <c r="F910" s="25" t="n"/>
      <c r="G910" s="18" t="n"/>
      <c r="H910" s="18" t="n"/>
      <c r="I910" s="26">
        <f>IF(OR($A910="",$F910=""),"",ROUND(IF($D910="",1,$D910)*$F910,0))</f>
        <v/>
      </c>
      <c r="J910" s="27">
        <f>IF($A910="","",IF($O910="なし","※通知一覧にない通知No",IF($P910="","",INDEX('支払先'!$C$5:$C$104,$P910)&amp;"")))</f>
        <v/>
      </c>
      <c r="K910" s="28">
        <f>IF(NOT(ISNUMBER($O910)),"",IF(ISNUMBER(INDEX('通知一覧'!$F$5:$F$204,$O910)),INDEX('通知一覧'!$F$5:$F$204,$O910),""))</f>
        <v/>
      </c>
      <c r="L910" s="29">
        <f>IF(AND(ISNUMBER($B910),ISNUMBER($K910)),$K910-$B910+1,"")</f>
        <v/>
      </c>
      <c r="M910" s="30">
        <f>IF(OR($L910="",$P910=""),"",IF(INDEX('支払先'!$M$5:$M$104,$P910)="対象外","",IF(AND($L910&gt;60,$K910&gt;=EDATE($B910,2)),"超える","")))</f>
        <v/>
      </c>
      <c r="N910" s="67" t="n"/>
      <c r="O910" s="31">
        <f>IF($A910="","",IFERROR(MATCH($A910,'通知一覧'!$B$5:$B$204,0),"なし"))</f>
        <v/>
      </c>
      <c r="P910" s="31">
        <f>IF(NOT(ISNUMBER($O910)),"",IFERROR(MATCH(INDEX('通知一覧'!$C$5:$C$204,$O910),'支払先'!$B$5:$B$104,0),""))</f>
        <v/>
      </c>
      <c r="Q910" s="31">
        <f>IF(AND($A910&lt;&gt;"",$A910='支払通知書'!$K$2),ROW(),"")</f>
        <v/>
      </c>
    </row>
    <row r="911" ht="18" customHeight="1">
      <c r="A911" s="18" t="n"/>
      <c r="B911" s="24" t="n"/>
      <c r="C911" s="19" t="n"/>
      <c r="D911" s="25" t="n"/>
      <c r="E911" s="18" t="n"/>
      <c r="F911" s="25" t="n"/>
      <c r="G911" s="18" t="n"/>
      <c r="H911" s="18" t="n"/>
      <c r="I911" s="26">
        <f>IF(OR($A911="",$F911=""),"",ROUND(IF($D911="",1,$D911)*$F911,0))</f>
        <v/>
      </c>
      <c r="J911" s="27">
        <f>IF($A911="","",IF($O911="なし","※通知一覧にない通知No",IF($P911="","",INDEX('支払先'!$C$5:$C$104,$P911)&amp;"")))</f>
        <v/>
      </c>
      <c r="K911" s="28">
        <f>IF(NOT(ISNUMBER($O911)),"",IF(ISNUMBER(INDEX('通知一覧'!$F$5:$F$204,$O911)),INDEX('通知一覧'!$F$5:$F$204,$O911),""))</f>
        <v/>
      </c>
      <c r="L911" s="29">
        <f>IF(AND(ISNUMBER($B911),ISNUMBER($K911)),$K911-$B911+1,"")</f>
        <v/>
      </c>
      <c r="M911" s="30">
        <f>IF(OR($L911="",$P911=""),"",IF(INDEX('支払先'!$M$5:$M$104,$P911)="対象外","",IF(AND($L911&gt;60,$K911&gt;=EDATE($B911,2)),"超える","")))</f>
        <v/>
      </c>
      <c r="N911" s="67" t="n"/>
      <c r="O911" s="31">
        <f>IF($A911="","",IFERROR(MATCH($A911,'通知一覧'!$B$5:$B$204,0),"なし"))</f>
        <v/>
      </c>
      <c r="P911" s="31">
        <f>IF(NOT(ISNUMBER($O911)),"",IFERROR(MATCH(INDEX('通知一覧'!$C$5:$C$204,$O911),'支払先'!$B$5:$B$104,0),""))</f>
        <v/>
      </c>
      <c r="Q911" s="31">
        <f>IF(AND($A911&lt;&gt;"",$A911='支払通知書'!$K$2),ROW(),"")</f>
        <v/>
      </c>
    </row>
    <row r="912" ht="18" customHeight="1">
      <c r="A912" s="18" t="n"/>
      <c r="B912" s="24" t="n"/>
      <c r="C912" s="19" t="n"/>
      <c r="D912" s="25" t="n"/>
      <c r="E912" s="18" t="n"/>
      <c r="F912" s="25" t="n"/>
      <c r="G912" s="18" t="n"/>
      <c r="H912" s="18" t="n"/>
      <c r="I912" s="26">
        <f>IF(OR($A912="",$F912=""),"",ROUND(IF($D912="",1,$D912)*$F912,0))</f>
        <v/>
      </c>
      <c r="J912" s="27">
        <f>IF($A912="","",IF($O912="なし","※通知一覧にない通知No",IF($P912="","",INDEX('支払先'!$C$5:$C$104,$P912)&amp;"")))</f>
        <v/>
      </c>
      <c r="K912" s="28">
        <f>IF(NOT(ISNUMBER($O912)),"",IF(ISNUMBER(INDEX('通知一覧'!$F$5:$F$204,$O912)),INDEX('通知一覧'!$F$5:$F$204,$O912),""))</f>
        <v/>
      </c>
      <c r="L912" s="29">
        <f>IF(AND(ISNUMBER($B912),ISNUMBER($K912)),$K912-$B912+1,"")</f>
        <v/>
      </c>
      <c r="M912" s="30">
        <f>IF(OR($L912="",$P912=""),"",IF(INDEX('支払先'!$M$5:$M$104,$P912)="対象外","",IF(AND($L912&gt;60,$K912&gt;=EDATE($B912,2)),"超える","")))</f>
        <v/>
      </c>
      <c r="N912" s="67" t="n"/>
      <c r="O912" s="31">
        <f>IF($A912="","",IFERROR(MATCH($A912,'通知一覧'!$B$5:$B$204,0),"なし"))</f>
        <v/>
      </c>
      <c r="P912" s="31">
        <f>IF(NOT(ISNUMBER($O912)),"",IFERROR(MATCH(INDEX('通知一覧'!$C$5:$C$204,$O912),'支払先'!$B$5:$B$104,0),""))</f>
        <v/>
      </c>
      <c r="Q912" s="31">
        <f>IF(AND($A912&lt;&gt;"",$A912='支払通知書'!$K$2),ROW(),"")</f>
        <v/>
      </c>
    </row>
    <row r="913" ht="18" customHeight="1">
      <c r="A913" s="18" t="n"/>
      <c r="B913" s="24" t="n"/>
      <c r="C913" s="19" t="n"/>
      <c r="D913" s="25" t="n"/>
      <c r="E913" s="18" t="n"/>
      <c r="F913" s="25" t="n"/>
      <c r="G913" s="18" t="n"/>
      <c r="H913" s="18" t="n"/>
      <c r="I913" s="26">
        <f>IF(OR($A913="",$F913=""),"",ROUND(IF($D913="",1,$D913)*$F913,0))</f>
        <v/>
      </c>
      <c r="J913" s="27">
        <f>IF($A913="","",IF($O913="なし","※通知一覧にない通知No",IF($P913="","",INDEX('支払先'!$C$5:$C$104,$P913)&amp;"")))</f>
        <v/>
      </c>
      <c r="K913" s="28">
        <f>IF(NOT(ISNUMBER($O913)),"",IF(ISNUMBER(INDEX('通知一覧'!$F$5:$F$204,$O913)),INDEX('通知一覧'!$F$5:$F$204,$O913),""))</f>
        <v/>
      </c>
      <c r="L913" s="29">
        <f>IF(AND(ISNUMBER($B913),ISNUMBER($K913)),$K913-$B913+1,"")</f>
        <v/>
      </c>
      <c r="M913" s="30">
        <f>IF(OR($L913="",$P913=""),"",IF(INDEX('支払先'!$M$5:$M$104,$P913)="対象外","",IF(AND($L913&gt;60,$K913&gt;=EDATE($B913,2)),"超える","")))</f>
        <v/>
      </c>
      <c r="N913" s="67" t="n"/>
      <c r="O913" s="31">
        <f>IF($A913="","",IFERROR(MATCH($A913,'通知一覧'!$B$5:$B$204,0),"なし"))</f>
        <v/>
      </c>
      <c r="P913" s="31">
        <f>IF(NOT(ISNUMBER($O913)),"",IFERROR(MATCH(INDEX('通知一覧'!$C$5:$C$204,$O913),'支払先'!$B$5:$B$104,0),""))</f>
        <v/>
      </c>
      <c r="Q913" s="31">
        <f>IF(AND($A913&lt;&gt;"",$A913='支払通知書'!$K$2),ROW(),"")</f>
        <v/>
      </c>
    </row>
    <row r="914" ht="18" customHeight="1">
      <c r="A914" s="18" t="n"/>
      <c r="B914" s="24" t="n"/>
      <c r="C914" s="19" t="n"/>
      <c r="D914" s="25" t="n"/>
      <c r="E914" s="18" t="n"/>
      <c r="F914" s="25" t="n"/>
      <c r="G914" s="18" t="n"/>
      <c r="H914" s="18" t="n"/>
      <c r="I914" s="26">
        <f>IF(OR($A914="",$F914=""),"",ROUND(IF($D914="",1,$D914)*$F914,0))</f>
        <v/>
      </c>
      <c r="J914" s="27">
        <f>IF($A914="","",IF($O914="なし","※通知一覧にない通知No",IF($P914="","",INDEX('支払先'!$C$5:$C$104,$P914)&amp;"")))</f>
        <v/>
      </c>
      <c r="K914" s="28">
        <f>IF(NOT(ISNUMBER($O914)),"",IF(ISNUMBER(INDEX('通知一覧'!$F$5:$F$204,$O914)),INDEX('通知一覧'!$F$5:$F$204,$O914),""))</f>
        <v/>
      </c>
      <c r="L914" s="29">
        <f>IF(AND(ISNUMBER($B914),ISNUMBER($K914)),$K914-$B914+1,"")</f>
        <v/>
      </c>
      <c r="M914" s="30">
        <f>IF(OR($L914="",$P914=""),"",IF(INDEX('支払先'!$M$5:$M$104,$P914)="対象外","",IF(AND($L914&gt;60,$K914&gt;=EDATE($B914,2)),"超える","")))</f>
        <v/>
      </c>
      <c r="N914" s="67" t="n"/>
      <c r="O914" s="31">
        <f>IF($A914="","",IFERROR(MATCH($A914,'通知一覧'!$B$5:$B$204,0),"なし"))</f>
        <v/>
      </c>
      <c r="P914" s="31">
        <f>IF(NOT(ISNUMBER($O914)),"",IFERROR(MATCH(INDEX('通知一覧'!$C$5:$C$204,$O914),'支払先'!$B$5:$B$104,0),""))</f>
        <v/>
      </c>
      <c r="Q914" s="31">
        <f>IF(AND($A914&lt;&gt;"",$A914='支払通知書'!$K$2),ROW(),"")</f>
        <v/>
      </c>
    </row>
    <row r="915" ht="18" customHeight="1">
      <c r="A915" s="18" t="n"/>
      <c r="B915" s="24" t="n"/>
      <c r="C915" s="19" t="n"/>
      <c r="D915" s="25" t="n"/>
      <c r="E915" s="18" t="n"/>
      <c r="F915" s="25" t="n"/>
      <c r="G915" s="18" t="n"/>
      <c r="H915" s="18" t="n"/>
      <c r="I915" s="26">
        <f>IF(OR($A915="",$F915=""),"",ROUND(IF($D915="",1,$D915)*$F915,0))</f>
        <v/>
      </c>
      <c r="J915" s="27">
        <f>IF($A915="","",IF($O915="なし","※通知一覧にない通知No",IF($P915="","",INDEX('支払先'!$C$5:$C$104,$P915)&amp;"")))</f>
        <v/>
      </c>
      <c r="K915" s="28">
        <f>IF(NOT(ISNUMBER($O915)),"",IF(ISNUMBER(INDEX('通知一覧'!$F$5:$F$204,$O915)),INDEX('通知一覧'!$F$5:$F$204,$O915),""))</f>
        <v/>
      </c>
      <c r="L915" s="29">
        <f>IF(AND(ISNUMBER($B915),ISNUMBER($K915)),$K915-$B915+1,"")</f>
        <v/>
      </c>
      <c r="M915" s="30">
        <f>IF(OR($L915="",$P915=""),"",IF(INDEX('支払先'!$M$5:$M$104,$P915)="対象外","",IF(AND($L915&gt;60,$K915&gt;=EDATE($B915,2)),"超える","")))</f>
        <v/>
      </c>
      <c r="N915" s="67" t="n"/>
      <c r="O915" s="31">
        <f>IF($A915="","",IFERROR(MATCH($A915,'通知一覧'!$B$5:$B$204,0),"なし"))</f>
        <v/>
      </c>
      <c r="P915" s="31">
        <f>IF(NOT(ISNUMBER($O915)),"",IFERROR(MATCH(INDEX('通知一覧'!$C$5:$C$204,$O915),'支払先'!$B$5:$B$104,0),""))</f>
        <v/>
      </c>
      <c r="Q915" s="31">
        <f>IF(AND($A915&lt;&gt;"",$A915='支払通知書'!$K$2),ROW(),"")</f>
        <v/>
      </c>
    </row>
    <row r="916" ht="18" customHeight="1">
      <c r="A916" s="18" t="n"/>
      <c r="B916" s="24" t="n"/>
      <c r="C916" s="19" t="n"/>
      <c r="D916" s="25" t="n"/>
      <c r="E916" s="18" t="n"/>
      <c r="F916" s="25" t="n"/>
      <c r="G916" s="18" t="n"/>
      <c r="H916" s="18" t="n"/>
      <c r="I916" s="26">
        <f>IF(OR($A916="",$F916=""),"",ROUND(IF($D916="",1,$D916)*$F916,0))</f>
        <v/>
      </c>
      <c r="J916" s="27">
        <f>IF($A916="","",IF($O916="なし","※通知一覧にない通知No",IF($P916="","",INDEX('支払先'!$C$5:$C$104,$P916)&amp;"")))</f>
        <v/>
      </c>
      <c r="K916" s="28">
        <f>IF(NOT(ISNUMBER($O916)),"",IF(ISNUMBER(INDEX('通知一覧'!$F$5:$F$204,$O916)),INDEX('通知一覧'!$F$5:$F$204,$O916),""))</f>
        <v/>
      </c>
      <c r="L916" s="29">
        <f>IF(AND(ISNUMBER($B916),ISNUMBER($K916)),$K916-$B916+1,"")</f>
        <v/>
      </c>
      <c r="M916" s="30">
        <f>IF(OR($L916="",$P916=""),"",IF(INDEX('支払先'!$M$5:$M$104,$P916)="対象外","",IF(AND($L916&gt;60,$K916&gt;=EDATE($B916,2)),"超える","")))</f>
        <v/>
      </c>
      <c r="N916" s="67" t="n"/>
      <c r="O916" s="31">
        <f>IF($A916="","",IFERROR(MATCH($A916,'通知一覧'!$B$5:$B$204,0),"なし"))</f>
        <v/>
      </c>
      <c r="P916" s="31">
        <f>IF(NOT(ISNUMBER($O916)),"",IFERROR(MATCH(INDEX('通知一覧'!$C$5:$C$204,$O916),'支払先'!$B$5:$B$104,0),""))</f>
        <v/>
      </c>
      <c r="Q916" s="31">
        <f>IF(AND($A916&lt;&gt;"",$A916='支払通知書'!$K$2),ROW(),"")</f>
        <v/>
      </c>
    </row>
    <row r="917" ht="18" customHeight="1">
      <c r="A917" s="18" t="n"/>
      <c r="B917" s="24" t="n"/>
      <c r="C917" s="19" t="n"/>
      <c r="D917" s="25" t="n"/>
      <c r="E917" s="18" t="n"/>
      <c r="F917" s="25" t="n"/>
      <c r="G917" s="18" t="n"/>
      <c r="H917" s="18" t="n"/>
      <c r="I917" s="26">
        <f>IF(OR($A917="",$F917=""),"",ROUND(IF($D917="",1,$D917)*$F917,0))</f>
        <v/>
      </c>
      <c r="J917" s="27">
        <f>IF($A917="","",IF($O917="なし","※通知一覧にない通知No",IF($P917="","",INDEX('支払先'!$C$5:$C$104,$P917)&amp;"")))</f>
        <v/>
      </c>
      <c r="K917" s="28">
        <f>IF(NOT(ISNUMBER($O917)),"",IF(ISNUMBER(INDEX('通知一覧'!$F$5:$F$204,$O917)),INDEX('通知一覧'!$F$5:$F$204,$O917),""))</f>
        <v/>
      </c>
      <c r="L917" s="29">
        <f>IF(AND(ISNUMBER($B917),ISNUMBER($K917)),$K917-$B917+1,"")</f>
        <v/>
      </c>
      <c r="M917" s="30">
        <f>IF(OR($L917="",$P917=""),"",IF(INDEX('支払先'!$M$5:$M$104,$P917)="対象外","",IF(AND($L917&gt;60,$K917&gt;=EDATE($B917,2)),"超える","")))</f>
        <v/>
      </c>
      <c r="N917" s="67" t="n"/>
      <c r="O917" s="31">
        <f>IF($A917="","",IFERROR(MATCH($A917,'通知一覧'!$B$5:$B$204,0),"なし"))</f>
        <v/>
      </c>
      <c r="P917" s="31">
        <f>IF(NOT(ISNUMBER($O917)),"",IFERROR(MATCH(INDEX('通知一覧'!$C$5:$C$204,$O917),'支払先'!$B$5:$B$104,0),""))</f>
        <v/>
      </c>
      <c r="Q917" s="31">
        <f>IF(AND($A917&lt;&gt;"",$A917='支払通知書'!$K$2),ROW(),"")</f>
        <v/>
      </c>
    </row>
    <row r="918" ht="18" customHeight="1">
      <c r="A918" s="18" t="n"/>
      <c r="B918" s="24" t="n"/>
      <c r="C918" s="19" t="n"/>
      <c r="D918" s="25" t="n"/>
      <c r="E918" s="18" t="n"/>
      <c r="F918" s="25" t="n"/>
      <c r="G918" s="18" t="n"/>
      <c r="H918" s="18" t="n"/>
      <c r="I918" s="26">
        <f>IF(OR($A918="",$F918=""),"",ROUND(IF($D918="",1,$D918)*$F918,0))</f>
        <v/>
      </c>
      <c r="J918" s="27">
        <f>IF($A918="","",IF($O918="なし","※通知一覧にない通知No",IF($P918="","",INDEX('支払先'!$C$5:$C$104,$P918)&amp;"")))</f>
        <v/>
      </c>
      <c r="K918" s="28">
        <f>IF(NOT(ISNUMBER($O918)),"",IF(ISNUMBER(INDEX('通知一覧'!$F$5:$F$204,$O918)),INDEX('通知一覧'!$F$5:$F$204,$O918),""))</f>
        <v/>
      </c>
      <c r="L918" s="29">
        <f>IF(AND(ISNUMBER($B918),ISNUMBER($K918)),$K918-$B918+1,"")</f>
        <v/>
      </c>
      <c r="M918" s="30">
        <f>IF(OR($L918="",$P918=""),"",IF(INDEX('支払先'!$M$5:$M$104,$P918)="対象外","",IF(AND($L918&gt;60,$K918&gt;=EDATE($B918,2)),"超える","")))</f>
        <v/>
      </c>
      <c r="N918" s="67" t="n"/>
      <c r="O918" s="31">
        <f>IF($A918="","",IFERROR(MATCH($A918,'通知一覧'!$B$5:$B$204,0),"なし"))</f>
        <v/>
      </c>
      <c r="P918" s="31">
        <f>IF(NOT(ISNUMBER($O918)),"",IFERROR(MATCH(INDEX('通知一覧'!$C$5:$C$204,$O918),'支払先'!$B$5:$B$104,0),""))</f>
        <v/>
      </c>
      <c r="Q918" s="31">
        <f>IF(AND($A918&lt;&gt;"",$A918='支払通知書'!$K$2),ROW(),"")</f>
        <v/>
      </c>
    </row>
    <row r="919" ht="18" customHeight="1">
      <c r="A919" s="18" t="n"/>
      <c r="B919" s="24" t="n"/>
      <c r="C919" s="19" t="n"/>
      <c r="D919" s="25" t="n"/>
      <c r="E919" s="18" t="n"/>
      <c r="F919" s="25" t="n"/>
      <c r="G919" s="18" t="n"/>
      <c r="H919" s="18" t="n"/>
      <c r="I919" s="26">
        <f>IF(OR($A919="",$F919=""),"",ROUND(IF($D919="",1,$D919)*$F919,0))</f>
        <v/>
      </c>
      <c r="J919" s="27">
        <f>IF($A919="","",IF($O919="なし","※通知一覧にない通知No",IF($P919="","",INDEX('支払先'!$C$5:$C$104,$P919)&amp;"")))</f>
        <v/>
      </c>
      <c r="K919" s="28">
        <f>IF(NOT(ISNUMBER($O919)),"",IF(ISNUMBER(INDEX('通知一覧'!$F$5:$F$204,$O919)),INDEX('通知一覧'!$F$5:$F$204,$O919),""))</f>
        <v/>
      </c>
      <c r="L919" s="29">
        <f>IF(AND(ISNUMBER($B919),ISNUMBER($K919)),$K919-$B919+1,"")</f>
        <v/>
      </c>
      <c r="M919" s="30">
        <f>IF(OR($L919="",$P919=""),"",IF(INDEX('支払先'!$M$5:$M$104,$P919)="対象外","",IF(AND($L919&gt;60,$K919&gt;=EDATE($B919,2)),"超える","")))</f>
        <v/>
      </c>
      <c r="N919" s="67" t="n"/>
      <c r="O919" s="31">
        <f>IF($A919="","",IFERROR(MATCH($A919,'通知一覧'!$B$5:$B$204,0),"なし"))</f>
        <v/>
      </c>
      <c r="P919" s="31">
        <f>IF(NOT(ISNUMBER($O919)),"",IFERROR(MATCH(INDEX('通知一覧'!$C$5:$C$204,$O919),'支払先'!$B$5:$B$104,0),""))</f>
        <v/>
      </c>
      <c r="Q919" s="31">
        <f>IF(AND($A919&lt;&gt;"",$A919='支払通知書'!$K$2),ROW(),"")</f>
        <v/>
      </c>
    </row>
    <row r="920" ht="18" customHeight="1">
      <c r="A920" s="18" t="n"/>
      <c r="B920" s="24" t="n"/>
      <c r="C920" s="19" t="n"/>
      <c r="D920" s="25" t="n"/>
      <c r="E920" s="18" t="n"/>
      <c r="F920" s="25" t="n"/>
      <c r="G920" s="18" t="n"/>
      <c r="H920" s="18" t="n"/>
      <c r="I920" s="26">
        <f>IF(OR($A920="",$F920=""),"",ROUND(IF($D920="",1,$D920)*$F920,0))</f>
        <v/>
      </c>
      <c r="J920" s="27">
        <f>IF($A920="","",IF($O920="なし","※通知一覧にない通知No",IF($P920="","",INDEX('支払先'!$C$5:$C$104,$P920)&amp;"")))</f>
        <v/>
      </c>
      <c r="K920" s="28">
        <f>IF(NOT(ISNUMBER($O920)),"",IF(ISNUMBER(INDEX('通知一覧'!$F$5:$F$204,$O920)),INDEX('通知一覧'!$F$5:$F$204,$O920),""))</f>
        <v/>
      </c>
      <c r="L920" s="29">
        <f>IF(AND(ISNUMBER($B920),ISNUMBER($K920)),$K920-$B920+1,"")</f>
        <v/>
      </c>
      <c r="M920" s="30">
        <f>IF(OR($L920="",$P920=""),"",IF(INDEX('支払先'!$M$5:$M$104,$P920)="対象外","",IF(AND($L920&gt;60,$K920&gt;=EDATE($B920,2)),"超える","")))</f>
        <v/>
      </c>
      <c r="N920" s="67" t="n"/>
      <c r="O920" s="31">
        <f>IF($A920="","",IFERROR(MATCH($A920,'通知一覧'!$B$5:$B$204,0),"なし"))</f>
        <v/>
      </c>
      <c r="P920" s="31">
        <f>IF(NOT(ISNUMBER($O920)),"",IFERROR(MATCH(INDEX('通知一覧'!$C$5:$C$204,$O920),'支払先'!$B$5:$B$104,0),""))</f>
        <v/>
      </c>
      <c r="Q920" s="31">
        <f>IF(AND($A920&lt;&gt;"",$A920='支払通知書'!$K$2),ROW(),"")</f>
        <v/>
      </c>
    </row>
    <row r="921" ht="18" customHeight="1">
      <c r="A921" s="18" t="n"/>
      <c r="B921" s="24" t="n"/>
      <c r="C921" s="19" t="n"/>
      <c r="D921" s="25" t="n"/>
      <c r="E921" s="18" t="n"/>
      <c r="F921" s="25" t="n"/>
      <c r="G921" s="18" t="n"/>
      <c r="H921" s="18" t="n"/>
      <c r="I921" s="26">
        <f>IF(OR($A921="",$F921=""),"",ROUND(IF($D921="",1,$D921)*$F921,0))</f>
        <v/>
      </c>
      <c r="J921" s="27">
        <f>IF($A921="","",IF($O921="なし","※通知一覧にない通知No",IF($P921="","",INDEX('支払先'!$C$5:$C$104,$P921)&amp;"")))</f>
        <v/>
      </c>
      <c r="K921" s="28">
        <f>IF(NOT(ISNUMBER($O921)),"",IF(ISNUMBER(INDEX('通知一覧'!$F$5:$F$204,$O921)),INDEX('通知一覧'!$F$5:$F$204,$O921),""))</f>
        <v/>
      </c>
      <c r="L921" s="29">
        <f>IF(AND(ISNUMBER($B921),ISNUMBER($K921)),$K921-$B921+1,"")</f>
        <v/>
      </c>
      <c r="M921" s="30">
        <f>IF(OR($L921="",$P921=""),"",IF(INDEX('支払先'!$M$5:$M$104,$P921)="対象外","",IF(AND($L921&gt;60,$K921&gt;=EDATE($B921,2)),"超える","")))</f>
        <v/>
      </c>
      <c r="N921" s="67" t="n"/>
      <c r="O921" s="31">
        <f>IF($A921="","",IFERROR(MATCH($A921,'通知一覧'!$B$5:$B$204,0),"なし"))</f>
        <v/>
      </c>
      <c r="P921" s="31">
        <f>IF(NOT(ISNUMBER($O921)),"",IFERROR(MATCH(INDEX('通知一覧'!$C$5:$C$204,$O921),'支払先'!$B$5:$B$104,0),""))</f>
        <v/>
      </c>
      <c r="Q921" s="31">
        <f>IF(AND($A921&lt;&gt;"",$A921='支払通知書'!$K$2),ROW(),"")</f>
        <v/>
      </c>
    </row>
    <row r="922" ht="18" customHeight="1">
      <c r="A922" s="18" t="n"/>
      <c r="B922" s="24" t="n"/>
      <c r="C922" s="19" t="n"/>
      <c r="D922" s="25" t="n"/>
      <c r="E922" s="18" t="n"/>
      <c r="F922" s="25" t="n"/>
      <c r="G922" s="18" t="n"/>
      <c r="H922" s="18" t="n"/>
      <c r="I922" s="26">
        <f>IF(OR($A922="",$F922=""),"",ROUND(IF($D922="",1,$D922)*$F922,0))</f>
        <v/>
      </c>
      <c r="J922" s="27">
        <f>IF($A922="","",IF($O922="なし","※通知一覧にない通知No",IF($P922="","",INDEX('支払先'!$C$5:$C$104,$P922)&amp;"")))</f>
        <v/>
      </c>
      <c r="K922" s="28">
        <f>IF(NOT(ISNUMBER($O922)),"",IF(ISNUMBER(INDEX('通知一覧'!$F$5:$F$204,$O922)),INDEX('通知一覧'!$F$5:$F$204,$O922),""))</f>
        <v/>
      </c>
      <c r="L922" s="29">
        <f>IF(AND(ISNUMBER($B922),ISNUMBER($K922)),$K922-$B922+1,"")</f>
        <v/>
      </c>
      <c r="M922" s="30">
        <f>IF(OR($L922="",$P922=""),"",IF(INDEX('支払先'!$M$5:$M$104,$P922)="対象外","",IF(AND($L922&gt;60,$K922&gt;=EDATE($B922,2)),"超える","")))</f>
        <v/>
      </c>
      <c r="N922" s="67" t="n"/>
      <c r="O922" s="31">
        <f>IF($A922="","",IFERROR(MATCH($A922,'通知一覧'!$B$5:$B$204,0),"なし"))</f>
        <v/>
      </c>
      <c r="P922" s="31">
        <f>IF(NOT(ISNUMBER($O922)),"",IFERROR(MATCH(INDEX('通知一覧'!$C$5:$C$204,$O922),'支払先'!$B$5:$B$104,0),""))</f>
        <v/>
      </c>
      <c r="Q922" s="31">
        <f>IF(AND($A922&lt;&gt;"",$A922='支払通知書'!$K$2),ROW(),"")</f>
        <v/>
      </c>
    </row>
    <row r="923" ht="18" customHeight="1">
      <c r="A923" s="18" t="n"/>
      <c r="B923" s="24" t="n"/>
      <c r="C923" s="19" t="n"/>
      <c r="D923" s="25" t="n"/>
      <c r="E923" s="18" t="n"/>
      <c r="F923" s="25" t="n"/>
      <c r="G923" s="18" t="n"/>
      <c r="H923" s="18" t="n"/>
      <c r="I923" s="26">
        <f>IF(OR($A923="",$F923=""),"",ROUND(IF($D923="",1,$D923)*$F923,0))</f>
        <v/>
      </c>
      <c r="J923" s="27">
        <f>IF($A923="","",IF($O923="なし","※通知一覧にない通知No",IF($P923="","",INDEX('支払先'!$C$5:$C$104,$P923)&amp;"")))</f>
        <v/>
      </c>
      <c r="K923" s="28">
        <f>IF(NOT(ISNUMBER($O923)),"",IF(ISNUMBER(INDEX('通知一覧'!$F$5:$F$204,$O923)),INDEX('通知一覧'!$F$5:$F$204,$O923),""))</f>
        <v/>
      </c>
      <c r="L923" s="29">
        <f>IF(AND(ISNUMBER($B923),ISNUMBER($K923)),$K923-$B923+1,"")</f>
        <v/>
      </c>
      <c r="M923" s="30">
        <f>IF(OR($L923="",$P923=""),"",IF(INDEX('支払先'!$M$5:$M$104,$P923)="対象外","",IF(AND($L923&gt;60,$K923&gt;=EDATE($B923,2)),"超える","")))</f>
        <v/>
      </c>
      <c r="N923" s="67" t="n"/>
      <c r="O923" s="31">
        <f>IF($A923="","",IFERROR(MATCH($A923,'通知一覧'!$B$5:$B$204,0),"なし"))</f>
        <v/>
      </c>
      <c r="P923" s="31">
        <f>IF(NOT(ISNUMBER($O923)),"",IFERROR(MATCH(INDEX('通知一覧'!$C$5:$C$204,$O923),'支払先'!$B$5:$B$104,0),""))</f>
        <v/>
      </c>
      <c r="Q923" s="31">
        <f>IF(AND($A923&lt;&gt;"",$A923='支払通知書'!$K$2),ROW(),"")</f>
        <v/>
      </c>
    </row>
    <row r="924" ht="18" customHeight="1">
      <c r="A924" s="18" t="n"/>
      <c r="B924" s="24" t="n"/>
      <c r="C924" s="19" t="n"/>
      <c r="D924" s="25" t="n"/>
      <c r="E924" s="18" t="n"/>
      <c r="F924" s="25" t="n"/>
      <c r="G924" s="18" t="n"/>
      <c r="H924" s="18" t="n"/>
      <c r="I924" s="26">
        <f>IF(OR($A924="",$F924=""),"",ROUND(IF($D924="",1,$D924)*$F924,0))</f>
        <v/>
      </c>
      <c r="J924" s="27">
        <f>IF($A924="","",IF($O924="なし","※通知一覧にない通知No",IF($P924="","",INDEX('支払先'!$C$5:$C$104,$P924)&amp;"")))</f>
        <v/>
      </c>
      <c r="K924" s="28">
        <f>IF(NOT(ISNUMBER($O924)),"",IF(ISNUMBER(INDEX('通知一覧'!$F$5:$F$204,$O924)),INDEX('通知一覧'!$F$5:$F$204,$O924),""))</f>
        <v/>
      </c>
      <c r="L924" s="29">
        <f>IF(AND(ISNUMBER($B924),ISNUMBER($K924)),$K924-$B924+1,"")</f>
        <v/>
      </c>
      <c r="M924" s="30">
        <f>IF(OR($L924="",$P924=""),"",IF(INDEX('支払先'!$M$5:$M$104,$P924)="対象外","",IF(AND($L924&gt;60,$K924&gt;=EDATE($B924,2)),"超える","")))</f>
        <v/>
      </c>
      <c r="N924" s="67" t="n"/>
      <c r="O924" s="31">
        <f>IF($A924="","",IFERROR(MATCH($A924,'通知一覧'!$B$5:$B$204,0),"なし"))</f>
        <v/>
      </c>
      <c r="P924" s="31">
        <f>IF(NOT(ISNUMBER($O924)),"",IFERROR(MATCH(INDEX('通知一覧'!$C$5:$C$204,$O924),'支払先'!$B$5:$B$104,0),""))</f>
        <v/>
      </c>
      <c r="Q924" s="31">
        <f>IF(AND($A924&lt;&gt;"",$A924='支払通知書'!$K$2),ROW(),"")</f>
        <v/>
      </c>
    </row>
    <row r="925" ht="18" customHeight="1">
      <c r="A925" s="18" t="n"/>
      <c r="B925" s="24" t="n"/>
      <c r="C925" s="19" t="n"/>
      <c r="D925" s="25" t="n"/>
      <c r="E925" s="18" t="n"/>
      <c r="F925" s="25" t="n"/>
      <c r="G925" s="18" t="n"/>
      <c r="H925" s="18" t="n"/>
      <c r="I925" s="26">
        <f>IF(OR($A925="",$F925=""),"",ROUND(IF($D925="",1,$D925)*$F925,0))</f>
        <v/>
      </c>
      <c r="J925" s="27">
        <f>IF($A925="","",IF($O925="なし","※通知一覧にない通知No",IF($P925="","",INDEX('支払先'!$C$5:$C$104,$P925)&amp;"")))</f>
        <v/>
      </c>
      <c r="K925" s="28">
        <f>IF(NOT(ISNUMBER($O925)),"",IF(ISNUMBER(INDEX('通知一覧'!$F$5:$F$204,$O925)),INDEX('通知一覧'!$F$5:$F$204,$O925),""))</f>
        <v/>
      </c>
      <c r="L925" s="29">
        <f>IF(AND(ISNUMBER($B925),ISNUMBER($K925)),$K925-$B925+1,"")</f>
        <v/>
      </c>
      <c r="M925" s="30">
        <f>IF(OR($L925="",$P925=""),"",IF(INDEX('支払先'!$M$5:$M$104,$P925)="対象外","",IF(AND($L925&gt;60,$K925&gt;=EDATE($B925,2)),"超える","")))</f>
        <v/>
      </c>
      <c r="N925" s="67" t="n"/>
      <c r="O925" s="31">
        <f>IF($A925="","",IFERROR(MATCH($A925,'通知一覧'!$B$5:$B$204,0),"なし"))</f>
        <v/>
      </c>
      <c r="P925" s="31">
        <f>IF(NOT(ISNUMBER($O925)),"",IFERROR(MATCH(INDEX('通知一覧'!$C$5:$C$204,$O925),'支払先'!$B$5:$B$104,0),""))</f>
        <v/>
      </c>
      <c r="Q925" s="31">
        <f>IF(AND($A925&lt;&gt;"",$A925='支払通知書'!$K$2),ROW(),"")</f>
        <v/>
      </c>
    </row>
    <row r="926" ht="18" customHeight="1">
      <c r="A926" s="18" t="n"/>
      <c r="B926" s="24" t="n"/>
      <c r="C926" s="19" t="n"/>
      <c r="D926" s="25" t="n"/>
      <c r="E926" s="18" t="n"/>
      <c r="F926" s="25" t="n"/>
      <c r="G926" s="18" t="n"/>
      <c r="H926" s="18" t="n"/>
      <c r="I926" s="26">
        <f>IF(OR($A926="",$F926=""),"",ROUND(IF($D926="",1,$D926)*$F926,0))</f>
        <v/>
      </c>
      <c r="J926" s="27">
        <f>IF($A926="","",IF($O926="なし","※通知一覧にない通知No",IF($P926="","",INDEX('支払先'!$C$5:$C$104,$P926)&amp;"")))</f>
        <v/>
      </c>
      <c r="K926" s="28">
        <f>IF(NOT(ISNUMBER($O926)),"",IF(ISNUMBER(INDEX('通知一覧'!$F$5:$F$204,$O926)),INDEX('通知一覧'!$F$5:$F$204,$O926),""))</f>
        <v/>
      </c>
      <c r="L926" s="29">
        <f>IF(AND(ISNUMBER($B926),ISNUMBER($K926)),$K926-$B926+1,"")</f>
        <v/>
      </c>
      <c r="M926" s="30">
        <f>IF(OR($L926="",$P926=""),"",IF(INDEX('支払先'!$M$5:$M$104,$P926)="対象外","",IF(AND($L926&gt;60,$K926&gt;=EDATE($B926,2)),"超える","")))</f>
        <v/>
      </c>
      <c r="N926" s="67" t="n"/>
      <c r="O926" s="31">
        <f>IF($A926="","",IFERROR(MATCH($A926,'通知一覧'!$B$5:$B$204,0),"なし"))</f>
        <v/>
      </c>
      <c r="P926" s="31">
        <f>IF(NOT(ISNUMBER($O926)),"",IFERROR(MATCH(INDEX('通知一覧'!$C$5:$C$204,$O926),'支払先'!$B$5:$B$104,0),""))</f>
        <v/>
      </c>
      <c r="Q926" s="31">
        <f>IF(AND($A926&lt;&gt;"",$A926='支払通知書'!$K$2),ROW(),"")</f>
        <v/>
      </c>
    </row>
    <row r="927" ht="18" customHeight="1">
      <c r="A927" s="18" t="n"/>
      <c r="B927" s="24" t="n"/>
      <c r="C927" s="19" t="n"/>
      <c r="D927" s="25" t="n"/>
      <c r="E927" s="18" t="n"/>
      <c r="F927" s="25" t="n"/>
      <c r="G927" s="18" t="n"/>
      <c r="H927" s="18" t="n"/>
      <c r="I927" s="26">
        <f>IF(OR($A927="",$F927=""),"",ROUND(IF($D927="",1,$D927)*$F927,0))</f>
        <v/>
      </c>
      <c r="J927" s="27">
        <f>IF($A927="","",IF($O927="なし","※通知一覧にない通知No",IF($P927="","",INDEX('支払先'!$C$5:$C$104,$P927)&amp;"")))</f>
        <v/>
      </c>
      <c r="K927" s="28">
        <f>IF(NOT(ISNUMBER($O927)),"",IF(ISNUMBER(INDEX('通知一覧'!$F$5:$F$204,$O927)),INDEX('通知一覧'!$F$5:$F$204,$O927),""))</f>
        <v/>
      </c>
      <c r="L927" s="29">
        <f>IF(AND(ISNUMBER($B927),ISNUMBER($K927)),$K927-$B927+1,"")</f>
        <v/>
      </c>
      <c r="M927" s="30">
        <f>IF(OR($L927="",$P927=""),"",IF(INDEX('支払先'!$M$5:$M$104,$P927)="対象外","",IF(AND($L927&gt;60,$K927&gt;=EDATE($B927,2)),"超える","")))</f>
        <v/>
      </c>
      <c r="N927" s="67" t="n"/>
      <c r="O927" s="31">
        <f>IF($A927="","",IFERROR(MATCH($A927,'通知一覧'!$B$5:$B$204,0),"なし"))</f>
        <v/>
      </c>
      <c r="P927" s="31">
        <f>IF(NOT(ISNUMBER($O927)),"",IFERROR(MATCH(INDEX('通知一覧'!$C$5:$C$204,$O927),'支払先'!$B$5:$B$104,0),""))</f>
        <v/>
      </c>
      <c r="Q927" s="31">
        <f>IF(AND($A927&lt;&gt;"",$A927='支払通知書'!$K$2),ROW(),"")</f>
        <v/>
      </c>
    </row>
    <row r="928" ht="18" customHeight="1">
      <c r="A928" s="18" t="n"/>
      <c r="B928" s="24" t="n"/>
      <c r="C928" s="19" t="n"/>
      <c r="D928" s="25" t="n"/>
      <c r="E928" s="18" t="n"/>
      <c r="F928" s="25" t="n"/>
      <c r="G928" s="18" t="n"/>
      <c r="H928" s="18" t="n"/>
      <c r="I928" s="26">
        <f>IF(OR($A928="",$F928=""),"",ROUND(IF($D928="",1,$D928)*$F928,0))</f>
        <v/>
      </c>
      <c r="J928" s="27">
        <f>IF($A928="","",IF($O928="なし","※通知一覧にない通知No",IF($P928="","",INDEX('支払先'!$C$5:$C$104,$P928)&amp;"")))</f>
        <v/>
      </c>
      <c r="K928" s="28">
        <f>IF(NOT(ISNUMBER($O928)),"",IF(ISNUMBER(INDEX('通知一覧'!$F$5:$F$204,$O928)),INDEX('通知一覧'!$F$5:$F$204,$O928),""))</f>
        <v/>
      </c>
      <c r="L928" s="29">
        <f>IF(AND(ISNUMBER($B928),ISNUMBER($K928)),$K928-$B928+1,"")</f>
        <v/>
      </c>
      <c r="M928" s="30">
        <f>IF(OR($L928="",$P928=""),"",IF(INDEX('支払先'!$M$5:$M$104,$P928)="対象外","",IF(AND($L928&gt;60,$K928&gt;=EDATE($B928,2)),"超える","")))</f>
        <v/>
      </c>
      <c r="N928" s="67" t="n"/>
      <c r="O928" s="31">
        <f>IF($A928="","",IFERROR(MATCH($A928,'通知一覧'!$B$5:$B$204,0),"なし"))</f>
        <v/>
      </c>
      <c r="P928" s="31">
        <f>IF(NOT(ISNUMBER($O928)),"",IFERROR(MATCH(INDEX('通知一覧'!$C$5:$C$204,$O928),'支払先'!$B$5:$B$104,0),""))</f>
        <v/>
      </c>
      <c r="Q928" s="31">
        <f>IF(AND($A928&lt;&gt;"",$A928='支払通知書'!$K$2),ROW(),"")</f>
        <v/>
      </c>
    </row>
    <row r="929" ht="18" customHeight="1">
      <c r="A929" s="18" t="n"/>
      <c r="B929" s="24" t="n"/>
      <c r="C929" s="19" t="n"/>
      <c r="D929" s="25" t="n"/>
      <c r="E929" s="18" t="n"/>
      <c r="F929" s="25" t="n"/>
      <c r="G929" s="18" t="n"/>
      <c r="H929" s="18" t="n"/>
      <c r="I929" s="26">
        <f>IF(OR($A929="",$F929=""),"",ROUND(IF($D929="",1,$D929)*$F929,0))</f>
        <v/>
      </c>
      <c r="J929" s="27">
        <f>IF($A929="","",IF($O929="なし","※通知一覧にない通知No",IF($P929="","",INDEX('支払先'!$C$5:$C$104,$P929)&amp;"")))</f>
        <v/>
      </c>
      <c r="K929" s="28">
        <f>IF(NOT(ISNUMBER($O929)),"",IF(ISNUMBER(INDEX('通知一覧'!$F$5:$F$204,$O929)),INDEX('通知一覧'!$F$5:$F$204,$O929),""))</f>
        <v/>
      </c>
      <c r="L929" s="29">
        <f>IF(AND(ISNUMBER($B929),ISNUMBER($K929)),$K929-$B929+1,"")</f>
        <v/>
      </c>
      <c r="M929" s="30">
        <f>IF(OR($L929="",$P929=""),"",IF(INDEX('支払先'!$M$5:$M$104,$P929)="対象外","",IF(AND($L929&gt;60,$K929&gt;=EDATE($B929,2)),"超える","")))</f>
        <v/>
      </c>
      <c r="N929" s="67" t="n"/>
      <c r="O929" s="31">
        <f>IF($A929="","",IFERROR(MATCH($A929,'通知一覧'!$B$5:$B$204,0),"なし"))</f>
        <v/>
      </c>
      <c r="P929" s="31">
        <f>IF(NOT(ISNUMBER($O929)),"",IFERROR(MATCH(INDEX('通知一覧'!$C$5:$C$204,$O929),'支払先'!$B$5:$B$104,0),""))</f>
        <v/>
      </c>
      <c r="Q929" s="31">
        <f>IF(AND($A929&lt;&gt;"",$A929='支払通知書'!$K$2),ROW(),"")</f>
        <v/>
      </c>
    </row>
    <row r="930" ht="18" customHeight="1">
      <c r="A930" s="18" t="n"/>
      <c r="B930" s="24" t="n"/>
      <c r="C930" s="19" t="n"/>
      <c r="D930" s="25" t="n"/>
      <c r="E930" s="18" t="n"/>
      <c r="F930" s="25" t="n"/>
      <c r="G930" s="18" t="n"/>
      <c r="H930" s="18" t="n"/>
      <c r="I930" s="26">
        <f>IF(OR($A930="",$F930=""),"",ROUND(IF($D930="",1,$D930)*$F930,0))</f>
        <v/>
      </c>
      <c r="J930" s="27">
        <f>IF($A930="","",IF($O930="なし","※通知一覧にない通知No",IF($P930="","",INDEX('支払先'!$C$5:$C$104,$P930)&amp;"")))</f>
        <v/>
      </c>
      <c r="K930" s="28">
        <f>IF(NOT(ISNUMBER($O930)),"",IF(ISNUMBER(INDEX('通知一覧'!$F$5:$F$204,$O930)),INDEX('通知一覧'!$F$5:$F$204,$O930),""))</f>
        <v/>
      </c>
      <c r="L930" s="29">
        <f>IF(AND(ISNUMBER($B930),ISNUMBER($K930)),$K930-$B930+1,"")</f>
        <v/>
      </c>
      <c r="M930" s="30">
        <f>IF(OR($L930="",$P930=""),"",IF(INDEX('支払先'!$M$5:$M$104,$P930)="対象外","",IF(AND($L930&gt;60,$K930&gt;=EDATE($B930,2)),"超える","")))</f>
        <v/>
      </c>
      <c r="N930" s="67" t="n"/>
      <c r="O930" s="31">
        <f>IF($A930="","",IFERROR(MATCH($A930,'通知一覧'!$B$5:$B$204,0),"なし"))</f>
        <v/>
      </c>
      <c r="P930" s="31">
        <f>IF(NOT(ISNUMBER($O930)),"",IFERROR(MATCH(INDEX('通知一覧'!$C$5:$C$204,$O930),'支払先'!$B$5:$B$104,0),""))</f>
        <v/>
      </c>
      <c r="Q930" s="31">
        <f>IF(AND($A930&lt;&gt;"",$A930='支払通知書'!$K$2),ROW(),"")</f>
        <v/>
      </c>
    </row>
    <row r="931" ht="18" customHeight="1">
      <c r="A931" s="18" t="n"/>
      <c r="B931" s="24" t="n"/>
      <c r="C931" s="19" t="n"/>
      <c r="D931" s="25" t="n"/>
      <c r="E931" s="18" t="n"/>
      <c r="F931" s="25" t="n"/>
      <c r="G931" s="18" t="n"/>
      <c r="H931" s="18" t="n"/>
      <c r="I931" s="26">
        <f>IF(OR($A931="",$F931=""),"",ROUND(IF($D931="",1,$D931)*$F931,0))</f>
        <v/>
      </c>
      <c r="J931" s="27">
        <f>IF($A931="","",IF($O931="なし","※通知一覧にない通知No",IF($P931="","",INDEX('支払先'!$C$5:$C$104,$P931)&amp;"")))</f>
        <v/>
      </c>
      <c r="K931" s="28">
        <f>IF(NOT(ISNUMBER($O931)),"",IF(ISNUMBER(INDEX('通知一覧'!$F$5:$F$204,$O931)),INDEX('通知一覧'!$F$5:$F$204,$O931),""))</f>
        <v/>
      </c>
      <c r="L931" s="29">
        <f>IF(AND(ISNUMBER($B931),ISNUMBER($K931)),$K931-$B931+1,"")</f>
        <v/>
      </c>
      <c r="M931" s="30">
        <f>IF(OR($L931="",$P931=""),"",IF(INDEX('支払先'!$M$5:$M$104,$P931)="対象外","",IF(AND($L931&gt;60,$K931&gt;=EDATE($B931,2)),"超える","")))</f>
        <v/>
      </c>
      <c r="N931" s="67" t="n"/>
      <c r="O931" s="31">
        <f>IF($A931="","",IFERROR(MATCH($A931,'通知一覧'!$B$5:$B$204,0),"なし"))</f>
        <v/>
      </c>
      <c r="P931" s="31">
        <f>IF(NOT(ISNUMBER($O931)),"",IFERROR(MATCH(INDEX('通知一覧'!$C$5:$C$204,$O931),'支払先'!$B$5:$B$104,0),""))</f>
        <v/>
      </c>
      <c r="Q931" s="31">
        <f>IF(AND($A931&lt;&gt;"",$A931='支払通知書'!$K$2),ROW(),"")</f>
        <v/>
      </c>
    </row>
    <row r="932" ht="18" customHeight="1">
      <c r="A932" s="18" t="n"/>
      <c r="B932" s="24" t="n"/>
      <c r="C932" s="19" t="n"/>
      <c r="D932" s="25" t="n"/>
      <c r="E932" s="18" t="n"/>
      <c r="F932" s="25" t="n"/>
      <c r="G932" s="18" t="n"/>
      <c r="H932" s="18" t="n"/>
      <c r="I932" s="26">
        <f>IF(OR($A932="",$F932=""),"",ROUND(IF($D932="",1,$D932)*$F932,0))</f>
        <v/>
      </c>
      <c r="J932" s="27">
        <f>IF($A932="","",IF($O932="なし","※通知一覧にない通知No",IF($P932="","",INDEX('支払先'!$C$5:$C$104,$P932)&amp;"")))</f>
        <v/>
      </c>
      <c r="K932" s="28">
        <f>IF(NOT(ISNUMBER($O932)),"",IF(ISNUMBER(INDEX('通知一覧'!$F$5:$F$204,$O932)),INDEX('通知一覧'!$F$5:$F$204,$O932),""))</f>
        <v/>
      </c>
      <c r="L932" s="29">
        <f>IF(AND(ISNUMBER($B932),ISNUMBER($K932)),$K932-$B932+1,"")</f>
        <v/>
      </c>
      <c r="M932" s="30">
        <f>IF(OR($L932="",$P932=""),"",IF(INDEX('支払先'!$M$5:$M$104,$P932)="対象外","",IF(AND($L932&gt;60,$K932&gt;=EDATE($B932,2)),"超える","")))</f>
        <v/>
      </c>
      <c r="N932" s="67" t="n"/>
      <c r="O932" s="31">
        <f>IF($A932="","",IFERROR(MATCH($A932,'通知一覧'!$B$5:$B$204,0),"なし"))</f>
        <v/>
      </c>
      <c r="P932" s="31">
        <f>IF(NOT(ISNUMBER($O932)),"",IFERROR(MATCH(INDEX('通知一覧'!$C$5:$C$204,$O932),'支払先'!$B$5:$B$104,0),""))</f>
        <v/>
      </c>
      <c r="Q932" s="31">
        <f>IF(AND($A932&lt;&gt;"",$A932='支払通知書'!$K$2),ROW(),"")</f>
        <v/>
      </c>
    </row>
    <row r="933" ht="18" customHeight="1">
      <c r="A933" s="18" t="n"/>
      <c r="B933" s="24" t="n"/>
      <c r="C933" s="19" t="n"/>
      <c r="D933" s="25" t="n"/>
      <c r="E933" s="18" t="n"/>
      <c r="F933" s="25" t="n"/>
      <c r="G933" s="18" t="n"/>
      <c r="H933" s="18" t="n"/>
      <c r="I933" s="26">
        <f>IF(OR($A933="",$F933=""),"",ROUND(IF($D933="",1,$D933)*$F933,0))</f>
        <v/>
      </c>
      <c r="J933" s="27">
        <f>IF($A933="","",IF($O933="なし","※通知一覧にない通知No",IF($P933="","",INDEX('支払先'!$C$5:$C$104,$P933)&amp;"")))</f>
        <v/>
      </c>
      <c r="K933" s="28">
        <f>IF(NOT(ISNUMBER($O933)),"",IF(ISNUMBER(INDEX('通知一覧'!$F$5:$F$204,$O933)),INDEX('通知一覧'!$F$5:$F$204,$O933),""))</f>
        <v/>
      </c>
      <c r="L933" s="29">
        <f>IF(AND(ISNUMBER($B933),ISNUMBER($K933)),$K933-$B933+1,"")</f>
        <v/>
      </c>
      <c r="M933" s="30">
        <f>IF(OR($L933="",$P933=""),"",IF(INDEX('支払先'!$M$5:$M$104,$P933)="対象外","",IF(AND($L933&gt;60,$K933&gt;=EDATE($B933,2)),"超える","")))</f>
        <v/>
      </c>
      <c r="N933" s="67" t="n"/>
      <c r="O933" s="31">
        <f>IF($A933="","",IFERROR(MATCH($A933,'通知一覧'!$B$5:$B$204,0),"なし"))</f>
        <v/>
      </c>
      <c r="P933" s="31">
        <f>IF(NOT(ISNUMBER($O933)),"",IFERROR(MATCH(INDEX('通知一覧'!$C$5:$C$204,$O933),'支払先'!$B$5:$B$104,0),""))</f>
        <v/>
      </c>
      <c r="Q933" s="31">
        <f>IF(AND($A933&lt;&gt;"",$A933='支払通知書'!$K$2),ROW(),"")</f>
        <v/>
      </c>
    </row>
    <row r="934" ht="18" customHeight="1">
      <c r="A934" s="18" t="n"/>
      <c r="B934" s="24" t="n"/>
      <c r="C934" s="19" t="n"/>
      <c r="D934" s="25" t="n"/>
      <c r="E934" s="18" t="n"/>
      <c r="F934" s="25" t="n"/>
      <c r="G934" s="18" t="n"/>
      <c r="H934" s="18" t="n"/>
      <c r="I934" s="26">
        <f>IF(OR($A934="",$F934=""),"",ROUND(IF($D934="",1,$D934)*$F934,0))</f>
        <v/>
      </c>
      <c r="J934" s="27">
        <f>IF($A934="","",IF($O934="なし","※通知一覧にない通知No",IF($P934="","",INDEX('支払先'!$C$5:$C$104,$P934)&amp;"")))</f>
        <v/>
      </c>
      <c r="K934" s="28">
        <f>IF(NOT(ISNUMBER($O934)),"",IF(ISNUMBER(INDEX('通知一覧'!$F$5:$F$204,$O934)),INDEX('通知一覧'!$F$5:$F$204,$O934),""))</f>
        <v/>
      </c>
      <c r="L934" s="29">
        <f>IF(AND(ISNUMBER($B934),ISNUMBER($K934)),$K934-$B934+1,"")</f>
        <v/>
      </c>
      <c r="M934" s="30">
        <f>IF(OR($L934="",$P934=""),"",IF(INDEX('支払先'!$M$5:$M$104,$P934)="対象外","",IF(AND($L934&gt;60,$K934&gt;=EDATE($B934,2)),"超える","")))</f>
        <v/>
      </c>
      <c r="N934" s="67" t="n"/>
      <c r="O934" s="31">
        <f>IF($A934="","",IFERROR(MATCH($A934,'通知一覧'!$B$5:$B$204,0),"なし"))</f>
        <v/>
      </c>
      <c r="P934" s="31">
        <f>IF(NOT(ISNUMBER($O934)),"",IFERROR(MATCH(INDEX('通知一覧'!$C$5:$C$204,$O934),'支払先'!$B$5:$B$104,0),""))</f>
        <v/>
      </c>
      <c r="Q934" s="31">
        <f>IF(AND($A934&lt;&gt;"",$A934='支払通知書'!$K$2),ROW(),"")</f>
        <v/>
      </c>
    </row>
    <row r="935" ht="18" customHeight="1">
      <c r="A935" s="18" t="n"/>
      <c r="B935" s="24" t="n"/>
      <c r="C935" s="19" t="n"/>
      <c r="D935" s="25" t="n"/>
      <c r="E935" s="18" t="n"/>
      <c r="F935" s="25" t="n"/>
      <c r="G935" s="18" t="n"/>
      <c r="H935" s="18" t="n"/>
      <c r="I935" s="26">
        <f>IF(OR($A935="",$F935=""),"",ROUND(IF($D935="",1,$D935)*$F935,0))</f>
        <v/>
      </c>
      <c r="J935" s="27">
        <f>IF($A935="","",IF($O935="なし","※通知一覧にない通知No",IF($P935="","",INDEX('支払先'!$C$5:$C$104,$P935)&amp;"")))</f>
        <v/>
      </c>
      <c r="K935" s="28">
        <f>IF(NOT(ISNUMBER($O935)),"",IF(ISNUMBER(INDEX('通知一覧'!$F$5:$F$204,$O935)),INDEX('通知一覧'!$F$5:$F$204,$O935),""))</f>
        <v/>
      </c>
      <c r="L935" s="29">
        <f>IF(AND(ISNUMBER($B935),ISNUMBER($K935)),$K935-$B935+1,"")</f>
        <v/>
      </c>
      <c r="M935" s="30">
        <f>IF(OR($L935="",$P935=""),"",IF(INDEX('支払先'!$M$5:$M$104,$P935)="対象外","",IF(AND($L935&gt;60,$K935&gt;=EDATE($B935,2)),"超える","")))</f>
        <v/>
      </c>
      <c r="N935" s="67" t="n"/>
      <c r="O935" s="31">
        <f>IF($A935="","",IFERROR(MATCH($A935,'通知一覧'!$B$5:$B$204,0),"なし"))</f>
        <v/>
      </c>
      <c r="P935" s="31">
        <f>IF(NOT(ISNUMBER($O935)),"",IFERROR(MATCH(INDEX('通知一覧'!$C$5:$C$204,$O935),'支払先'!$B$5:$B$104,0),""))</f>
        <v/>
      </c>
      <c r="Q935" s="31">
        <f>IF(AND($A935&lt;&gt;"",$A935='支払通知書'!$K$2),ROW(),"")</f>
        <v/>
      </c>
    </row>
    <row r="936" ht="18" customHeight="1">
      <c r="A936" s="18" t="n"/>
      <c r="B936" s="24" t="n"/>
      <c r="C936" s="19" t="n"/>
      <c r="D936" s="25" t="n"/>
      <c r="E936" s="18" t="n"/>
      <c r="F936" s="25" t="n"/>
      <c r="G936" s="18" t="n"/>
      <c r="H936" s="18" t="n"/>
      <c r="I936" s="26">
        <f>IF(OR($A936="",$F936=""),"",ROUND(IF($D936="",1,$D936)*$F936,0))</f>
        <v/>
      </c>
      <c r="J936" s="27">
        <f>IF($A936="","",IF($O936="なし","※通知一覧にない通知No",IF($P936="","",INDEX('支払先'!$C$5:$C$104,$P936)&amp;"")))</f>
        <v/>
      </c>
      <c r="K936" s="28">
        <f>IF(NOT(ISNUMBER($O936)),"",IF(ISNUMBER(INDEX('通知一覧'!$F$5:$F$204,$O936)),INDEX('通知一覧'!$F$5:$F$204,$O936),""))</f>
        <v/>
      </c>
      <c r="L936" s="29">
        <f>IF(AND(ISNUMBER($B936),ISNUMBER($K936)),$K936-$B936+1,"")</f>
        <v/>
      </c>
      <c r="M936" s="30">
        <f>IF(OR($L936="",$P936=""),"",IF(INDEX('支払先'!$M$5:$M$104,$P936)="対象外","",IF(AND($L936&gt;60,$K936&gt;=EDATE($B936,2)),"超える","")))</f>
        <v/>
      </c>
      <c r="N936" s="67" t="n"/>
      <c r="O936" s="31">
        <f>IF($A936="","",IFERROR(MATCH($A936,'通知一覧'!$B$5:$B$204,0),"なし"))</f>
        <v/>
      </c>
      <c r="P936" s="31">
        <f>IF(NOT(ISNUMBER($O936)),"",IFERROR(MATCH(INDEX('通知一覧'!$C$5:$C$204,$O936),'支払先'!$B$5:$B$104,0),""))</f>
        <v/>
      </c>
      <c r="Q936" s="31">
        <f>IF(AND($A936&lt;&gt;"",$A936='支払通知書'!$K$2),ROW(),"")</f>
        <v/>
      </c>
    </row>
    <row r="937" ht="18" customHeight="1">
      <c r="A937" s="18" t="n"/>
      <c r="B937" s="24" t="n"/>
      <c r="C937" s="19" t="n"/>
      <c r="D937" s="25" t="n"/>
      <c r="E937" s="18" t="n"/>
      <c r="F937" s="25" t="n"/>
      <c r="G937" s="18" t="n"/>
      <c r="H937" s="18" t="n"/>
      <c r="I937" s="26">
        <f>IF(OR($A937="",$F937=""),"",ROUND(IF($D937="",1,$D937)*$F937,0))</f>
        <v/>
      </c>
      <c r="J937" s="27">
        <f>IF($A937="","",IF($O937="なし","※通知一覧にない通知No",IF($P937="","",INDEX('支払先'!$C$5:$C$104,$P937)&amp;"")))</f>
        <v/>
      </c>
      <c r="K937" s="28">
        <f>IF(NOT(ISNUMBER($O937)),"",IF(ISNUMBER(INDEX('通知一覧'!$F$5:$F$204,$O937)),INDEX('通知一覧'!$F$5:$F$204,$O937),""))</f>
        <v/>
      </c>
      <c r="L937" s="29">
        <f>IF(AND(ISNUMBER($B937),ISNUMBER($K937)),$K937-$B937+1,"")</f>
        <v/>
      </c>
      <c r="M937" s="30">
        <f>IF(OR($L937="",$P937=""),"",IF(INDEX('支払先'!$M$5:$M$104,$P937)="対象外","",IF(AND($L937&gt;60,$K937&gt;=EDATE($B937,2)),"超える","")))</f>
        <v/>
      </c>
      <c r="N937" s="67" t="n"/>
      <c r="O937" s="31">
        <f>IF($A937="","",IFERROR(MATCH($A937,'通知一覧'!$B$5:$B$204,0),"なし"))</f>
        <v/>
      </c>
      <c r="P937" s="31">
        <f>IF(NOT(ISNUMBER($O937)),"",IFERROR(MATCH(INDEX('通知一覧'!$C$5:$C$204,$O937),'支払先'!$B$5:$B$104,0),""))</f>
        <v/>
      </c>
      <c r="Q937" s="31">
        <f>IF(AND($A937&lt;&gt;"",$A937='支払通知書'!$K$2),ROW(),"")</f>
        <v/>
      </c>
    </row>
    <row r="938" ht="18" customHeight="1">
      <c r="A938" s="18" t="n"/>
      <c r="B938" s="24" t="n"/>
      <c r="C938" s="19" t="n"/>
      <c r="D938" s="25" t="n"/>
      <c r="E938" s="18" t="n"/>
      <c r="F938" s="25" t="n"/>
      <c r="G938" s="18" t="n"/>
      <c r="H938" s="18" t="n"/>
      <c r="I938" s="26">
        <f>IF(OR($A938="",$F938=""),"",ROUND(IF($D938="",1,$D938)*$F938,0))</f>
        <v/>
      </c>
      <c r="J938" s="27">
        <f>IF($A938="","",IF($O938="なし","※通知一覧にない通知No",IF($P938="","",INDEX('支払先'!$C$5:$C$104,$P938)&amp;"")))</f>
        <v/>
      </c>
      <c r="K938" s="28">
        <f>IF(NOT(ISNUMBER($O938)),"",IF(ISNUMBER(INDEX('通知一覧'!$F$5:$F$204,$O938)),INDEX('通知一覧'!$F$5:$F$204,$O938),""))</f>
        <v/>
      </c>
      <c r="L938" s="29">
        <f>IF(AND(ISNUMBER($B938),ISNUMBER($K938)),$K938-$B938+1,"")</f>
        <v/>
      </c>
      <c r="M938" s="30">
        <f>IF(OR($L938="",$P938=""),"",IF(INDEX('支払先'!$M$5:$M$104,$P938)="対象外","",IF(AND($L938&gt;60,$K938&gt;=EDATE($B938,2)),"超える","")))</f>
        <v/>
      </c>
      <c r="N938" s="67" t="n"/>
      <c r="O938" s="31">
        <f>IF($A938="","",IFERROR(MATCH($A938,'通知一覧'!$B$5:$B$204,0),"なし"))</f>
        <v/>
      </c>
      <c r="P938" s="31">
        <f>IF(NOT(ISNUMBER($O938)),"",IFERROR(MATCH(INDEX('通知一覧'!$C$5:$C$204,$O938),'支払先'!$B$5:$B$104,0),""))</f>
        <v/>
      </c>
      <c r="Q938" s="31">
        <f>IF(AND($A938&lt;&gt;"",$A938='支払通知書'!$K$2),ROW(),"")</f>
        <v/>
      </c>
    </row>
    <row r="939" ht="18" customHeight="1">
      <c r="A939" s="18" t="n"/>
      <c r="B939" s="24" t="n"/>
      <c r="C939" s="19" t="n"/>
      <c r="D939" s="25" t="n"/>
      <c r="E939" s="18" t="n"/>
      <c r="F939" s="25" t="n"/>
      <c r="G939" s="18" t="n"/>
      <c r="H939" s="18" t="n"/>
      <c r="I939" s="26">
        <f>IF(OR($A939="",$F939=""),"",ROUND(IF($D939="",1,$D939)*$F939,0))</f>
        <v/>
      </c>
      <c r="J939" s="27">
        <f>IF($A939="","",IF($O939="なし","※通知一覧にない通知No",IF($P939="","",INDEX('支払先'!$C$5:$C$104,$P939)&amp;"")))</f>
        <v/>
      </c>
      <c r="K939" s="28">
        <f>IF(NOT(ISNUMBER($O939)),"",IF(ISNUMBER(INDEX('通知一覧'!$F$5:$F$204,$O939)),INDEX('通知一覧'!$F$5:$F$204,$O939),""))</f>
        <v/>
      </c>
      <c r="L939" s="29">
        <f>IF(AND(ISNUMBER($B939),ISNUMBER($K939)),$K939-$B939+1,"")</f>
        <v/>
      </c>
      <c r="M939" s="30">
        <f>IF(OR($L939="",$P939=""),"",IF(INDEX('支払先'!$M$5:$M$104,$P939)="対象外","",IF(AND($L939&gt;60,$K939&gt;=EDATE($B939,2)),"超える","")))</f>
        <v/>
      </c>
      <c r="N939" s="67" t="n"/>
      <c r="O939" s="31">
        <f>IF($A939="","",IFERROR(MATCH($A939,'通知一覧'!$B$5:$B$204,0),"なし"))</f>
        <v/>
      </c>
      <c r="P939" s="31">
        <f>IF(NOT(ISNUMBER($O939)),"",IFERROR(MATCH(INDEX('通知一覧'!$C$5:$C$204,$O939),'支払先'!$B$5:$B$104,0),""))</f>
        <v/>
      </c>
      <c r="Q939" s="31">
        <f>IF(AND($A939&lt;&gt;"",$A939='支払通知書'!$K$2),ROW(),"")</f>
        <v/>
      </c>
    </row>
    <row r="940" ht="18" customHeight="1">
      <c r="A940" s="18" t="n"/>
      <c r="B940" s="24" t="n"/>
      <c r="C940" s="19" t="n"/>
      <c r="D940" s="25" t="n"/>
      <c r="E940" s="18" t="n"/>
      <c r="F940" s="25" t="n"/>
      <c r="G940" s="18" t="n"/>
      <c r="H940" s="18" t="n"/>
      <c r="I940" s="26">
        <f>IF(OR($A940="",$F940=""),"",ROUND(IF($D940="",1,$D940)*$F940,0))</f>
        <v/>
      </c>
      <c r="J940" s="27">
        <f>IF($A940="","",IF($O940="なし","※通知一覧にない通知No",IF($P940="","",INDEX('支払先'!$C$5:$C$104,$P940)&amp;"")))</f>
        <v/>
      </c>
      <c r="K940" s="28">
        <f>IF(NOT(ISNUMBER($O940)),"",IF(ISNUMBER(INDEX('通知一覧'!$F$5:$F$204,$O940)),INDEX('通知一覧'!$F$5:$F$204,$O940),""))</f>
        <v/>
      </c>
      <c r="L940" s="29">
        <f>IF(AND(ISNUMBER($B940),ISNUMBER($K940)),$K940-$B940+1,"")</f>
        <v/>
      </c>
      <c r="M940" s="30">
        <f>IF(OR($L940="",$P940=""),"",IF(INDEX('支払先'!$M$5:$M$104,$P940)="対象外","",IF(AND($L940&gt;60,$K940&gt;=EDATE($B940,2)),"超える","")))</f>
        <v/>
      </c>
      <c r="N940" s="67" t="n"/>
      <c r="O940" s="31">
        <f>IF($A940="","",IFERROR(MATCH($A940,'通知一覧'!$B$5:$B$204,0),"なし"))</f>
        <v/>
      </c>
      <c r="P940" s="31">
        <f>IF(NOT(ISNUMBER($O940)),"",IFERROR(MATCH(INDEX('通知一覧'!$C$5:$C$204,$O940),'支払先'!$B$5:$B$104,0),""))</f>
        <v/>
      </c>
      <c r="Q940" s="31">
        <f>IF(AND($A940&lt;&gt;"",$A940='支払通知書'!$K$2),ROW(),"")</f>
        <v/>
      </c>
    </row>
    <row r="941" ht="18" customHeight="1">
      <c r="A941" s="18" t="n"/>
      <c r="B941" s="24" t="n"/>
      <c r="C941" s="19" t="n"/>
      <c r="D941" s="25" t="n"/>
      <c r="E941" s="18" t="n"/>
      <c r="F941" s="25" t="n"/>
      <c r="G941" s="18" t="n"/>
      <c r="H941" s="18" t="n"/>
      <c r="I941" s="26">
        <f>IF(OR($A941="",$F941=""),"",ROUND(IF($D941="",1,$D941)*$F941,0))</f>
        <v/>
      </c>
      <c r="J941" s="27">
        <f>IF($A941="","",IF($O941="なし","※通知一覧にない通知No",IF($P941="","",INDEX('支払先'!$C$5:$C$104,$P941)&amp;"")))</f>
        <v/>
      </c>
      <c r="K941" s="28">
        <f>IF(NOT(ISNUMBER($O941)),"",IF(ISNUMBER(INDEX('通知一覧'!$F$5:$F$204,$O941)),INDEX('通知一覧'!$F$5:$F$204,$O941),""))</f>
        <v/>
      </c>
      <c r="L941" s="29">
        <f>IF(AND(ISNUMBER($B941),ISNUMBER($K941)),$K941-$B941+1,"")</f>
        <v/>
      </c>
      <c r="M941" s="30">
        <f>IF(OR($L941="",$P941=""),"",IF(INDEX('支払先'!$M$5:$M$104,$P941)="対象外","",IF(AND($L941&gt;60,$K941&gt;=EDATE($B941,2)),"超える","")))</f>
        <v/>
      </c>
      <c r="N941" s="67" t="n"/>
      <c r="O941" s="31">
        <f>IF($A941="","",IFERROR(MATCH($A941,'通知一覧'!$B$5:$B$204,0),"なし"))</f>
        <v/>
      </c>
      <c r="P941" s="31">
        <f>IF(NOT(ISNUMBER($O941)),"",IFERROR(MATCH(INDEX('通知一覧'!$C$5:$C$204,$O941),'支払先'!$B$5:$B$104,0),""))</f>
        <v/>
      </c>
      <c r="Q941" s="31">
        <f>IF(AND($A941&lt;&gt;"",$A941='支払通知書'!$K$2),ROW(),"")</f>
        <v/>
      </c>
    </row>
    <row r="942" ht="18" customHeight="1">
      <c r="A942" s="18" t="n"/>
      <c r="B942" s="24" t="n"/>
      <c r="C942" s="19" t="n"/>
      <c r="D942" s="25" t="n"/>
      <c r="E942" s="18" t="n"/>
      <c r="F942" s="25" t="n"/>
      <c r="G942" s="18" t="n"/>
      <c r="H942" s="18" t="n"/>
      <c r="I942" s="26">
        <f>IF(OR($A942="",$F942=""),"",ROUND(IF($D942="",1,$D942)*$F942,0))</f>
        <v/>
      </c>
      <c r="J942" s="27">
        <f>IF($A942="","",IF($O942="なし","※通知一覧にない通知No",IF($P942="","",INDEX('支払先'!$C$5:$C$104,$P942)&amp;"")))</f>
        <v/>
      </c>
      <c r="K942" s="28">
        <f>IF(NOT(ISNUMBER($O942)),"",IF(ISNUMBER(INDEX('通知一覧'!$F$5:$F$204,$O942)),INDEX('通知一覧'!$F$5:$F$204,$O942),""))</f>
        <v/>
      </c>
      <c r="L942" s="29">
        <f>IF(AND(ISNUMBER($B942),ISNUMBER($K942)),$K942-$B942+1,"")</f>
        <v/>
      </c>
      <c r="M942" s="30">
        <f>IF(OR($L942="",$P942=""),"",IF(INDEX('支払先'!$M$5:$M$104,$P942)="対象外","",IF(AND($L942&gt;60,$K942&gt;=EDATE($B942,2)),"超える","")))</f>
        <v/>
      </c>
      <c r="N942" s="67" t="n"/>
      <c r="O942" s="31">
        <f>IF($A942="","",IFERROR(MATCH($A942,'通知一覧'!$B$5:$B$204,0),"なし"))</f>
        <v/>
      </c>
      <c r="P942" s="31">
        <f>IF(NOT(ISNUMBER($O942)),"",IFERROR(MATCH(INDEX('通知一覧'!$C$5:$C$204,$O942),'支払先'!$B$5:$B$104,0),""))</f>
        <v/>
      </c>
      <c r="Q942" s="31">
        <f>IF(AND($A942&lt;&gt;"",$A942='支払通知書'!$K$2),ROW(),"")</f>
        <v/>
      </c>
    </row>
    <row r="943" ht="18" customHeight="1">
      <c r="A943" s="18" t="n"/>
      <c r="B943" s="24" t="n"/>
      <c r="C943" s="19" t="n"/>
      <c r="D943" s="25" t="n"/>
      <c r="E943" s="18" t="n"/>
      <c r="F943" s="25" t="n"/>
      <c r="G943" s="18" t="n"/>
      <c r="H943" s="18" t="n"/>
      <c r="I943" s="26">
        <f>IF(OR($A943="",$F943=""),"",ROUND(IF($D943="",1,$D943)*$F943,0))</f>
        <v/>
      </c>
      <c r="J943" s="27">
        <f>IF($A943="","",IF($O943="なし","※通知一覧にない通知No",IF($P943="","",INDEX('支払先'!$C$5:$C$104,$P943)&amp;"")))</f>
        <v/>
      </c>
      <c r="K943" s="28">
        <f>IF(NOT(ISNUMBER($O943)),"",IF(ISNUMBER(INDEX('通知一覧'!$F$5:$F$204,$O943)),INDEX('通知一覧'!$F$5:$F$204,$O943),""))</f>
        <v/>
      </c>
      <c r="L943" s="29">
        <f>IF(AND(ISNUMBER($B943),ISNUMBER($K943)),$K943-$B943+1,"")</f>
        <v/>
      </c>
      <c r="M943" s="30">
        <f>IF(OR($L943="",$P943=""),"",IF(INDEX('支払先'!$M$5:$M$104,$P943)="対象外","",IF(AND($L943&gt;60,$K943&gt;=EDATE($B943,2)),"超える","")))</f>
        <v/>
      </c>
      <c r="N943" s="67" t="n"/>
      <c r="O943" s="31">
        <f>IF($A943="","",IFERROR(MATCH($A943,'通知一覧'!$B$5:$B$204,0),"なし"))</f>
        <v/>
      </c>
      <c r="P943" s="31">
        <f>IF(NOT(ISNUMBER($O943)),"",IFERROR(MATCH(INDEX('通知一覧'!$C$5:$C$204,$O943),'支払先'!$B$5:$B$104,0),""))</f>
        <v/>
      </c>
      <c r="Q943" s="31">
        <f>IF(AND($A943&lt;&gt;"",$A943='支払通知書'!$K$2),ROW(),"")</f>
        <v/>
      </c>
    </row>
    <row r="944" ht="18" customHeight="1">
      <c r="A944" s="18" t="n"/>
      <c r="B944" s="24" t="n"/>
      <c r="C944" s="19" t="n"/>
      <c r="D944" s="25" t="n"/>
      <c r="E944" s="18" t="n"/>
      <c r="F944" s="25" t="n"/>
      <c r="G944" s="18" t="n"/>
      <c r="H944" s="18" t="n"/>
      <c r="I944" s="26">
        <f>IF(OR($A944="",$F944=""),"",ROUND(IF($D944="",1,$D944)*$F944,0))</f>
        <v/>
      </c>
      <c r="J944" s="27">
        <f>IF($A944="","",IF($O944="なし","※通知一覧にない通知No",IF($P944="","",INDEX('支払先'!$C$5:$C$104,$P944)&amp;"")))</f>
        <v/>
      </c>
      <c r="K944" s="28">
        <f>IF(NOT(ISNUMBER($O944)),"",IF(ISNUMBER(INDEX('通知一覧'!$F$5:$F$204,$O944)),INDEX('通知一覧'!$F$5:$F$204,$O944),""))</f>
        <v/>
      </c>
      <c r="L944" s="29">
        <f>IF(AND(ISNUMBER($B944),ISNUMBER($K944)),$K944-$B944+1,"")</f>
        <v/>
      </c>
      <c r="M944" s="30">
        <f>IF(OR($L944="",$P944=""),"",IF(INDEX('支払先'!$M$5:$M$104,$P944)="対象外","",IF(AND($L944&gt;60,$K944&gt;=EDATE($B944,2)),"超える","")))</f>
        <v/>
      </c>
      <c r="N944" s="67" t="n"/>
      <c r="O944" s="31">
        <f>IF($A944="","",IFERROR(MATCH($A944,'通知一覧'!$B$5:$B$204,0),"なし"))</f>
        <v/>
      </c>
      <c r="P944" s="31">
        <f>IF(NOT(ISNUMBER($O944)),"",IFERROR(MATCH(INDEX('通知一覧'!$C$5:$C$204,$O944),'支払先'!$B$5:$B$104,0),""))</f>
        <v/>
      </c>
      <c r="Q944" s="31">
        <f>IF(AND($A944&lt;&gt;"",$A944='支払通知書'!$K$2),ROW(),"")</f>
        <v/>
      </c>
    </row>
    <row r="945" ht="18" customHeight="1">
      <c r="A945" s="18" t="n"/>
      <c r="B945" s="24" t="n"/>
      <c r="C945" s="19" t="n"/>
      <c r="D945" s="25" t="n"/>
      <c r="E945" s="18" t="n"/>
      <c r="F945" s="25" t="n"/>
      <c r="G945" s="18" t="n"/>
      <c r="H945" s="18" t="n"/>
      <c r="I945" s="26">
        <f>IF(OR($A945="",$F945=""),"",ROUND(IF($D945="",1,$D945)*$F945,0))</f>
        <v/>
      </c>
      <c r="J945" s="27">
        <f>IF($A945="","",IF($O945="なし","※通知一覧にない通知No",IF($P945="","",INDEX('支払先'!$C$5:$C$104,$P945)&amp;"")))</f>
        <v/>
      </c>
      <c r="K945" s="28">
        <f>IF(NOT(ISNUMBER($O945)),"",IF(ISNUMBER(INDEX('通知一覧'!$F$5:$F$204,$O945)),INDEX('通知一覧'!$F$5:$F$204,$O945),""))</f>
        <v/>
      </c>
      <c r="L945" s="29">
        <f>IF(AND(ISNUMBER($B945),ISNUMBER($K945)),$K945-$B945+1,"")</f>
        <v/>
      </c>
      <c r="M945" s="30">
        <f>IF(OR($L945="",$P945=""),"",IF(INDEX('支払先'!$M$5:$M$104,$P945)="対象外","",IF(AND($L945&gt;60,$K945&gt;=EDATE($B945,2)),"超える","")))</f>
        <v/>
      </c>
      <c r="N945" s="67" t="n"/>
      <c r="O945" s="31">
        <f>IF($A945="","",IFERROR(MATCH($A945,'通知一覧'!$B$5:$B$204,0),"なし"))</f>
        <v/>
      </c>
      <c r="P945" s="31">
        <f>IF(NOT(ISNUMBER($O945)),"",IFERROR(MATCH(INDEX('通知一覧'!$C$5:$C$204,$O945),'支払先'!$B$5:$B$104,0),""))</f>
        <v/>
      </c>
      <c r="Q945" s="31">
        <f>IF(AND($A945&lt;&gt;"",$A945='支払通知書'!$K$2),ROW(),"")</f>
        <v/>
      </c>
    </row>
    <row r="946" ht="18" customHeight="1">
      <c r="A946" s="18" t="n"/>
      <c r="B946" s="24" t="n"/>
      <c r="C946" s="19" t="n"/>
      <c r="D946" s="25" t="n"/>
      <c r="E946" s="18" t="n"/>
      <c r="F946" s="25" t="n"/>
      <c r="G946" s="18" t="n"/>
      <c r="H946" s="18" t="n"/>
      <c r="I946" s="26">
        <f>IF(OR($A946="",$F946=""),"",ROUND(IF($D946="",1,$D946)*$F946,0))</f>
        <v/>
      </c>
      <c r="J946" s="27">
        <f>IF($A946="","",IF($O946="なし","※通知一覧にない通知No",IF($P946="","",INDEX('支払先'!$C$5:$C$104,$P946)&amp;"")))</f>
        <v/>
      </c>
      <c r="K946" s="28">
        <f>IF(NOT(ISNUMBER($O946)),"",IF(ISNUMBER(INDEX('通知一覧'!$F$5:$F$204,$O946)),INDEX('通知一覧'!$F$5:$F$204,$O946),""))</f>
        <v/>
      </c>
      <c r="L946" s="29">
        <f>IF(AND(ISNUMBER($B946),ISNUMBER($K946)),$K946-$B946+1,"")</f>
        <v/>
      </c>
      <c r="M946" s="30">
        <f>IF(OR($L946="",$P946=""),"",IF(INDEX('支払先'!$M$5:$M$104,$P946)="対象外","",IF(AND($L946&gt;60,$K946&gt;=EDATE($B946,2)),"超える","")))</f>
        <v/>
      </c>
      <c r="N946" s="67" t="n"/>
      <c r="O946" s="31">
        <f>IF($A946="","",IFERROR(MATCH($A946,'通知一覧'!$B$5:$B$204,0),"なし"))</f>
        <v/>
      </c>
      <c r="P946" s="31">
        <f>IF(NOT(ISNUMBER($O946)),"",IFERROR(MATCH(INDEX('通知一覧'!$C$5:$C$204,$O946),'支払先'!$B$5:$B$104,0),""))</f>
        <v/>
      </c>
      <c r="Q946" s="31">
        <f>IF(AND($A946&lt;&gt;"",$A946='支払通知書'!$K$2),ROW(),"")</f>
        <v/>
      </c>
    </row>
    <row r="947" ht="18" customHeight="1">
      <c r="A947" s="18" t="n"/>
      <c r="B947" s="24" t="n"/>
      <c r="C947" s="19" t="n"/>
      <c r="D947" s="25" t="n"/>
      <c r="E947" s="18" t="n"/>
      <c r="F947" s="25" t="n"/>
      <c r="G947" s="18" t="n"/>
      <c r="H947" s="18" t="n"/>
      <c r="I947" s="26">
        <f>IF(OR($A947="",$F947=""),"",ROUND(IF($D947="",1,$D947)*$F947,0))</f>
        <v/>
      </c>
      <c r="J947" s="27">
        <f>IF($A947="","",IF($O947="なし","※通知一覧にない通知No",IF($P947="","",INDEX('支払先'!$C$5:$C$104,$P947)&amp;"")))</f>
        <v/>
      </c>
      <c r="K947" s="28">
        <f>IF(NOT(ISNUMBER($O947)),"",IF(ISNUMBER(INDEX('通知一覧'!$F$5:$F$204,$O947)),INDEX('通知一覧'!$F$5:$F$204,$O947),""))</f>
        <v/>
      </c>
      <c r="L947" s="29">
        <f>IF(AND(ISNUMBER($B947),ISNUMBER($K947)),$K947-$B947+1,"")</f>
        <v/>
      </c>
      <c r="M947" s="30">
        <f>IF(OR($L947="",$P947=""),"",IF(INDEX('支払先'!$M$5:$M$104,$P947)="対象外","",IF(AND($L947&gt;60,$K947&gt;=EDATE($B947,2)),"超える","")))</f>
        <v/>
      </c>
      <c r="N947" s="67" t="n"/>
      <c r="O947" s="31">
        <f>IF($A947="","",IFERROR(MATCH($A947,'通知一覧'!$B$5:$B$204,0),"なし"))</f>
        <v/>
      </c>
      <c r="P947" s="31">
        <f>IF(NOT(ISNUMBER($O947)),"",IFERROR(MATCH(INDEX('通知一覧'!$C$5:$C$204,$O947),'支払先'!$B$5:$B$104,0),""))</f>
        <v/>
      </c>
      <c r="Q947" s="31">
        <f>IF(AND($A947&lt;&gt;"",$A947='支払通知書'!$K$2),ROW(),"")</f>
        <v/>
      </c>
    </row>
    <row r="948" ht="18" customHeight="1">
      <c r="A948" s="18" t="n"/>
      <c r="B948" s="24" t="n"/>
      <c r="C948" s="19" t="n"/>
      <c r="D948" s="25" t="n"/>
      <c r="E948" s="18" t="n"/>
      <c r="F948" s="25" t="n"/>
      <c r="G948" s="18" t="n"/>
      <c r="H948" s="18" t="n"/>
      <c r="I948" s="26">
        <f>IF(OR($A948="",$F948=""),"",ROUND(IF($D948="",1,$D948)*$F948,0))</f>
        <v/>
      </c>
      <c r="J948" s="27">
        <f>IF($A948="","",IF($O948="なし","※通知一覧にない通知No",IF($P948="","",INDEX('支払先'!$C$5:$C$104,$P948)&amp;"")))</f>
        <v/>
      </c>
      <c r="K948" s="28">
        <f>IF(NOT(ISNUMBER($O948)),"",IF(ISNUMBER(INDEX('通知一覧'!$F$5:$F$204,$O948)),INDEX('通知一覧'!$F$5:$F$204,$O948),""))</f>
        <v/>
      </c>
      <c r="L948" s="29">
        <f>IF(AND(ISNUMBER($B948),ISNUMBER($K948)),$K948-$B948+1,"")</f>
        <v/>
      </c>
      <c r="M948" s="30">
        <f>IF(OR($L948="",$P948=""),"",IF(INDEX('支払先'!$M$5:$M$104,$P948)="対象外","",IF(AND($L948&gt;60,$K948&gt;=EDATE($B948,2)),"超える","")))</f>
        <v/>
      </c>
      <c r="N948" s="67" t="n"/>
      <c r="O948" s="31">
        <f>IF($A948="","",IFERROR(MATCH($A948,'通知一覧'!$B$5:$B$204,0),"なし"))</f>
        <v/>
      </c>
      <c r="P948" s="31">
        <f>IF(NOT(ISNUMBER($O948)),"",IFERROR(MATCH(INDEX('通知一覧'!$C$5:$C$204,$O948),'支払先'!$B$5:$B$104,0),""))</f>
        <v/>
      </c>
      <c r="Q948" s="31">
        <f>IF(AND($A948&lt;&gt;"",$A948='支払通知書'!$K$2),ROW(),"")</f>
        <v/>
      </c>
    </row>
    <row r="949" ht="18" customHeight="1">
      <c r="A949" s="18" t="n"/>
      <c r="B949" s="24" t="n"/>
      <c r="C949" s="19" t="n"/>
      <c r="D949" s="25" t="n"/>
      <c r="E949" s="18" t="n"/>
      <c r="F949" s="25" t="n"/>
      <c r="G949" s="18" t="n"/>
      <c r="H949" s="18" t="n"/>
      <c r="I949" s="26">
        <f>IF(OR($A949="",$F949=""),"",ROUND(IF($D949="",1,$D949)*$F949,0))</f>
        <v/>
      </c>
      <c r="J949" s="27">
        <f>IF($A949="","",IF($O949="なし","※通知一覧にない通知No",IF($P949="","",INDEX('支払先'!$C$5:$C$104,$P949)&amp;"")))</f>
        <v/>
      </c>
      <c r="K949" s="28">
        <f>IF(NOT(ISNUMBER($O949)),"",IF(ISNUMBER(INDEX('通知一覧'!$F$5:$F$204,$O949)),INDEX('通知一覧'!$F$5:$F$204,$O949),""))</f>
        <v/>
      </c>
      <c r="L949" s="29">
        <f>IF(AND(ISNUMBER($B949),ISNUMBER($K949)),$K949-$B949+1,"")</f>
        <v/>
      </c>
      <c r="M949" s="30">
        <f>IF(OR($L949="",$P949=""),"",IF(INDEX('支払先'!$M$5:$M$104,$P949)="対象外","",IF(AND($L949&gt;60,$K949&gt;=EDATE($B949,2)),"超える","")))</f>
        <v/>
      </c>
      <c r="N949" s="67" t="n"/>
      <c r="O949" s="31">
        <f>IF($A949="","",IFERROR(MATCH($A949,'通知一覧'!$B$5:$B$204,0),"なし"))</f>
        <v/>
      </c>
      <c r="P949" s="31">
        <f>IF(NOT(ISNUMBER($O949)),"",IFERROR(MATCH(INDEX('通知一覧'!$C$5:$C$204,$O949),'支払先'!$B$5:$B$104,0),""))</f>
        <v/>
      </c>
      <c r="Q949" s="31">
        <f>IF(AND($A949&lt;&gt;"",$A949='支払通知書'!$K$2),ROW(),"")</f>
        <v/>
      </c>
    </row>
    <row r="950" ht="18" customHeight="1">
      <c r="A950" s="18" t="n"/>
      <c r="B950" s="24" t="n"/>
      <c r="C950" s="19" t="n"/>
      <c r="D950" s="25" t="n"/>
      <c r="E950" s="18" t="n"/>
      <c r="F950" s="25" t="n"/>
      <c r="G950" s="18" t="n"/>
      <c r="H950" s="18" t="n"/>
      <c r="I950" s="26">
        <f>IF(OR($A950="",$F950=""),"",ROUND(IF($D950="",1,$D950)*$F950,0))</f>
        <v/>
      </c>
      <c r="J950" s="27">
        <f>IF($A950="","",IF($O950="なし","※通知一覧にない通知No",IF($P950="","",INDEX('支払先'!$C$5:$C$104,$P950)&amp;"")))</f>
        <v/>
      </c>
      <c r="K950" s="28">
        <f>IF(NOT(ISNUMBER($O950)),"",IF(ISNUMBER(INDEX('通知一覧'!$F$5:$F$204,$O950)),INDEX('通知一覧'!$F$5:$F$204,$O950),""))</f>
        <v/>
      </c>
      <c r="L950" s="29">
        <f>IF(AND(ISNUMBER($B950),ISNUMBER($K950)),$K950-$B950+1,"")</f>
        <v/>
      </c>
      <c r="M950" s="30">
        <f>IF(OR($L950="",$P950=""),"",IF(INDEX('支払先'!$M$5:$M$104,$P950)="対象外","",IF(AND($L950&gt;60,$K950&gt;=EDATE($B950,2)),"超える","")))</f>
        <v/>
      </c>
      <c r="N950" s="67" t="n"/>
      <c r="O950" s="31">
        <f>IF($A950="","",IFERROR(MATCH($A950,'通知一覧'!$B$5:$B$204,0),"なし"))</f>
        <v/>
      </c>
      <c r="P950" s="31">
        <f>IF(NOT(ISNUMBER($O950)),"",IFERROR(MATCH(INDEX('通知一覧'!$C$5:$C$204,$O950),'支払先'!$B$5:$B$104,0),""))</f>
        <v/>
      </c>
      <c r="Q950" s="31">
        <f>IF(AND($A950&lt;&gt;"",$A950='支払通知書'!$K$2),ROW(),"")</f>
        <v/>
      </c>
    </row>
    <row r="951" ht="18" customHeight="1">
      <c r="A951" s="18" t="n"/>
      <c r="B951" s="24" t="n"/>
      <c r="C951" s="19" t="n"/>
      <c r="D951" s="25" t="n"/>
      <c r="E951" s="18" t="n"/>
      <c r="F951" s="25" t="n"/>
      <c r="G951" s="18" t="n"/>
      <c r="H951" s="18" t="n"/>
      <c r="I951" s="26">
        <f>IF(OR($A951="",$F951=""),"",ROUND(IF($D951="",1,$D951)*$F951,0))</f>
        <v/>
      </c>
      <c r="J951" s="27">
        <f>IF($A951="","",IF($O951="なし","※通知一覧にない通知No",IF($P951="","",INDEX('支払先'!$C$5:$C$104,$P951)&amp;"")))</f>
        <v/>
      </c>
      <c r="K951" s="28">
        <f>IF(NOT(ISNUMBER($O951)),"",IF(ISNUMBER(INDEX('通知一覧'!$F$5:$F$204,$O951)),INDEX('通知一覧'!$F$5:$F$204,$O951),""))</f>
        <v/>
      </c>
      <c r="L951" s="29">
        <f>IF(AND(ISNUMBER($B951),ISNUMBER($K951)),$K951-$B951+1,"")</f>
        <v/>
      </c>
      <c r="M951" s="30">
        <f>IF(OR($L951="",$P951=""),"",IF(INDEX('支払先'!$M$5:$M$104,$P951)="対象外","",IF(AND($L951&gt;60,$K951&gt;=EDATE($B951,2)),"超える","")))</f>
        <v/>
      </c>
      <c r="N951" s="67" t="n"/>
      <c r="O951" s="31">
        <f>IF($A951="","",IFERROR(MATCH($A951,'通知一覧'!$B$5:$B$204,0),"なし"))</f>
        <v/>
      </c>
      <c r="P951" s="31">
        <f>IF(NOT(ISNUMBER($O951)),"",IFERROR(MATCH(INDEX('通知一覧'!$C$5:$C$204,$O951),'支払先'!$B$5:$B$104,0),""))</f>
        <v/>
      </c>
      <c r="Q951" s="31">
        <f>IF(AND($A951&lt;&gt;"",$A951='支払通知書'!$K$2),ROW(),"")</f>
        <v/>
      </c>
    </row>
    <row r="952" ht="18" customHeight="1">
      <c r="A952" s="18" t="n"/>
      <c r="B952" s="24" t="n"/>
      <c r="C952" s="19" t="n"/>
      <c r="D952" s="25" t="n"/>
      <c r="E952" s="18" t="n"/>
      <c r="F952" s="25" t="n"/>
      <c r="G952" s="18" t="n"/>
      <c r="H952" s="18" t="n"/>
      <c r="I952" s="26">
        <f>IF(OR($A952="",$F952=""),"",ROUND(IF($D952="",1,$D952)*$F952,0))</f>
        <v/>
      </c>
      <c r="J952" s="27">
        <f>IF($A952="","",IF($O952="なし","※通知一覧にない通知No",IF($P952="","",INDEX('支払先'!$C$5:$C$104,$P952)&amp;"")))</f>
        <v/>
      </c>
      <c r="K952" s="28">
        <f>IF(NOT(ISNUMBER($O952)),"",IF(ISNUMBER(INDEX('通知一覧'!$F$5:$F$204,$O952)),INDEX('通知一覧'!$F$5:$F$204,$O952),""))</f>
        <v/>
      </c>
      <c r="L952" s="29">
        <f>IF(AND(ISNUMBER($B952),ISNUMBER($K952)),$K952-$B952+1,"")</f>
        <v/>
      </c>
      <c r="M952" s="30">
        <f>IF(OR($L952="",$P952=""),"",IF(INDEX('支払先'!$M$5:$M$104,$P952)="対象外","",IF(AND($L952&gt;60,$K952&gt;=EDATE($B952,2)),"超える","")))</f>
        <v/>
      </c>
      <c r="N952" s="67" t="n"/>
      <c r="O952" s="31">
        <f>IF($A952="","",IFERROR(MATCH($A952,'通知一覧'!$B$5:$B$204,0),"なし"))</f>
        <v/>
      </c>
      <c r="P952" s="31">
        <f>IF(NOT(ISNUMBER($O952)),"",IFERROR(MATCH(INDEX('通知一覧'!$C$5:$C$204,$O952),'支払先'!$B$5:$B$104,0),""))</f>
        <v/>
      </c>
      <c r="Q952" s="31">
        <f>IF(AND($A952&lt;&gt;"",$A952='支払通知書'!$K$2),ROW(),"")</f>
        <v/>
      </c>
    </row>
    <row r="953" ht="18" customHeight="1">
      <c r="A953" s="18" t="n"/>
      <c r="B953" s="24" t="n"/>
      <c r="C953" s="19" t="n"/>
      <c r="D953" s="25" t="n"/>
      <c r="E953" s="18" t="n"/>
      <c r="F953" s="25" t="n"/>
      <c r="G953" s="18" t="n"/>
      <c r="H953" s="18" t="n"/>
      <c r="I953" s="26">
        <f>IF(OR($A953="",$F953=""),"",ROUND(IF($D953="",1,$D953)*$F953,0))</f>
        <v/>
      </c>
      <c r="J953" s="27">
        <f>IF($A953="","",IF($O953="なし","※通知一覧にない通知No",IF($P953="","",INDEX('支払先'!$C$5:$C$104,$P953)&amp;"")))</f>
        <v/>
      </c>
      <c r="K953" s="28">
        <f>IF(NOT(ISNUMBER($O953)),"",IF(ISNUMBER(INDEX('通知一覧'!$F$5:$F$204,$O953)),INDEX('通知一覧'!$F$5:$F$204,$O953),""))</f>
        <v/>
      </c>
      <c r="L953" s="29">
        <f>IF(AND(ISNUMBER($B953),ISNUMBER($K953)),$K953-$B953+1,"")</f>
        <v/>
      </c>
      <c r="M953" s="30">
        <f>IF(OR($L953="",$P953=""),"",IF(INDEX('支払先'!$M$5:$M$104,$P953)="対象外","",IF(AND($L953&gt;60,$K953&gt;=EDATE($B953,2)),"超える","")))</f>
        <v/>
      </c>
      <c r="N953" s="67" t="n"/>
      <c r="O953" s="31">
        <f>IF($A953="","",IFERROR(MATCH($A953,'通知一覧'!$B$5:$B$204,0),"なし"))</f>
        <v/>
      </c>
      <c r="P953" s="31">
        <f>IF(NOT(ISNUMBER($O953)),"",IFERROR(MATCH(INDEX('通知一覧'!$C$5:$C$204,$O953),'支払先'!$B$5:$B$104,0),""))</f>
        <v/>
      </c>
      <c r="Q953" s="31">
        <f>IF(AND($A953&lt;&gt;"",$A953='支払通知書'!$K$2),ROW(),"")</f>
        <v/>
      </c>
    </row>
    <row r="954" ht="18" customHeight="1">
      <c r="A954" s="18" t="n"/>
      <c r="B954" s="24" t="n"/>
      <c r="C954" s="19" t="n"/>
      <c r="D954" s="25" t="n"/>
      <c r="E954" s="18" t="n"/>
      <c r="F954" s="25" t="n"/>
      <c r="G954" s="18" t="n"/>
      <c r="H954" s="18" t="n"/>
      <c r="I954" s="26">
        <f>IF(OR($A954="",$F954=""),"",ROUND(IF($D954="",1,$D954)*$F954,0))</f>
        <v/>
      </c>
      <c r="J954" s="27">
        <f>IF($A954="","",IF($O954="なし","※通知一覧にない通知No",IF($P954="","",INDEX('支払先'!$C$5:$C$104,$P954)&amp;"")))</f>
        <v/>
      </c>
      <c r="K954" s="28">
        <f>IF(NOT(ISNUMBER($O954)),"",IF(ISNUMBER(INDEX('通知一覧'!$F$5:$F$204,$O954)),INDEX('通知一覧'!$F$5:$F$204,$O954),""))</f>
        <v/>
      </c>
      <c r="L954" s="29">
        <f>IF(AND(ISNUMBER($B954),ISNUMBER($K954)),$K954-$B954+1,"")</f>
        <v/>
      </c>
      <c r="M954" s="30">
        <f>IF(OR($L954="",$P954=""),"",IF(INDEX('支払先'!$M$5:$M$104,$P954)="対象外","",IF(AND($L954&gt;60,$K954&gt;=EDATE($B954,2)),"超える","")))</f>
        <v/>
      </c>
      <c r="N954" s="67" t="n"/>
      <c r="O954" s="31">
        <f>IF($A954="","",IFERROR(MATCH($A954,'通知一覧'!$B$5:$B$204,0),"なし"))</f>
        <v/>
      </c>
      <c r="P954" s="31">
        <f>IF(NOT(ISNUMBER($O954)),"",IFERROR(MATCH(INDEX('通知一覧'!$C$5:$C$204,$O954),'支払先'!$B$5:$B$104,0),""))</f>
        <v/>
      </c>
      <c r="Q954" s="31">
        <f>IF(AND($A954&lt;&gt;"",$A954='支払通知書'!$K$2),ROW(),"")</f>
        <v/>
      </c>
    </row>
    <row r="955" ht="18" customHeight="1">
      <c r="A955" s="18" t="n"/>
      <c r="B955" s="24" t="n"/>
      <c r="C955" s="19" t="n"/>
      <c r="D955" s="25" t="n"/>
      <c r="E955" s="18" t="n"/>
      <c r="F955" s="25" t="n"/>
      <c r="G955" s="18" t="n"/>
      <c r="H955" s="18" t="n"/>
      <c r="I955" s="26">
        <f>IF(OR($A955="",$F955=""),"",ROUND(IF($D955="",1,$D955)*$F955,0))</f>
        <v/>
      </c>
      <c r="J955" s="27">
        <f>IF($A955="","",IF($O955="なし","※通知一覧にない通知No",IF($P955="","",INDEX('支払先'!$C$5:$C$104,$P955)&amp;"")))</f>
        <v/>
      </c>
      <c r="K955" s="28">
        <f>IF(NOT(ISNUMBER($O955)),"",IF(ISNUMBER(INDEX('通知一覧'!$F$5:$F$204,$O955)),INDEX('通知一覧'!$F$5:$F$204,$O955),""))</f>
        <v/>
      </c>
      <c r="L955" s="29">
        <f>IF(AND(ISNUMBER($B955),ISNUMBER($K955)),$K955-$B955+1,"")</f>
        <v/>
      </c>
      <c r="M955" s="30">
        <f>IF(OR($L955="",$P955=""),"",IF(INDEX('支払先'!$M$5:$M$104,$P955)="対象外","",IF(AND($L955&gt;60,$K955&gt;=EDATE($B955,2)),"超える","")))</f>
        <v/>
      </c>
      <c r="N955" s="67" t="n"/>
      <c r="O955" s="31">
        <f>IF($A955="","",IFERROR(MATCH($A955,'通知一覧'!$B$5:$B$204,0),"なし"))</f>
        <v/>
      </c>
      <c r="P955" s="31">
        <f>IF(NOT(ISNUMBER($O955)),"",IFERROR(MATCH(INDEX('通知一覧'!$C$5:$C$204,$O955),'支払先'!$B$5:$B$104,0),""))</f>
        <v/>
      </c>
      <c r="Q955" s="31">
        <f>IF(AND($A955&lt;&gt;"",$A955='支払通知書'!$K$2),ROW(),"")</f>
        <v/>
      </c>
    </row>
    <row r="956" ht="18" customHeight="1">
      <c r="A956" s="18" t="n"/>
      <c r="B956" s="24" t="n"/>
      <c r="C956" s="19" t="n"/>
      <c r="D956" s="25" t="n"/>
      <c r="E956" s="18" t="n"/>
      <c r="F956" s="25" t="n"/>
      <c r="G956" s="18" t="n"/>
      <c r="H956" s="18" t="n"/>
      <c r="I956" s="26">
        <f>IF(OR($A956="",$F956=""),"",ROUND(IF($D956="",1,$D956)*$F956,0))</f>
        <v/>
      </c>
      <c r="J956" s="27">
        <f>IF($A956="","",IF($O956="なし","※通知一覧にない通知No",IF($P956="","",INDEX('支払先'!$C$5:$C$104,$P956)&amp;"")))</f>
        <v/>
      </c>
      <c r="K956" s="28">
        <f>IF(NOT(ISNUMBER($O956)),"",IF(ISNUMBER(INDEX('通知一覧'!$F$5:$F$204,$O956)),INDEX('通知一覧'!$F$5:$F$204,$O956),""))</f>
        <v/>
      </c>
      <c r="L956" s="29">
        <f>IF(AND(ISNUMBER($B956),ISNUMBER($K956)),$K956-$B956+1,"")</f>
        <v/>
      </c>
      <c r="M956" s="30">
        <f>IF(OR($L956="",$P956=""),"",IF(INDEX('支払先'!$M$5:$M$104,$P956)="対象外","",IF(AND($L956&gt;60,$K956&gt;=EDATE($B956,2)),"超える","")))</f>
        <v/>
      </c>
      <c r="N956" s="67" t="n"/>
      <c r="O956" s="31">
        <f>IF($A956="","",IFERROR(MATCH($A956,'通知一覧'!$B$5:$B$204,0),"なし"))</f>
        <v/>
      </c>
      <c r="P956" s="31">
        <f>IF(NOT(ISNUMBER($O956)),"",IFERROR(MATCH(INDEX('通知一覧'!$C$5:$C$204,$O956),'支払先'!$B$5:$B$104,0),""))</f>
        <v/>
      </c>
      <c r="Q956" s="31">
        <f>IF(AND($A956&lt;&gt;"",$A956='支払通知書'!$K$2),ROW(),"")</f>
        <v/>
      </c>
    </row>
    <row r="957" ht="18" customHeight="1">
      <c r="A957" s="18" t="n"/>
      <c r="B957" s="24" t="n"/>
      <c r="C957" s="19" t="n"/>
      <c r="D957" s="25" t="n"/>
      <c r="E957" s="18" t="n"/>
      <c r="F957" s="25" t="n"/>
      <c r="G957" s="18" t="n"/>
      <c r="H957" s="18" t="n"/>
      <c r="I957" s="26">
        <f>IF(OR($A957="",$F957=""),"",ROUND(IF($D957="",1,$D957)*$F957,0))</f>
        <v/>
      </c>
      <c r="J957" s="27">
        <f>IF($A957="","",IF($O957="なし","※通知一覧にない通知No",IF($P957="","",INDEX('支払先'!$C$5:$C$104,$P957)&amp;"")))</f>
        <v/>
      </c>
      <c r="K957" s="28">
        <f>IF(NOT(ISNUMBER($O957)),"",IF(ISNUMBER(INDEX('通知一覧'!$F$5:$F$204,$O957)),INDEX('通知一覧'!$F$5:$F$204,$O957),""))</f>
        <v/>
      </c>
      <c r="L957" s="29">
        <f>IF(AND(ISNUMBER($B957),ISNUMBER($K957)),$K957-$B957+1,"")</f>
        <v/>
      </c>
      <c r="M957" s="30">
        <f>IF(OR($L957="",$P957=""),"",IF(INDEX('支払先'!$M$5:$M$104,$P957)="対象外","",IF(AND($L957&gt;60,$K957&gt;=EDATE($B957,2)),"超える","")))</f>
        <v/>
      </c>
      <c r="N957" s="67" t="n"/>
      <c r="O957" s="31">
        <f>IF($A957="","",IFERROR(MATCH($A957,'通知一覧'!$B$5:$B$204,0),"なし"))</f>
        <v/>
      </c>
      <c r="P957" s="31">
        <f>IF(NOT(ISNUMBER($O957)),"",IFERROR(MATCH(INDEX('通知一覧'!$C$5:$C$204,$O957),'支払先'!$B$5:$B$104,0),""))</f>
        <v/>
      </c>
      <c r="Q957" s="31">
        <f>IF(AND($A957&lt;&gt;"",$A957='支払通知書'!$K$2),ROW(),"")</f>
        <v/>
      </c>
    </row>
    <row r="958" ht="18" customHeight="1">
      <c r="A958" s="18" t="n"/>
      <c r="B958" s="24" t="n"/>
      <c r="C958" s="19" t="n"/>
      <c r="D958" s="25" t="n"/>
      <c r="E958" s="18" t="n"/>
      <c r="F958" s="25" t="n"/>
      <c r="G958" s="18" t="n"/>
      <c r="H958" s="18" t="n"/>
      <c r="I958" s="26">
        <f>IF(OR($A958="",$F958=""),"",ROUND(IF($D958="",1,$D958)*$F958,0))</f>
        <v/>
      </c>
      <c r="J958" s="27">
        <f>IF($A958="","",IF($O958="なし","※通知一覧にない通知No",IF($P958="","",INDEX('支払先'!$C$5:$C$104,$P958)&amp;"")))</f>
        <v/>
      </c>
      <c r="K958" s="28">
        <f>IF(NOT(ISNUMBER($O958)),"",IF(ISNUMBER(INDEX('通知一覧'!$F$5:$F$204,$O958)),INDEX('通知一覧'!$F$5:$F$204,$O958),""))</f>
        <v/>
      </c>
      <c r="L958" s="29">
        <f>IF(AND(ISNUMBER($B958),ISNUMBER($K958)),$K958-$B958+1,"")</f>
        <v/>
      </c>
      <c r="M958" s="30">
        <f>IF(OR($L958="",$P958=""),"",IF(INDEX('支払先'!$M$5:$M$104,$P958)="対象外","",IF(AND($L958&gt;60,$K958&gt;=EDATE($B958,2)),"超える","")))</f>
        <v/>
      </c>
      <c r="N958" s="67" t="n"/>
      <c r="O958" s="31">
        <f>IF($A958="","",IFERROR(MATCH($A958,'通知一覧'!$B$5:$B$204,0),"なし"))</f>
        <v/>
      </c>
      <c r="P958" s="31">
        <f>IF(NOT(ISNUMBER($O958)),"",IFERROR(MATCH(INDEX('通知一覧'!$C$5:$C$204,$O958),'支払先'!$B$5:$B$104,0),""))</f>
        <v/>
      </c>
      <c r="Q958" s="31">
        <f>IF(AND($A958&lt;&gt;"",$A958='支払通知書'!$K$2),ROW(),"")</f>
        <v/>
      </c>
    </row>
    <row r="959" ht="18" customHeight="1">
      <c r="A959" s="18" t="n"/>
      <c r="B959" s="24" t="n"/>
      <c r="C959" s="19" t="n"/>
      <c r="D959" s="25" t="n"/>
      <c r="E959" s="18" t="n"/>
      <c r="F959" s="25" t="n"/>
      <c r="G959" s="18" t="n"/>
      <c r="H959" s="18" t="n"/>
      <c r="I959" s="26">
        <f>IF(OR($A959="",$F959=""),"",ROUND(IF($D959="",1,$D959)*$F959,0))</f>
        <v/>
      </c>
      <c r="J959" s="27">
        <f>IF($A959="","",IF($O959="なし","※通知一覧にない通知No",IF($P959="","",INDEX('支払先'!$C$5:$C$104,$P959)&amp;"")))</f>
        <v/>
      </c>
      <c r="K959" s="28">
        <f>IF(NOT(ISNUMBER($O959)),"",IF(ISNUMBER(INDEX('通知一覧'!$F$5:$F$204,$O959)),INDEX('通知一覧'!$F$5:$F$204,$O959),""))</f>
        <v/>
      </c>
      <c r="L959" s="29">
        <f>IF(AND(ISNUMBER($B959),ISNUMBER($K959)),$K959-$B959+1,"")</f>
        <v/>
      </c>
      <c r="M959" s="30">
        <f>IF(OR($L959="",$P959=""),"",IF(INDEX('支払先'!$M$5:$M$104,$P959)="対象外","",IF(AND($L959&gt;60,$K959&gt;=EDATE($B959,2)),"超える","")))</f>
        <v/>
      </c>
      <c r="N959" s="67" t="n"/>
      <c r="O959" s="31">
        <f>IF($A959="","",IFERROR(MATCH($A959,'通知一覧'!$B$5:$B$204,0),"なし"))</f>
        <v/>
      </c>
      <c r="P959" s="31">
        <f>IF(NOT(ISNUMBER($O959)),"",IFERROR(MATCH(INDEX('通知一覧'!$C$5:$C$204,$O959),'支払先'!$B$5:$B$104,0),""))</f>
        <v/>
      </c>
      <c r="Q959" s="31">
        <f>IF(AND($A959&lt;&gt;"",$A959='支払通知書'!$K$2),ROW(),"")</f>
        <v/>
      </c>
    </row>
    <row r="960" ht="18" customHeight="1">
      <c r="A960" s="18" t="n"/>
      <c r="B960" s="24" t="n"/>
      <c r="C960" s="19" t="n"/>
      <c r="D960" s="25" t="n"/>
      <c r="E960" s="18" t="n"/>
      <c r="F960" s="25" t="n"/>
      <c r="G960" s="18" t="n"/>
      <c r="H960" s="18" t="n"/>
      <c r="I960" s="26">
        <f>IF(OR($A960="",$F960=""),"",ROUND(IF($D960="",1,$D960)*$F960,0))</f>
        <v/>
      </c>
      <c r="J960" s="27">
        <f>IF($A960="","",IF($O960="なし","※通知一覧にない通知No",IF($P960="","",INDEX('支払先'!$C$5:$C$104,$P960)&amp;"")))</f>
        <v/>
      </c>
      <c r="K960" s="28">
        <f>IF(NOT(ISNUMBER($O960)),"",IF(ISNUMBER(INDEX('通知一覧'!$F$5:$F$204,$O960)),INDEX('通知一覧'!$F$5:$F$204,$O960),""))</f>
        <v/>
      </c>
      <c r="L960" s="29">
        <f>IF(AND(ISNUMBER($B960),ISNUMBER($K960)),$K960-$B960+1,"")</f>
        <v/>
      </c>
      <c r="M960" s="30">
        <f>IF(OR($L960="",$P960=""),"",IF(INDEX('支払先'!$M$5:$M$104,$P960)="対象外","",IF(AND($L960&gt;60,$K960&gt;=EDATE($B960,2)),"超える","")))</f>
        <v/>
      </c>
      <c r="N960" s="67" t="n"/>
      <c r="O960" s="31">
        <f>IF($A960="","",IFERROR(MATCH($A960,'通知一覧'!$B$5:$B$204,0),"なし"))</f>
        <v/>
      </c>
      <c r="P960" s="31">
        <f>IF(NOT(ISNUMBER($O960)),"",IFERROR(MATCH(INDEX('通知一覧'!$C$5:$C$204,$O960),'支払先'!$B$5:$B$104,0),""))</f>
        <v/>
      </c>
      <c r="Q960" s="31">
        <f>IF(AND($A960&lt;&gt;"",$A960='支払通知書'!$K$2),ROW(),"")</f>
        <v/>
      </c>
    </row>
    <row r="961" ht="18" customHeight="1">
      <c r="A961" s="18" t="n"/>
      <c r="B961" s="24" t="n"/>
      <c r="C961" s="19" t="n"/>
      <c r="D961" s="25" t="n"/>
      <c r="E961" s="18" t="n"/>
      <c r="F961" s="25" t="n"/>
      <c r="G961" s="18" t="n"/>
      <c r="H961" s="18" t="n"/>
      <c r="I961" s="26">
        <f>IF(OR($A961="",$F961=""),"",ROUND(IF($D961="",1,$D961)*$F961,0))</f>
        <v/>
      </c>
      <c r="J961" s="27">
        <f>IF($A961="","",IF($O961="なし","※通知一覧にない通知No",IF($P961="","",INDEX('支払先'!$C$5:$C$104,$P961)&amp;"")))</f>
        <v/>
      </c>
      <c r="K961" s="28">
        <f>IF(NOT(ISNUMBER($O961)),"",IF(ISNUMBER(INDEX('通知一覧'!$F$5:$F$204,$O961)),INDEX('通知一覧'!$F$5:$F$204,$O961),""))</f>
        <v/>
      </c>
      <c r="L961" s="29">
        <f>IF(AND(ISNUMBER($B961),ISNUMBER($K961)),$K961-$B961+1,"")</f>
        <v/>
      </c>
      <c r="M961" s="30">
        <f>IF(OR($L961="",$P961=""),"",IF(INDEX('支払先'!$M$5:$M$104,$P961)="対象外","",IF(AND($L961&gt;60,$K961&gt;=EDATE($B961,2)),"超える","")))</f>
        <v/>
      </c>
      <c r="N961" s="67" t="n"/>
      <c r="O961" s="31">
        <f>IF($A961="","",IFERROR(MATCH($A961,'通知一覧'!$B$5:$B$204,0),"なし"))</f>
        <v/>
      </c>
      <c r="P961" s="31">
        <f>IF(NOT(ISNUMBER($O961)),"",IFERROR(MATCH(INDEX('通知一覧'!$C$5:$C$204,$O961),'支払先'!$B$5:$B$104,0),""))</f>
        <v/>
      </c>
      <c r="Q961" s="31">
        <f>IF(AND($A961&lt;&gt;"",$A961='支払通知書'!$K$2),ROW(),"")</f>
        <v/>
      </c>
    </row>
    <row r="962" ht="18" customHeight="1">
      <c r="A962" s="18" t="n"/>
      <c r="B962" s="24" t="n"/>
      <c r="C962" s="19" t="n"/>
      <c r="D962" s="25" t="n"/>
      <c r="E962" s="18" t="n"/>
      <c r="F962" s="25" t="n"/>
      <c r="G962" s="18" t="n"/>
      <c r="H962" s="18" t="n"/>
      <c r="I962" s="26">
        <f>IF(OR($A962="",$F962=""),"",ROUND(IF($D962="",1,$D962)*$F962,0))</f>
        <v/>
      </c>
      <c r="J962" s="27">
        <f>IF($A962="","",IF($O962="なし","※通知一覧にない通知No",IF($P962="","",INDEX('支払先'!$C$5:$C$104,$P962)&amp;"")))</f>
        <v/>
      </c>
      <c r="K962" s="28">
        <f>IF(NOT(ISNUMBER($O962)),"",IF(ISNUMBER(INDEX('通知一覧'!$F$5:$F$204,$O962)),INDEX('通知一覧'!$F$5:$F$204,$O962),""))</f>
        <v/>
      </c>
      <c r="L962" s="29">
        <f>IF(AND(ISNUMBER($B962),ISNUMBER($K962)),$K962-$B962+1,"")</f>
        <v/>
      </c>
      <c r="M962" s="30">
        <f>IF(OR($L962="",$P962=""),"",IF(INDEX('支払先'!$M$5:$M$104,$P962)="対象外","",IF(AND($L962&gt;60,$K962&gt;=EDATE($B962,2)),"超える","")))</f>
        <v/>
      </c>
      <c r="N962" s="67" t="n"/>
      <c r="O962" s="31">
        <f>IF($A962="","",IFERROR(MATCH($A962,'通知一覧'!$B$5:$B$204,0),"なし"))</f>
        <v/>
      </c>
      <c r="P962" s="31">
        <f>IF(NOT(ISNUMBER($O962)),"",IFERROR(MATCH(INDEX('通知一覧'!$C$5:$C$204,$O962),'支払先'!$B$5:$B$104,0),""))</f>
        <v/>
      </c>
      <c r="Q962" s="31">
        <f>IF(AND($A962&lt;&gt;"",$A962='支払通知書'!$K$2),ROW(),"")</f>
        <v/>
      </c>
    </row>
    <row r="963" ht="18" customHeight="1">
      <c r="A963" s="18" t="n"/>
      <c r="B963" s="24" t="n"/>
      <c r="C963" s="19" t="n"/>
      <c r="D963" s="25" t="n"/>
      <c r="E963" s="18" t="n"/>
      <c r="F963" s="25" t="n"/>
      <c r="G963" s="18" t="n"/>
      <c r="H963" s="18" t="n"/>
      <c r="I963" s="26">
        <f>IF(OR($A963="",$F963=""),"",ROUND(IF($D963="",1,$D963)*$F963,0))</f>
        <v/>
      </c>
      <c r="J963" s="27">
        <f>IF($A963="","",IF($O963="なし","※通知一覧にない通知No",IF($P963="","",INDEX('支払先'!$C$5:$C$104,$P963)&amp;"")))</f>
        <v/>
      </c>
      <c r="K963" s="28">
        <f>IF(NOT(ISNUMBER($O963)),"",IF(ISNUMBER(INDEX('通知一覧'!$F$5:$F$204,$O963)),INDEX('通知一覧'!$F$5:$F$204,$O963),""))</f>
        <v/>
      </c>
      <c r="L963" s="29">
        <f>IF(AND(ISNUMBER($B963),ISNUMBER($K963)),$K963-$B963+1,"")</f>
        <v/>
      </c>
      <c r="M963" s="30">
        <f>IF(OR($L963="",$P963=""),"",IF(INDEX('支払先'!$M$5:$M$104,$P963)="対象外","",IF(AND($L963&gt;60,$K963&gt;=EDATE($B963,2)),"超える","")))</f>
        <v/>
      </c>
      <c r="N963" s="67" t="n"/>
      <c r="O963" s="31">
        <f>IF($A963="","",IFERROR(MATCH($A963,'通知一覧'!$B$5:$B$204,0),"なし"))</f>
        <v/>
      </c>
      <c r="P963" s="31">
        <f>IF(NOT(ISNUMBER($O963)),"",IFERROR(MATCH(INDEX('通知一覧'!$C$5:$C$204,$O963),'支払先'!$B$5:$B$104,0),""))</f>
        <v/>
      </c>
      <c r="Q963" s="31">
        <f>IF(AND($A963&lt;&gt;"",$A963='支払通知書'!$K$2),ROW(),"")</f>
        <v/>
      </c>
    </row>
    <row r="964" ht="18" customHeight="1">
      <c r="A964" s="18" t="n"/>
      <c r="B964" s="24" t="n"/>
      <c r="C964" s="19" t="n"/>
      <c r="D964" s="25" t="n"/>
      <c r="E964" s="18" t="n"/>
      <c r="F964" s="25" t="n"/>
      <c r="G964" s="18" t="n"/>
      <c r="H964" s="18" t="n"/>
      <c r="I964" s="26">
        <f>IF(OR($A964="",$F964=""),"",ROUND(IF($D964="",1,$D964)*$F964,0))</f>
        <v/>
      </c>
      <c r="J964" s="27">
        <f>IF($A964="","",IF($O964="なし","※通知一覧にない通知No",IF($P964="","",INDEX('支払先'!$C$5:$C$104,$P964)&amp;"")))</f>
        <v/>
      </c>
      <c r="K964" s="28">
        <f>IF(NOT(ISNUMBER($O964)),"",IF(ISNUMBER(INDEX('通知一覧'!$F$5:$F$204,$O964)),INDEX('通知一覧'!$F$5:$F$204,$O964),""))</f>
        <v/>
      </c>
      <c r="L964" s="29">
        <f>IF(AND(ISNUMBER($B964),ISNUMBER($K964)),$K964-$B964+1,"")</f>
        <v/>
      </c>
      <c r="M964" s="30">
        <f>IF(OR($L964="",$P964=""),"",IF(INDEX('支払先'!$M$5:$M$104,$P964)="対象外","",IF(AND($L964&gt;60,$K964&gt;=EDATE($B964,2)),"超える","")))</f>
        <v/>
      </c>
      <c r="N964" s="67" t="n"/>
      <c r="O964" s="31">
        <f>IF($A964="","",IFERROR(MATCH($A964,'通知一覧'!$B$5:$B$204,0),"なし"))</f>
        <v/>
      </c>
      <c r="P964" s="31">
        <f>IF(NOT(ISNUMBER($O964)),"",IFERROR(MATCH(INDEX('通知一覧'!$C$5:$C$204,$O964),'支払先'!$B$5:$B$104,0),""))</f>
        <v/>
      </c>
      <c r="Q964" s="31">
        <f>IF(AND($A964&lt;&gt;"",$A964='支払通知書'!$K$2),ROW(),"")</f>
        <v/>
      </c>
    </row>
    <row r="965" ht="18" customHeight="1">
      <c r="A965" s="18" t="n"/>
      <c r="B965" s="24" t="n"/>
      <c r="C965" s="19" t="n"/>
      <c r="D965" s="25" t="n"/>
      <c r="E965" s="18" t="n"/>
      <c r="F965" s="25" t="n"/>
      <c r="G965" s="18" t="n"/>
      <c r="H965" s="18" t="n"/>
      <c r="I965" s="26">
        <f>IF(OR($A965="",$F965=""),"",ROUND(IF($D965="",1,$D965)*$F965,0))</f>
        <v/>
      </c>
      <c r="J965" s="27">
        <f>IF($A965="","",IF($O965="なし","※通知一覧にない通知No",IF($P965="","",INDEX('支払先'!$C$5:$C$104,$P965)&amp;"")))</f>
        <v/>
      </c>
      <c r="K965" s="28">
        <f>IF(NOT(ISNUMBER($O965)),"",IF(ISNUMBER(INDEX('通知一覧'!$F$5:$F$204,$O965)),INDEX('通知一覧'!$F$5:$F$204,$O965),""))</f>
        <v/>
      </c>
      <c r="L965" s="29">
        <f>IF(AND(ISNUMBER($B965),ISNUMBER($K965)),$K965-$B965+1,"")</f>
        <v/>
      </c>
      <c r="M965" s="30">
        <f>IF(OR($L965="",$P965=""),"",IF(INDEX('支払先'!$M$5:$M$104,$P965)="対象外","",IF(AND($L965&gt;60,$K965&gt;=EDATE($B965,2)),"超える","")))</f>
        <v/>
      </c>
      <c r="N965" s="67" t="n"/>
      <c r="O965" s="31">
        <f>IF($A965="","",IFERROR(MATCH($A965,'通知一覧'!$B$5:$B$204,0),"なし"))</f>
        <v/>
      </c>
      <c r="P965" s="31">
        <f>IF(NOT(ISNUMBER($O965)),"",IFERROR(MATCH(INDEX('通知一覧'!$C$5:$C$204,$O965),'支払先'!$B$5:$B$104,0),""))</f>
        <v/>
      </c>
      <c r="Q965" s="31">
        <f>IF(AND($A965&lt;&gt;"",$A965='支払通知書'!$K$2),ROW(),"")</f>
        <v/>
      </c>
    </row>
    <row r="966" ht="18" customHeight="1">
      <c r="A966" s="18" t="n"/>
      <c r="B966" s="24" t="n"/>
      <c r="C966" s="19" t="n"/>
      <c r="D966" s="25" t="n"/>
      <c r="E966" s="18" t="n"/>
      <c r="F966" s="25" t="n"/>
      <c r="G966" s="18" t="n"/>
      <c r="H966" s="18" t="n"/>
      <c r="I966" s="26">
        <f>IF(OR($A966="",$F966=""),"",ROUND(IF($D966="",1,$D966)*$F966,0))</f>
        <v/>
      </c>
      <c r="J966" s="27">
        <f>IF($A966="","",IF($O966="なし","※通知一覧にない通知No",IF($P966="","",INDEX('支払先'!$C$5:$C$104,$P966)&amp;"")))</f>
        <v/>
      </c>
      <c r="K966" s="28">
        <f>IF(NOT(ISNUMBER($O966)),"",IF(ISNUMBER(INDEX('通知一覧'!$F$5:$F$204,$O966)),INDEX('通知一覧'!$F$5:$F$204,$O966),""))</f>
        <v/>
      </c>
      <c r="L966" s="29">
        <f>IF(AND(ISNUMBER($B966),ISNUMBER($K966)),$K966-$B966+1,"")</f>
        <v/>
      </c>
      <c r="M966" s="30">
        <f>IF(OR($L966="",$P966=""),"",IF(INDEX('支払先'!$M$5:$M$104,$P966)="対象外","",IF(AND($L966&gt;60,$K966&gt;=EDATE($B966,2)),"超える","")))</f>
        <v/>
      </c>
      <c r="N966" s="67" t="n"/>
      <c r="O966" s="31">
        <f>IF($A966="","",IFERROR(MATCH($A966,'通知一覧'!$B$5:$B$204,0),"なし"))</f>
        <v/>
      </c>
      <c r="P966" s="31">
        <f>IF(NOT(ISNUMBER($O966)),"",IFERROR(MATCH(INDEX('通知一覧'!$C$5:$C$204,$O966),'支払先'!$B$5:$B$104,0),""))</f>
        <v/>
      </c>
      <c r="Q966" s="31">
        <f>IF(AND($A966&lt;&gt;"",$A966='支払通知書'!$K$2),ROW(),"")</f>
        <v/>
      </c>
    </row>
    <row r="967" ht="18" customHeight="1">
      <c r="A967" s="18" t="n"/>
      <c r="B967" s="24" t="n"/>
      <c r="C967" s="19" t="n"/>
      <c r="D967" s="25" t="n"/>
      <c r="E967" s="18" t="n"/>
      <c r="F967" s="25" t="n"/>
      <c r="G967" s="18" t="n"/>
      <c r="H967" s="18" t="n"/>
      <c r="I967" s="26">
        <f>IF(OR($A967="",$F967=""),"",ROUND(IF($D967="",1,$D967)*$F967,0))</f>
        <v/>
      </c>
      <c r="J967" s="27">
        <f>IF($A967="","",IF($O967="なし","※通知一覧にない通知No",IF($P967="","",INDEX('支払先'!$C$5:$C$104,$P967)&amp;"")))</f>
        <v/>
      </c>
      <c r="K967" s="28">
        <f>IF(NOT(ISNUMBER($O967)),"",IF(ISNUMBER(INDEX('通知一覧'!$F$5:$F$204,$O967)),INDEX('通知一覧'!$F$5:$F$204,$O967),""))</f>
        <v/>
      </c>
      <c r="L967" s="29">
        <f>IF(AND(ISNUMBER($B967),ISNUMBER($K967)),$K967-$B967+1,"")</f>
        <v/>
      </c>
      <c r="M967" s="30">
        <f>IF(OR($L967="",$P967=""),"",IF(INDEX('支払先'!$M$5:$M$104,$P967)="対象外","",IF(AND($L967&gt;60,$K967&gt;=EDATE($B967,2)),"超える","")))</f>
        <v/>
      </c>
      <c r="N967" s="67" t="n"/>
      <c r="O967" s="31">
        <f>IF($A967="","",IFERROR(MATCH($A967,'通知一覧'!$B$5:$B$204,0),"なし"))</f>
        <v/>
      </c>
      <c r="P967" s="31">
        <f>IF(NOT(ISNUMBER($O967)),"",IFERROR(MATCH(INDEX('通知一覧'!$C$5:$C$204,$O967),'支払先'!$B$5:$B$104,0),""))</f>
        <v/>
      </c>
      <c r="Q967" s="31">
        <f>IF(AND($A967&lt;&gt;"",$A967='支払通知書'!$K$2),ROW(),"")</f>
        <v/>
      </c>
    </row>
    <row r="968" ht="18" customHeight="1">
      <c r="A968" s="18" t="n"/>
      <c r="B968" s="24" t="n"/>
      <c r="C968" s="19" t="n"/>
      <c r="D968" s="25" t="n"/>
      <c r="E968" s="18" t="n"/>
      <c r="F968" s="25" t="n"/>
      <c r="G968" s="18" t="n"/>
      <c r="H968" s="18" t="n"/>
      <c r="I968" s="26">
        <f>IF(OR($A968="",$F968=""),"",ROUND(IF($D968="",1,$D968)*$F968,0))</f>
        <v/>
      </c>
      <c r="J968" s="27">
        <f>IF($A968="","",IF($O968="なし","※通知一覧にない通知No",IF($P968="","",INDEX('支払先'!$C$5:$C$104,$P968)&amp;"")))</f>
        <v/>
      </c>
      <c r="K968" s="28">
        <f>IF(NOT(ISNUMBER($O968)),"",IF(ISNUMBER(INDEX('通知一覧'!$F$5:$F$204,$O968)),INDEX('通知一覧'!$F$5:$F$204,$O968),""))</f>
        <v/>
      </c>
      <c r="L968" s="29">
        <f>IF(AND(ISNUMBER($B968),ISNUMBER($K968)),$K968-$B968+1,"")</f>
        <v/>
      </c>
      <c r="M968" s="30">
        <f>IF(OR($L968="",$P968=""),"",IF(INDEX('支払先'!$M$5:$M$104,$P968)="対象外","",IF(AND($L968&gt;60,$K968&gt;=EDATE($B968,2)),"超える","")))</f>
        <v/>
      </c>
      <c r="N968" s="67" t="n"/>
      <c r="O968" s="31">
        <f>IF($A968="","",IFERROR(MATCH($A968,'通知一覧'!$B$5:$B$204,0),"なし"))</f>
        <v/>
      </c>
      <c r="P968" s="31">
        <f>IF(NOT(ISNUMBER($O968)),"",IFERROR(MATCH(INDEX('通知一覧'!$C$5:$C$204,$O968),'支払先'!$B$5:$B$104,0),""))</f>
        <v/>
      </c>
      <c r="Q968" s="31">
        <f>IF(AND($A968&lt;&gt;"",$A968='支払通知書'!$K$2),ROW(),"")</f>
        <v/>
      </c>
    </row>
    <row r="969" ht="18" customHeight="1">
      <c r="A969" s="18" t="n"/>
      <c r="B969" s="24" t="n"/>
      <c r="C969" s="19" t="n"/>
      <c r="D969" s="25" t="n"/>
      <c r="E969" s="18" t="n"/>
      <c r="F969" s="25" t="n"/>
      <c r="G969" s="18" t="n"/>
      <c r="H969" s="18" t="n"/>
      <c r="I969" s="26">
        <f>IF(OR($A969="",$F969=""),"",ROUND(IF($D969="",1,$D969)*$F969,0))</f>
        <v/>
      </c>
      <c r="J969" s="27">
        <f>IF($A969="","",IF($O969="なし","※通知一覧にない通知No",IF($P969="","",INDEX('支払先'!$C$5:$C$104,$P969)&amp;"")))</f>
        <v/>
      </c>
      <c r="K969" s="28">
        <f>IF(NOT(ISNUMBER($O969)),"",IF(ISNUMBER(INDEX('通知一覧'!$F$5:$F$204,$O969)),INDEX('通知一覧'!$F$5:$F$204,$O969),""))</f>
        <v/>
      </c>
      <c r="L969" s="29">
        <f>IF(AND(ISNUMBER($B969),ISNUMBER($K969)),$K969-$B969+1,"")</f>
        <v/>
      </c>
      <c r="M969" s="30">
        <f>IF(OR($L969="",$P969=""),"",IF(INDEX('支払先'!$M$5:$M$104,$P969)="対象外","",IF(AND($L969&gt;60,$K969&gt;=EDATE($B969,2)),"超える","")))</f>
        <v/>
      </c>
      <c r="N969" s="67" t="n"/>
      <c r="O969" s="31">
        <f>IF($A969="","",IFERROR(MATCH($A969,'通知一覧'!$B$5:$B$204,0),"なし"))</f>
        <v/>
      </c>
      <c r="P969" s="31">
        <f>IF(NOT(ISNUMBER($O969)),"",IFERROR(MATCH(INDEX('通知一覧'!$C$5:$C$204,$O969),'支払先'!$B$5:$B$104,0),""))</f>
        <v/>
      </c>
      <c r="Q969" s="31">
        <f>IF(AND($A969&lt;&gt;"",$A969='支払通知書'!$K$2),ROW(),"")</f>
        <v/>
      </c>
    </row>
    <row r="970" ht="18" customHeight="1">
      <c r="A970" s="18" t="n"/>
      <c r="B970" s="24" t="n"/>
      <c r="C970" s="19" t="n"/>
      <c r="D970" s="25" t="n"/>
      <c r="E970" s="18" t="n"/>
      <c r="F970" s="25" t="n"/>
      <c r="G970" s="18" t="n"/>
      <c r="H970" s="18" t="n"/>
      <c r="I970" s="26">
        <f>IF(OR($A970="",$F970=""),"",ROUND(IF($D970="",1,$D970)*$F970,0))</f>
        <v/>
      </c>
      <c r="J970" s="27">
        <f>IF($A970="","",IF($O970="なし","※通知一覧にない通知No",IF($P970="","",INDEX('支払先'!$C$5:$C$104,$P970)&amp;"")))</f>
        <v/>
      </c>
      <c r="K970" s="28">
        <f>IF(NOT(ISNUMBER($O970)),"",IF(ISNUMBER(INDEX('通知一覧'!$F$5:$F$204,$O970)),INDEX('通知一覧'!$F$5:$F$204,$O970),""))</f>
        <v/>
      </c>
      <c r="L970" s="29">
        <f>IF(AND(ISNUMBER($B970),ISNUMBER($K970)),$K970-$B970+1,"")</f>
        <v/>
      </c>
      <c r="M970" s="30">
        <f>IF(OR($L970="",$P970=""),"",IF(INDEX('支払先'!$M$5:$M$104,$P970)="対象外","",IF(AND($L970&gt;60,$K970&gt;=EDATE($B970,2)),"超える","")))</f>
        <v/>
      </c>
      <c r="N970" s="67" t="n"/>
      <c r="O970" s="31">
        <f>IF($A970="","",IFERROR(MATCH($A970,'通知一覧'!$B$5:$B$204,0),"なし"))</f>
        <v/>
      </c>
      <c r="P970" s="31">
        <f>IF(NOT(ISNUMBER($O970)),"",IFERROR(MATCH(INDEX('通知一覧'!$C$5:$C$204,$O970),'支払先'!$B$5:$B$104,0),""))</f>
        <v/>
      </c>
      <c r="Q970" s="31">
        <f>IF(AND($A970&lt;&gt;"",$A970='支払通知書'!$K$2),ROW(),"")</f>
        <v/>
      </c>
    </row>
    <row r="971" ht="18" customHeight="1">
      <c r="A971" s="18" t="n"/>
      <c r="B971" s="24" t="n"/>
      <c r="C971" s="19" t="n"/>
      <c r="D971" s="25" t="n"/>
      <c r="E971" s="18" t="n"/>
      <c r="F971" s="25" t="n"/>
      <c r="G971" s="18" t="n"/>
      <c r="H971" s="18" t="n"/>
      <c r="I971" s="26">
        <f>IF(OR($A971="",$F971=""),"",ROUND(IF($D971="",1,$D971)*$F971,0))</f>
        <v/>
      </c>
      <c r="J971" s="27">
        <f>IF($A971="","",IF($O971="なし","※通知一覧にない通知No",IF($P971="","",INDEX('支払先'!$C$5:$C$104,$P971)&amp;"")))</f>
        <v/>
      </c>
      <c r="K971" s="28">
        <f>IF(NOT(ISNUMBER($O971)),"",IF(ISNUMBER(INDEX('通知一覧'!$F$5:$F$204,$O971)),INDEX('通知一覧'!$F$5:$F$204,$O971),""))</f>
        <v/>
      </c>
      <c r="L971" s="29">
        <f>IF(AND(ISNUMBER($B971),ISNUMBER($K971)),$K971-$B971+1,"")</f>
        <v/>
      </c>
      <c r="M971" s="30">
        <f>IF(OR($L971="",$P971=""),"",IF(INDEX('支払先'!$M$5:$M$104,$P971)="対象外","",IF(AND($L971&gt;60,$K971&gt;=EDATE($B971,2)),"超える","")))</f>
        <v/>
      </c>
      <c r="N971" s="67" t="n"/>
      <c r="O971" s="31">
        <f>IF($A971="","",IFERROR(MATCH($A971,'通知一覧'!$B$5:$B$204,0),"なし"))</f>
        <v/>
      </c>
      <c r="P971" s="31">
        <f>IF(NOT(ISNUMBER($O971)),"",IFERROR(MATCH(INDEX('通知一覧'!$C$5:$C$204,$O971),'支払先'!$B$5:$B$104,0),""))</f>
        <v/>
      </c>
      <c r="Q971" s="31">
        <f>IF(AND($A971&lt;&gt;"",$A971='支払通知書'!$K$2),ROW(),"")</f>
        <v/>
      </c>
    </row>
    <row r="972" ht="18" customHeight="1">
      <c r="A972" s="18" t="n"/>
      <c r="B972" s="24" t="n"/>
      <c r="C972" s="19" t="n"/>
      <c r="D972" s="25" t="n"/>
      <c r="E972" s="18" t="n"/>
      <c r="F972" s="25" t="n"/>
      <c r="G972" s="18" t="n"/>
      <c r="H972" s="18" t="n"/>
      <c r="I972" s="26">
        <f>IF(OR($A972="",$F972=""),"",ROUND(IF($D972="",1,$D972)*$F972,0))</f>
        <v/>
      </c>
      <c r="J972" s="27">
        <f>IF($A972="","",IF($O972="なし","※通知一覧にない通知No",IF($P972="","",INDEX('支払先'!$C$5:$C$104,$P972)&amp;"")))</f>
        <v/>
      </c>
      <c r="K972" s="28">
        <f>IF(NOT(ISNUMBER($O972)),"",IF(ISNUMBER(INDEX('通知一覧'!$F$5:$F$204,$O972)),INDEX('通知一覧'!$F$5:$F$204,$O972),""))</f>
        <v/>
      </c>
      <c r="L972" s="29">
        <f>IF(AND(ISNUMBER($B972),ISNUMBER($K972)),$K972-$B972+1,"")</f>
        <v/>
      </c>
      <c r="M972" s="30">
        <f>IF(OR($L972="",$P972=""),"",IF(INDEX('支払先'!$M$5:$M$104,$P972)="対象外","",IF(AND($L972&gt;60,$K972&gt;=EDATE($B972,2)),"超える","")))</f>
        <v/>
      </c>
      <c r="N972" s="67" t="n"/>
      <c r="O972" s="31">
        <f>IF($A972="","",IFERROR(MATCH($A972,'通知一覧'!$B$5:$B$204,0),"なし"))</f>
        <v/>
      </c>
      <c r="P972" s="31">
        <f>IF(NOT(ISNUMBER($O972)),"",IFERROR(MATCH(INDEX('通知一覧'!$C$5:$C$204,$O972),'支払先'!$B$5:$B$104,0),""))</f>
        <v/>
      </c>
      <c r="Q972" s="31">
        <f>IF(AND($A972&lt;&gt;"",$A972='支払通知書'!$K$2),ROW(),"")</f>
        <v/>
      </c>
    </row>
    <row r="973" ht="18" customHeight="1">
      <c r="A973" s="18" t="n"/>
      <c r="B973" s="24" t="n"/>
      <c r="C973" s="19" t="n"/>
      <c r="D973" s="25" t="n"/>
      <c r="E973" s="18" t="n"/>
      <c r="F973" s="25" t="n"/>
      <c r="G973" s="18" t="n"/>
      <c r="H973" s="18" t="n"/>
      <c r="I973" s="26">
        <f>IF(OR($A973="",$F973=""),"",ROUND(IF($D973="",1,$D973)*$F973,0))</f>
        <v/>
      </c>
      <c r="J973" s="27">
        <f>IF($A973="","",IF($O973="なし","※通知一覧にない通知No",IF($P973="","",INDEX('支払先'!$C$5:$C$104,$P973)&amp;"")))</f>
        <v/>
      </c>
      <c r="K973" s="28">
        <f>IF(NOT(ISNUMBER($O973)),"",IF(ISNUMBER(INDEX('通知一覧'!$F$5:$F$204,$O973)),INDEX('通知一覧'!$F$5:$F$204,$O973),""))</f>
        <v/>
      </c>
      <c r="L973" s="29">
        <f>IF(AND(ISNUMBER($B973),ISNUMBER($K973)),$K973-$B973+1,"")</f>
        <v/>
      </c>
      <c r="M973" s="30">
        <f>IF(OR($L973="",$P973=""),"",IF(INDEX('支払先'!$M$5:$M$104,$P973)="対象外","",IF(AND($L973&gt;60,$K973&gt;=EDATE($B973,2)),"超える","")))</f>
        <v/>
      </c>
      <c r="N973" s="67" t="n"/>
      <c r="O973" s="31">
        <f>IF($A973="","",IFERROR(MATCH($A973,'通知一覧'!$B$5:$B$204,0),"なし"))</f>
        <v/>
      </c>
      <c r="P973" s="31">
        <f>IF(NOT(ISNUMBER($O973)),"",IFERROR(MATCH(INDEX('通知一覧'!$C$5:$C$204,$O973),'支払先'!$B$5:$B$104,0),""))</f>
        <v/>
      </c>
      <c r="Q973" s="31">
        <f>IF(AND($A973&lt;&gt;"",$A973='支払通知書'!$K$2),ROW(),"")</f>
        <v/>
      </c>
    </row>
    <row r="974" ht="18" customHeight="1">
      <c r="A974" s="18" t="n"/>
      <c r="B974" s="24" t="n"/>
      <c r="C974" s="19" t="n"/>
      <c r="D974" s="25" t="n"/>
      <c r="E974" s="18" t="n"/>
      <c r="F974" s="25" t="n"/>
      <c r="G974" s="18" t="n"/>
      <c r="H974" s="18" t="n"/>
      <c r="I974" s="26">
        <f>IF(OR($A974="",$F974=""),"",ROUND(IF($D974="",1,$D974)*$F974,0))</f>
        <v/>
      </c>
      <c r="J974" s="27">
        <f>IF($A974="","",IF($O974="なし","※通知一覧にない通知No",IF($P974="","",INDEX('支払先'!$C$5:$C$104,$P974)&amp;"")))</f>
        <v/>
      </c>
      <c r="K974" s="28">
        <f>IF(NOT(ISNUMBER($O974)),"",IF(ISNUMBER(INDEX('通知一覧'!$F$5:$F$204,$O974)),INDEX('通知一覧'!$F$5:$F$204,$O974),""))</f>
        <v/>
      </c>
      <c r="L974" s="29">
        <f>IF(AND(ISNUMBER($B974),ISNUMBER($K974)),$K974-$B974+1,"")</f>
        <v/>
      </c>
      <c r="M974" s="30">
        <f>IF(OR($L974="",$P974=""),"",IF(INDEX('支払先'!$M$5:$M$104,$P974)="対象外","",IF(AND($L974&gt;60,$K974&gt;=EDATE($B974,2)),"超える","")))</f>
        <v/>
      </c>
      <c r="N974" s="67" t="n"/>
      <c r="O974" s="31">
        <f>IF($A974="","",IFERROR(MATCH($A974,'通知一覧'!$B$5:$B$204,0),"なし"))</f>
        <v/>
      </c>
      <c r="P974" s="31">
        <f>IF(NOT(ISNUMBER($O974)),"",IFERROR(MATCH(INDEX('通知一覧'!$C$5:$C$204,$O974),'支払先'!$B$5:$B$104,0),""))</f>
        <v/>
      </c>
      <c r="Q974" s="31">
        <f>IF(AND($A974&lt;&gt;"",$A974='支払通知書'!$K$2),ROW(),"")</f>
        <v/>
      </c>
    </row>
    <row r="975" ht="18" customHeight="1">
      <c r="A975" s="18" t="n"/>
      <c r="B975" s="24" t="n"/>
      <c r="C975" s="19" t="n"/>
      <c r="D975" s="25" t="n"/>
      <c r="E975" s="18" t="n"/>
      <c r="F975" s="25" t="n"/>
      <c r="G975" s="18" t="n"/>
      <c r="H975" s="18" t="n"/>
      <c r="I975" s="26">
        <f>IF(OR($A975="",$F975=""),"",ROUND(IF($D975="",1,$D975)*$F975,0))</f>
        <v/>
      </c>
      <c r="J975" s="27">
        <f>IF($A975="","",IF($O975="なし","※通知一覧にない通知No",IF($P975="","",INDEX('支払先'!$C$5:$C$104,$P975)&amp;"")))</f>
        <v/>
      </c>
      <c r="K975" s="28">
        <f>IF(NOT(ISNUMBER($O975)),"",IF(ISNUMBER(INDEX('通知一覧'!$F$5:$F$204,$O975)),INDEX('通知一覧'!$F$5:$F$204,$O975),""))</f>
        <v/>
      </c>
      <c r="L975" s="29">
        <f>IF(AND(ISNUMBER($B975),ISNUMBER($K975)),$K975-$B975+1,"")</f>
        <v/>
      </c>
      <c r="M975" s="30">
        <f>IF(OR($L975="",$P975=""),"",IF(INDEX('支払先'!$M$5:$M$104,$P975)="対象外","",IF(AND($L975&gt;60,$K975&gt;=EDATE($B975,2)),"超える","")))</f>
        <v/>
      </c>
      <c r="N975" s="67" t="n"/>
      <c r="O975" s="31">
        <f>IF($A975="","",IFERROR(MATCH($A975,'通知一覧'!$B$5:$B$204,0),"なし"))</f>
        <v/>
      </c>
      <c r="P975" s="31">
        <f>IF(NOT(ISNUMBER($O975)),"",IFERROR(MATCH(INDEX('通知一覧'!$C$5:$C$204,$O975),'支払先'!$B$5:$B$104,0),""))</f>
        <v/>
      </c>
      <c r="Q975" s="31">
        <f>IF(AND($A975&lt;&gt;"",$A975='支払通知書'!$K$2),ROW(),"")</f>
        <v/>
      </c>
    </row>
    <row r="976" ht="18" customHeight="1">
      <c r="A976" s="18" t="n"/>
      <c r="B976" s="24" t="n"/>
      <c r="C976" s="19" t="n"/>
      <c r="D976" s="25" t="n"/>
      <c r="E976" s="18" t="n"/>
      <c r="F976" s="25" t="n"/>
      <c r="G976" s="18" t="n"/>
      <c r="H976" s="18" t="n"/>
      <c r="I976" s="26">
        <f>IF(OR($A976="",$F976=""),"",ROUND(IF($D976="",1,$D976)*$F976,0))</f>
        <v/>
      </c>
      <c r="J976" s="27">
        <f>IF($A976="","",IF($O976="なし","※通知一覧にない通知No",IF($P976="","",INDEX('支払先'!$C$5:$C$104,$P976)&amp;"")))</f>
        <v/>
      </c>
      <c r="K976" s="28">
        <f>IF(NOT(ISNUMBER($O976)),"",IF(ISNUMBER(INDEX('通知一覧'!$F$5:$F$204,$O976)),INDEX('通知一覧'!$F$5:$F$204,$O976),""))</f>
        <v/>
      </c>
      <c r="L976" s="29">
        <f>IF(AND(ISNUMBER($B976),ISNUMBER($K976)),$K976-$B976+1,"")</f>
        <v/>
      </c>
      <c r="M976" s="30">
        <f>IF(OR($L976="",$P976=""),"",IF(INDEX('支払先'!$M$5:$M$104,$P976)="対象外","",IF(AND($L976&gt;60,$K976&gt;=EDATE($B976,2)),"超える","")))</f>
        <v/>
      </c>
      <c r="N976" s="67" t="n"/>
      <c r="O976" s="31">
        <f>IF($A976="","",IFERROR(MATCH($A976,'通知一覧'!$B$5:$B$204,0),"なし"))</f>
        <v/>
      </c>
      <c r="P976" s="31">
        <f>IF(NOT(ISNUMBER($O976)),"",IFERROR(MATCH(INDEX('通知一覧'!$C$5:$C$204,$O976),'支払先'!$B$5:$B$104,0),""))</f>
        <v/>
      </c>
      <c r="Q976" s="31">
        <f>IF(AND($A976&lt;&gt;"",$A976='支払通知書'!$K$2),ROW(),"")</f>
        <v/>
      </c>
    </row>
    <row r="977" ht="18" customHeight="1">
      <c r="A977" s="18" t="n"/>
      <c r="B977" s="24" t="n"/>
      <c r="C977" s="19" t="n"/>
      <c r="D977" s="25" t="n"/>
      <c r="E977" s="18" t="n"/>
      <c r="F977" s="25" t="n"/>
      <c r="G977" s="18" t="n"/>
      <c r="H977" s="18" t="n"/>
      <c r="I977" s="26">
        <f>IF(OR($A977="",$F977=""),"",ROUND(IF($D977="",1,$D977)*$F977,0))</f>
        <v/>
      </c>
      <c r="J977" s="27">
        <f>IF($A977="","",IF($O977="なし","※通知一覧にない通知No",IF($P977="","",INDEX('支払先'!$C$5:$C$104,$P977)&amp;"")))</f>
        <v/>
      </c>
      <c r="K977" s="28">
        <f>IF(NOT(ISNUMBER($O977)),"",IF(ISNUMBER(INDEX('通知一覧'!$F$5:$F$204,$O977)),INDEX('通知一覧'!$F$5:$F$204,$O977),""))</f>
        <v/>
      </c>
      <c r="L977" s="29">
        <f>IF(AND(ISNUMBER($B977),ISNUMBER($K977)),$K977-$B977+1,"")</f>
        <v/>
      </c>
      <c r="M977" s="30">
        <f>IF(OR($L977="",$P977=""),"",IF(INDEX('支払先'!$M$5:$M$104,$P977)="対象外","",IF(AND($L977&gt;60,$K977&gt;=EDATE($B977,2)),"超える","")))</f>
        <v/>
      </c>
      <c r="N977" s="67" t="n"/>
      <c r="O977" s="31">
        <f>IF($A977="","",IFERROR(MATCH($A977,'通知一覧'!$B$5:$B$204,0),"なし"))</f>
        <v/>
      </c>
      <c r="P977" s="31">
        <f>IF(NOT(ISNUMBER($O977)),"",IFERROR(MATCH(INDEX('通知一覧'!$C$5:$C$204,$O977),'支払先'!$B$5:$B$104,0),""))</f>
        <v/>
      </c>
      <c r="Q977" s="31">
        <f>IF(AND($A977&lt;&gt;"",$A977='支払通知書'!$K$2),ROW(),"")</f>
        <v/>
      </c>
    </row>
    <row r="978" ht="18" customHeight="1">
      <c r="A978" s="18" t="n"/>
      <c r="B978" s="24" t="n"/>
      <c r="C978" s="19" t="n"/>
      <c r="D978" s="25" t="n"/>
      <c r="E978" s="18" t="n"/>
      <c r="F978" s="25" t="n"/>
      <c r="G978" s="18" t="n"/>
      <c r="H978" s="18" t="n"/>
      <c r="I978" s="26">
        <f>IF(OR($A978="",$F978=""),"",ROUND(IF($D978="",1,$D978)*$F978,0))</f>
        <v/>
      </c>
      <c r="J978" s="27">
        <f>IF($A978="","",IF($O978="なし","※通知一覧にない通知No",IF($P978="","",INDEX('支払先'!$C$5:$C$104,$P978)&amp;"")))</f>
        <v/>
      </c>
      <c r="K978" s="28">
        <f>IF(NOT(ISNUMBER($O978)),"",IF(ISNUMBER(INDEX('通知一覧'!$F$5:$F$204,$O978)),INDEX('通知一覧'!$F$5:$F$204,$O978),""))</f>
        <v/>
      </c>
      <c r="L978" s="29">
        <f>IF(AND(ISNUMBER($B978),ISNUMBER($K978)),$K978-$B978+1,"")</f>
        <v/>
      </c>
      <c r="M978" s="30">
        <f>IF(OR($L978="",$P978=""),"",IF(INDEX('支払先'!$M$5:$M$104,$P978)="対象外","",IF(AND($L978&gt;60,$K978&gt;=EDATE($B978,2)),"超える","")))</f>
        <v/>
      </c>
      <c r="N978" s="67" t="n"/>
      <c r="O978" s="31">
        <f>IF($A978="","",IFERROR(MATCH($A978,'通知一覧'!$B$5:$B$204,0),"なし"))</f>
        <v/>
      </c>
      <c r="P978" s="31">
        <f>IF(NOT(ISNUMBER($O978)),"",IFERROR(MATCH(INDEX('通知一覧'!$C$5:$C$204,$O978),'支払先'!$B$5:$B$104,0),""))</f>
        <v/>
      </c>
      <c r="Q978" s="31">
        <f>IF(AND($A978&lt;&gt;"",$A978='支払通知書'!$K$2),ROW(),"")</f>
        <v/>
      </c>
    </row>
    <row r="979" ht="18" customHeight="1">
      <c r="A979" s="18" t="n"/>
      <c r="B979" s="24" t="n"/>
      <c r="C979" s="19" t="n"/>
      <c r="D979" s="25" t="n"/>
      <c r="E979" s="18" t="n"/>
      <c r="F979" s="25" t="n"/>
      <c r="G979" s="18" t="n"/>
      <c r="H979" s="18" t="n"/>
      <c r="I979" s="26">
        <f>IF(OR($A979="",$F979=""),"",ROUND(IF($D979="",1,$D979)*$F979,0))</f>
        <v/>
      </c>
      <c r="J979" s="27">
        <f>IF($A979="","",IF($O979="なし","※通知一覧にない通知No",IF($P979="","",INDEX('支払先'!$C$5:$C$104,$P979)&amp;"")))</f>
        <v/>
      </c>
      <c r="K979" s="28">
        <f>IF(NOT(ISNUMBER($O979)),"",IF(ISNUMBER(INDEX('通知一覧'!$F$5:$F$204,$O979)),INDEX('通知一覧'!$F$5:$F$204,$O979),""))</f>
        <v/>
      </c>
      <c r="L979" s="29">
        <f>IF(AND(ISNUMBER($B979),ISNUMBER($K979)),$K979-$B979+1,"")</f>
        <v/>
      </c>
      <c r="M979" s="30">
        <f>IF(OR($L979="",$P979=""),"",IF(INDEX('支払先'!$M$5:$M$104,$P979)="対象外","",IF(AND($L979&gt;60,$K979&gt;=EDATE($B979,2)),"超える","")))</f>
        <v/>
      </c>
      <c r="N979" s="67" t="n"/>
      <c r="O979" s="31">
        <f>IF($A979="","",IFERROR(MATCH($A979,'通知一覧'!$B$5:$B$204,0),"なし"))</f>
        <v/>
      </c>
      <c r="P979" s="31">
        <f>IF(NOT(ISNUMBER($O979)),"",IFERROR(MATCH(INDEX('通知一覧'!$C$5:$C$204,$O979),'支払先'!$B$5:$B$104,0),""))</f>
        <v/>
      </c>
      <c r="Q979" s="31">
        <f>IF(AND($A979&lt;&gt;"",$A979='支払通知書'!$K$2),ROW(),"")</f>
        <v/>
      </c>
    </row>
    <row r="980" ht="18" customHeight="1">
      <c r="A980" s="18" t="n"/>
      <c r="B980" s="24" t="n"/>
      <c r="C980" s="19" t="n"/>
      <c r="D980" s="25" t="n"/>
      <c r="E980" s="18" t="n"/>
      <c r="F980" s="25" t="n"/>
      <c r="G980" s="18" t="n"/>
      <c r="H980" s="18" t="n"/>
      <c r="I980" s="26">
        <f>IF(OR($A980="",$F980=""),"",ROUND(IF($D980="",1,$D980)*$F980,0))</f>
        <v/>
      </c>
      <c r="J980" s="27">
        <f>IF($A980="","",IF($O980="なし","※通知一覧にない通知No",IF($P980="","",INDEX('支払先'!$C$5:$C$104,$P980)&amp;"")))</f>
        <v/>
      </c>
      <c r="K980" s="28">
        <f>IF(NOT(ISNUMBER($O980)),"",IF(ISNUMBER(INDEX('通知一覧'!$F$5:$F$204,$O980)),INDEX('通知一覧'!$F$5:$F$204,$O980),""))</f>
        <v/>
      </c>
      <c r="L980" s="29">
        <f>IF(AND(ISNUMBER($B980),ISNUMBER($K980)),$K980-$B980+1,"")</f>
        <v/>
      </c>
      <c r="M980" s="30">
        <f>IF(OR($L980="",$P980=""),"",IF(INDEX('支払先'!$M$5:$M$104,$P980)="対象外","",IF(AND($L980&gt;60,$K980&gt;=EDATE($B980,2)),"超える","")))</f>
        <v/>
      </c>
      <c r="N980" s="67" t="n"/>
      <c r="O980" s="31">
        <f>IF($A980="","",IFERROR(MATCH($A980,'通知一覧'!$B$5:$B$204,0),"なし"))</f>
        <v/>
      </c>
      <c r="P980" s="31">
        <f>IF(NOT(ISNUMBER($O980)),"",IFERROR(MATCH(INDEX('通知一覧'!$C$5:$C$204,$O980),'支払先'!$B$5:$B$104,0),""))</f>
        <v/>
      </c>
      <c r="Q980" s="31">
        <f>IF(AND($A980&lt;&gt;"",$A980='支払通知書'!$K$2),ROW(),"")</f>
        <v/>
      </c>
    </row>
    <row r="981" ht="18" customHeight="1">
      <c r="A981" s="18" t="n"/>
      <c r="B981" s="24" t="n"/>
      <c r="C981" s="19" t="n"/>
      <c r="D981" s="25" t="n"/>
      <c r="E981" s="18" t="n"/>
      <c r="F981" s="25" t="n"/>
      <c r="G981" s="18" t="n"/>
      <c r="H981" s="18" t="n"/>
      <c r="I981" s="26">
        <f>IF(OR($A981="",$F981=""),"",ROUND(IF($D981="",1,$D981)*$F981,0))</f>
        <v/>
      </c>
      <c r="J981" s="27">
        <f>IF($A981="","",IF($O981="なし","※通知一覧にない通知No",IF($P981="","",INDEX('支払先'!$C$5:$C$104,$P981)&amp;"")))</f>
        <v/>
      </c>
      <c r="K981" s="28">
        <f>IF(NOT(ISNUMBER($O981)),"",IF(ISNUMBER(INDEX('通知一覧'!$F$5:$F$204,$O981)),INDEX('通知一覧'!$F$5:$F$204,$O981),""))</f>
        <v/>
      </c>
      <c r="L981" s="29">
        <f>IF(AND(ISNUMBER($B981),ISNUMBER($K981)),$K981-$B981+1,"")</f>
        <v/>
      </c>
      <c r="M981" s="30">
        <f>IF(OR($L981="",$P981=""),"",IF(INDEX('支払先'!$M$5:$M$104,$P981)="対象外","",IF(AND($L981&gt;60,$K981&gt;=EDATE($B981,2)),"超える","")))</f>
        <v/>
      </c>
      <c r="N981" s="67" t="n"/>
      <c r="O981" s="31">
        <f>IF($A981="","",IFERROR(MATCH($A981,'通知一覧'!$B$5:$B$204,0),"なし"))</f>
        <v/>
      </c>
      <c r="P981" s="31">
        <f>IF(NOT(ISNUMBER($O981)),"",IFERROR(MATCH(INDEX('通知一覧'!$C$5:$C$204,$O981),'支払先'!$B$5:$B$104,0),""))</f>
        <v/>
      </c>
      <c r="Q981" s="31">
        <f>IF(AND($A981&lt;&gt;"",$A981='支払通知書'!$K$2),ROW(),"")</f>
        <v/>
      </c>
    </row>
    <row r="982" ht="18" customHeight="1">
      <c r="A982" s="18" t="n"/>
      <c r="B982" s="24" t="n"/>
      <c r="C982" s="19" t="n"/>
      <c r="D982" s="25" t="n"/>
      <c r="E982" s="18" t="n"/>
      <c r="F982" s="25" t="n"/>
      <c r="G982" s="18" t="n"/>
      <c r="H982" s="18" t="n"/>
      <c r="I982" s="26">
        <f>IF(OR($A982="",$F982=""),"",ROUND(IF($D982="",1,$D982)*$F982,0))</f>
        <v/>
      </c>
      <c r="J982" s="27">
        <f>IF($A982="","",IF($O982="なし","※通知一覧にない通知No",IF($P982="","",INDEX('支払先'!$C$5:$C$104,$P982)&amp;"")))</f>
        <v/>
      </c>
      <c r="K982" s="28">
        <f>IF(NOT(ISNUMBER($O982)),"",IF(ISNUMBER(INDEX('通知一覧'!$F$5:$F$204,$O982)),INDEX('通知一覧'!$F$5:$F$204,$O982),""))</f>
        <v/>
      </c>
      <c r="L982" s="29">
        <f>IF(AND(ISNUMBER($B982),ISNUMBER($K982)),$K982-$B982+1,"")</f>
        <v/>
      </c>
      <c r="M982" s="30">
        <f>IF(OR($L982="",$P982=""),"",IF(INDEX('支払先'!$M$5:$M$104,$P982)="対象外","",IF(AND($L982&gt;60,$K982&gt;=EDATE($B982,2)),"超える","")))</f>
        <v/>
      </c>
      <c r="N982" s="67" t="n"/>
      <c r="O982" s="31">
        <f>IF($A982="","",IFERROR(MATCH($A982,'通知一覧'!$B$5:$B$204,0),"なし"))</f>
        <v/>
      </c>
      <c r="P982" s="31">
        <f>IF(NOT(ISNUMBER($O982)),"",IFERROR(MATCH(INDEX('通知一覧'!$C$5:$C$204,$O982),'支払先'!$B$5:$B$104,0),""))</f>
        <v/>
      </c>
      <c r="Q982" s="31">
        <f>IF(AND($A982&lt;&gt;"",$A982='支払通知書'!$K$2),ROW(),"")</f>
        <v/>
      </c>
    </row>
    <row r="983" ht="18" customHeight="1">
      <c r="A983" s="18" t="n"/>
      <c r="B983" s="24" t="n"/>
      <c r="C983" s="19" t="n"/>
      <c r="D983" s="25" t="n"/>
      <c r="E983" s="18" t="n"/>
      <c r="F983" s="25" t="n"/>
      <c r="G983" s="18" t="n"/>
      <c r="H983" s="18" t="n"/>
      <c r="I983" s="26">
        <f>IF(OR($A983="",$F983=""),"",ROUND(IF($D983="",1,$D983)*$F983,0))</f>
        <v/>
      </c>
      <c r="J983" s="27">
        <f>IF($A983="","",IF($O983="なし","※通知一覧にない通知No",IF($P983="","",INDEX('支払先'!$C$5:$C$104,$P983)&amp;"")))</f>
        <v/>
      </c>
      <c r="K983" s="28">
        <f>IF(NOT(ISNUMBER($O983)),"",IF(ISNUMBER(INDEX('通知一覧'!$F$5:$F$204,$O983)),INDEX('通知一覧'!$F$5:$F$204,$O983),""))</f>
        <v/>
      </c>
      <c r="L983" s="29">
        <f>IF(AND(ISNUMBER($B983),ISNUMBER($K983)),$K983-$B983+1,"")</f>
        <v/>
      </c>
      <c r="M983" s="30">
        <f>IF(OR($L983="",$P983=""),"",IF(INDEX('支払先'!$M$5:$M$104,$P983)="対象外","",IF(AND($L983&gt;60,$K983&gt;=EDATE($B983,2)),"超える","")))</f>
        <v/>
      </c>
      <c r="N983" s="67" t="n"/>
      <c r="O983" s="31">
        <f>IF($A983="","",IFERROR(MATCH($A983,'通知一覧'!$B$5:$B$204,0),"なし"))</f>
        <v/>
      </c>
      <c r="P983" s="31">
        <f>IF(NOT(ISNUMBER($O983)),"",IFERROR(MATCH(INDEX('通知一覧'!$C$5:$C$204,$O983),'支払先'!$B$5:$B$104,0),""))</f>
        <v/>
      </c>
      <c r="Q983" s="31">
        <f>IF(AND($A983&lt;&gt;"",$A983='支払通知書'!$K$2),ROW(),"")</f>
        <v/>
      </c>
    </row>
    <row r="984" ht="18" customHeight="1">
      <c r="A984" s="18" t="n"/>
      <c r="B984" s="24" t="n"/>
      <c r="C984" s="19" t="n"/>
      <c r="D984" s="25" t="n"/>
      <c r="E984" s="18" t="n"/>
      <c r="F984" s="25" t="n"/>
      <c r="G984" s="18" t="n"/>
      <c r="H984" s="18" t="n"/>
      <c r="I984" s="26">
        <f>IF(OR($A984="",$F984=""),"",ROUND(IF($D984="",1,$D984)*$F984,0))</f>
        <v/>
      </c>
      <c r="J984" s="27">
        <f>IF($A984="","",IF($O984="なし","※通知一覧にない通知No",IF($P984="","",INDEX('支払先'!$C$5:$C$104,$P984)&amp;"")))</f>
        <v/>
      </c>
      <c r="K984" s="28">
        <f>IF(NOT(ISNUMBER($O984)),"",IF(ISNUMBER(INDEX('通知一覧'!$F$5:$F$204,$O984)),INDEX('通知一覧'!$F$5:$F$204,$O984),""))</f>
        <v/>
      </c>
      <c r="L984" s="29">
        <f>IF(AND(ISNUMBER($B984),ISNUMBER($K984)),$K984-$B984+1,"")</f>
        <v/>
      </c>
      <c r="M984" s="30">
        <f>IF(OR($L984="",$P984=""),"",IF(INDEX('支払先'!$M$5:$M$104,$P984)="対象外","",IF(AND($L984&gt;60,$K984&gt;=EDATE($B984,2)),"超える","")))</f>
        <v/>
      </c>
      <c r="N984" s="67" t="n"/>
      <c r="O984" s="31">
        <f>IF($A984="","",IFERROR(MATCH($A984,'通知一覧'!$B$5:$B$204,0),"なし"))</f>
        <v/>
      </c>
      <c r="P984" s="31">
        <f>IF(NOT(ISNUMBER($O984)),"",IFERROR(MATCH(INDEX('通知一覧'!$C$5:$C$204,$O984),'支払先'!$B$5:$B$104,0),""))</f>
        <v/>
      </c>
      <c r="Q984" s="31">
        <f>IF(AND($A984&lt;&gt;"",$A984='支払通知書'!$K$2),ROW(),"")</f>
        <v/>
      </c>
    </row>
    <row r="985" ht="18" customHeight="1">
      <c r="A985" s="18" t="n"/>
      <c r="B985" s="24" t="n"/>
      <c r="C985" s="19" t="n"/>
      <c r="D985" s="25" t="n"/>
      <c r="E985" s="18" t="n"/>
      <c r="F985" s="25" t="n"/>
      <c r="G985" s="18" t="n"/>
      <c r="H985" s="18" t="n"/>
      <c r="I985" s="26">
        <f>IF(OR($A985="",$F985=""),"",ROUND(IF($D985="",1,$D985)*$F985,0))</f>
        <v/>
      </c>
      <c r="J985" s="27">
        <f>IF($A985="","",IF($O985="なし","※通知一覧にない通知No",IF($P985="","",INDEX('支払先'!$C$5:$C$104,$P985)&amp;"")))</f>
        <v/>
      </c>
      <c r="K985" s="28">
        <f>IF(NOT(ISNUMBER($O985)),"",IF(ISNUMBER(INDEX('通知一覧'!$F$5:$F$204,$O985)),INDEX('通知一覧'!$F$5:$F$204,$O985),""))</f>
        <v/>
      </c>
      <c r="L985" s="29">
        <f>IF(AND(ISNUMBER($B985),ISNUMBER($K985)),$K985-$B985+1,"")</f>
        <v/>
      </c>
      <c r="M985" s="30">
        <f>IF(OR($L985="",$P985=""),"",IF(INDEX('支払先'!$M$5:$M$104,$P985)="対象外","",IF(AND($L985&gt;60,$K985&gt;=EDATE($B985,2)),"超える","")))</f>
        <v/>
      </c>
      <c r="N985" s="67" t="n"/>
      <c r="O985" s="31">
        <f>IF($A985="","",IFERROR(MATCH($A985,'通知一覧'!$B$5:$B$204,0),"なし"))</f>
        <v/>
      </c>
      <c r="P985" s="31">
        <f>IF(NOT(ISNUMBER($O985)),"",IFERROR(MATCH(INDEX('通知一覧'!$C$5:$C$204,$O985),'支払先'!$B$5:$B$104,0),""))</f>
        <v/>
      </c>
      <c r="Q985" s="31">
        <f>IF(AND($A985&lt;&gt;"",$A985='支払通知書'!$K$2),ROW(),"")</f>
        <v/>
      </c>
    </row>
    <row r="986" ht="18" customHeight="1">
      <c r="A986" s="18" t="n"/>
      <c r="B986" s="24" t="n"/>
      <c r="C986" s="19" t="n"/>
      <c r="D986" s="25" t="n"/>
      <c r="E986" s="18" t="n"/>
      <c r="F986" s="25" t="n"/>
      <c r="G986" s="18" t="n"/>
      <c r="H986" s="18" t="n"/>
      <c r="I986" s="26">
        <f>IF(OR($A986="",$F986=""),"",ROUND(IF($D986="",1,$D986)*$F986,0))</f>
        <v/>
      </c>
      <c r="J986" s="27">
        <f>IF($A986="","",IF($O986="なし","※通知一覧にない通知No",IF($P986="","",INDEX('支払先'!$C$5:$C$104,$P986)&amp;"")))</f>
        <v/>
      </c>
      <c r="K986" s="28">
        <f>IF(NOT(ISNUMBER($O986)),"",IF(ISNUMBER(INDEX('通知一覧'!$F$5:$F$204,$O986)),INDEX('通知一覧'!$F$5:$F$204,$O986),""))</f>
        <v/>
      </c>
      <c r="L986" s="29">
        <f>IF(AND(ISNUMBER($B986),ISNUMBER($K986)),$K986-$B986+1,"")</f>
        <v/>
      </c>
      <c r="M986" s="30">
        <f>IF(OR($L986="",$P986=""),"",IF(INDEX('支払先'!$M$5:$M$104,$P986)="対象外","",IF(AND($L986&gt;60,$K986&gt;=EDATE($B986,2)),"超える","")))</f>
        <v/>
      </c>
      <c r="N986" s="67" t="n"/>
      <c r="O986" s="31">
        <f>IF($A986="","",IFERROR(MATCH($A986,'通知一覧'!$B$5:$B$204,0),"なし"))</f>
        <v/>
      </c>
      <c r="P986" s="31">
        <f>IF(NOT(ISNUMBER($O986)),"",IFERROR(MATCH(INDEX('通知一覧'!$C$5:$C$204,$O986),'支払先'!$B$5:$B$104,0),""))</f>
        <v/>
      </c>
      <c r="Q986" s="31">
        <f>IF(AND($A986&lt;&gt;"",$A986='支払通知書'!$K$2),ROW(),"")</f>
        <v/>
      </c>
    </row>
    <row r="987" ht="18" customHeight="1">
      <c r="A987" s="18" t="n"/>
      <c r="B987" s="24" t="n"/>
      <c r="C987" s="19" t="n"/>
      <c r="D987" s="25" t="n"/>
      <c r="E987" s="18" t="n"/>
      <c r="F987" s="25" t="n"/>
      <c r="G987" s="18" t="n"/>
      <c r="H987" s="18" t="n"/>
      <c r="I987" s="26">
        <f>IF(OR($A987="",$F987=""),"",ROUND(IF($D987="",1,$D987)*$F987,0))</f>
        <v/>
      </c>
      <c r="J987" s="27">
        <f>IF($A987="","",IF($O987="なし","※通知一覧にない通知No",IF($P987="","",INDEX('支払先'!$C$5:$C$104,$P987)&amp;"")))</f>
        <v/>
      </c>
      <c r="K987" s="28">
        <f>IF(NOT(ISNUMBER($O987)),"",IF(ISNUMBER(INDEX('通知一覧'!$F$5:$F$204,$O987)),INDEX('通知一覧'!$F$5:$F$204,$O987),""))</f>
        <v/>
      </c>
      <c r="L987" s="29">
        <f>IF(AND(ISNUMBER($B987),ISNUMBER($K987)),$K987-$B987+1,"")</f>
        <v/>
      </c>
      <c r="M987" s="30">
        <f>IF(OR($L987="",$P987=""),"",IF(INDEX('支払先'!$M$5:$M$104,$P987)="対象外","",IF(AND($L987&gt;60,$K987&gt;=EDATE($B987,2)),"超える","")))</f>
        <v/>
      </c>
      <c r="N987" s="67" t="n"/>
      <c r="O987" s="31">
        <f>IF($A987="","",IFERROR(MATCH($A987,'通知一覧'!$B$5:$B$204,0),"なし"))</f>
        <v/>
      </c>
      <c r="P987" s="31">
        <f>IF(NOT(ISNUMBER($O987)),"",IFERROR(MATCH(INDEX('通知一覧'!$C$5:$C$204,$O987),'支払先'!$B$5:$B$104,0),""))</f>
        <v/>
      </c>
      <c r="Q987" s="31">
        <f>IF(AND($A987&lt;&gt;"",$A987='支払通知書'!$K$2),ROW(),"")</f>
        <v/>
      </c>
    </row>
    <row r="988" ht="18" customHeight="1">
      <c r="A988" s="18" t="n"/>
      <c r="B988" s="24" t="n"/>
      <c r="C988" s="19" t="n"/>
      <c r="D988" s="25" t="n"/>
      <c r="E988" s="18" t="n"/>
      <c r="F988" s="25" t="n"/>
      <c r="G988" s="18" t="n"/>
      <c r="H988" s="18" t="n"/>
      <c r="I988" s="26">
        <f>IF(OR($A988="",$F988=""),"",ROUND(IF($D988="",1,$D988)*$F988,0))</f>
        <v/>
      </c>
      <c r="J988" s="27">
        <f>IF($A988="","",IF($O988="なし","※通知一覧にない通知No",IF($P988="","",INDEX('支払先'!$C$5:$C$104,$P988)&amp;"")))</f>
        <v/>
      </c>
      <c r="K988" s="28">
        <f>IF(NOT(ISNUMBER($O988)),"",IF(ISNUMBER(INDEX('通知一覧'!$F$5:$F$204,$O988)),INDEX('通知一覧'!$F$5:$F$204,$O988),""))</f>
        <v/>
      </c>
      <c r="L988" s="29">
        <f>IF(AND(ISNUMBER($B988),ISNUMBER($K988)),$K988-$B988+1,"")</f>
        <v/>
      </c>
      <c r="M988" s="30">
        <f>IF(OR($L988="",$P988=""),"",IF(INDEX('支払先'!$M$5:$M$104,$P988)="対象外","",IF(AND($L988&gt;60,$K988&gt;=EDATE($B988,2)),"超える","")))</f>
        <v/>
      </c>
      <c r="N988" s="67" t="n"/>
      <c r="O988" s="31">
        <f>IF($A988="","",IFERROR(MATCH($A988,'通知一覧'!$B$5:$B$204,0),"なし"))</f>
        <v/>
      </c>
      <c r="P988" s="31">
        <f>IF(NOT(ISNUMBER($O988)),"",IFERROR(MATCH(INDEX('通知一覧'!$C$5:$C$204,$O988),'支払先'!$B$5:$B$104,0),""))</f>
        <v/>
      </c>
      <c r="Q988" s="31">
        <f>IF(AND($A988&lt;&gt;"",$A988='支払通知書'!$K$2),ROW(),"")</f>
        <v/>
      </c>
    </row>
    <row r="989" ht="18" customHeight="1">
      <c r="A989" s="18" t="n"/>
      <c r="B989" s="24" t="n"/>
      <c r="C989" s="19" t="n"/>
      <c r="D989" s="25" t="n"/>
      <c r="E989" s="18" t="n"/>
      <c r="F989" s="25" t="n"/>
      <c r="G989" s="18" t="n"/>
      <c r="H989" s="18" t="n"/>
      <c r="I989" s="26">
        <f>IF(OR($A989="",$F989=""),"",ROUND(IF($D989="",1,$D989)*$F989,0))</f>
        <v/>
      </c>
      <c r="J989" s="27">
        <f>IF($A989="","",IF($O989="なし","※通知一覧にない通知No",IF($P989="","",INDEX('支払先'!$C$5:$C$104,$P989)&amp;"")))</f>
        <v/>
      </c>
      <c r="K989" s="28">
        <f>IF(NOT(ISNUMBER($O989)),"",IF(ISNUMBER(INDEX('通知一覧'!$F$5:$F$204,$O989)),INDEX('通知一覧'!$F$5:$F$204,$O989),""))</f>
        <v/>
      </c>
      <c r="L989" s="29">
        <f>IF(AND(ISNUMBER($B989),ISNUMBER($K989)),$K989-$B989+1,"")</f>
        <v/>
      </c>
      <c r="M989" s="30">
        <f>IF(OR($L989="",$P989=""),"",IF(INDEX('支払先'!$M$5:$M$104,$P989)="対象外","",IF(AND($L989&gt;60,$K989&gt;=EDATE($B989,2)),"超える","")))</f>
        <v/>
      </c>
      <c r="N989" s="67" t="n"/>
      <c r="O989" s="31">
        <f>IF($A989="","",IFERROR(MATCH($A989,'通知一覧'!$B$5:$B$204,0),"なし"))</f>
        <v/>
      </c>
      <c r="P989" s="31">
        <f>IF(NOT(ISNUMBER($O989)),"",IFERROR(MATCH(INDEX('通知一覧'!$C$5:$C$204,$O989),'支払先'!$B$5:$B$104,0),""))</f>
        <v/>
      </c>
      <c r="Q989" s="31">
        <f>IF(AND($A989&lt;&gt;"",$A989='支払通知書'!$K$2),ROW(),"")</f>
        <v/>
      </c>
    </row>
    <row r="990" ht="18" customHeight="1">
      <c r="A990" s="18" t="n"/>
      <c r="B990" s="24" t="n"/>
      <c r="C990" s="19" t="n"/>
      <c r="D990" s="25" t="n"/>
      <c r="E990" s="18" t="n"/>
      <c r="F990" s="25" t="n"/>
      <c r="G990" s="18" t="n"/>
      <c r="H990" s="18" t="n"/>
      <c r="I990" s="26">
        <f>IF(OR($A990="",$F990=""),"",ROUND(IF($D990="",1,$D990)*$F990,0))</f>
        <v/>
      </c>
      <c r="J990" s="27">
        <f>IF($A990="","",IF($O990="なし","※通知一覧にない通知No",IF($P990="","",INDEX('支払先'!$C$5:$C$104,$P990)&amp;"")))</f>
        <v/>
      </c>
      <c r="K990" s="28">
        <f>IF(NOT(ISNUMBER($O990)),"",IF(ISNUMBER(INDEX('通知一覧'!$F$5:$F$204,$O990)),INDEX('通知一覧'!$F$5:$F$204,$O990),""))</f>
        <v/>
      </c>
      <c r="L990" s="29">
        <f>IF(AND(ISNUMBER($B990),ISNUMBER($K990)),$K990-$B990+1,"")</f>
        <v/>
      </c>
      <c r="M990" s="30">
        <f>IF(OR($L990="",$P990=""),"",IF(INDEX('支払先'!$M$5:$M$104,$P990)="対象外","",IF(AND($L990&gt;60,$K990&gt;=EDATE($B990,2)),"超える","")))</f>
        <v/>
      </c>
      <c r="N990" s="67" t="n"/>
      <c r="O990" s="31">
        <f>IF($A990="","",IFERROR(MATCH($A990,'通知一覧'!$B$5:$B$204,0),"なし"))</f>
        <v/>
      </c>
      <c r="P990" s="31">
        <f>IF(NOT(ISNUMBER($O990)),"",IFERROR(MATCH(INDEX('通知一覧'!$C$5:$C$204,$O990),'支払先'!$B$5:$B$104,0),""))</f>
        <v/>
      </c>
      <c r="Q990" s="31">
        <f>IF(AND($A990&lt;&gt;"",$A990='支払通知書'!$K$2),ROW(),"")</f>
        <v/>
      </c>
    </row>
    <row r="991" ht="18" customHeight="1">
      <c r="A991" s="18" t="n"/>
      <c r="B991" s="24" t="n"/>
      <c r="C991" s="19" t="n"/>
      <c r="D991" s="25" t="n"/>
      <c r="E991" s="18" t="n"/>
      <c r="F991" s="25" t="n"/>
      <c r="G991" s="18" t="n"/>
      <c r="H991" s="18" t="n"/>
      <c r="I991" s="26">
        <f>IF(OR($A991="",$F991=""),"",ROUND(IF($D991="",1,$D991)*$F991,0))</f>
        <v/>
      </c>
      <c r="J991" s="27">
        <f>IF($A991="","",IF($O991="なし","※通知一覧にない通知No",IF($P991="","",INDEX('支払先'!$C$5:$C$104,$P991)&amp;"")))</f>
        <v/>
      </c>
      <c r="K991" s="28">
        <f>IF(NOT(ISNUMBER($O991)),"",IF(ISNUMBER(INDEX('通知一覧'!$F$5:$F$204,$O991)),INDEX('通知一覧'!$F$5:$F$204,$O991),""))</f>
        <v/>
      </c>
      <c r="L991" s="29">
        <f>IF(AND(ISNUMBER($B991),ISNUMBER($K991)),$K991-$B991+1,"")</f>
        <v/>
      </c>
      <c r="M991" s="30">
        <f>IF(OR($L991="",$P991=""),"",IF(INDEX('支払先'!$M$5:$M$104,$P991)="対象外","",IF(AND($L991&gt;60,$K991&gt;=EDATE($B991,2)),"超える","")))</f>
        <v/>
      </c>
      <c r="N991" s="67" t="n"/>
      <c r="O991" s="31">
        <f>IF($A991="","",IFERROR(MATCH($A991,'通知一覧'!$B$5:$B$204,0),"なし"))</f>
        <v/>
      </c>
      <c r="P991" s="31">
        <f>IF(NOT(ISNUMBER($O991)),"",IFERROR(MATCH(INDEX('通知一覧'!$C$5:$C$204,$O991),'支払先'!$B$5:$B$104,0),""))</f>
        <v/>
      </c>
      <c r="Q991" s="31">
        <f>IF(AND($A991&lt;&gt;"",$A991='支払通知書'!$K$2),ROW(),"")</f>
        <v/>
      </c>
    </row>
    <row r="992" ht="18" customHeight="1">
      <c r="A992" s="18" t="n"/>
      <c r="B992" s="24" t="n"/>
      <c r="C992" s="19" t="n"/>
      <c r="D992" s="25" t="n"/>
      <c r="E992" s="18" t="n"/>
      <c r="F992" s="25" t="n"/>
      <c r="G992" s="18" t="n"/>
      <c r="H992" s="18" t="n"/>
      <c r="I992" s="26">
        <f>IF(OR($A992="",$F992=""),"",ROUND(IF($D992="",1,$D992)*$F992,0))</f>
        <v/>
      </c>
      <c r="J992" s="27">
        <f>IF($A992="","",IF($O992="なし","※通知一覧にない通知No",IF($P992="","",INDEX('支払先'!$C$5:$C$104,$P992)&amp;"")))</f>
        <v/>
      </c>
      <c r="K992" s="28">
        <f>IF(NOT(ISNUMBER($O992)),"",IF(ISNUMBER(INDEX('通知一覧'!$F$5:$F$204,$O992)),INDEX('通知一覧'!$F$5:$F$204,$O992),""))</f>
        <v/>
      </c>
      <c r="L992" s="29">
        <f>IF(AND(ISNUMBER($B992),ISNUMBER($K992)),$K992-$B992+1,"")</f>
        <v/>
      </c>
      <c r="M992" s="30">
        <f>IF(OR($L992="",$P992=""),"",IF(INDEX('支払先'!$M$5:$M$104,$P992)="対象外","",IF(AND($L992&gt;60,$K992&gt;=EDATE($B992,2)),"超える","")))</f>
        <v/>
      </c>
      <c r="N992" s="67" t="n"/>
      <c r="O992" s="31">
        <f>IF($A992="","",IFERROR(MATCH($A992,'通知一覧'!$B$5:$B$204,0),"なし"))</f>
        <v/>
      </c>
      <c r="P992" s="31">
        <f>IF(NOT(ISNUMBER($O992)),"",IFERROR(MATCH(INDEX('通知一覧'!$C$5:$C$204,$O992),'支払先'!$B$5:$B$104,0),""))</f>
        <v/>
      </c>
      <c r="Q992" s="31">
        <f>IF(AND($A992&lt;&gt;"",$A992='支払通知書'!$K$2),ROW(),"")</f>
        <v/>
      </c>
    </row>
    <row r="993" ht="18" customHeight="1">
      <c r="A993" s="18" t="n"/>
      <c r="B993" s="24" t="n"/>
      <c r="C993" s="19" t="n"/>
      <c r="D993" s="25" t="n"/>
      <c r="E993" s="18" t="n"/>
      <c r="F993" s="25" t="n"/>
      <c r="G993" s="18" t="n"/>
      <c r="H993" s="18" t="n"/>
      <c r="I993" s="26">
        <f>IF(OR($A993="",$F993=""),"",ROUND(IF($D993="",1,$D993)*$F993,0))</f>
        <v/>
      </c>
      <c r="J993" s="27">
        <f>IF($A993="","",IF($O993="なし","※通知一覧にない通知No",IF($P993="","",INDEX('支払先'!$C$5:$C$104,$P993)&amp;"")))</f>
        <v/>
      </c>
      <c r="K993" s="28">
        <f>IF(NOT(ISNUMBER($O993)),"",IF(ISNUMBER(INDEX('通知一覧'!$F$5:$F$204,$O993)),INDEX('通知一覧'!$F$5:$F$204,$O993),""))</f>
        <v/>
      </c>
      <c r="L993" s="29">
        <f>IF(AND(ISNUMBER($B993),ISNUMBER($K993)),$K993-$B993+1,"")</f>
        <v/>
      </c>
      <c r="M993" s="30">
        <f>IF(OR($L993="",$P993=""),"",IF(INDEX('支払先'!$M$5:$M$104,$P993)="対象外","",IF(AND($L993&gt;60,$K993&gt;=EDATE($B993,2)),"超える","")))</f>
        <v/>
      </c>
      <c r="N993" s="67" t="n"/>
      <c r="O993" s="31">
        <f>IF($A993="","",IFERROR(MATCH($A993,'通知一覧'!$B$5:$B$204,0),"なし"))</f>
        <v/>
      </c>
      <c r="P993" s="31">
        <f>IF(NOT(ISNUMBER($O993)),"",IFERROR(MATCH(INDEX('通知一覧'!$C$5:$C$204,$O993),'支払先'!$B$5:$B$104,0),""))</f>
        <v/>
      </c>
      <c r="Q993" s="31">
        <f>IF(AND($A993&lt;&gt;"",$A993='支払通知書'!$K$2),ROW(),"")</f>
        <v/>
      </c>
    </row>
    <row r="994" ht="18" customHeight="1">
      <c r="A994" s="18" t="n"/>
      <c r="B994" s="24" t="n"/>
      <c r="C994" s="19" t="n"/>
      <c r="D994" s="25" t="n"/>
      <c r="E994" s="18" t="n"/>
      <c r="F994" s="25" t="n"/>
      <c r="G994" s="18" t="n"/>
      <c r="H994" s="18" t="n"/>
      <c r="I994" s="26">
        <f>IF(OR($A994="",$F994=""),"",ROUND(IF($D994="",1,$D994)*$F994,0))</f>
        <v/>
      </c>
      <c r="J994" s="27">
        <f>IF($A994="","",IF($O994="なし","※通知一覧にない通知No",IF($P994="","",INDEX('支払先'!$C$5:$C$104,$P994)&amp;"")))</f>
        <v/>
      </c>
      <c r="K994" s="28">
        <f>IF(NOT(ISNUMBER($O994)),"",IF(ISNUMBER(INDEX('通知一覧'!$F$5:$F$204,$O994)),INDEX('通知一覧'!$F$5:$F$204,$O994),""))</f>
        <v/>
      </c>
      <c r="L994" s="29">
        <f>IF(AND(ISNUMBER($B994),ISNUMBER($K994)),$K994-$B994+1,"")</f>
        <v/>
      </c>
      <c r="M994" s="30">
        <f>IF(OR($L994="",$P994=""),"",IF(INDEX('支払先'!$M$5:$M$104,$P994)="対象外","",IF(AND($L994&gt;60,$K994&gt;=EDATE($B994,2)),"超える","")))</f>
        <v/>
      </c>
      <c r="N994" s="67" t="n"/>
      <c r="O994" s="31">
        <f>IF($A994="","",IFERROR(MATCH($A994,'通知一覧'!$B$5:$B$204,0),"なし"))</f>
        <v/>
      </c>
      <c r="P994" s="31">
        <f>IF(NOT(ISNUMBER($O994)),"",IFERROR(MATCH(INDEX('通知一覧'!$C$5:$C$204,$O994),'支払先'!$B$5:$B$104,0),""))</f>
        <v/>
      </c>
      <c r="Q994" s="31">
        <f>IF(AND($A994&lt;&gt;"",$A994='支払通知書'!$K$2),ROW(),"")</f>
        <v/>
      </c>
    </row>
    <row r="995" ht="18" customHeight="1">
      <c r="A995" s="18" t="n"/>
      <c r="B995" s="24" t="n"/>
      <c r="C995" s="19" t="n"/>
      <c r="D995" s="25" t="n"/>
      <c r="E995" s="18" t="n"/>
      <c r="F995" s="25" t="n"/>
      <c r="G995" s="18" t="n"/>
      <c r="H995" s="18" t="n"/>
      <c r="I995" s="26">
        <f>IF(OR($A995="",$F995=""),"",ROUND(IF($D995="",1,$D995)*$F995,0))</f>
        <v/>
      </c>
      <c r="J995" s="27">
        <f>IF($A995="","",IF($O995="なし","※通知一覧にない通知No",IF($P995="","",INDEX('支払先'!$C$5:$C$104,$P995)&amp;"")))</f>
        <v/>
      </c>
      <c r="K995" s="28">
        <f>IF(NOT(ISNUMBER($O995)),"",IF(ISNUMBER(INDEX('通知一覧'!$F$5:$F$204,$O995)),INDEX('通知一覧'!$F$5:$F$204,$O995),""))</f>
        <v/>
      </c>
      <c r="L995" s="29">
        <f>IF(AND(ISNUMBER($B995),ISNUMBER($K995)),$K995-$B995+1,"")</f>
        <v/>
      </c>
      <c r="M995" s="30">
        <f>IF(OR($L995="",$P995=""),"",IF(INDEX('支払先'!$M$5:$M$104,$P995)="対象外","",IF(AND($L995&gt;60,$K995&gt;=EDATE($B995,2)),"超える","")))</f>
        <v/>
      </c>
      <c r="N995" s="67" t="n"/>
      <c r="O995" s="31">
        <f>IF($A995="","",IFERROR(MATCH($A995,'通知一覧'!$B$5:$B$204,0),"なし"))</f>
        <v/>
      </c>
      <c r="P995" s="31">
        <f>IF(NOT(ISNUMBER($O995)),"",IFERROR(MATCH(INDEX('通知一覧'!$C$5:$C$204,$O995),'支払先'!$B$5:$B$104,0),""))</f>
        <v/>
      </c>
      <c r="Q995" s="31">
        <f>IF(AND($A995&lt;&gt;"",$A995='支払通知書'!$K$2),ROW(),"")</f>
        <v/>
      </c>
    </row>
    <row r="996" ht="18" customHeight="1">
      <c r="A996" s="18" t="n"/>
      <c r="B996" s="24" t="n"/>
      <c r="C996" s="19" t="n"/>
      <c r="D996" s="25" t="n"/>
      <c r="E996" s="18" t="n"/>
      <c r="F996" s="25" t="n"/>
      <c r="G996" s="18" t="n"/>
      <c r="H996" s="18" t="n"/>
      <c r="I996" s="26">
        <f>IF(OR($A996="",$F996=""),"",ROUND(IF($D996="",1,$D996)*$F996,0))</f>
        <v/>
      </c>
      <c r="J996" s="27">
        <f>IF($A996="","",IF($O996="なし","※通知一覧にない通知No",IF($P996="","",INDEX('支払先'!$C$5:$C$104,$P996)&amp;"")))</f>
        <v/>
      </c>
      <c r="K996" s="28">
        <f>IF(NOT(ISNUMBER($O996)),"",IF(ISNUMBER(INDEX('通知一覧'!$F$5:$F$204,$O996)),INDEX('通知一覧'!$F$5:$F$204,$O996),""))</f>
        <v/>
      </c>
      <c r="L996" s="29">
        <f>IF(AND(ISNUMBER($B996),ISNUMBER($K996)),$K996-$B996+1,"")</f>
        <v/>
      </c>
      <c r="M996" s="30">
        <f>IF(OR($L996="",$P996=""),"",IF(INDEX('支払先'!$M$5:$M$104,$P996)="対象外","",IF(AND($L996&gt;60,$K996&gt;=EDATE($B996,2)),"超える","")))</f>
        <v/>
      </c>
      <c r="N996" s="67" t="n"/>
      <c r="O996" s="31">
        <f>IF($A996="","",IFERROR(MATCH($A996,'通知一覧'!$B$5:$B$204,0),"なし"))</f>
        <v/>
      </c>
      <c r="P996" s="31">
        <f>IF(NOT(ISNUMBER($O996)),"",IFERROR(MATCH(INDEX('通知一覧'!$C$5:$C$204,$O996),'支払先'!$B$5:$B$104,0),""))</f>
        <v/>
      </c>
      <c r="Q996" s="31">
        <f>IF(AND($A996&lt;&gt;"",$A996='支払通知書'!$K$2),ROW(),"")</f>
        <v/>
      </c>
    </row>
    <row r="997" ht="18" customHeight="1">
      <c r="A997" s="18" t="n"/>
      <c r="B997" s="24" t="n"/>
      <c r="C997" s="19" t="n"/>
      <c r="D997" s="25" t="n"/>
      <c r="E997" s="18" t="n"/>
      <c r="F997" s="25" t="n"/>
      <c r="G997" s="18" t="n"/>
      <c r="H997" s="18" t="n"/>
      <c r="I997" s="26">
        <f>IF(OR($A997="",$F997=""),"",ROUND(IF($D997="",1,$D997)*$F997,0))</f>
        <v/>
      </c>
      <c r="J997" s="27">
        <f>IF($A997="","",IF($O997="なし","※通知一覧にない通知No",IF($P997="","",INDEX('支払先'!$C$5:$C$104,$P997)&amp;"")))</f>
        <v/>
      </c>
      <c r="K997" s="28">
        <f>IF(NOT(ISNUMBER($O997)),"",IF(ISNUMBER(INDEX('通知一覧'!$F$5:$F$204,$O997)),INDEX('通知一覧'!$F$5:$F$204,$O997),""))</f>
        <v/>
      </c>
      <c r="L997" s="29">
        <f>IF(AND(ISNUMBER($B997),ISNUMBER($K997)),$K997-$B997+1,"")</f>
        <v/>
      </c>
      <c r="M997" s="30">
        <f>IF(OR($L997="",$P997=""),"",IF(INDEX('支払先'!$M$5:$M$104,$P997)="対象外","",IF(AND($L997&gt;60,$K997&gt;=EDATE($B997,2)),"超える","")))</f>
        <v/>
      </c>
      <c r="N997" s="67" t="n"/>
      <c r="O997" s="31">
        <f>IF($A997="","",IFERROR(MATCH($A997,'通知一覧'!$B$5:$B$204,0),"なし"))</f>
        <v/>
      </c>
      <c r="P997" s="31">
        <f>IF(NOT(ISNUMBER($O997)),"",IFERROR(MATCH(INDEX('通知一覧'!$C$5:$C$204,$O997),'支払先'!$B$5:$B$104,0),""))</f>
        <v/>
      </c>
      <c r="Q997" s="31">
        <f>IF(AND($A997&lt;&gt;"",$A997='支払通知書'!$K$2),ROW(),"")</f>
        <v/>
      </c>
    </row>
    <row r="998" ht="18" customHeight="1">
      <c r="A998" s="18" t="n"/>
      <c r="B998" s="24" t="n"/>
      <c r="C998" s="19" t="n"/>
      <c r="D998" s="25" t="n"/>
      <c r="E998" s="18" t="n"/>
      <c r="F998" s="25" t="n"/>
      <c r="G998" s="18" t="n"/>
      <c r="H998" s="18" t="n"/>
      <c r="I998" s="26">
        <f>IF(OR($A998="",$F998=""),"",ROUND(IF($D998="",1,$D998)*$F998,0))</f>
        <v/>
      </c>
      <c r="J998" s="27">
        <f>IF($A998="","",IF($O998="なし","※通知一覧にない通知No",IF($P998="","",INDEX('支払先'!$C$5:$C$104,$P998)&amp;"")))</f>
        <v/>
      </c>
      <c r="K998" s="28">
        <f>IF(NOT(ISNUMBER($O998)),"",IF(ISNUMBER(INDEX('通知一覧'!$F$5:$F$204,$O998)),INDEX('通知一覧'!$F$5:$F$204,$O998),""))</f>
        <v/>
      </c>
      <c r="L998" s="29">
        <f>IF(AND(ISNUMBER($B998),ISNUMBER($K998)),$K998-$B998+1,"")</f>
        <v/>
      </c>
      <c r="M998" s="30">
        <f>IF(OR($L998="",$P998=""),"",IF(INDEX('支払先'!$M$5:$M$104,$P998)="対象外","",IF(AND($L998&gt;60,$K998&gt;=EDATE($B998,2)),"超える","")))</f>
        <v/>
      </c>
      <c r="N998" s="67" t="n"/>
      <c r="O998" s="31">
        <f>IF($A998="","",IFERROR(MATCH($A998,'通知一覧'!$B$5:$B$204,0),"なし"))</f>
        <v/>
      </c>
      <c r="P998" s="31">
        <f>IF(NOT(ISNUMBER($O998)),"",IFERROR(MATCH(INDEX('通知一覧'!$C$5:$C$204,$O998),'支払先'!$B$5:$B$104,0),""))</f>
        <v/>
      </c>
      <c r="Q998" s="31">
        <f>IF(AND($A998&lt;&gt;"",$A998='支払通知書'!$K$2),ROW(),"")</f>
        <v/>
      </c>
    </row>
    <row r="999" ht="18" customHeight="1">
      <c r="A999" s="18" t="n"/>
      <c r="B999" s="24" t="n"/>
      <c r="C999" s="19" t="n"/>
      <c r="D999" s="25" t="n"/>
      <c r="E999" s="18" t="n"/>
      <c r="F999" s="25" t="n"/>
      <c r="G999" s="18" t="n"/>
      <c r="H999" s="18" t="n"/>
      <c r="I999" s="26">
        <f>IF(OR($A999="",$F999=""),"",ROUND(IF($D999="",1,$D999)*$F999,0))</f>
        <v/>
      </c>
      <c r="J999" s="27">
        <f>IF($A999="","",IF($O999="なし","※通知一覧にない通知No",IF($P999="","",INDEX('支払先'!$C$5:$C$104,$P999)&amp;"")))</f>
        <v/>
      </c>
      <c r="K999" s="28">
        <f>IF(NOT(ISNUMBER($O999)),"",IF(ISNUMBER(INDEX('通知一覧'!$F$5:$F$204,$O999)),INDEX('通知一覧'!$F$5:$F$204,$O999),""))</f>
        <v/>
      </c>
      <c r="L999" s="29">
        <f>IF(AND(ISNUMBER($B999),ISNUMBER($K999)),$K999-$B999+1,"")</f>
        <v/>
      </c>
      <c r="M999" s="30">
        <f>IF(OR($L999="",$P999=""),"",IF(INDEX('支払先'!$M$5:$M$104,$P999)="対象外","",IF(AND($L999&gt;60,$K999&gt;=EDATE($B999,2)),"超える","")))</f>
        <v/>
      </c>
      <c r="N999" s="67" t="n"/>
      <c r="O999" s="31">
        <f>IF($A999="","",IFERROR(MATCH($A999,'通知一覧'!$B$5:$B$204,0),"なし"))</f>
        <v/>
      </c>
      <c r="P999" s="31">
        <f>IF(NOT(ISNUMBER($O999)),"",IFERROR(MATCH(INDEX('通知一覧'!$C$5:$C$204,$O999),'支払先'!$B$5:$B$104,0),""))</f>
        <v/>
      </c>
      <c r="Q999" s="31">
        <f>IF(AND($A999&lt;&gt;"",$A999='支払通知書'!$K$2),ROW(),"")</f>
        <v/>
      </c>
    </row>
    <row r="1000" ht="18" customHeight="1">
      <c r="A1000" s="18" t="n"/>
      <c r="B1000" s="24" t="n"/>
      <c r="C1000" s="19" t="n"/>
      <c r="D1000" s="25" t="n"/>
      <c r="E1000" s="18" t="n"/>
      <c r="F1000" s="25" t="n"/>
      <c r="G1000" s="18" t="n"/>
      <c r="H1000" s="18" t="n"/>
      <c r="I1000" s="26">
        <f>IF(OR($A1000="",$F1000=""),"",ROUND(IF($D1000="",1,$D1000)*$F1000,0))</f>
        <v/>
      </c>
      <c r="J1000" s="27">
        <f>IF($A1000="","",IF($O1000="なし","※通知一覧にない通知No",IF($P1000="","",INDEX('支払先'!$C$5:$C$104,$P1000)&amp;"")))</f>
        <v/>
      </c>
      <c r="K1000" s="28">
        <f>IF(NOT(ISNUMBER($O1000)),"",IF(ISNUMBER(INDEX('通知一覧'!$F$5:$F$204,$O1000)),INDEX('通知一覧'!$F$5:$F$204,$O1000),""))</f>
        <v/>
      </c>
      <c r="L1000" s="29">
        <f>IF(AND(ISNUMBER($B1000),ISNUMBER($K1000)),$K1000-$B1000+1,"")</f>
        <v/>
      </c>
      <c r="M1000" s="30">
        <f>IF(OR($L1000="",$P1000=""),"",IF(INDEX('支払先'!$M$5:$M$104,$P1000)="対象外","",IF(AND($L1000&gt;60,$K1000&gt;=EDATE($B1000,2)),"超える","")))</f>
        <v/>
      </c>
      <c r="N1000" s="67" t="n"/>
      <c r="O1000" s="31">
        <f>IF($A1000="","",IFERROR(MATCH($A1000,'通知一覧'!$B$5:$B$204,0),"なし"))</f>
        <v/>
      </c>
      <c r="P1000" s="31">
        <f>IF(NOT(ISNUMBER($O1000)),"",IFERROR(MATCH(INDEX('通知一覧'!$C$5:$C$204,$O1000),'支払先'!$B$5:$B$104,0),""))</f>
        <v/>
      </c>
      <c r="Q1000" s="31">
        <f>IF(AND($A1000&lt;&gt;"",$A1000='支払通知書'!$K$2),ROW(),"")</f>
        <v/>
      </c>
    </row>
    <row r="1001" ht="18" customHeight="1">
      <c r="A1001" s="18" t="n"/>
      <c r="B1001" s="24" t="n"/>
      <c r="C1001" s="19" t="n"/>
      <c r="D1001" s="25" t="n"/>
      <c r="E1001" s="18" t="n"/>
      <c r="F1001" s="25" t="n"/>
      <c r="G1001" s="18" t="n"/>
      <c r="H1001" s="18" t="n"/>
      <c r="I1001" s="26">
        <f>IF(OR($A1001="",$F1001=""),"",ROUND(IF($D1001="",1,$D1001)*$F1001,0))</f>
        <v/>
      </c>
      <c r="J1001" s="27">
        <f>IF($A1001="","",IF($O1001="なし","※通知一覧にない通知No",IF($P1001="","",INDEX('支払先'!$C$5:$C$104,$P1001)&amp;"")))</f>
        <v/>
      </c>
      <c r="K1001" s="28">
        <f>IF(NOT(ISNUMBER($O1001)),"",IF(ISNUMBER(INDEX('通知一覧'!$F$5:$F$204,$O1001)),INDEX('通知一覧'!$F$5:$F$204,$O1001),""))</f>
        <v/>
      </c>
      <c r="L1001" s="29">
        <f>IF(AND(ISNUMBER($B1001),ISNUMBER($K1001)),$K1001-$B1001+1,"")</f>
        <v/>
      </c>
      <c r="M1001" s="30">
        <f>IF(OR($L1001="",$P1001=""),"",IF(INDEX('支払先'!$M$5:$M$104,$P1001)="対象外","",IF(AND($L1001&gt;60,$K1001&gt;=EDATE($B1001,2)),"超える","")))</f>
        <v/>
      </c>
      <c r="N1001" s="67" t="n"/>
      <c r="O1001" s="31">
        <f>IF($A1001="","",IFERROR(MATCH($A1001,'通知一覧'!$B$5:$B$204,0),"なし"))</f>
        <v/>
      </c>
      <c r="P1001" s="31">
        <f>IF(NOT(ISNUMBER($O1001)),"",IFERROR(MATCH(INDEX('通知一覧'!$C$5:$C$204,$O1001),'支払先'!$B$5:$B$104,0),""))</f>
        <v/>
      </c>
      <c r="Q1001" s="31">
        <f>IF(AND($A1001&lt;&gt;"",$A1001='支払通知書'!$K$2),ROW(),"")</f>
        <v/>
      </c>
    </row>
    <row r="1002" ht="18" customHeight="1">
      <c r="A1002" s="18" t="n"/>
      <c r="B1002" s="24" t="n"/>
      <c r="C1002" s="19" t="n"/>
      <c r="D1002" s="25" t="n"/>
      <c r="E1002" s="18" t="n"/>
      <c r="F1002" s="25" t="n"/>
      <c r="G1002" s="18" t="n"/>
      <c r="H1002" s="18" t="n"/>
      <c r="I1002" s="26">
        <f>IF(OR($A1002="",$F1002=""),"",ROUND(IF($D1002="",1,$D1002)*$F1002,0))</f>
        <v/>
      </c>
      <c r="J1002" s="27">
        <f>IF($A1002="","",IF($O1002="なし","※通知一覧にない通知No",IF($P1002="","",INDEX('支払先'!$C$5:$C$104,$P1002)&amp;"")))</f>
        <v/>
      </c>
      <c r="K1002" s="28">
        <f>IF(NOT(ISNUMBER($O1002)),"",IF(ISNUMBER(INDEX('通知一覧'!$F$5:$F$204,$O1002)),INDEX('通知一覧'!$F$5:$F$204,$O1002),""))</f>
        <v/>
      </c>
      <c r="L1002" s="29">
        <f>IF(AND(ISNUMBER($B1002),ISNUMBER($K1002)),$K1002-$B1002+1,"")</f>
        <v/>
      </c>
      <c r="M1002" s="30">
        <f>IF(OR($L1002="",$P1002=""),"",IF(INDEX('支払先'!$M$5:$M$104,$P1002)="対象外","",IF(AND($L1002&gt;60,$K1002&gt;=EDATE($B1002,2)),"超える","")))</f>
        <v/>
      </c>
      <c r="N1002" s="67" t="n"/>
      <c r="O1002" s="31">
        <f>IF($A1002="","",IFERROR(MATCH($A1002,'通知一覧'!$B$5:$B$204,0),"なし"))</f>
        <v/>
      </c>
      <c r="P1002" s="31">
        <f>IF(NOT(ISNUMBER($O1002)),"",IFERROR(MATCH(INDEX('通知一覧'!$C$5:$C$204,$O1002),'支払先'!$B$5:$B$104,0),""))</f>
        <v/>
      </c>
      <c r="Q1002" s="31">
        <f>IF(AND($A1002&lt;&gt;"",$A1002='支払通知書'!$K$2),ROW(),"")</f>
        <v/>
      </c>
    </row>
    <row r="1003" ht="18" customHeight="1">
      <c r="A1003" s="18" t="n"/>
      <c r="B1003" s="24" t="n"/>
      <c r="C1003" s="19" t="n"/>
      <c r="D1003" s="25" t="n"/>
      <c r="E1003" s="18" t="n"/>
      <c r="F1003" s="25" t="n"/>
      <c r="G1003" s="18" t="n"/>
      <c r="H1003" s="18" t="n"/>
      <c r="I1003" s="26">
        <f>IF(OR($A1003="",$F1003=""),"",ROUND(IF($D1003="",1,$D1003)*$F1003,0))</f>
        <v/>
      </c>
      <c r="J1003" s="27">
        <f>IF($A1003="","",IF($O1003="なし","※通知一覧にない通知No",IF($P1003="","",INDEX('支払先'!$C$5:$C$104,$P1003)&amp;"")))</f>
        <v/>
      </c>
      <c r="K1003" s="28">
        <f>IF(NOT(ISNUMBER($O1003)),"",IF(ISNUMBER(INDEX('通知一覧'!$F$5:$F$204,$O1003)),INDEX('通知一覧'!$F$5:$F$204,$O1003),""))</f>
        <v/>
      </c>
      <c r="L1003" s="29">
        <f>IF(AND(ISNUMBER($B1003),ISNUMBER($K1003)),$K1003-$B1003+1,"")</f>
        <v/>
      </c>
      <c r="M1003" s="30">
        <f>IF(OR($L1003="",$P1003=""),"",IF(INDEX('支払先'!$M$5:$M$104,$P1003)="対象外","",IF(AND($L1003&gt;60,$K1003&gt;=EDATE($B1003,2)),"超える","")))</f>
        <v/>
      </c>
      <c r="N1003" s="67" t="n"/>
      <c r="O1003" s="31">
        <f>IF($A1003="","",IFERROR(MATCH($A1003,'通知一覧'!$B$5:$B$204,0),"なし"))</f>
        <v/>
      </c>
      <c r="P1003" s="31">
        <f>IF(NOT(ISNUMBER($O1003)),"",IFERROR(MATCH(INDEX('通知一覧'!$C$5:$C$204,$O1003),'支払先'!$B$5:$B$104,0),""))</f>
        <v/>
      </c>
      <c r="Q1003" s="31">
        <f>IF(AND($A1003&lt;&gt;"",$A1003='支払通知書'!$K$2),ROW(),"")</f>
        <v/>
      </c>
    </row>
    <row r="1004" ht="18" customHeight="1">
      <c r="A1004" s="18" t="n"/>
      <c r="B1004" s="24" t="n"/>
      <c r="C1004" s="19" t="n"/>
      <c r="D1004" s="25" t="n"/>
      <c r="E1004" s="18" t="n"/>
      <c r="F1004" s="25" t="n"/>
      <c r="G1004" s="18" t="n"/>
      <c r="H1004" s="18" t="n"/>
      <c r="I1004" s="26">
        <f>IF(OR($A1004="",$F1004=""),"",ROUND(IF($D1004="",1,$D1004)*$F1004,0))</f>
        <v/>
      </c>
      <c r="J1004" s="27">
        <f>IF($A1004="","",IF($O1004="なし","※通知一覧にない通知No",IF($P1004="","",INDEX('支払先'!$C$5:$C$104,$P1004)&amp;"")))</f>
        <v/>
      </c>
      <c r="K1004" s="28">
        <f>IF(NOT(ISNUMBER($O1004)),"",IF(ISNUMBER(INDEX('通知一覧'!$F$5:$F$204,$O1004)),INDEX('通知一覧'!$F$5:$F$204,$O1004),""))</f>
        <v/>
      </c>
      <c r="L1004" s="29">
        <f>IF(AND(ISNUMBER($B1004),ISNUMBER($K1004)),$K1004-$B1004+1,"")</f>
        <v/>
      </c>
      <c r="M1004" s="30">
        <f>IF(OR($L1004="",$P1004=""),"",IF(INDEX('支払先'!$M$5:$M$104,$P1004)="対象外","",IF(AND($L1004&gt;60,$K1004&gt;=EDATE($B1004,2)),"超える","")))</f>
        <v/>
      </c>
      <c r="N1004" s="67" t="n"/>
      <c r="O1004" s="31">
        <f>IF($A1004="","",IFERROR(MATCH($A1004,'通知一覧'!$B$5:$B$204,0),"なし"))</f>
        <v/>
      </c>
      <c r="P1004" s="31">
        <f>IF(NOT(ISNUMBER($O1004)),"",IFERROR(MATCH(INDEX('通知一覧'!$C$5:$C$204,$O1004),'支払先'!$B$5:$B$104,0),""))</f>
        <v/>
      </c>
      <c r="Q1004" s="31">
        <f>IF(AND($A1004&lt;&gt;"",$A1004='支払通知書'!$K$2),ROW(),"")</f>
        <v/>
      </c>
    </row>
  </sheetData>
  <autoFilter ref="A4:M1004"/>
  <mergeCells count="3">
    <mergeCell ref="A3:M3"/>
    <mergeCell ref="A2:M2"/>
    <mergeCell ref="A1:M1"/>
  </mergeCells>
  <conditionalFormatting sqref="G5:G1004">
    <cfRule type="expression" priority="1" dxfId="0">
      <formula>AND($A5&lt;&gt;"",$G5="")</formula>
    </cfRule>
  </conditionalFormatting>
  <conditionalFormatting sqref="J5:J1004">
    <cfRule type="expression" priority="2" dxfId="0">
      <formula>LEFT($J5,1)="※"</formula>
    </cfRule>
  </conditionalFormatting>
  <conditionalFormatting sqref="M5:M1004">
    <cfRule type="expression" priority="3" dxfId="0">
      <formula>$M5="超える"</formula>
    </cfRule>
  </conditionalFormatting>
  <dataValidations count="4">
    <dataValidation sqref="A5:A1004" showDropDown="0" showInputMessage="0" showErrorMessage="1" allowBlank="1" errorTitle="一覧から選んでください" error="「通知一覧」に入れた通知Noから選んでください。" type="list">
      <formula1>='通知一覧'!$B$5:$B$204</formula1>
    </dataValidation>
    <dataValidation sqref="B5:B1004" showDropDown="0" showInputMessage="0" showErrorMessage="1" allowBlank="1" errorTitle="日付で入力してください" error="2026/10/5 のように、日付として入力してください。" type="date" operator="greaterThanOrEqual">
      <formula1>36526</formula1>
    </dataValidation>
    <dataValidation sqref="G5:G1004" showDropDown="0" showInputMessage="0" showErrorMessage="1" allowBlank="1" errorTitle="一覧から選んでください" error="一覧から選んでください" type="list">
      <formula1>"10%（標準）,8%（軽減）,対象外"</formula1>
    </dataValidation>
    <dataValidation sqref="H5:H1004" showDropDown="0" showInputMessage="0" showErrorMessage="1" allowBlank="1" errorTitle="一覧から選んでください" error="源泉の対象にしない明細だけ「対象外」を選びます（それ以外は空のまま）。" type="list">
      <formula1>"対象外"</formula1>
    </dataValidation>
  </dataValidations>
  <pageMargins left="0.4" right="0.4" top="0.45" bottom="0.45" header="0.2" footer="0.2"/>
  <pageSetup orientation="landscape" paperSize="9" fitToHeight="0" fitToWidth="1"/>
</worksheet>
</file>

<file path=xl/worksheets/sheet5.xml><?xml version="1.0" encoding="utf-8"?>
<worksheet xmlns="http://schemas.openxmlformats.org/spreadsheetml/2006/main">
  <sheetPr>
    <tabColor rgb="001B3A5C"/>
    <outlinePr summaryBelow="1" summaryRight="1"/>
    <pageSetUpPr fitToPage="1"/>
  </sheetPr>
  <dimension ref="A1:AC204"/>
  <sheetViews>
    <sheetView showGridLines="0"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1" customWidth="1" min="2" max="2"/>
    <col width="8" customWidth="1" min="3" max="3"/>
    <col width="11" customWidth="1" min="4" max="4"/>
    <col width="14" customWidth="1" min="5" max="5"/>
    <col width="11" customWidth="1" min="6" max="6"/>
    <col width="11" customWidth="1" min="7" max="7"/>
    <col width="7" customWidth="1" min="8" max="8"/>
    <col width="18" customWidth="1" min="9" max="9"/>
    <col width="22" customWidth="1" min="10" max="10"/>
    <col width="5" customWidth="1" min="11" max="11"/>
    <col width="11" customWidth="1" min="12" max="12"/>
    <col width="10" customWidth="1" min="13" max="13"/>
    <col width="9" customWidth="1" min="14" max="14"/>
    <col width="10" customWidth="1" min="15" max="15"/>
    <col width="9" customWidth="1" min="16" max="16"/>
    <col width="12" customWidth="1" min="17" max="17"/>
    <col width="12" customWidth="1" min="18" max="18"/>
    <col width="11" customWidth="1" min="19" max="19"/>
    <col width="9" customWidth="1" min="20" max="20"/>
    <col width="12" customWidth="1" min="21" max="21"/>
    <col width="40" customWidth="1" min="22" max="22"/>
    <col width="2" customWidth="1" min="23" max="23"/>
    <col width="6" customWidth="1" min="24" max="24"/>
    <col width="9" customWidth="1" min="25" max="25"/>
    <col width="9" customWidth="1" min="26" max="26"/>
    <col width="9" customWidth="1" min="27" max="27"/>
    <col width="6" customWidth="1" min="28" max="28"/>
    <col width="6" customWidth="1" min="29" max="29"/>
  </cols>
  <sheetData>
    <row r="1" ht="26" customHeight="1">
      <c r="A1" s="66" t="inlineStr">
        <is>
          <t>通知一覧（1枚1行）</t>
        </is>
      </c>
      <c r="B1" s="67" t="n"/>
      <c r="C1" s="67" t="n"/>
      <c r="D1" s="67" t="n"/>
      <c r="E1" s="67" t="n"/>
      <c r="F1" s="67" t="n"/>
      <c r="G1" s="67" t="n"/>
      <c r="H1" s="67" t="n"/>
      <c r="I1" s="67" t="n"/>
      <c r="J1" s="67" t="n"/>
      <c r="K1" s="67" t="n"/>
      <c r="L1" s="67" t="n"/>
      <c r="M1" s="67" t="n"/>
      <c r="N1" s="67" t="n"/>
      <c r="O1" s="67" t="n"/>
      <c r="P1" s="67" t="n"/>
      <c r="Q1" s="67" t="n"/>
      <c r="R1" s="67" t="n"/>
      <c r="S1" s="67" t="n"/>
      <c r="T1" s="67" t="n"/>
      <c r="U1" s="67" t="n"/>
      <c r="V1" s="67" t="n"/>
      <c r="W1" s="67" t="n"/>
      <c r="X1" s="67" t="n"/>
      <c r="Y1" s="67" t="n"/>
      <c r="Z1" s="67" t="n"/>
      <c r="AA1" s="67" t="n"/>
      <c r="AB1" s="67" t="n"/>
      <c r="AC1" s="67" t="n"/>
    </row>
    <row r="2" ht="30" customHeight="1">
      <c r="A2" s="70" t="inlineStr">
        <is>
          <t>紺の見出しの列（黄色のセル）に入れます。金額はすべて「支払明細」から自動で出ます。10%対象・8%対象・対象外は、明細の金額の合計（設定の「明細の金額」が税抜なら税抜、税込なら税込）。消費税は税率ごとの合計に1回だけ掛けて、1円未満を設定どおりに処理します。</t>
        </is>
      </c>
      <c r="B2" s="67" t="n"/>
      <c r="C2" s="67" t="n"/>
      <c r="D2" s="67" t="n"/>
      <c r="E2" s="67" t="n"/>
      <c r="F2" s="67" t="n"/>
      <c r="G2" s="67" t="n"/>
      <c r="H2" s="67" t="n"/>
      <c r="I2" s="67" t="n"/>
      <c r="J2" s="67" t="n"/>
      <c r="K2" s="67" t="n"/>
      <c r="L2" s="67" t="n"/>
      <c r="M2" s="67" t="n"/>
      <c r="N2" s="67" t="n"/>
      <c r="O2" s="67" t="n"/>
      <c r="P2" s="67" t="n"/>
      <c r="Q2" s="67" t="n"/>
      <c r="R2" s="67" t="n"/>
      <c r="S2" s="67" t="n"/>
      <c r="T2" s="67" t="n"/>
      <c r="U2" s="67" t="n"/>
      <c r="V2" s="67" t="n"/>
      <c r="W2" s="67" t="n"/>
      <c r="X2" s="67" t="n"/>
      <c r="Y2" s="67" t="n"/>
      <c r="Z2" s="67" t="n"/>
      <c r="AA2" s="67" t="n"/>
      <c r="AB2" s="67" t="n"/>
      <c r="AC2" s="67" t="n"/>
    </row>
    <row r="3" ht="18" customHeight="1">
      <c r="A3" s="74">
        <f>IF('設定'!$B$11="税込","いまの設定: 明細の金額は税込。消費税＝税率ごとの合計×10/110（8/108）","いまの設定: 明細の金額は税抜。消費税＝税率ごとの合計×10%（8%）")&amp;"・1円未満は"&amp;'設定'!$B$12</f>
        <v/>
      </c>
      <c r="B3" s="67" t="n"/>
      <c r="C3" s="67" t="n"/>
      <c r="D3" s="67" t="n"/>
      <c r="E3" s="67" t="n"/>
      <c r="F3" s="67" t="n"/>
      <c r="G3" s="67" t="n"/>
      <c r="H3" s="67" t="n"/>
      <c r="I3" s="67" t="n"/>
      <c r="J3" s="67" t="n"/>
      <c r="K3" s="67" t="n"/>
      <c r="L3" s="67" t="n"/>
      <c r="M3" s="67" t="n"/>
      <c r="N3" s="67" t="n"/>
      <c r="O3" s="67" t="n"/>
      <c r="P3" s="67" t="n"/>
      <c r="Q3" s="67" t="n"/>
      <c r="R3" s="67" t="n"/>
      <c r="S3" s="67" t="n"/>
      <c r="T3" s="67" t="n"/>
      <c r="U3" s="67" t="n"/>
      <c r="V3" s="67" t="n"/>
      <c r="W3" s="67" t="n"/>
      <c r="X3" s="67" t="n"/>
      <c r="Y3" s="67" t="n"/>
      <c r="Z3" s="67" t="n"/>
      <c r="AA3" s="67" t="n"/>
      <c r="AB3" s="67" t="n"/>
      <c r="AC3" s="67" t="n"/>
    </row>
    <row r="4" ht="32" customHeight="1">
      <c r="A4" s="15" t="inlineStr">
        <is>
          <t>No.</t>
        </is>
      </c>
      <c r="B4" s="15" t="inlineStr">
        <is>
          <t>通知No</t>
        </is>
      </c>
      <c r="C4" s="15" t="inlineStr">
        <is>
          <t>支払先コード</t>
        </is>
      </c>
      <c r="D4" s="15" t="inlineStr">
        <is>
          <t>発行日</t>
        </is>
      </c>
      <c r="E4" s="15" t="inlineStr">
        <is>
          <t>対象期間・件名</t>
        </is>
      </c>
      <c r="F4" s="15" t="inlineStr">
        <is>
          <t>支払予定日</t>
        </is>
      </c>
      <c r="G4" s="16" t="inlineStr">
        <is>
          <t>確認の期限</t>
        </is>
      </c>
      <c r="H4" s="15" t="inlineStr">
        <is>
          <t>確認</t>
        </is>
      </c>
      <c r="I4" s="15" t="inlineStr">
        <is>
          <t>備考</t>
        </is>
      </c>
      <c r="J4" s="16" t="inlineStr">
        <is>
          <t>支払先</t>
        </is>
      </c>
      <c r="K4" s="16" t="inlineStr">
        <is>
          <t>明細</t>
        </is>
      </c>
      <c r="L4" s="16" t="inlineStr">
        <is>
          <t>10%対象</t>
        </is>
      </c>
      <c r="M4" s="16" t="inlineStr">
        <is>
          <t>8%対象</t>
        </is>
      </c>
      <c r="N4" s="16" t="inlineStr">
        <is>
          <t>対象外</t>
        </is>
      </c>
      <c r="O4" s="16" t="inlineStr">
        <is>
          <t>消費税 10%</t>
        </is>
      </c>
      <c r="P4" s="16" t="inlineStr">
        <is>
          <t>消費税 8%</t>
        </is>
      </c>
      <c r="Q4" s="16" t="inlineStr">
        <is>
          <t>合計（税込）</t>
        </is>
      </c>
      <c r="R4" s="16" t="inlineStr">
        <is>
          <t>源泉の対象額</t>
        </is>
      </c>
      <c r="S4" s="16" t="inlineStr">
        <is>
          <t>源泉徴収税額</t>
        </is>
      </c>
      <c r="T4" s="16" t="inlineStr">
        <is>
          <t>振込手数料</t>
        </is>
      </c>
      <c r="U4" s="16" t="inlineStr">
        <is>
          <t>差引支払額</t>
        </is>
      </c>
      <c r="V4" s="16" t="inlineStr">
        <is>
          <t>確かめること</t>
        </is>
      </c>
      <c r="W4" s="67" t="n"/>
      <c r="X4" s="23" t="inlineStr">
        <is>
          <t>支払先の行</t>
        </is>
      </c>
      <c r="Y4" s="23" t="inlineStr">
        <is>
          <t>源泉 10%</t>
        </is>
      </c>
      <c r="Z4" s="23" t="inlineStr">
        <is>
          <t>源泉 8%</t>
        </is>
      </c>
      <c r="AA4" s="23" t="inlineStr">
        <is>
          <t>源泉 対象外</t>
        </is>
      </c>
      <c r="AB4" s="23" t="inlineStr">
        <is>
          <t>60日超</t>
        </is>
      </c>
      <c r="AC4" s="23" t="inlineStr">
        <is>
          <t>税率空</t>
        </is>
      </c>
    </row>
    <row r="5" ht="18" customHeight="1">
      <c r="A5" s="17" t="n">
        <v>1</v>
      </c>
      <c r="B5" s="18" t="n"/>
      <c r="C5" s="18" t="n"/>
      <c r="D5" s="24" t="n"/>
      <c r="E5" s="19" t="n"/>
      <c r="F5" s="24" t="n"/>
      <c r="G5" s="28">
        <f>IF(AND($B5&lt;&gt;"",ISNUMBER($D5)),$D5+N('設定'!$B$13),"")</f>
        <v/>
      </c>
      <c r="H5" s="18" t="n"/>
      <c r="I5" s="19" t="n"/>
      <c r="J5" s="27">
        <f>IF($B5="","",IF($C5="","（支払先コードが空）",IF($X5="","※支払先にないコード",INDEX('支払先'!$C$5:$C$104,$X5)&amp;"")))</f>
        <v/>
      </c>
      <c r="K5" s="30">
        <f>IF($B5="","",COUNTIF('支払明細'!$A$5:$A$1004,$B5))</f>
        <v/>
      </c>
      <c r="L5" s="26">
        <f>IF($B5="","",SUMIFS('支払明細'!$I$5:$I$1004,'支払明細'!$A$5:$A$1004,$B5,'支払明細'!$G$5:$G$1004,"10%（標準）"))</f>
        <v/>
      </c>
      <c r="M5" s="26">
        <f>IF($B5="","",SUMIFS('支払明細'!$I$5:$I$1004,'支払明細'!$A$5:$A$1004,$B5,'支払明細'!$G$5:$G$1004,"8%（軽減）"))</f>
        <v/>
      </c>
      <c r="N5" s="26">
        <f>IF($B5="","",SUMIFS('支払明細'!$I$5:$I$1004,'支払明細'!$A$5:$A$1004,$B5,'支払明細'!$G$5:$G$1004,"対象外"))</f>
        <v/>
      </c>
      <c r="O5" s="26">
        <f>IF($B5="","",IF('設定'!$B$11="税込",IF('設定'!$B$12="切り捨て",ROUNDDOWN(ROUND($L5*10/110,6),0),IF('設定'!$B$12="切り上げ",ROUNDUP(ROUND($L5*10/110,6),0),ROUND($L5*10/110,0))),IF('設定'!$B$12="切り捨て",ROUNDDOWN(ROUND($L5*10/100,6),0),IF('設定'!$B$12="切り上げ",ROUNDUP(ROUND($L5*10/100,6),0),ROUND($L5*10/100,0)))))</f>
        <v/>
      </c>
      <c r="P5" s="26">
        <f>IF($B5="","",IF('設定'!$B$11="税込",IF('設定'!$B$12="切り捨て",ROUNDDOWN(ROUND($M5*8/108,6),0),IF('設定'!$B$12="切り上げ",ROUNDUP(ROUND($M5*8/108,6),0),ROUND($M5*8/108,0))),IF('設定'!$B$12="切り捨て",ROUNDDOWN(ROUND($M5*8/100,6),0),IF('設定'!$B$12="切り上げ",ROUNDUP(ROUND($M5*8/100,6),0),ROUND($M5*8/100,0)))))</f>
        <v/>
      </c>
      <c r="Q5" s="26">
        <f>IF($B5="","",IF('設定'!$B$11="税込",$L5+$M5+$N5,$L5+$O5+$M5+$P5+$N5))</f>
        <v/>
      </c>
      <c r="R5" s="26">
        <f>IF($B5="","",IF($X5="",0,IF(INDEX('支払先'!$I$5:$I$104,$X5)&lt;&gt;"する",0,IF(INDEX('支払先'!$J$5:$J$104,$X5)="税抜",IF('設定'!$B$11="税込",($Y5-IF('設定'!$B$12="切り捨て",ROUNDDOWN(ROUND($Y5*10/110,6),0),IF('設定'!$B$12="切り上げ",ROUNDUP(ROUND($Y5*10/110,6),0),ROUND($Y5*10/110,0)))+$Z5-IF('設定'!$B$12="切り捨て",ROUNDDOWN(ROUND($Z5*8/108,6),0),IF('設定'!$B$12="切り上げ",ROUNDUP(ROUND($Z5*8/108,6),0),ROUND($Z5*8/108,0)))+$AA5),$Y5+$Z5+$AA5),IF('設定'!$B$11="税込",$Y5+$Z5+$AA5,($Y5+IF('設定'!$B$12="切り捨て",ROUNDDOWN(ROUND($Y5*10/100,6),0),IF('設定'!$B$12="切り上げ",ROUNDUP(ROUND($Y5*10/100,6),0),ROUND($Y5*10/100,0)))+$Z5+IF('設定'!$B$12="切り捨て",ROUNDDOWN(ROUND($Z5*8/100,6),0),IF('設定'!$B$12="切り上げ",ROUNDUP(ROUND($Z5*8/100,6),0),ROUND($Z5*8/100,0)))+$AA5))))))</f>
        <v/>
      </c>
      <c r="S5" s="26">
        <f>IF($B5="","",IF(N($R5)&lt;=0,0,IF($R5&lt;='設定'!$B$18,ROUNDDOWN(ROUND($R5*'設定'!$B$17,6),0),ROUNDDOWN(ROUND(($R5-'設定'!$B$18)*'設定'!$B$19,6),0)+'設定'!$B$20)))</f>
        <v/>
      </c>
      <c r="T5" s="26">
        <f>IF($B5="","",IF($X5="",0,IF(INDEX('支払先'!$K$5:$K$104,$X5)="差し引く",N(INDEX('支払先'!$L$5:$L$104,$X5)),0)))</f>
        <v/>
      </c>
      <c r="U5" s="26">
        <f>IF($B5="","",$Q5-$S5-$T5)</f>
        <v/>
      </c>
      <c r="V5" s="22">
        <f>IF($B5="","",MID(IF($C5="","／支払先コードが空",IF($X5="","／支払先にないコード",""))&amp;IF($K5=0,"／明細がない","")&amp;IF($AC5&gt;0,"／税率が空の明細 "&amp;$AC5&amp;"件（合計に入っていない）","")&amp;IF($X5="","",IF(INDEX('支払先'!$G$5:$G$104,$X5)="","／登録番号なし（仕入明細書にならない）",""))&amp;IF($AB5&gt;0,"／60日（2か月）を超える明細 "&amp;$AB5&amp;"件","")&amp;IF($X5="","",IF(AND(INDEX('支払先'!$K$5:$K$104,$X5)="差し引く",OR(INDEX('支払先'!$M$5:$M$104,$X5)&lt;&gt;"対象外",INDEX('支払先'!$N$5:$N$104,$X5)&lt;&gt;"対象外")),"／手数料を差し引けない取引か確かめる",""))&amp;IF(COUNTIF($B$5:$B$204,$B5)&gt;1,"／通知Noが重複","")&amp;IF(AND(ISNUMBER($D5),ISNUMBER($F5),$F5&lt;$D5),"／支払予定日が発行日より前",""),2,300))</f>
        <v/>
      </c>
      <c r="W5" s="67" t="n"/>
      <c r="X5" s="31">
        <f>IF(OR($B5="",$C5=""),"",IFERROR(MATCH($C5,'支払先'!$B$5:$B$104,0),""))</f>
        <v/>
      </c>
      <c r="Y5" s="31">
        <f>IF($B5="","",SUMIFS('支払明細'!$I$5:$I$1004,'支払明細'!$A$5:$A$1004,$B5,'支払明細'!$G$5:$G$1004,"10%（標準）",'支払明細'!$H$5:$H$1004,"&lt;&gt;対象外"))</f>
        <v/>
      </c>
      <c r="Z5" s="31">
        <f>IF($B5="","",SUMIFS('支払明細'!$I$5:$I$1004,'支払明細'!$A$5:$A$1004,$B5,'支払明細'!$G$5:$G$1004,"8%（軽減）",'支払明細'!$H$5:$H$1004,"&lt;&gt;対象外"))</f>
        <v/>
      </c>
      <c r="AA5" s="31">
        <f>IF($B5="","",SUMIFS('支払明細'!$I$5:$I$1004,'支払明細'!$A$5:$A$1004,$B5,'支払明細'!$G$5:$G$1004,"対象外",'支払明細'!$H$5:$H$1004,"&lt;&gt;対象外"))</f>
        <v/>
      </c>
      <c r="AB5" s="31">
        <f>IF($B5="","",COUNTIFS('支払明細'!$A$5:$A$1004,$B5,'支払明細'!$M$5:$M$1004,"超える"))</f>
        <v/>
      </c>
      <c r="AC5" s="31">
        <f>IF($B5="","",COUNTIFS('支払明細'!$A$5:$A$1004,$B5,'支払明細'!$G$5:$G$1004,""))</f>
        <v/>
      </c>
    </row>
    <row r="6" ht="18" customHeight="1">
      <c r="A6" s="17" t="n">
        <v>2</v>
      </c>
      <c r="B6" s="18" t="n"/>
      <c r="C6" s="18" t="n"/>
      <c r="D6" s="24" t="n"/>
      <c r="E6" s="19" t="n"/>
      <c r="F6" s="24" t="n"/>
      <c r="G6" s="28">
        <f>IF(AND($B6&lt;&gt;"",ISNUMBER($D6)),$D6+N('設定'!$B$13),"")</f>
        <v/>
      </c>
      <c r="H6" s="18" t="n"/>
      <c r="I6" s="19" t="n"/>
      <c r="J6" s="27">
        <f>IF($B6="","",IF($C6="","（支払先コードが空）",IF($X6="","※支払先にないコード",INDEX('支払先'!$C$5:$C$104,$X6)&amp;"")))</f>
        <v/>
      </c>
      <c r="K6" s="30">
        <f>IF($B6="","",COUNTIF('支払明細'!$A$5:$A$1004,$B6))</f>
        <v/>
      </c>
      <c r="L6" s="26">
        <f>IF($B6="","",SUMIFS('支払明細'!$I$5:$I$1004,'支払明細'!$A$5:$A$1004,$B6,'支払明細'!$G$5:$G$1004,"10%（標準）"))</f>
        <v/>
      </c>
      <c r="M6" s="26">
        <f>IF($B6="","",SUMIFS('支払明細'!$I$5:$I$1004,'支払明細'!$A$5:$A$1004,$B6,'支払明細'!$G$5:$G$1004,"8%（軽減）"))</f>
        <v/>
      </c>
      <c r="N6" s="26">
        <f>IF($B6="","",SUMIFS('支払明細'!$I$5:$I$1004,'支払明細'!$A$5:$A$1004,$B6,'支払明細'!$G$5:$G$1004,"対象外"))</f>
        <v/>
      </c>
      <c r="O6" s="26">
        <f>IF($B6="","",IF('設定'!$B$11="税込",IF('設定'!$B$12="切り捨て",ROUNDDOWN(ROUND($L6*10/110,6),0),IF('設定'!$B$12="切り上げ",ROUNDUP(ROUND($L6*10/110,6),0),ROUND($L6*10/110,0))),IF('設定'!$B$12="切り捨て",ROUNDDOWN(ROUND($L6*10/100,6),0),IF('設定'!$B$12="切り上げ",ROUNDUP(ROUND($L6*10/100,6),0),ROUND($L6*10/100,0)))))</f>
        <v/>
      </c>
      <c r="P6" s="26">
        <f>IF($B6="","",IF('設定'!$B$11="税込",IF('設定'!$B$12="切り捨て",ROUNDDOWN(ROUND($M6*8/108,6),0),IF('設定'!$B$12="切り上げ",ROUNDUP(ROUND($M6*8/108,6),0),ROUND($M6*8/108,0))),IF('設定'!$B$12="切り捨て",ROUNDDOWN(ROUND($M6*8/100,6),0),IF('設定'!$B$12="切り上げ",ROUNDUP(ROUND($M6*8/100,6),0),ROUND($M6*8/100,0)))))</f>
        <v/>
      </c>
      <c r="Q6" s="26">
        <f>IF($B6="","",IF('設定'!$B$11="税込",$L6+$M6+$N6,$L6+$O6+$M6+$P6+$N6))</f>
        <v/>
      </c>
      <c r="R6" s="26">
        <f>IF($B6="","",IF($X6="",0,IF(INDEX('支払先'!$I$5:$I$104,$X6)&lt;&gt;"する",0,IF(INDEX('支払先'!$J$5:$J$104,$X6)="税抜",IF('設定'!$B$11="税込",($Y6-IF('設定'!$B$12="切り捨て",ROUNDDOWN(ROUND($Y6*10/110,6),0),IF('設定'!$B$12="切り上げ",ROUNDUP(ROUND($Y6*10/110,6),0),ROUND($Y6*10/110,0)))+$Z6-IF('設定'!$B$12="切り捨て",ROUNDDOWN(ROUND($Z6*8/108,6),0),IF('設定'!$B$12="切り上げ",ROUNDUP(ROUND($Z6*8/108,6),0),ROUND($Z6*8/108,0)))+$AA6),$Y6+$Z6+$AA6),IF('設定'!$B$11="税込",$Y6+$Z6+$AA6,($Y6+IF('設定'!$B$12="切り捨て",ROUNDDOWN(ROUND($Y6*10/100,6),0),IF('設定'!$B$12="切り上げ",ROUNDUP(ROUND($Y6*10/100,6),0),ROUND($Y6*10/100,0)))+$Z6+IF('設定'!$B$12="切り捨て",ROUNDDOWN(ROUND($Z6*8/100,6),0),IF('設定'!$B$12="切り上げ",ROUNDUP(ROUND($Z6*8/100,6),0),ROUND($Z6*8/100,0)))+$AA6))))))</f>
        <v/>
      </c>
      <c r="S6" s="26">
        <f>IF($B6="","",IF(N($R6)&lt;=0,0,IF($R6&lt;='設定'!$B$18,ROUNDDOWN(ROUND($R6*'設定'!$B$17,6),0),ROUNDDOWN(ROUND(($R6-'設定'!$B$18)*'設定'!$B$19,6),0)+'設定'!$B$20)))</f>
        <v/>
      </c>
      <c r="T6" s="26">
        <f>IF($B6="","",IF($X6="",0,IF(INDEX('支払先'!$K$5:$K$104,$X6)="差し引く",N(INDEX('支払先'!$L$5:$L$104,$X6)),0)))</f>
        <v/>
      </c>
      <c r="U6" s="26">
        <f>IF($B6="","",$Q6-$S6-$T6)</f>
        <v/>
      </c>
      <c r="V6" s="22">
        <f>IF($B6="","",MID(IF($C6="","／支払先コードが空",IF($X6="","／支払先にないコード",""))&amp;IF($K6=0,"／明細がない","")&amp;IF($AC6&gt;0,"／税率が空の明細 "&amp;$AC6&amp;"件（合計に入っていない）","")&amp;IF($X6="","",IF(INDEX('支払先'!$G$5:$G$104,$X6)="","／登録番号なし（仕入明細書にならない）",""))&amp;IF($AB6&gt;0,"／60日（2か月）を超える明細 "&amp;$AB6&amp;"件","")&amp;IF($X6="","",IF(AND(INDEX('支払先'!$K$5:$K$104,$X6)="差し引く",OR(INDEX('支払先'!$M$5:$M$104,$X6)&lt;&gt;"対象外",INDEX('支払先'!$N$5:$N$104,$X6)&lt;&gt;"対象外")),"／手数料を差し引けない取引か確かめる",""))&amp;IF(COUNTIF($B$5:$B$204,$B6)&gt;1,"／通知Noが重複","")&amp;IF(AND(ISNUMBER($D6),ISNUMBER($F6),$F6&lt;$D6),"／支払予定日が発行日より前",""),2,300))</f>
        <v/>
      </c>
      <c r="W6" s="67" t="n"/>
      <c r="X6" s="31">
        <f>IF(OR($B6="",$C6=""),"",IFERROR(MATCH($C6,'支払先'!$B$5:$B$104,0),""))</f>
        <v/>
      </c>
      <c r="Y6" s="31">
        <f>IF($B6="","",SUMIFS('支払明細'!$I$5:$I$1004,'支払明細'!$A$5:$A$1004,$B6,'支払明細'!$G$5:$G$1004,"10%（標準）",'支払明細'!$H$5:$H$1004,"&lt;&gt;対象外"))</f>
        <v/>
      </c>
      <c r="Z6" s="31">
        <f>IF($B6="","",SUMIFS('支払明細'!$I$5:$I$1004,'支払明細'!$A$5:$A$1004,$B6,'支払明細'!$G$5:$G$1004,"8%（軽減）",'支払明細'!$H$5:$H$1004,"&lt;&gt;対象外"))</f>
        <v/>
      </c>
      <c r="AA6" s="31">
        <f>IF($B6="","",SUMIFS('支払明細'!$I$5:$I$1004,'支払明細'!$A$5:$A$1004,$B6,'支払明細'!$G$5:$G$1004,"対象外",'支払明細'!$H$5:$H$1004,"&lt;&gt;対象外"))</f>
        <v/>
      </c>
      <c r="AB6" s="31">
        <f>IF($B6="","",COUNTIFS('支払明細'!$A$5:$A$1004,$B6,'支払明細'!$M$5:$M$1004,"超える"))</f>
        <v/>
      </c>
      <c r="AC6" s="31">
        <f>IF($B6="","",COUNTIFS('支払明細'!$A$5:$A$1004,$B6,'支払明細'!$G$5:$G$1004,""))</f>
        <v/>
      </c>
    </row>
    <row r="7" ht="18" customHeight="1">
      <c r="A7" s="17" t="n">
        <v>3</v>
      </c>
      <c r="B7" s="18" t="n"/>
      <c r="C7" s="18" t="n"/>
      <c r="D7" s="24" t="n"/>
      <c r="E7" s="19" t="n"/>
      <c r="F7" s="24" t="n"/>
      <c r="G7" s="28">
        <f>IF(AND($B7&lt;&gt;"",ISNUMBER($D7)),$D7+N('設定'!$B$13),"")</f>
        <v/>
      </c>
      <c r="H7" s="18" t="n"/>
      <c r="I7" s="19" t="n"/>
      <c r="J7" s="27">
        <f>IF($B7="","",IF($C7="","（支払先コードが空）",IF($X7="","※支払先にないコード",INDEX('支払先'!$C$5:$C$104,$X7)&amp;"")))</f>
        <v/>
      </c>
      <c r="K7" s="30">
        <f>IF($B7="","",COUNTIF('支払明細'!$A$5:$A$1004,$B7))</f>
        <v/>
      </c>
      <c r="L7" s="26">
        <f>IF($B7="","",SUMIFS('支払明細'!$I$5:$I$1004,'支払明細'!$A$5:$A$1004,$B7,'支払明細'!$G$5:$G$1004,"10%（標準）"))</f>
        <v/>
      </c>
      <c r="M7" s="26">
        <f>IF($B7="","",SUMIFS('支払明細'!$I$5:$I$1004,'支払明細'!$A$5:$A$1004,$B7,'支払明細'!$G$5:$G$1004,"8%（軽減）"))</f>
        <v/>
      </c>
      <c r="N7" s="26">
        <f>IF($B7="","",SUMIFS('支払明細'!$I$5:$I$1004,'支払明細'!$A$5:$A$1004,$B7,'支払明細'!$G$5:$G$1004,"対象外"))</f>
        <v/>
      </c>
      <c r="O7" s="26">
        <f>IF($B7="","",IF('設定'!$B$11="税込",IF('設定'!$B$12="切り捨て",ROUNDDOWN(ROUND($L7*10/110,6),0),IF('設定'!$B$12="切り上げ",ROUNDUP(ROUND($L7*10/110,6),0),ROUND($L7*10/110,0))),IF('設定'!$B$12="切り捨て",ROUNDDOWN(ROUND($L7*10/100,6),0),IF('設定'!$B$12="切り上げ",ROUNDUP(ROUND($L7*10/100,6),0),ROUND($L7*10/100,0)))))</f>
        <v/>
      </c>
      <c r="P7" s="26">
        <f>IF($B7="","",IF('設定'!$B$11="税込",IF('設定'!$B$12="切り捨て",ROUNDDOWN(ROUND($M7*8/108,6),0),IF('設定'!$B$12="切り上げ",ROUNDUP(ROUND($M7*8/108,6),0),ROUND($M7*8/108,0))),IF('設定'!$B$12="切り捨て",ROUNDDOWN(ROUND($M7*8/100,6),0),IF('設定'!$B$12="切り上げ",ROUNDUP(ROUND($M7*8/100,6),0),ROUND($M7*8/100,0)))))</f>
        <v/>
      </c>
      <c r="Q7" s="26">
        <f>IF($B7="","",IF('設定'!$B$11="税込",$L7+$M7+$N7,$L7+$O7+$M7+$P7+$N7))</f>
        <v/>
      </c>
      <c r="R7" s="26">
        <f>IF($B7="","",IF($X7="",0,IF(INDEX('支払先'!$I$5:$I$104,$X7)&lt;&gt;"する",0,IF(INDEX('支払先'!$J$5:$J$104,$X7)="税抜",IF('設定'!$B$11="税込",($Y7-IF('設定'!$B$12="切り捨て",ROUNDDOWN(ROUND($Y7*10/110,6),0),IF('設定'!$B$12="切り上げ",ROUNDUP(ROUND($Y7*10/110,6),0),ROUND($Y7*10/110,0)))+$Z7-IF('設定'!$B$12="切り捨て",ROUNDDOWN(ROUND($Z7*8/108,6),0),IF('設定'!$B$12="切り上げ",ROUNDUP(ROUND($Z7*8/108,6),0),ROUND($Z7*8/108,0)))+$AA7),$Y7+$Z7+$AA7),IF('設定'!$B$11="税込",$Y7+$Z7+$AA7,($Y7+IF('設定'!$B$12="切り捨て",ROUNDDOWN(ROUND($Y7*10/100,6),0),IF('設定'!$B$12="切り上げ",ROUNDUP(ROUND($Y7*10/100,6),0),ROUND($Y7*10/100,0)))+$Z7+IF('設定'!$B$12="切り捨て",ROUNDDOWN(ROUND($Z7*8/100,6),0),IF('設定'!$B$12="切り上げ",ROUNDUP(ROUND($Z7*8/100,6),0),ROUND($Z7*8/100,0)))+$AA7))))))</f>
        <v/>
      </c>
      <c r="S7" s="26">
        <f>IF($B7="","",IF(N($R7)&lt;=0,0,IF($R7&lt;='設定'!$B$18,ROUNDDOWN(ROUND($R7*'設定'!$B$17,6),0),ROUNDDOWN(ROUND(($R7-'設定'!$B$18)*'設定'!$B$19,6),0)+'設定'!$B$20)))</f>
        <v/>
      </c>
      <c r="T7" s="26">
        <f>IF($B7="","",IF($X7="",0,IF(INDEX('支払先'!$K$5:$K$104,$X7)="差し引く",N(INDEX('支払先'!$L$5:$L$104,$X7)),0)))</f>
        <v/>
      </c>
      <c r="U7" s="26">
        <f>IF($B7="","",$Q7-$S7-$T7)</f>
        <v/>
      </c>
      <c r="V7" s="22">
        <f>IF($B7="","",MID(IF($C7="","／支払先コードが空",IF($X7="","／支払先にないコード",""))&amp;IF($K7=0,"／明細がない","")&amp;IF($AC7&gt;0,"／税率が空の明細 "&amp;$AC7&amp;"件（合計に入っていない）","")&amp;IF($X7="","",IF(INDEX('支払先'!$G$5:$G$104,$X7)="","／登録番号なし（仕入明細書にならない）",""))&amp;IF($AB7&gt;0,"／60日（2か月）を超える明細 "&amp;$AB7&amp;"件","")&amp;IF($X7="","",IF(AND(INDEX('支払先'!$K$5:$K$104,$X7)="差し引く",OR(INDEX('支払先'!$M$5:$M$104,$X7)&lt;&gt;"対象外",INDEX('支払先'!$N$5:$N$104,$X7)&lt;&gt;"対象外")),"／手数料を差し引けない取引か確かめる",""))&amp;IF(COUNTIF($B$5:$B$204,$B7)&gt;1,"／通知Noが重複","")&amp;IF(AND(ISNUMBER($D7),ISNUMBER($F7),$F7&lt;$D7),"／支払予定日が発行日より前",""),2,300))</f>
        <v/>
      </c>
      <c r="W7" s="67" t="n"/>
      <c r="X7" s="31">
        <f>IF(OR($B7="",$C7=""),"",IFERROR(MATCH($C7,'支払先'!$B$5:$B$104,0),""))</f>
        <v/>
      </c>
      <c r="Y7" s="31">
        <f>IF($B7="","",SUMIFS('支払明細'!$I$5:$I$1004,'支払明細'!$A$5:$A$1004,$B7,'支払明細'!$G$5:$G$1004,"10%（標準）",'支払明細'!$H$5:$H$1004,"&lt;&gt;対象外"))</f>
        <v/>
      </c>
      <c r="Z7" s="31">
        <f>IF($B7="","",SUMIFS('支払明細'!$I$5:$I$1004,'支払明細'!$A$5:$A$1004,$B7,'支払明細'!$G$5:$G$1004,"8%（軽減）",'支払明細'!$H$5:$H$1004,"&lt;&gt;対象外"))</f>
        <v/>
      </c>
      <c r="AA7" s="31">
        <f>IF($B7="","",SUMIFS('支払明細'!$I$5:$I$1004,'支払明細'!$A$5:$A$1004,$B7,'支払明細'!$G$5:$G$1004,"対象外",'支払明細'!$H$5:$H$1004,"&lt;&gt;対象外"))</f>
        <v/>
      </c>
      <c r="AB7" s="31">
        <f>IF($B7="","",COUNTIFS('支払明細'!$A$5:$A$1004,$B7,'支払明細'!$M$5:$M$1004,"超える"))</f>
        <v/>
      </c>
      <c r="AC7" s="31">
        <f>IF($B7="","",COUNTIFS('支払明細'!$A$5:$A$1004,$B7,'支払明細'!$G$5:$G$1004,""))</f>
        <v/>
      </c>
    </row>
    <row r="8" ht="18" customHeight="1">
      <c r="A8" s="17" t="n">
        <v>4</v>
      </c>
      <c r="B8" s="18" t="n"/>
      <c r="C8" s="18" t="n"/>
      <c r="D8" s="24" t="n"/>
      <c r="E8" s="19" t="n"/>
      <c r="F8" s="24" t="n"/>
      <c r="G8" s="28">
        <f>IF(AND($B8&lt;&gt;"",ISNUMBER($D8)),$D8+N('設定'!$B$13),"")</f>
        <v/>
      </c>
      <c r="H8" s="18" t="n"/>
      <c r="I8" s="19" t="n"/>
      <c r="J8" s="27">
        <f>IF($B8="","",IF($C8="","（支払先コードが空）",IF($X8="","※支払先にないコード",INDEX('支払先'!$C$5:$C$104,$X8)&amp;"")))</f>
        <v/>
      </c>
      <c r="K8" s="30">
        <f>IF($B8="","",COUNTIF('支払明細'!$A$5:$A$1004,$B8))</f>
        <v/>
      </c>
      <c r="L8" s="26">
        <f>IF($B8="","",SUMIFS('支払明細'!$I$5:$I$1004,'支払明細'!$A$5:$A$1004,$B8,'支払明細'!$G$5:$G$1004,"10%（標準）"))</f>
        <v/>
      </c>
      <c r="M8" s="26">
        <f>IF($B8="","",SUMIFS('支払明細'!$I$5:$I$1004,'支払明細'!$A$5:$A$1004,$B8,'支払明細'!$G$5:$G$1004,"8%（軽減）"))</f>
        <v/>
      </c>
      <c r="N8" s="26">
        <f>IF($B8="","",SUMIFS('支払明細'!$I$5:$I$1004,'支払明細'!$A$5:$A$1004,$B8,'支払明細'!$G$5:$G$1004,"対象外"))</f>
        <v/>
      </c>
      <c r="O8" s="26">
        <f>IF($B8="","",IF('設定'!$B$11="税込",IF('設定'!$B$12="切り捨て",ROUNDDOWN(ROUND($L8*10/110,6),0),IF('設定'!$B$12="切り上げ",ROUNDUP(ROUND($L8*10/110,6),0),ROUND($L8*10/110,0))),IF('設定'!$B$12="切り捨て",ROUNDDOWN(ROUND($L8*10/100,6),0),IF('設定'!$B$12="切り上げ",ROUNDUP(ROUND($L8*10/100,6),0),ROUND($L8*10/100,0)))))</f>
        <v/>
      </c>
      <c r="P8" s="26">
        <f>IF($B8="","",IF('設定'!$B$11="税込",IF('設定'!$B$12="切り捨て",ROUNDDOWN(ROUND($M8*8/108,6),0),IF('設定'!$B$12="切り上げ",ROUNDUP(ROUND($M8*8/108,6),0),ROUND($M8*8/108,0))),IF('設定'!$B$12="切り捨て",ROUNDDOWN(ROUND($M8*8/100,6),0),IF('設定'!$B$12="切り上げ",ROUNDUP(ROUND($M8*8/100,6),0),ROUND($M8*8/100,0)))))</f>
        <v/>
      </c>
      <c r="Q8" s="26">
        <f>IF($B8="","",IF('設定'!$B$11="税込",$L8+$M8+$N8,$L8+$O8+$M8+$P8+$N8))</f>
        <v/>
      </c>
      <c r="R8" s="26">
        <f>IF($B8="","",IF($X8="",0,IF(INDEX('支払先'!$I$5:$I$104,$X8)&lt;&gt;"する",0,IF(INDEX('支払先'!$J$5:$J$104,$X8)="税抜",IF('設定'!$B$11="税込",($Y8-IF('設定'!$B$12="切り捨て",ROUNDDOWN(ROUND($Y8*10/110,6),0),IF('設定'!$B$12="切り上げ",ROUNDUP(ROUND($Y8*10/110,6),0),ROUND($Y8*10/110,0)))+$Z8-IF('設定'!$B$12="切り捨て",ROUNDDOWN(ROUND($Z8*8/108,6),0),IF('設定'!$B$12="切り上げ",ROUNDUP(ROUND($Z8*8/108,6),0),ROUND($Z8*8/108,0)))+$AA8),$Y8+$Z8+$AA8),IF('設定'!$B$11="税込",$Y8+$Z8+$AA8,($Y8+IF('設定'!$B$12="切り捨て",ROUNDDOWN(ROUND($Y8*10/100,6),0),IF('設定'!$B$12="切り上げ",ROUNDUP(ROUND($Y8*10/100,6),0),ROUND($Y8*10/100,0)))+$Z8+IF('設定'!$B$12="切り捨て",ROUNDDOWN(ROUND($Z8*8/100,6),0),IF('設定'!$B$12="切り上げ",ROUNDUP(ROUND($Z8*8/100,6),0),ROUND($Z8*8/100,0)))+$AA8))))))</f>
        <v/>
      </c>
      <c r="S8" s="26">
        <f>IF($B8="","",IF(N($R8)&lt;=0,0,IF($R8&lt;='設定'!$B$18,ROUNDDOWN(ROUND($R8*'設定'!$B$17,6),0),ROUNDDOWN(ROUND(($R8-'設定'!$B$18)*'設定'!$B$19,6),0)+'設定'!$B$20)))</f>
        <v/>
      </c>
      <c r="T8" s="26">
        <f>IF($B8="","",IF($X8="",0,IF(INDEX('支払先'!$K$5:$K$104,$X8)="差し引く",N(INDEX('支払先'!$L$5:$L$104,$X8)),0)))</f>
        <v/>
      </c>
      <c r="U8" s="26">
        <f>IF($B8="","",$Q8-$S8-$T8)</f>
        <v/>
      </c>
      <c r="V8" s="22">
        <f>IF($B8="","",MID(IF($C8="","／支払先コードが空",IF($X8="","／支払先にないコード",""))&amp;IF($K8=0,"／明細がない","")&amp;IF($AC8&gt;0,"／税率が空の明細 "&amp;$AC8&amp;"件（合計に入っていない）","")&amp;IF($X8="","",IF(INDEX('支払先'!$G$5:$G$104,$X8)="","／登録番号なし（仕入明細書にならない）",""))&amp;IF($AB8&gt;0,"／60日（2か月）を超える明細 "&amp;$AB8&amp;"件","")&amp;IF($X8="","",IF(AND(INDEX('支払先'!$K$5:$K$104,$X8)="差し引く",OR(INDEX('支払先'!$M$5:$M$104,$X8)&lt;&gt;"対象外",INDEX('支払先'!$N$5:$N$104,$X8)&lt;&gt;"対象外")),"／手数料を差し引けない取引か確かめる",""))&amp;IF(COUNTIF($B$5:$B$204,$B8)&gt;1,"／通知Noが重複","")&amp;IF(AND(ISNUMBER($D8),ISNUMBER($F8),$F8&lt;$D8),"／支払予定日が発行日より前",""),2,300))</f>
        <v/>
      </c>
      <c r="W8" s="67" t="n"/>
      <c r="X8" s="31">
        <f>IF(OR($B8="",$C8=""),"",IFERROR(MATCH($C8,'支払先'!$B$5:$B$104,0),""))</f>
        <v/>
      </c>
      <c r="Y8" s="31">
        <f>IF($B8="","",SUMIFS('支払明細'!$I$5:$I$1004,'支払明細'!$A$5:$A$1004,$B8,'支払明細'!$G$5:$G$1004,"10%（標準）",'支払明細'!$H$5:$H$1004,"&lt;&gt;対象外"))</f>
        <v/>
      </c>
      <c r="Z8" s="31">
        <f>IF($B8="","",SUMIFS('支払明細'!$I$5:$I$1004,'支払明細'!$A$5:$A$1004,$B8,'支払明細'!$G$5:$G$1004,"8%（軽減）",'支払明細'!$H$5:$H$1004,"&lt;&gt;対象外"))</f>
        <v/>
      </c>
      <c r="AA8" s="31">
        <f>IF($B8="","",SUMIFS('支払明細'!$I$5:$I$1004,'支払明細'!$A$5:$A$1004,$B8,'支払明細'!$G$5:$G$1004,"対象外",'支払明細'!$H$5:$H$1004,"&lt;&gt;対象外"))</f>
        <v/>
      </c>
      <c r="AB8" s="31">
        <f>IF($B8="","",COUNTIFS('支払明細'!$A$5:$A$1004,$B8,'支払明細'!$M$5:$M$1004,"超える"))</f>
        <v/>
      </c>
      <c r="AC8" s="31">
        <f>IF($B8="","",COUNTIFS('支払明細'!$A$5:$A$1004,$B8,'支払明細'!$G$5:$G$1004,""))</f>
        <v/>
      </c>
    </row>
    <row r="9" ht="18" customHeight="1">
      <c r="A9" s="17" t="n">
        <v>5</v>
      </c>
      <c r="B9" s="18" t="n"/>
      <c r="C9" s="18" t="n"/>
      <c r="D9" s="24" t="n"/>
      <c r="E9" s="19" t="n"/>
      <c r="F9" s="24" t="n"/>
      <c r="G9" s="28">
        <f>IF(AND($B9&lt;&gt;"",ISNUMBER($D9)),$D9+N('設定'!$B$13),"")</f>
        <v/>
      </c>
      <c r="H9" s="18" t="n"/>
      <c r="I9" s="19" t="n"/>
      <c r="J9" s="27">
        <f>IF($B9="","",IF($C9="","（支払先コードが空）",IF($X9="","※支払先にないコード",INDEX('支払先'!$C$5:$C$104,$X9)&amp;"")))</f>
        <v/>
      </c>
      <c r="K9" s="30">
        <f>IF($B9="","",COUNTIF('支払明細'!$A$5:$A$1004,$B9))</f>
        <v/>
      </c>
      <c r="L9" s="26">
        <f>IF($B9="","",SUMIFS('支払明細'!$I$5:$I$1004,'支払明細'!$A$5:$A$1004,$B9,'支払明細'!$G$5:$G$1004,"10%（標準）"))</f>
        <v/>
      </c>
      <c r="M9" s="26">
        <f>IF($B9="","",SUMIFS('支払明細'!$I$5:$I$1004,'支払明細'!$A$5:$A$1004,$B9,'支払明細'!$G$5:$G$1004,"8%（軽減）"))</f>
        <v/>
      </c>
      <c r="N9" s="26">
        <f>IF($B9="","",SUMIFS('支払明細'!$I$5:$I$1004,'支払明細'!$A$5:$A$1004,$B9,'支払明細'!$G$5:$G$1004,"対象外"))</f>
        <v/>
      </c>
      <c r="O9" s="26">
        <f>IF($B9="","",IF('設定'!$B$11="税込",IF('設定'!$B$12="切り捨て",ROUNDDOWN(ROUND($L9*10/110,6),0),IF('設定'!$B$12="切り上げ",ROUNDUP(ROUND($L9*10/110,6),0),ROUND($L9*10/110,0))),IF('設定'!$B$12="切り捨て",ROUNDDOWN(ROUND($L9*10/100,6),0),IF('設定'!$B$12="切り上げ",ROUNDUP(ROUND($L9*10/100,6),0),ROUND($L9*10/100,0)))))</f>
        <v/>
      </c>
      <c r="P9" s="26">
        <f>IF($B9="","",IF('設定'!$B$11="税込",IF('設定'!$B$12="切り捨て",ROUNDDOWN(ROUND($M9*8/108,6),0),IF('設定'!$B$12="切り上げ",ROUNDUP(ROUND($M9*8/108,6),0),ROUND($M9*8/108,0))),IF('設定'!$B$12="切り捨て",ROUNDDOWN(ROUND($M9*8/100,6),0),IF('設定'!$B$12="切り上げ",ROUNDUP(ROUND($M9*8/100,6),0),ROUND($M9*8/100,0)))))</f>
        <v/>
      </c>
      <c r="Q9" s="26">
        <f>IF($B9="","",IF('設定'!$B$11="税込",$L9+$M9+$N9,$L9+$O9+$M9+$P9+$N9))</f>
        <v/>
      </c>
      <c r="R9" s="26">
        <f>IF($B9="","",IF($X9="",0,IF(INDEX('支払先'!$I$5:$I$104,$X9)&lt;&gt;"する",0,IF(INDEX('支払先'!$J$5:$J$104,$X9)="税抜",IF('設定'!$B$11="税込",($Y9-IF('設定'!$B$12="切り捨て",ROUNDDOWN(ROUND($Y9*10/110,6),0),IF('設定'!$B$12="切り上げ",ROUNDUP(ROUND($Y9*10/110,6),0),ROUND($Y9*10/110,0)))+$Z9-IF('設定'!$B$12="切り捨て",ROUNDDOWN(ROUND($Z9*8/108,6),0),IF('設定'!$B$12="切り上げ",ROUNDUP(ROUND($Z9*8/108,6),0),ROUND($Z9*8/108,0)))+$AA9),$Y9+$Z9+$AA9),IF('設定'!$B$11="税込",$Y9+$Z9+$AA9,($Y9+IF('設定'!$B$12="切り捨て",ROUNDDOWN(ROUND($Y9*10/100,6),0),IF('設定'!$B$12="切り上げ",ROUNDUP(ROUND($Y9*10/100,6),0),ROUND($Y9*10/100,0)))+$Z9+IF('設定'!$B$12="切り捨て",ROUNDDOWN(ROUND($Z9*8/100,6),0),IF('設定'!$B$12="切り上げ",ROUNDUP(ROUND($Z9*8/100,6),0),ROUND($Z9*8/100,0)))+$AA9))))))</f>
        <v/>
      </c>
      <c r="S9" s="26">
        <f>IF($B9="","",IF(N($R9)&lt;=0,0,IF($R9&lt;='設定'!$B$18,ROUNDDOWN(ROUND($R9*'設定'!$B$17,6),0),ROUNDDOWN(ROUND(($R9-'設定'!$B$18)*'設定'!$B$19,6),0)+'設定'!$B$20)))</f>
        <v/>
      </c>
      <c r="T9" s="26">
        <f>IF($B9="","",IF($X9="",0,IF(INDEX('支払先'!$K$5:$K$104,$X9)="差し引く",N(INDEX('支払先'!$L$5:$L$104,$X9)),0)))</f>
        <v/>
      </c>
      <c r="U9" s="26">
        <f>IF($B9="","",$Q9-$S9-$T9)</f>
        <v/>
      </c>
      <c r="V9" s="22">
        <f>IF($B9="","",MID(IF($C9="","／支払先コードが空",IF($X9="","／支払先にないコード",""))&amp;IF($K9=0,"／明細がない","")&amp;IF($AC9&gt;0,"／税率が空の明細 "&amp;$AC9&amp;"件（合計に入っていない）","")&amp;IF($X9="","",IF(INDEX('支払先'!$G$5:$G$104,$X9)="","／登録番号なし（仕入明細書にならない）",""))&amp;IF($AB9&gt;0,"／60日（2か月）を超える明細 "&amp;$AB9&amp;"件","")&amp;IF($X9="","",IF(AND(INDEX('支払先'!$K$5:$K$104,$X9)="差し引く",OR(INDEX('支払先'!$M$5:$M$104,$X9)&lt;&gt;"対象外",INDEX('支払先'!$N$5:$N$104,$X9)&lt;&gt;"対象外")),"／手数料を差し引けない取引か確かめる",""))&amp;IF(COUNTIF($B$5:$B$204,$B9)&gt;1,"／通知Noが重複","")&amp;IF(AND(ISNUMBER($D9),ISNUMBER($F9),$F9&lt;$D9),"／支払予定日が発行日より前",""),2,300))</f>
        <v/>
      </c>
      <c r="W9" s="67" t="n"/>
      <c r="X9" s="31">
        <f>IF(OR($B9="",$C9=""),"",IFERROR(MATCH($C9,'支払先'!$B$5:$B$104,0),""))</f>
        <v/>
      </c>
      <c r="Y9" s="31">
        <f>IF($B9="","",SUMIFS('支払明細'!$I$5:$I$1004,'支払明細'!$A$5:$A$1004,$B9,'支払明細'!$G$5:$G$1004,"10%（標準）",'支払明細'!$H$5:$H$1004,"&lt;&gt;対象外"))</f>
        <v/>
      </c>
      <c r="Z9" s="31">
        <f>IF($B9="","",SUMIFS('支払明細'!$I$5:$I$1004,'支払明細'!$A$5:$A$1004,$B9,'支払明細'!$G$5:$G$1004,"8%（軽減）",'支払明細'!$H$5:$H$1004,"&lt;&gt;対象外"))</f>
        <v/>
      </c>
      <c r="AA9" s="31">
        <f>IF($B9="","",SUMIFS('支払明細'!$I$5:$I$1004,'支払明細'!$A$5:$A$1004,$B9,'支払明細'!$G$5:$G$1004,"対象外",'支払明細'!$H$5:$H$1004,"&lt;&gt;対象外"))</f>
        <v/>
      </c>
      <c r="AB9" s="31">
        <f>IF($B9="","",COUNTIFS('支払明細'!$A$5:$A$1004,$B9,'支払明細'!$M$5:$M$1004,"超える"))</f>
        <v/>
      </c>
      <c r="AC9" s="31">
        <f>IF($B9="","",COUNTIFS('支払明細'!$A$5:$A$1004,$B9,'支払明細'!$G$5:$G$1004,""))</f>
        <v/>
      </c>
    </row>
    <row r="10" ht="18" customHeight="1">
      <c r="A10" s="17" t="n">
        <v>6</v>
      </c>
      <c r="B10" s="18" t="n"/>
      <c r="C10" s="18" t="n"/>
      <c r="D10" s="24" t="n"/>
      <c r="E10" s="19" t="n"/>
      <c r="F10" s="24" t="n"/>
      <c r="G10" s="28">
        <f>IF(AND($B10&lt;&gt;"",ISNUMBER($D10)),$D10+N('設定'!$B$13),"")</f>
        <v/>
      </c>
      <c r="H10" s="18" t="n"/>
      <c r="I10" s="19" t="n"/>
      <c r="J10" s="27">
        <f>IF($B10="","",IF($C10="","（支払先コードが空）",IF($X10="","※支払先にないコード",INDEX('支払先'!$C$5:$C$104,$X10)&amp;"")))</f>
        <v/>
      </c>
      <c r="K10" s="30">
        <f>IF($B10="","",COUNTIF('支払明細'!$A$5:$A$1004,$B10))</f>
        <v/>
      </c>
      <c r="L10" s="26">
        <f>IF($B10="","",SUMIFS('支払明細'!$I$5:$I$1004,'支払明細'!$A$5:$A$1004,$B10,'支払明細'!$G$5:$G$1004,"10%（標準）"))</f>
        <v/>
      </c>
      <c r="M10" s="26">
        <f>IF($B10="","",SUMIFS('支払明細'!$I$5:$I$1004,'支払明細'!$A$5:$A$1004,$B10,'支払明細'!$G$5:$G$1004,"8%（軽減）"))</f>
        <v/>
      </c>
      <c r="N10" s="26">
        <f>IF($B10="","",SUMIFS('支払明細'!$I$5:$I$1004,'支払明細'!$A$5:$A$1004,$B10,'支払明細'!$G$5:$G$1004,"対象外"))</f>
        <v/>
      </c>
      <c r="O10" s="26">
        <f>IF($B10="","",IF('設定'!$B$11="税込",IF('設定'!$B$12="切り捨て",ROUNDDOWN(ROUND($L10*10/110,6),0),IF('設定'!$B$12="切り上げ",ROUNDUP(ROUND($L10*10/110,6),0),ROUND($L10*10/110,0))),IF('設定'!$B$12="切り捨て",ROUNDDOWN(ROUND($L10*10/100,6),0),IF('設定'!$B$12="切り上げ",ROUNDUP(ROUND($L10*10/100,6),0),ROUND($L10*10/100,0)))))</f>
        <v/>
      </c>
      <c r="P10" s="26">
        <f>IF($B10="","",IF('設定'!$B$11="税込",IF('設定'!$B$12="切り捨て",ROUNDDOWN(ROUND($M10*8/108,6),0),IF('設定'!$B$12="切り上げ",ROUNDUP(ROUND($M10*8/108,6),0),ROUND($M10*8/108,0))),IF('設定'!$B$12="切り捨て",ROUNDDOWN(ROUND($M10*8/100,6),0),IF('設定'!$B$12="切り上げ",ROUNDUP(ROUND($M10*8/100,6),0),ROUND($M10*8/100,0)))))</f>
        <v/>
      </c>
      <c r="Q10" s="26">
        <f>IF($B10="","",IF('設定'!$B$11="税込",$L10+$M10+$N10,$L10+$O10+$M10+$P10+$N10))</f>
        <v/>
      </c>
      <c r="R10" s="26">
        <f>IF($B10="","",IF($X10="",0,IF(INDEX('支払先'!$I$5:$I$104,$X10)&lt;&gt;"する",0,IF(INDEX('支払先'!$J$5:$J$104,$X10)="税抜",IF('設定'!$B$11="税込",($Y10-IF('設定'!$B$12="切り捨て",ROUNDDOWN(ROUND($Y10*10/110,6),0),IF('設定'!$B$12="切り上げ",ROUNDUP(ROUND($Y10*10/110,6),0),ROUND($Y10*10/110,0)))+$Z10-IF('設定'!$B$12="切り捨て",ROUNDDOWN(ROUND($Z10*8/108,6),0),IF('設定'!$B$12="切り上げ",ROUNDUP(ROUND($Z10*8/108,6),0),ROUND($Z10*8/108,0)))+$AA10),$Y10+$Z10+$AA10),IF('設定'!$B$11="税込",$Y10+$Z10+$AA10,($Y10+IF('設定'!$B$12="切り捨て",ROUNDDOWN(ROUND($Y10*10/100,6),0),IF('設定'!$B$12="切り上げ",ROUNDUP(ROUND($Y10*10/100,6),0),ROUND($Y10*10/100,0)))+$Z10+IF('設定'!$B$12="切り捨て",ROUNDDOWN(ROUND($Z10*8/100,6),0),IF('設定'!$B$12="切り上げ",ROUNDUP(ROUND($Z10*8/100,6),0),ROUND($Z10*8/100,0)))+$AA10))))))</f>
        <v/>
      </c>
      <c r="S10" s="26">
        <f>IF($B10="","",IF(N($R10)&lt;=0,0,IF($R10&lt;='設定'!$B$18,ROUNDDOWN(ROUND($R10*'設定'!$B$17,6),0),ROUNDDOWN(ROUND(($R10-'設定'!$B$18)*'設定'!$B$19,6),0)+'設定'!$B$20)))</f>
        <v/>
      </c>
      <c r="T10" s="26">
        <f>IF($B10="","",IF($X10="",0,IF(INDEX('支払先'!$K$5:$K$104,$X10)="差し引く",N(INDEX('支払先'!$L$5:$L$104,$X10)),0)))</f>
        <v/>
      </c>
      <c r="U10" s="26">
        <f>IF($B10="","",$Q10-$S10-$T10)</f>
        <v/>
      </c>
      <c r="V10" s="22">
        <f>IF($B10="","",MID(IF($C10="","／支払先コードが空",IF($X10="","／支払先にないコード",""))&amp;IF($K10=0,"／明細がない","")&amp;IF($AC10&gt;0,"／税率が空の明細 "&amp;$AC10&amp;"件（合計に入っていない）","")&amp;IF($X10="","",IF(INDEX('支払先'!$G$5:$G$104,$X10)="","／登録番号なし（仕入明細書にならない）",""))&amp;IF($AB10&gt;0,"／60日（2か月）を超える明細 "&amp;$AB10&amp;"件","")&amp;IF($X10="","",IF(AND(INDEX('支払先'!$K$5:$K$104,$X10)="差し引く",OR(INDEX('支払先'!$M$5:$M$104,$X10)&lt;&gt;"対象外",INDEX('支払先'!$N$5:$N$104,$X10)&lt;&gt;"対象外")),"／手数料を差し引けない取引か確かめる",""))&amp;IF(COUNTIF($B$5:$B$204,$B10)&gt;1,"／通知Noが重複","")&amp;IF(AND(ISNUMBER($D10),ISNUMBER($F10),$F10&lt;$D10),"／支払予定日が発行日より前",""),2,300))</f>
        <v/>
      </c>
      <c r="W10" s="67" t="n"/>
      <c r="X10" s="31">
        <f>IF(OR($B10="",$C10=""),"",IFERROR(MATCH($C10,'支払先'!$B$5:$B$104,0),""))</f>
        <v/>
      </c>
      <c r="Y10" s="31">
        <f>IF($B10="","",SUMIFS('支払明細'!$I$5:$I$1004,'支払明細'!$A$5:$A$1004,$B10,'支払明細'!$G$5:$G$1004,"10%（標準）",'支払明細'!$H$5:$H$1004,"&lt;&gt;対象外"))</f>
        <v/>
      </c>
      <c r="Z10" s="31">
        <f>IF($B10="","",SUMIFS('支払明細'!$I$5:$I$1004,'支払明細'!$A$5:$A$1004,$B10,'支払明細'!$G$5:$G$1004,"8%（軽減）",'支払明細'!$H$5:$H$1004,"&lt;&gt;対象外"))</f>
        <v/>
      </c>
      <c r="AA10" s="31">
        <f>IF($B10="","",SUMIFS('支払明細'!$I$5:$I$1004,'支払明細'!$A$5:$A$1004,$B10,'支払明細'!$G$5:$G$1004,"対象外",'支払明細'!$H$5:$H$1004,"&lt;&gt;対象外"))</f>
        <v/>
      </c>
      <c r="AB10" s="31">
        <f>IF($B10="","",COUNTIFS('支払明細'!$A$5:$A$1004,$B10,'支払明細'!$M$5:$M$1004,"超える"))</f>
        <v/>
      </c>
      <c r="AC10" s="31">
        <f>IF($B10="","",COUNTIFS('支払明細'!$A$5:$A$1004,$B10,'支払明細'!$G$5:$G$1004,""))</f>
        <v/>
      </c>
    </row>
    <row r="11" ht="18" customHeight="1">
      <c r="A11" s="17" t="n">
        <v>7</v>
      </c>
      <c r="B11" s="18" t="n"/>
      <c r="C11" s="18" t="n"/>
      <c r="D11" s="24" t="n"/>
      <c r="E11" s="19" t="n"/>
      <c r="F11" s="24" t="n"/>
      <c r="G11" s="28">
        <f>IF(AND($B11&lt;&gt;"",ISNUMBER($D11)),$D11+N('設定'!$B$13),"")</f>
        <v/>
      </c>
      <c r="H11" s="18" t="n"/>
      <c r="I11" s="19" t="n"/>
      <c r="J11" s="27">
        <f>IF($B11="","",IF($C11="","（支払先コードが空）",IF($X11="","※支払先にないコード",INDEX('支払先'!$C$5:$C$104,$X11)&amp;"")))</f>
        <v/>
      </c>
      <c r="K11" s="30">
        <f>IF($B11="","",COUNTIF('支払明細'!$A$5:$A$1004,$B11))</f>
        <v/>
      </c>
      <c r="L11" s="26">
        <f>IF($B11="","",SUMIFS('支払明細'!$I$5:$I$1004,'支払明細'!$A$5:$A$1004,$B11,'支払明細'!$G$5:$G$1004,"10%（標準）"))</f>
        <v/>
      </c>
      <c r="M11" s="26">
        <f>IF($B11="","",SUMIFS('支払明細'!$I$5:$I$1004,'支払明細'!$A$5:$A$1004,$B11,'支払明細'!$G$5:$G$1004,"8%（軽減）"))</f>
        <v/>
      </c>
      <c r="N11" s="26">
        <f>IF($B11="","",SUMIFS('支払明細'!$I$5:$I$1004,'支払明細'!$A$5:$A$1004,$B11,'支払明細'!$G$5:$G$1004,"対象外"))</f>
        <v/>
      </c>
      <c r="O11" s="26">
        <f>IF($B11="","",IF('設定'!$B$11="税込",IF('設定'!$B$12="切り捨て",ROUNDDOWN(ROUND($L11*10/110,6),0),IF('設定'!$B$12="切り上げ",ROUNDUP(ROUND($L11*10/110,6),0),ROUND($L11*10/110,0))),IF('設定'!$B$12="切り捨て",ROUNDDOWN(ROUND($L11*10/100,6),0),IF('設定'!$B$12="切り上げ",ROUNDUP(ROUND($L11*10/100,6),0),ROUND($L11*10/100,0)))))</f>
        <v/>
      </c>
      <c r="P11" s="26">
        <f>IF($B11="","",IF('設定'!$B$11="税込",IF('設定'!$B$12="切り捨て",ROUNDDOWN(ROUND($M11*8/108,6),0),IF('設定'!$B$12="切り上げ",ROUNDUP(ROUND($M11*8/108,6),0),ROUND($M11*8/108,0))),IF('設定'!$B$12="切り捨て",ROUNDDOWN(ROUND($M11*8/100,6),0),IF('設定'!$B$12="切り上げ",ROUNDUP(ROUND($M11*8/100,6),0),ROUND($M11*8/100,0)))))</f>
        <v/>
      </c>
      <c r="Q11" s="26">
        <f>IF($B11="","",IF('設定'!$B$11="税込",$L11+$M11+$N11,$L11+$O11+$M11+$P11+$N11))</f>
        <v/>
      </c>
      <c r="R11" s="26">
        <f>IF($B11="","",IF($X11="",0,IF(INDEX('支払先'!$I$5:$I$104,$X11)&lt;&gt;"する",0,IF(INDEX('支払先'!$J$5:$J$104,$X11)="税抜",IF('設定'!$B$11="税込",($Y11-IF('設定'!$B$12="切り捨て",ROUNDDOWN(ROUND($Y11*10/110,6),0),IF('設定'!$B$12="切り上げ",ROUNDUP(ROUND($Y11*10/110,6),0),ROUND($Y11*10/110,0)))+$Z11-IF('設定'!$B$12="切り捨て",ROUNDDOWN(ROUND($Z11*8/108,6),0),IF('設定'!$B$12="切り上げ",ROUNDUP(ROUND($Z11*8/108,6),0),ROUND($Z11*8/108,0)))+$AA11),$Y11+$Z11+$AA11),IF('設定'!$B$11="税込",$Y11+$Z11+$AA11,($Y11+IF('設定'!$B$12="切り捨て",ROUNDDOWN(ROUND($Y11*10/100,6),0),IF('設定'!$B$12="切り上げ",ROUNDUP(ROUND($Y11*10/100,6),0),ROUND($Y11*10/100,0)))+$Z11+IF('設定'!$B$12="切り捨て",ROUNDDOWN(ROUND($Z11*8/100,6),0),IF('設定'!$B$12="切り上げ",ROUNDUP(ROUND($Z11*8/100,6),0),ROUND($Z11*8/100,0)))+$AA11))))))</f>
        <v/>
      </c>
      <c r="S11" s="26">
        <f>IF($B11="","",IF(N($R11)&lt;=0,0,IF($R11&lt;='設定'!$B$18,ROUNDDOWN(ROUND($R11*'設定'!$B$17,6),0),ROUNDDOWN(ROUND(($R11-'設定'!$B$18)*'設定'!$B$19,6),0)+'設定'!$B$20)))</f>
        <v/>
      </c>
      <c r="T11" s="26">
        <f>IF($B11="","",IF($X11="",0,IF(INDEX('支払先'!$K$5:$K$104,$X11)="差し引く",N(INDEX('支払先'!$L$5:$L$104,$X11)),0)))</f>
        <v/>
      </c>
      <c r="U11" s="26">
        <f>IF($B11="","",$Q11-$S11-$T11)</f>
        <v/>
      </c>
      <c r="V11" s="22">
        <f>IF($B11="","",MID(IF($C11="","／支払先コードが空",IF($X11="","／支払先にないコード",""))&amp;IF($K11=0,"／明細がない","")&amp;IF($AC11&gt;0,"／税率が空の明細 "&amp;$AC11&amp;"件（合計に入っていない）","")&amp;IF($X11="","",IF(INDEX('支払先'!$G$5:$G$104,$X11)="","／登録番号なし（仕入明細書にならない）",""))&amp;IF($AB11&gt;0,"／60日（2か月）を超える明細 "&amp;$AB11&amp;"件","")&amp;IF($X11="","",IF(AND(INDEX('支払先'!$K$5:$K$104,$X11)="差し引く",OR(INDEX('支払先'!$M$5:$M$104,$X11)&lt;&gt;"対象外",INDEX('支払先'!$N$5:$N$104,$X11)&lt;&gt;"対象外")),"／手数料を差し引けない取引か確かめる",""))&amp;IF(COUNTIF($B$5:$B$204,$B11)&gt;1,"／通知Noが重複","")&amp;IF(AND(ISNUMBER($D11),ISNUMBER($F11),$F11&lt;$D11),"／支払予定日が発行日より前",""),2,300))</f>
        <v/>
      </c>
      <c r="W11" s="67" t="n"/>
      <c r="X11" s="31">
        <f>IF(OR($B11="",$C11=""),"",IFERROR(MATCH($C11,'支払先'!$B$5:$B$104,0),""))</f>
        <v/>
      </c>
      <c r="Y11" s="31">
        <f>IF($B11="","",SUMIFS('支払明細'!$I$5:$I$1004,'支払明細'!$A$5:$A$1004,$B11,'支払明細'!$G$5:$G$1004,"10%（標準）",'支払明細'!$H$5:$H$1004,"&lt;&gt;対象外"))</f>
        <v/>
      </c>
      <c r="Z11" s="31">
        <f>IF($B11="","",SUMIFS('支払明細'!$I$5:$I$1004,'支払明細'!$A$5:$A$1004,$B11,'支払明細'!$G$5:$G$1004,"8%（軽減）",'支払明細'!$H$5:$H$1004,"&lt;&gt;対象外"))</f>
        <v/>
      </c>
      <c r="AA11" s="31">
        <f>IF($B11="","",SUMIFS('支払明細'!$I$5:$I$1004,'支払明細'!$A$5:$A$1004,$B11,'支払明細'!$G$5:$G$1004,"対象外",'支払明細'!$H$5:$H$1004,"&lt;&gt;対象外"))</f>
        <v/>
      </c>
      <c r="AB11" s="31">
        <f>IF($B11="","",COUNTIFS('支払明細'!$A$5:$A$1004,$B11,'支払明細'!$M$5:$M$1004,"超える"))</f>
        <v/>
      </c>
      <c r="AC11" s="31">
        <f>IF($B11="","",COUNTIFS('支払明細'!$A$5:$A$1004,$B11,'支払明細'!$G$5:$G$1004,""))</f>
        <v/>
      </c>
    </row>
    <row r="12" ht="18" customHeight="1">
      <c r="A12" s="17" t="n">
        <v>8</v>
      </c>
      <c r="B12" s="18" t="n"/>
      <c r="C12" s="18" t="n"/>
      <c r="D12" s="24" t="n"/>
      <c r="E12" s="19" t="n"/>
      <c r="F12" s="24" t="n"/>
      <c r="G12" s="28">
        <f>IF(AND($B12&lt;&gt;"",ISNUMBER($D12)),$D12+N('設定'!$B$13),"")</f>
        <v/>
      </c>
      <c r="H12" s="18" t="n"/>
      <c r="I12" s="19" t="n"/>
      <c r="J12" s="27">
        <f>IF($B12="","",IF($C12="","（支払先コードが空）",IF($X12="","※支払先にないコード",INDEX('支払先'!$C$5:$C$104,$X12)&amp;"")))</f>
        <v/>
      </c>
      <c r="K12" s="30">
        <f>IF($B12="","",COUNTIF('支払明細'!$A$5:$A$1004,$B12))</f>
        <v/>
      </c>
      <c r="L12" s="26">
        <f>IF($B12="","",SUMIFS('支払明細'!$I$5:$I$1004,'支払明細'!$A$5:$A$1004,$B12,'支払明細'!$G$5:$G$1004,"10%（標準）"))</f>
        <v/>
      </c>
      <c r="M12" s="26">
        <f>IF($B12="","",SUMIFS('支払明細'!$I$5:$I$1004,'支払明細'!$A$5:$A$1004,$B12,'支払明細'!$G$5:$G$1004,"8%（軽減）"))</f>
        <v/>
      </c>
      <c r="N12" s="26">
        <f>IF($B12="","",SUMIFS('支払明細'!$I$5:$I$1004,'支払明細'!$A$5:$A$1004,$B12,'支払明細'!$G$5:$G$1004,"対象外"))</f>
        <v/>
      </c>
      <c r="O12" s="26">
        <f>IF($B12="","",IF('設定'!$B$11="税込",IF('設定'!$B$12="切り捨て",ROUNDDOWN(ROUND($L12*10/110,6),0),IF('設定'!$B$12="切り上げ",ROUNDUP(ROUND($L12*10/110,6),0),ROUND($L12*10/110,0))),IF('設定'!$B$12="切り捨て",ROUNDDOWN(ROUND($L12*10/100,6),0),IF('設定'!$B$12="切り上げ",ROUNDUP(ROUND($L12*10/100,6),0),ROUND($L12*10/100,0)))))</f>
        <v/>
      </c>
      <c r="P12" s="26">
        <f>IF($B12="","",IF('設定'!$B$11="税込",IF('設定'!$B$12="切り捨て",ROUNDDOWN(ROUND($M12*8/108,6),0),IF('設定'!$B$12="切り上げ",ROUNDUP(ROUND($M12*8/108,6),0),ROUND($M12*8/108,0))),IF('設定'!$B$12="切り捨て",ROUNDDOWN(ROUND($M12*8/100,6),0),IF('設定'!$B$12="切り上げ",ROUNDUP(ROUND($M12*8/100,6),0),ROUND($M12*8/100,0)))))</f>
        <v/>
      </c>
      <c r="Q12" s="26">
        <f>IF($B12="","",IF('設定'!$B$11="税込",$L12+$M12+$N12,$L12+$O12+$M12+$P12+$N12))</f>
        <v/>
      </c>
      <c r="R12" s="26">
        <f>IF($B12="","",IF($X12="",0,IF(INDEX('支払先'!$I$5:$I$104,$X12)&lt;&gt;"する",0,IF(INDEX('支払先'!$J$5:$J$104,$X12)="税抜",IF('設定'!$B$11="税込",($Y12-IF('設定'!$B$12="切り捨て",ROUNDDOWN(ROUND($Y12*10/110,6),0),IF('設定'!$B$12="切り上げ",ROUNDUP(ROUND($Y12*10/110,6),0),ROUND($Y12*10/110,0)))+$Z12-IF('設定'!$B$12="切り捨て",ROUNDDOWN(ROUND($Z12*8/108,6),0),IF('設定'!$B$12="切り上げ",ROUNDUP(ROUND($Z12*8/108,6),0),ROUND($Z12*8/108,0)))+$AA12),$Y12+$Z12+$AA12),IF('設定'!$B$11="税込",$Y12+$Z12+$AA12,($Y12+IF('設定'!$B$12="切り捨て",ROUNDDOWN(ROUND($Y12*10/100,6),0),IF('設定'!$B$12="切り上げ",ROUNDUP(ROUND($Y12*10/100,6),0),ROUND($Y12*10/100,0)))+$Z12+IF('設定'!$B$12="切り捨て",ROUNDDOWN(ROUND($Z12*8/100,6),0),IF('設定'!$B$12="切り上げ",ROUNDUP(ROUND($Z12*8/100,6),0),ROUND($Z12*8/100,0)))+$AA12))))))</f>
        <v/>
      </c>
      <c r="S12" s="26">
        <f>IF($B12="","",IF(N($R12)&lt;=0,0,IF($R12&lt;='設定'!$B$18,ROUNDDOWN(ROUND($R12*'設定'!$B$17,6),0),ROUNDDOWN(ROUND(($R12-'設定'!$B$18)*'設定'!$B$19,6),0)+'設定'!$B$20)))</f>
        <v/>
      </c>
      <c r="T12" s="26">
        <f>IF($B12="","",IF($X12="",0,IF(INDEX('支払先'!$K$5:$K$104,$X12)="差し引く",N(INDEX('支払先'!$L$5:$L$104,$X12)),0)))</f>
        <v/>
      </c>
      <c r="U12" s="26">
        <f>IF($B12="","",$Q12-$S12-$T12)</f>
        <v/>
      </c>
      <c r="V12" s="22">
        <f>IF($B12="","",MID(IF($C12="","／支払先コードが空",IF($X12="","／支払先にないコード",""))&amp;IF($K12=0,"／明細がない","")&amp;IF($AC12&gt;0,"／税率が空の明細 "&amp;$AC12&amp;"件（合計に入っていない）","")&amp;IF($X12="","",IF(INDEX('支払先'!$G$5:$G$104,$X12)="","／登録番号なし（仕入明細書にならない）",""))&amp;IF($AB12&gt;0,"／60日（2か月）を超える明細 "&amp;$AB12&amp;"件","")&amp;IF($X12="","",IF(AND(INDEX('支払先'!$K$5:$K$104,$X12)="差し引く",OR(INDEX('支払先'!$M$5:$M$104,$X12)&lt;&gt;"対象外",INDEX('支払先'!$N$5:$N$104,$X12)&lt;&gt;"対象外")),"／手数料を差し引けない取引か確かめる",""))&amp;IF(COUNTIF($B$5:$B$204,$B12)&gt;1,"／通知Noが重複","")&amp;IF(AND(ISNUMBER($D12),ISNUMBER($F12),$F12&lt;$D12),"／支払予定日が発行日より前",""),2,300))</f>
        <v/>
      </c>
      <c r="W12" s="67" t="n"/>
      <c r="X12" s="31">
        <f>IF(OR($B12="",$C12=""),"",IFERROR(MATCH($C12,'支払先'!$B$5:$B$104,0),""))</f>
        <v/>
      </c>
      <c r="Y12" s="31">
        <f>IF($B12="","",SUMIFS('支払明細'!$I$5:$I$1004,'支払明細'!$A$5:$A$1004,$B12,'支払明細'!$G$5:$G$1004,"10%（標準）",'支払明細'!$H$5:$H$1004,"&lt;&gt;対象外"))</f>
        <v/>
      </c>
      <c r="Z12" s="31">
        <f>IF($B12="","",SUMIFS('支払明細'!$I$5:$I$1004,'支払明細'!$A$5:$A$1004,$B12,'支払明細'!$G$5:$G$1004,"8%（軽減）",'支払明細'!$H$5:$H$1004,"&lt;&gt;対象外"))</f>
        <v/>
      </c>
      <c r="AA12" s="31">
        <f>IF($B12="","",SUMIFS('支払明細'!$I$5:$I$1004,'支払明細'!$A$5:$A$1004,$B12,'支払明細'!$G$5:$G$1004,"対象外",'支払明細'!$H$5:$H$1004,"&lt;&gt;対象外"))</f>
        <v/>
      </c>
      <c r="AB12" s="31">
        <f>IF($B12="","",COUNTIFS('支払明細'!$A$5:$A$1004,$B12,'支払明細'!$M$5:$M$1004,"超える"))</f>
        <v/>
      </c>
      <c r="AC12" s="31">
        <f>IF($B12="","",COUNTIFS('支払明細'!$A$5:$A$1004,$B12,'支払明細'!$G$5:$G$1004,""))</f>
        <v/>
      </c>
    </row>
    <row r="13" ht="18" customHeight="1">
      <c r="A13" s="17" t="n">
        <v>9</v>
      </c>
      <c r="B13" s="18" t="n"/>
      <c r="C13" s="18" t="n"/>
      <c r="D13" s="24" t="n"/>
      <c r="E13" s="19" t="n"/>
      <c r="F13" s="24" t="n"/>
      <c r="G13" s="28">
        <f>IF(AND($B13&lt;&gt;"",ISNUMBER($D13)),$D13+N('設定'!$B$13),"")</f>
        <v/>
      </c>
      <c r="H13" s="18" t="n"/>
      <c r="I13" s="19" t="n"/>
      <c r="J13" s="27">
        <f>IF($B13="","",IF($C13="","（支払先コードが空）",IF($X13="","※支払先にないコード",INDEX('支払先'!$C$5:$C$104,$X13)&amp;"")))</f>
        <v/>
      </c>
      <c r="K13" s="30">
        <f>IF($B13="","",COUNTIF('支払明細'!$A$5:$A$1004,$B13))</f>
        <v/>
      </c>
      <c r="L13" s="26">
        <f>IF($B13="","",SUMIFS('支払明細'!$I$5:$I$1004,'支払明細'!$A$5:$A$1004,$B13,'支払明細'!$G$5:$G$1004,"10%（標準）"))</f>
        <v/>
      </c>
      <c r="M13" s="26">
        <f>IF($B13="","",SUMIFS('支払明細'!$I$5:$I$1004,'支払明細'!$A$5:$A$1004,$B13,'支払明細'!$G$5:$G$1004,"8%（軽減）"))</f>
        <v/>
      </c>
      <c r="N13" s="26">
        <f>IF($B13="","",SUMIFS('支払明細'!$I$5:$I$1004,'支払明細'!$A$5:$A$1004,$B13,'支払明細'!$G$5:$G$1004,"対象外"))</f>
        <v/>
      </c>
      <c r="O13" s="26">
        <f>IF($B13="","",IF('設定'!$B$11="税込",IF('設定'!$B$12="切り捨て",ROUNDDOWN(ROUND($L13*10/110,6),0),IF('設定'!$B$12="切り上げ",ROUNDUP(ROUND($L13*10/110,6),0),ROUND($L13*10/110,0))),IF('設定'!$B$12="切り捨て",ROUNDDOWN(ROUND($L13*10/100,6),0),IF('設定'!$B$12="切り上げ",ROUNDUP(ROUND($L13*10/100,6),0),ROUND($L13*10/100,0)))))</f>
        <v/>
      </c>
      <c r="P13" s="26">
        <f>IF($B13="","",IF('設定'!$B$11="税込",IF('設定'!$B$12="切り捨て",ROUNDDOWN(ROUND($M13*8/108,6),0),IF('設定'!$B$12="切り上げ",ROUNDUP(ROUND($M13*8/108,6),0),ROUND($M13*8/108,0))),IF('設定'!$B$12="切り捨て",ROUNDDOWN(ROUND($M13*8/100,6),0),IF('設定'!$B$12="切り上げ",ROUNDUP(ROUND($M13*8/100,6),0),ROUND($M13*8/100,0)))))</f>
        <v/>
      </c>
      <c r="Q13" s="26">
        <f>IF($B13="","",IF('設定'!$B$11="税込",$L13+$M13+$N13,$L13+$O13+$M13+$P13+$N13))</f>
        <v/>
      </c>
      <c r="R13" s="26">
        <f>IF($B13="","",IF($X13="",0,IF(INDEX('支払先'!$I$5:$I$104,$X13)&lt;&gt;"する",0,IF(INDEX('支払先'!$J$5:$J$104,$X13)="税抜",IF('設定'!$B$11="税込",($Y13-IF('設定'!$B$12="切り捨て",ROUNDDOWN(ROUND($Y13*10/110,6),0),IF('設定'!$B$12="切り上げ",ROUNDUP(ROUND($Y13*10/110,6),0),ROUND($Y13*10/110,0)))+$Z13-IF('設定'!$B$12="切り捨て",ROUNDDOWN(ROUND($Z13*8/108,6),0),IF('設定'!$B$12="切り上げ",ROUNDUP(ROUND($Z13*8/108,6),0),ROUND($Z13*8/108,0)))+$AA13),$Y13+$Z13+$AA13),IF('設定'!$B$11="税込",$Y13+$Z13+$AA13,($Y13+IF('設定'!$B$12="切り捨て",ROUNDDOWN(ROUND($Y13*10/100,6),0),IF('設定'!$B$12="切り上げ",ROUNDUP(ROUND($Y13*10/100,6),0),ROUND($Y13*10/100,0)))+$Z13+IF('設定'!$B$12="切り捨て",ROUNDDOWN(ROUND($Z13*8/100,6),0),IF('設定'!$B$12="切り上げ",ROUNDUP(ROUND($Z13*8/100,6),0),ROUND($Z13*8/100,0)))+$AA13))))))</f>
        <v/>
      </c>
      <c r="S13" s="26">
        <f>IF($B13="","",IF(N($R13)&lt;=0,0,IF($R13&lt;='設定'!$B$18,ROUNDDOWN(ROUND($R13*'設定'!$B$17,6),0),ROUNDDOWN(ROUND(($R13-'設定'!$B$18)*'設定'!$B$19,6),0)+'設定'!$B$20)))</f>
        <v/>
      </c>
      <c r="T13" s="26">
        <f>IF($B13="","",IF($X13="",0,IF(INDEX('支払先'!$K$5:$K$104,$X13)="差し引く",N(INDEX('支払先'!$L$5:$L$104,$X13)),0)))</f>
        <v/>
      </c>
      <c r="U13" s="26">
        <f>IF($B13="","",$Q13-$S13-$T13)</f>
        <v/>
      </c>
      <c r="V13" s="22">
        <f>IF($B13="","",MID(IF($C13="","／支払先コードが空",IF($X13="","／支払先にないコード",""))&amp;IF($K13=0,"／明細がない","")&amp;IF($AC13&gt;0,"／税率が空の明細 "&amp;$AC13&amp;"件（合計に入っていない）","")&amp;IF($X13="","",IF(INDEX('支払先'!$G$5:$G$104,$X13)="","／登録番号なし（仕入明細書にならない）",""))&amp;IF($AB13&gt;0,"／60日（2か月）を超える明細 "&amp;$AB13&amp;"件","")&amp;IF($X13="","",IF(AND(INDEX('支払先'!$K$5:$K$104,$X13)="差し引く",OR(INDEX('支払先'!$M$5:$M$104,$X13)&lt;&gt;"対象外",INDEX('支払先'!$N$5:$N$104,$X13)&lt;&gt;"対象外")),"／手数料を差し引けない取引か確かめる",""))&amp;IF(COUNTIF($B$5:$B$204,$B13)&gt;1,"／通知Noが重複","")&amp;IF(AND(ISNUMBER($D13),ISNUMBER($F13),$F13&lt;$D13),"／支払予定日が発行日より前",""),2,300))</f>
        <v/>
      </c>
      <c r="W13" s="67" t="n"/>
      <c r="X13" s="31">
        <f>IF(OR($B13="",$C13=""),"",IFERROR(MATCH($C13,'支払先'!$B$5:$B$104,0),""))</f>
        <v/>
      </c>
      <c r="Y13" s="31">
        <f>IF($B13="","",SUMIFS('支払明細'!$I$5:$I$1004,'支払明細'!$A$5:$A$1004,$B13,'支払明細'!$G$5:$G$1004,"10%（標準）",'支払明細'!$H$5:$H$1004,"&lt;&gt;対象外"))</f>
        <v/>
      </c>
      <c r="Z13" s="31">
        <f>IF($B13="","",SUMIFS('支払明細'!$I$5:$I$1004,'支払明細'!$A$5:$A$1004,$B13,'支払明細'!$G$5:$G$1004,"8%（軽減）",'支払明細'!$H$5:$H$1004,"&lt;&gt;対象外"))</f>
        <v/>
      </c>
      <c r="AA13" s="31">
        <f>IF($B13="","",SUMIFS('支払明細'!$I$5:$I$1004,'支払明細'!$A$5:$A$1004,$B13,'支払明細'!$G$5:$G$1004,"対象外",'支払明細'!$H$5:$H$1004,"&lt;&gt;対象外"))</f>
        <v/>
      </c>
      <c r="AB13" s="31">
        <f>IF($B13="","",COUNTIFS('支払明細'!$A$5:$A$1004,$B13,'支払明細'!$M$5:$M$1004,"超える"))</f>
        <v/>
      </c>
      <c r="AC13" s="31">
        <f>IF($B13="","",COUNTIFS('支払明細'!$A$5:$A$1004,$B13,'支払明細'!$G$5:$G$1004,""))</f>
        <v/>
      </c>
    </row>
    <row r="14" ht="18" customHeight="1">
      <c r="A14" s="17" t="n">
        <v>10</v>
      </c>
      <c r="B14" s="18" t="n"/>
      <c r="C14" s="18" t="n"/>
      <c r="D14" s="24" t="n"/>
      <c r="E14" s="19" t="n"/>
      <c r="F14" s="24" t="n"/>
      <c r="G14" s="28">
        <f>IF(AND($B14&lt;&gt;"",ISNUMBER($D14)),$D14+N('設定'!$B$13),"")</f>
        <v/>
      </c>
      <c r="H14" s="18" t="n"/>
      <c r="I14" s="19" t="n"/>
      <c r="J14" s="27">
        <f>IF($B14="","",IF($C14="","（支払先コードが空）",IF($X14="","※支払先にないコード",INDEX('支払先'!$C$5:$C$104,$X14)&amp;"")))</f>
        <v/>
      </c>
      <c r="K14" s="30">
        <f>IF($B14="","",COUNTIF('支払明細'!$A$5:$A$1004,$B14))</f>
        <v/>
      </c>
      <c r="L14" s="26">
        <f>IF($B14="","",SUMIFS('支払明細'!$I$5:$I$1004,'支払明細'!$A$5:$A$1004,$B14,'支払明細'!$G$5:$G$1004,"10%（標準）"))</f>
        <v/>
      </c>
      <c r="M14" s="26">
        <f>IF($B14="","",SUMIFS('支払明細'!$I$5:$I$1004,'支払明細'!$A$5:$A$1004,$B14,'支払明細'!$G$5:$G$1004,"8%（軽減）"))</f>
        <v/>
      </c>
      <c r="N14" s="26">
        <f>IF($B14="","",SUMIFS('支払明細'!$I$5:$I$1004,'支払明細'!$A$5:$A$1004,$B14,'支払明細'!$G$5:$G$1004,"対象外"))</f>
        <v/>
      </c>
      <c r="O14" s="26">
        <f>IF($B14="","",IF('設定'!$B$11="税込",IF('設定'!$B$12="切り捨て",ROUNDDOWN(ROUND($L14*10/110,6),0),IF('設定'!$B$12="切り上げ",ROUNDUP(ROUND($L14*10/110,6),0),ROUND($L14*10/110,0))),IF('設定'!$B$12="切り捨て",ROUNDDOWN(ROUND($L14*10/100,6),0),IF('設定'!$B$12="切り上げ",ROUNDUP(ROUND($L14*10/100,6),0),ROUND($L14*10/100,0)))))</f>
        <v/>
      </c>
      <c r="P14" s="26">
        <f>IF($B14="","",IF('設定'!$B$11="税込",IF('設定'!$B$12="切り捨て",ROUNDDOWN(ROUND($M14*8/108,6),0),IF('設定'!$B$12="切り上げ",ROUNDUP(ROUND($M14*8/108,6),0),ROUND($M14*8/108,0))),IF('設定'!$B$12="切り捨て",ROUNDDOWN(ROUND($M14*8/100,6),0),IF('設定'!$B$12="切り上げ",ROUNDUP(ROUND($M14*8/100,6),0),ROUND($M14*8/100,0)))))</f>
        <v/>
      </c>
      <c r="Q14" s="26">
        <f>IF($B14="","",IF('設定'!$B$11="税込",$L14+$M14+$N14,$L14+$O14+$M14+$P14+$N14))</f>
        <v/>
      </c>
      <c r="R14" s="26">
        <f>IF($B14="","",IF($X14="",0,IF(INDEX('支払先'!$I$5:$I$104,$X14)&lt;&gt;"する",0,IF(INDEX('支払先'!$J$5:$J$104,$X14)="税抜",IF('設定'!$B$11="税込",($Y14-IF('設定'!$B$12="切り捨て",ROUNDDOWN(ROUND($Y14*10/110,6),0),IF('設定'!$B$12="切り上げ",ROUNDUP(ROUND($Y14*10/110,6),0),ROUND($Y14*10/110,0)))+$Z14-IF('設定'!$B$12="切り捨て",ROUNDDOWN(ROUND($Z14*8/108,6),0),IF('設定'!$B$12="切り上げ",ROUNDUP(ROUND($Z14*8/108,6),0),ROUND($Z14*8/108,0)))+$AA14),$Y14+$Z14+$AA14),IF('設定'!$B$11="税込",$Y14+$Z14+$AA14,($Y14+IF('設定'!$B$12="切り捨て",ROUNDDOWN(ROUND($Y14*10/100,6),0),IF('設定'!$B$12="切り上げ",ROUNDUP(ROUND($Y14*10/100,6),0),ROUND($Y14*10/100,0)))+$Z14+IF('設定'!$B$12="切り捨て",ROUNDDOWN(ROUND($Z14*8/100,6),0),IF('設定'!$B$12="切り上げ",ROUNDUP(ROUND($Z14*8/100,6),0),ROUND($Z14*8/100,0)))+$AA14))))))</f>
        <v/>
      </c>
      <c r="S14" s="26">
        <f>IF($B14="","",IF(N($R14)&lt;=0,0,IF($R14&lt;='設定'!$B$18,ROUNDDOWN(ROUND($R14*'設定'!$B$17,6),0),ROUNDDOWN(ROUND(($R14-'設定'!$B$18)*'設定'!$B$19,6),0)+'設定'!$B$20)))</f>
        <v/>
      </c>
      <c r="T14" s="26">
        <f>IF($B14="","",IF($X14="",0,IF(INDEX('支払先'!$K$5:$K$104,$X14)="差し引く",N(INDEX('支払先'!$L$5:$L$104,$X14)),0)))</f>
        <v/>
      </c>
      <c r="U14" s="26">
        <f>IF($B14="","",$Q14-$S14-$T14)</f>
        <v/>
      </c>
      <c r="V14" s="22">
        <f>IF($B14="","",MID(IF($C14="","／支払先コードが空",IF($X14="","／支払先にないコード",""))&amp;IF($K14=0,"／明細がない","")&amp;IF($AC14&gt;0,"／税率が空の明細 "&amp;$AC14&amp;"件（合計に入っていない）","")&amp;IF($X14="","",IF(INDEX('支払先'!$G$5:$G$104,$X14)="","／登録番号なし（仕入明細書にならない）",""))&amp;IF($AB14&gt;0,"／60日（2か月）を超える明細 "&amp;$AB14&amp;"件","")&amp;IF($X14="","",IF(AND(INDEX('支払先'!$K$5:$K$104,$X14)="差し引く",OR(INDEX('支払先'!$M$5:$M$104,$X14)&lt;&gt;"対象外",INDEX('支払先'!$N$5:$N$104,$X14)&lt;&gt;"対象外")),"／手数料を差し引けない取引か確かめる",""))&amp;IF(COUNTIF($B$5:$B$204,$B14)&gt;1,"／通知Noが重複","")&amp;IF(AND(ISNUMBER($D14),ISNUMBER($F14),$F14&lt;$D14),"／支払予定日が発行日より前",""),2,300))</f>
        <v/>
      </c>
      <c r="W14" s="67" t="n"/>
      <c r="X14" s="31">
        <f>IF(OR($B14="",$C14=""),"",IFERROR(MATCH($C14,'支払先'!$B$5:$B$104,0),""))</f>
        <v/>
      </c>
      <c r="Y14" s="31">
        <f>IF($B14="","",SUMIFS('支払明細'!$I$5:$I$1004,'支払明細'!$A$5:$A$1004,$B14,'支払明細'!$G$5:$G$1004,"10%（標準）",'支払明細'!$H$5:$H$1004,"&lt;&gt;対象外"))</f>
        <v/>
      </c>
      <c r="Z14" s="31">
        <f>IF($B14="","",SUMIFS('支払明細'!$I$5:$I$1004,'支払明細'!$A$5:$A$1004,$B14,'支払明細'!$G$5:$G$1004,"8%（軽減）",'支払明細'!$H$5:$H$1004,"&lt;&gt;対象外"))</f>
        <v/>
      </c>
      <c r="AA14" s="31">
        <f>IF($B14="","",SUMIFS('支払明細'!$I$5:$I$1004,'支払明細'!$A$5:$A$1004,$B14,'支払明細'!$G$5:$G$1004,"対象外",'支払明細'!$H$5:$H$1004,"&lt;&gt;対象外"))</f>
        <v/>
      </c>
      <c r="AB14" s="31">
        <f>IF($B14="","",COUNTIFS('支払明細'!$A$5:$A$1004,$B14,'支払明細'!$M$5:$M$1004,"超える"))</f>
        <v/>
      </c>
      <c r="AC14" s="31">
        <f>IF($B14="","",COUNTIFS('支払明細'!$A$5:$A$1004,$B14,'支払明細'!$G$5:$G$1004,""))</f>
        <v/>
      </c>
    </row>
    <row r="15" ht="18" customHeight="1">
      <c r="A15" s="17" t="n">
        <v>11</v>
      </c>
      <c r="B15" s="18" t="n"/>
      <c r="C15" s="18" t="n"/>
      <c r="D15" s="24" t="n"/>
      <c r="E15" s="19" t="n"/>
      <c r="F15" s="24" t="n"/>
      <c r="G15" s="28">
        <f>IF(AND($B15&lt;&gt;"",ISNUMBER($D15)),$D15+N('設定'!$B$13),"")</f>
        <v/>
      </c>
      <c r="H15" s="18" t="n"/>
      <c r="I15" s="19" t="n"/>
      <c r="J15" s="27">
        <f>IF($B15="","",IF($C15="","（支払先コードが空）",IF($X15="","※支払先にないコード",INDEX('支払先'!$C$5:$C$104,$X15)&amp;"")))</f>
        <v/>
      </c>
      <c r="K15" s="30">
        <f>IF($B15="","",COUNTIF('支払明細'!$A$5:$A$1004,$B15))</f>
        <v/>
      </c>
      <c r="L15" s="26">
        <f>IF($B15="","",SUMIFS('支払明細'!$I$5:$I$1004,'支払明細'!$A$5:$A$1004,$B15,'支払明細'!$G$5:$G$1004,"10%（標準）"))</f>
        <v/>
      </c>
      <c r="M15" s="26">
        <f>IF($B15="","",SUMIFS('支払明細'!$I$5:$I$1004,'支払明細'!$A$5:$A$1004,$B15,'支払明細'!$G$5:$G$1004,"8%（軽減）"))</f>
        <v/>
      </c>
      <c r="N15" s="26">
        <f>IF($B15="","",SUMIFS('支払明細'!$I$5:$I$1004,'支払明細'!$A$5:$A$1004,$B15,'支払明細'!$G$5:$G$1004,"対象外"))</f>
        <v/>
      </c>
      <c r="O15" s="26">
        <f>IF($B15="","",IF('設定'!$B$11="税込",IF('設定'!$B$12="切り捨て",ROUNDDOWN(ROUND($L15*10/110,6),0),IF('設定'!$B$12="切り上げ",ROUNDUP(ROUND($L15*10/110,6),0),ROUND($L15*10/110,0))),IF('設定'!$B$12="切り捨て",ROUNDDOWN(ROUND($L15*10/100,6),0),IF('設定'!$B$12="切り上げ",ROUNDUP(ROUND($L15*10/100,6),0),ROUND($L15*10/100,0)))))</f>
        <v/>
      </c>
      <c r="P15" s="26">
        <f>IF($B15="","",IF('設定'!$B$11="税込",IF('設定'!$B$12="切り捨て",ROUNDDOWN(ROUND($M15*8/108,6),0),IF('設定'!$B$12="切り上げ",ROUNDUP(ROUND($M15*8/108,6),0),ROUND($M15*8/108,0))),IF('設定'!$B$12="切り捨て",ROUNDDOWN(ROUND($M15*8/100,6),0),IF('設定'!$B$12="切り上げ",ROUNDUP(ROUND($M15*8/100,6),0),ROUND($M15*8/100,0)))))</f>
        <v/>
      </c>
      <c r="Q15" s="26">
        <f>IF($B15="","",IF('設定'!$B$11="税込",$L15+$M15+$N15,$L15+$O15+$M15+$P15+$N15))</f>
        <v/>
      </c>
      <c r="R15" s="26">
        <f>IF($B15="","",IF($X15="",0,IF(INDEX('支払先'!$I$5:$I$104,$X15)&lt;&gt;"する",0,IF(INDEX('支払先'!$J$5:$J$104,$X15)="税抜",IF('設定'!$B$11="税込",($Y15-IF('設定'!$B$12="切り捨て",ROUNDDOWN(ROUND($Y15*10/110,6),0),IF('設定'!$B$12="切り上げ",ROUNDUP(ROUND($Y15*10/110,6),0),ROUND($Y15*10/110,0)))+$Z15-IF('設定'!$B$12="切り捨て",ROUNDDOWN(ROUND($Z15*8/108,6),0),IF('設定'!$B$12="切り上げ",ROUNDUP(ROUND($Z15*8/108,6),0),ROUND($Z15*8/108,0)))+$AA15),$Y15+$Z15+$AA15),IF('設定'!$B$11="税込",$Y15+$Z15+$AA15,($Y15+IF('設定'!$B$12="切り捨て",ROUNDDOWN(ROUND($Y15*10/100,6),0),IF('設定'!$B$12="切り上げ",ROUNDUP(ROUND($Y15*10/100,6),0),ROUND($Y15*10/100,0)))+$Z15+IF('設定'!$B$12="切り捨て",ROUNDDOWN(ROUND($Z15*8/100,6),0),IF('設定'!$B$12="切り上げ",ROUNDUP(ROUND($Z15*8/100,6),0),ROUND($Z15*8/100,0)))+$AA15))))))</f>
        <v/>
      </c>
      <c r="S15" s="26">
        <f>IF($B15="","",IF(N($R15)&lt;=0,0,IF($R15&lt;='設定'!$B$18,ROUNDDOWN(ROUND($R15*'設定'!$B$17,6),0),ROUNDDOWN(ROUND(($R15-'設定'!$B$18)*'設定'!$B$19,6),0)+'設定'!$B$20)))</f>
        <v/>
      </c>
      <c r="T15" s="26">
        <f>IF($B15="","",IF($X15="",0,IF(INDEX('支払先'!$K$5:$K$104,$X15)="差し引く",N(INDEX('支払先'!$L$5:$L$104,$X15)),0)))</f>
        <v/>
      </c>
      <c r="U15" s="26">
        <f>IF($B15="","",$Q15-$S15-$T15)</f>
        <v/>
      </c>
      <c r="V15" s="22">
        <f>IF($B15="","",MID(IF($C15="","／支払先コードが空",IF($X15="","／支払先にないコード",""))&amp;IF($K15=0,"／明細がない","")&amp;IF($AC15&gt;0,"／税率が空の明細 "&amp;$AC15&amp;"件（合計に入っていない）","")&amp;IF($X15="","",IF(INDEX('支払先'!$G$5:$G$104,$X15)="","／登録番号なし（仕入明細書にならない）",""))&amp;IF($AB15&gt;0,"／60日（2か月）を超える明細 "&amp;$AB15&amp;"件","")&amp;IF($X15="","",IF(AND(INDEX('支払先'!$K$5:$K$104,$X15)="差し引く",OR(INDEX('支払先'!$M$5:$M$104,$X15)&lt;&gt;"対象外",INDEX('支払先'!$N$5:$N$104,$X15)&lt;&gt;"対象外")),"／手数料を差し引けない取引か確かめる",""))&amp;IF(COUNTIF($B$5:$B$204,$B15)&gt;1,"／通知Noが重複","")&amp;IF(AND(ISNUMBER($D15),ISNUMBER($F15),$F15&lt;$D15),"／支払予定日が発行日より前",""),2,300))</f>
        <v/>
      </c>
      <c r="W15" s="67" t="n"/>
      <c r="X15" s="31">
        <f>IF(OR($B15="",$C15=""),"",IFERROR(MATCH($C15,'支払先'!$B$5:$B$104,0),""))</f>
        <v/>
      </c>
      <c r="Y15" s="31">
        <f>IF($B15="","",SUMIFS('支払明細'!$I$5:$I$1004,'支払明細'!$A$5:$A$1004,$B15,'支払明細'!$G$5:$G$1004,"10%（標準）",'支払明細'!$H$5:$H$1004,"&lt;&gt;対象外"))</f>
        <v/>
      </c>
      <c r="Z15" s="31">
        <f>IF($B15="","",SUMIFS('支払明細'!$I$5:$I$1004,'支払明細'!$A$5:$A$1004,$B15,'支払明細'!$G$5:$G$1004,"8%（軽減）",'支払明細'!$H$5:$H$1004,"&lt;&gt;対象外"))</f>
        <v/>
      </c>
      <c r="AA15" s="31">
        <f>IF($B15="","",SUMIFS('支払明細'!$I$5:$I$1004,'支払明細'!$A$5:$A$1004,$B15,'支払明細'!$G$5:$G$1004,"対象外",'支払明細'!$H$5:$H$1004,"&lt;&gt;対象外"))</f>
        <v/>
      </c>
      <c r="AB15" s="31">
        <f>IF($B15="","",COUNTIFS('支払明細'!$A$5:$A$1004,$B15,'支払明細'!$M$5:$M$1004,"超える"))</f>
        <v/>
      </c>
      <c r="AC15" s="31">
        <f>IF($B15="","",COUNTIFS('支払明細'!$A$5:$A$1004,$B15,'支払明細'!$G$5:$G$1004,""))</f>
        <v/>
      </c>
    </row>
    <row r="16" ht="18" customHeight="1">
      <c r="A16" s="17" t="n">
        <v>12</v>
      </c>
      <c r="B16" s="18" t="n"/>
      <c r="C16" s="18" t="n"/>
      <c r="D16" s="24" t="n"/>
      <c r="E16" s="19" t="n"/>
      <c r="F16" s="24" t="n"/>
      <c r="G16" s="28">
        <f>IF(AND($B16&lt;&gt;"",ISNUMBER($D16)),$D16+N('設定'!$B$13),"")</f>
        <v/>
      </c>
      <c r="H16" s="18" t="n"/>
      <c r="I16" s="19" t="n"/>
      <c r="J16" s="27">
        <f>IF($B16="","",IF($C16="","（支払先コードが空）",IF($X16="","※支払先にないコード",INDEX('支払先'!$C$5:$C$104,$X16)&amp;"")))</f>
        <v/>
      </c>
      <c r="K16" s="30">
        <f>IF($B16="","",COUNTIF('支払明細'!$A$5:$A$1004,$B16))</f>
        <v/>
      </c>
      <c r="L16" s="26">
        <f>IF($B16="","",SUMIFS('支払明細'!$I$5:$I$1004,'支払明細'!$A$5:$A$1004,$B16,'支払明細'!$G$5:$G$1004,"10%（標準）"))</f>
        <v/>
      </c>
      <c r="M16" s="26">
        <f>IF($B16="","",SUMIFS('支払明細'!$I$5:$I$1004,'支払明細'!$A$5:$A$1004,$B16,'支払明細'!$G$5:$G$1004,"8%（軽減）"))</f>
        <v/>
      </c>
      <c r="N16" s="26">
        <f>IF($B16="","",SUMIFS('支払明細'!$I$5:$I$1004,'支払明細'!$A$5:$A$1004,$B16,'支払明細'!$G$5:$G$1004,"対象外"))</f>
        <v/>
      </c>
      <c r="O16" s="26">
        <f>IF($B16="","",IF('設定'!$B$11="税込",IF('設定'!$B$12="切り捨て",ROUNDDOWN(ROUND($L16*10/110,6),0),IF('設定'!$B$12="切り上げ",ROUNDUP(ROUND($L16*10/110,6),0),ROUND($L16*10/110,0))),IF('設定'!$B$12="切り捨て",ROUNDDOWN(ROUND($L16*10/100,6),0),IF('設定'!$B$12="切り上げ",ROUNDUP(ROUND($L16*10/100,6),0),ROUND($L16*10/100,0)))))</f>
        <v/>
      </c>
      <c r="P16" s="26">
        <f>IF($B16="","",IF('設定'!$B$11="税込",IF('設定'!$B$12="切り捨て",ROUNDDOWN(ROUND($M16*8/108,6),0),IF('設定'!$B$12="切り上げ",ROUNDUP(ROUND($M16*8/108,6),0),ROUND($M16*8/108,0))),IF('設定'!$B$12="切り捨て",ROUNDDOWN(ROUND($M16*8/100,6),0),IF('設定'!$B$12="切り上げ",ROUNDUP(ROUND($M16*8/100,6),0),ROUND($M16*8/100,0)))))</f>
        <v/>
      </c>
      <c r="Q16" s="26">
        <f>IF($B16="","",IF('設定'!$B$11="税込",$L16+$M16+$N16,$L16+$O16+$M16+$P16+$N16))</f>
        <v/>
      </c>
      <c r="R16" s="26">
        <f>IF($B16="","",IF($X16="",0,IF(INDEX('支払先'!$I$5:$I$104,$X16)&lt;&gt;"する",0,IF(INDEX('支払先'!$J$5:$J$104,$X16)="税抜",IF('設定'!$B$11="税込",($Y16-IF('設定'!$B$12="切り捨て",ROUNDDOWN(ROUND($Y16*10/110,6),0),IF('設定'!$B$12="切り上げ",ROUNDUP(ROUND($Y16*10/110,6),0),ROUND($Y16*10/110,0)))+$Z16-IF('設定'!$B$12="切り捨て",ROUNDDOWN(ROUND($Z16*8/108,6),0),IF('設定'!$B$12="切り上げ",ROUNDUP(ROUND($Z16*8/108,6),0),ROUND($Z16*8/108,0)))+$AA16),$Y16+$Z16+$AA16),IF('設定'!$B$11="税込",$Y16+$Z16+$AA16,($Y16+IF('設定'!$B$12="切り捨て",ROUNDDOWN(ROUND($Y16*10/100,6),0),IF('設定'!$B$12="切り上げ",ROUNDUP(ROUND($Y16*10/100,6),0),ROUND($Y16*10/100,0)))+$Z16+IF('設定'!$B$12="切り捨て",ROUNDDOWN(ROUND($Z16*8/100,6),0),IF('設定'!$B$12="切り上げ",ROUNDUP(ROUND($Z16*8/100,6),0),ROUND($Z16*8/100,0)))+$AA16))))))</f>
        <v/>
      </c>
      <c r="S16" s="26">
        <f>IF($B16="","",IF(N($R16)&lt;=0,0,IF($R16&lt;='設定'!$B$18,ROUNDDOWN(ROUND($R16*'設定'!$B$17,6),0),ROUNDDOWN(ROUND(($R16-'設定'!$B$18)*'設定'!$B$19,6),0)+'設定'!$B$20)))</f>
        <v/>
      </c>
      <c r="T16" s="26">
        <f>IF($B16="","",IF($X16="",0,IF(INDEX('支払先'!$K$5:$K$104,$X16)="差し引く",N(INDEX('支払先'!$L$5:$L$104,$X16)),0)))</f>
        <v/>
      </c>
      <c r="U16" s="26">
        <f>IF($B16="","",$Q16-$S16-$T16)</f>
        <v/>
      </c>
      <c r="V16" s="22">
        <f>IF($B16="","",MID(IF($C16="","／支払先コードが空",IF($X16="","／支払先にないコード",""))&amp;IF($K16=0,"／明細がない","")&amp;IF($AC16&gt;0,"／税率が空の明細 "&amp;$AC16&amp;"件（合計に入っていない）","")&amp;IF($X16="","",IF(INDEX('支払先'!$G$5:$G$104,$X16)="","／登録番号なし（仕入明細書にならない）",""))&amp;IF($AB16&gt;0,"／60日（2か月）を超える明細 "&amp;$AB16&amp;"件","")&amp;IF($X16="","",IF(AND(INDEX('支払先'!$K$5:$K$104,$X16)="差し引く",OR(INDEX('支払先'!$M$5:$M$104,$X16)&lt;&gt;"対象外",INDEX('支払先'!$N$5:$N$104,$X16)&lt;&gt;"対象外")),"／手数料を差し引けない取引か確かめる",""))&amp;IF(COUNTIF($B$5:$B$204,$B16)&gt;1,"／通知Noが重複","")&amp;IF(AND(ISNUMBER($D16),ISNUMBER($F16),$F16&lt;$D16),"／支払予定日が発行日より前",""),2,300))</f>
        <v/>
      </c>
      <c r="W16" s="67" t="n"/>
      <c r="X16" s="31">
        <f>IF(OR($B16="",$C16=""),"",IFERROR(MATCH($C16,'支払先'!$B$5:$B$104,0),""))</f>
        <v/>
      </c>
      <c r="Y16" s="31">
        <f>IF($B16="","",SUMIFS('支払明細'!$I$5:$I$1004,'支払明細'!$A$5:$A$1004,$B16,'支払明細'!$G$5:$G$1004,"10%（標準）",'支払明細'!$H$5:$H$1004,"&lt;&gt;対象外"))</f>
        <v/>
      </c>
      <c r="Z16" s="31">
        <f>IF($B16="","",SUMIFS('支払明細'!$I$5:$I$1004,'支払明細'!$A$5:$A$1004,$B16,'支払明細'!$G$5:$G$1004,"8%（軽減）",'支払明細'!$H$5:$H$1004,"&lt;&gt;対象外"))</f>
        <v/>
      </c>
      <c r="AA16" s="31">
        <f>IF($B16="","",SUMIFS('支払明細'!$I$5:$I$1004,'支払明細'!$A$5:$A$1004,$B16,'支払明細'!$G$5:$G$1004,"対象外",'支払明細'!$H$5:$H$1004,"&lt;&gt;対象外"))</f>
        <v/>
      </c>
      <c r="AB16" s="31">
        <f>IF($B16="","",COUNTIFS('支払明細'!$A$5:$A$1004,$B16,'支払明細'!$M$5:$M$1004,"超える"))</f>
        <v/>
      </c>
      <c r="AC16" s="31">
        <f>IF($B16="","",COUNTIFS('支払明細'!$A$5:$A$1004,$B16,'支払明細'!$G$5:$G$1004,""))</f>
        <v/>
      </c>
    </row>
    <row r="17" ht="18" customHeight="1">
      <c r="A17" s="17" t="n">
        <v>13</v>
      </c>
      <c r="B17" s="18" t="n"/>
      <c r="C17" s="18" t="n"/>
      <c r="D17" s="24" t="n"/>
      <c r="E17" s="19" t="n"/>
      <c r="F17" s="24" t="n"/>
      <c r="G17" s="28">
        <f>IF(AND($B17&lt;&gt;"",ISNUMBER($D17)),$D17+N('設定'!$B$13),"")</f>
        <v/>
      </c>
      <c r="H17" s="18" t="n"/>
      <c r="I17" s="19" t="n"/>
      <c r="J17" s="27">
        <f>IF($B17="","",IF($C17="","（支払先コードが空）",IF($X17="","※支払先にないコード",INDEX('支払先'!$C$5:$C$104,$X17)&amp;"")))</f>
        <v/>
      </c>
      <c r="K17" s="30">
        <f>IF($B17="","",COUNTIF('支払明細'!$A$5:$A$1004,$B17))</f>
        <v/>
      </c>
      <c r="L17" s="26">
        <f>IF($B17="","",SUMIFS('支払明細'!$I$5:$I$1004,'支払明細'!$A$5:$A$1004,$B17,'支払明細'!$G$5:$G$1004,"10%（標準）"))</f>
        <v/>
      </c>
      <c r="M17" s="26">
        <f>IF($B17="","",SUMIFS('支払明細'!$I$5:$I$1004,'支払明細'!$A$5:$A$1004,$B17,'支払明細'!$G$5:$G$1004,"8%（軽減）"))</f>
        <v/>
      </c>
      <c r="N17" s="26">
        <f>IF($B17="","",SUMIFS('支払明細'!$I$5:$I$1004,'支払明細'!$A$5:$A$1004,$B17,'支払明細'!$G$5:$G$1004,"対象外"))</f>
        <v/>
      </c>
      <c r="O17" s="26">
        <f>IF($B17="","",IF('設定'!$B$11="税込",IF('設定'!$B$12="切り捨て",ROUNDDOWN(ROUND($L17*10/110,6),0),IF('設定'!$B$12="切り上げ",ROUNDUP(ROUND($L17*10/110,6),0),ROUND($L17*10/110,0))),IF('設定'!$B$12="切り捨て",ROUNDDOWN(ROUND($L17*10/100,6),0),IF('設定'!$B$12="切り上げ",ROUNDUP(ROUND($L17*10/100,6),0),ROUND($L17*10/100,0)))))</f>
        <v/>
      </c>
      <c r="P17" s="26">
        <f>IF($B17="","",IF('設定'!$B$11="税込",IF('設定'!$B$12="切り捨て",ROUNDDOWN(ROUND($M17*8/108,6),0),IF('設定'!$B$12="切り上げ",ROUNDUP(ROUND($M17*8/108,6),0),ROUND($M17*8/108,0))),IF('設定'!$B$12="切り捨て",ROUNDDOWN(ROUND($M17*8/100,6),0),IF('設定'!$B$12="切り上げ",ROUNDUP(ROUND($M17*8/100,6),0),ROUND($M17*8/100,0)))))</f>
        <v/>
      </c>
      <c r="Q17" s="26">
        <f>IF($B17="","",IF('設定'!$B$11="税込",$L17+$M17+$N17,$L17+$O17+$M17+$P17+$N17))</f>
        <v/>
      </c>
      <c r="R17" s="26">
        <f>IF($B17="","",IF($X17="",0,IF(INDEX('支払先'!$I$5:$I$104,$X17)&lt;&gt;"する",0,IF(INDEX('支払先'!$J$5:$J$104,$X17)="税抜",IF('設定'!$B$11="税込",($Y17-IF('設定'!$B$12="切り捨て",ROUNDDOWN(ROUND($Y17*10/110,6),0),IF('設定'!$B$12="切り上げ",ROUNDUP(ROUND($Y17*10/110,6),0),ROUND($Y17*10/110,0)))+$Z17-IF('設定'!$B$12="切り捨て",ROUNDDOWN(ROUND($Z17*8/108,6),0),IF('設定'!$B$12="切り上げ",ROUNDUP(ROUND($Z17*8/108,6),0),ROUND($Z17*8/108,0)))+$AA17),$Y17+$Z17+$AA17),IF('設定'!$B$11="税込",$Y17+$Z17+$AA17,($Y17+IF('設定'!$B$12="切り捨て",ROUNDDOWN(ROUND($Y17*10/100,6),0),IF('設定'!$B$12="切り上げ",ROUNDUP(ROUND($Y17*10/100,6),0),ROUND($Y17*10/100,0)))+$Z17+IF('設定'!$B$12="切り捨て",ROUNDDOWN(ROUND($Z17*8/100,6),0),IF('設定'!$B$12="切り上げ",ROUNDUP(ROUND($Z17*8/100,6),0),ROUND($Z17*8/100,0)))+$AA17))))))</f>
        <v/>
      </c>
      <c r="S17" s="26">
        <f>IF($B17="","",IF(N($R17)&lt;=0,0,IF($R17&lt;='設定'!$B$18,ROUNDDOWN(ROUND($R17*'設定'!$B$17,6),0),ROUNDDOWN(ROUND(($R17-'設定'!$B$18)*'設定'!$B$19,6),0)+'設定'!$B$20)))</f>
        <v/>
      </c>
      <c r="T17" s="26">
        <f>IF($B17="","",IF($X17="",0,IF(INDEX('支払先'!$K$5:$K$104,$X17)="差し引く",N(INDEX('支払先'!$L$5:$L$104,$X17)),0)))</f>
        <v/>
      </c>
      <c r="U17" s="26">
        <f>IF($B17="","",$Q17-$S17-$T17)</f>
        <v/>
      </c>
      <c r="V17" s="22">
        <f>IF($B17="","",MID(IF($C17="","／支払先コードが空",IF($X17="","／支払先にないコード",""))&amp;IF($K17=0,"／明細がない","")&amp;IF($AC17&gt;0,"／税率が空の明細 "&amp;$AC17&amp;"件（合計に入っていない）","")&amp;IF($X17="","",IF(INDEX('支払先'!$G$5:$G$104,$X17)="","／登録番号なし（仕入明細書にならない）",""))&amp;IF($AB17&gt;0,"／60日（2か月）を超える明細 "&amp;$AB17&amp;"件","")&amp;IF($X17="","",IF(AND(INDEX('支払先'!$K$5:$K$104,$X17)="差し引く",OR(INDEX('支払先'!$M$5:$M$104,$X17)&lt;&gt;"対象外",INDEX('支払先'!$N$5:$N$104,$X17)&lt;&gt;"対象外")),"／手数料を差し引けない取引か確かめる",""))&amp;IF(COUNTIF($B$5:$B$204,$B17)&gt;1,"／通知Noが重複","")&amp;IF(AND(ISNUMBER($D17),ISNUMBER($F17),$F17&lt;$D17),"／支払予定日が発行日より前",""),2,300))</f>
        <v/>
      </c>
      <c r="W17" s="67" t="n"/>
      <c r="X17" s="31">
        <f>IF(OR($B17="",$C17=""),"",IFERROR(MATCH($C17,'支払先'!$B$5:$B$104,0),""))</f>
        <v/>
      </c>
      <c r="Y17" s="31">
        <f>IF($B17="","",SUMIFS('支払明細'!$I$5:$I$1004,'支払明細'!$A$5:$A$1004,$B17,'支払明細'!$G$5:$G$1004,"10%（標準）",'支払明細'!$H$5:$H$1004,"&lt;&gt;対象外"))</f>
        <v/>
      </c>
      <c r="Z17" s="31">
        <f>IF($B17="","",SUMIFS('支払明細'!$I$5:$I$1004,'支払明細'!$A$5:$A$1004,$B17,'支払明細'!$G$5:$G$1004,"8%（軽減）",'支払明細'!$H$5:$H$1004,"&lt;&gt;対象外"))</f>
        <v/>
      </c>
      <c r="AA17" s="31">
        <f>IF($B17="","",SUMIFS('支払明細'!$I$5:$I$1004,'支払明細'!$A$5:$A$1004,$B17,'支払明細'!$G$5:$G$1004,"対象外",'支払明細'!$H$5:$H$1004,"&lt;&gt;対象外"))</f>
        <v/>
      </c>
      <c r="AB17" s="31">
        <f>IF($B17="","",COUNTIFS('支払明細'!$A$5:$A$1004,$B17,'支払明細'!$M$5:$M$1004,"超える"))</f>
        <v/>
      </c>
      <c r="AC17" s="31">
        <f>IF($B17="","",COUNTIFS('支払明細'!$A$5:$A$1004,$B17,'支払明細'!$G$5:$G$1004,""))</f>
        <v/>
      </c>
    </row>
    <row r="18" ht="18" customHeight="1">
      <c r="A18" s="17" t="n">
        <v>14</v>
      </c>
      <c r="B18" s="18" t="n"/>
      <c r="C18" s="18" t="n"/>
      <c r="D18" s="24" t="n"/>
      <c r="E18" s="19" t="n"/>
      <c r="F18" s="24" t="n"/>
      <c r="G18" s="28">
        <f>IF(AND($B18&lt;&gt;"",ISNUMBER($D18)),$D18+N('設定'!$B$13),"")</f>
        <v/>
      </c>
      <c r="H18" s="18" t="n"/>
      <c r="I18" s="19" t="n"/>
      <c r="J18" s="27">
        <f>IF($B18="","",IF($C18="","（支払先コードが空）",IF($X18="","※支払先にないコード",INDEX('支払先'!$C$5:$C$104,$X18)&amp;"")))</f>
        <v/>
      </c>
      <c r="K18" s="30">
        <f>IF($B18="","",COUNTIF('支払明細'!$A$5:$A$1004,$B18))</f>
        <v/>
      </c>
      <c r="L18" s="26">
        <f>IF($B18="","",SUMIFS('支払明細'!$I$5:$I$1004,'支払明細'!$A$5:$A$1004,$B18,'支払明細'!$G$5:$G$1004,"10%（標準）"))</f>
        <v/>
      </c>
      <c r="M18" s="26">
        <f>IF($B18="","",SUMIFS('支払明細'!$I$5:$I$1004,'支払明細'!$A$5:$A$1004,$B18,'支払明細'!$G$5:$G$1004,"8%（軽減）"))</f>
        <v/>
      </c>
      <c r="N18" s="26">
        <f>IF($B18="","",SUMIFS('支払明細'!$I$5:$I$1004,'支払明細'!$A$5:$A$1004,$B18,'支払明細'!$G$5:$G$1004,"対象外"))</f>
        <v/>
      </c>
      <c r="O18" s="26">
        <f>IF($B18="","",IF('設定'!$B$11="税込",IF('設定'!$B$12="切り捨て",ROUNDDOWN(ROUND($L18*10/110,6),0),IF('設定'!$B$12="切り上げ",ROUNDUP(ROUND($L18*10/110,6),0),ROUND($L18*10/110,0))),IF('設定'!$B$12="切り捨て",ROUNDDOWN(ROUND($L18*10/100,6),0),IF('設定'!$B$12="切り上げ",ROUNDUP(ROUND($L18*10/100,6),0),ROUND($L18*10/100,0)))))</f>
        <v/>
      </c>
      <c r="P18" s="26">
        <f>IF($B18="","",IF('設定'!$B$11="税込",IF('設定'!$B$12="切り捨て",ROUNDDOWN(ROUND($M18*8/108,6),0),IF('設定'!$B$12="切り上げ",ROUNDUP(ROUND($M18*8/108,6),0),ROUND($M18*8/108,0))),IF('設定'!$B$12="切り捨て",ROUNDDOWN(ROUND($M18*8/100,6),0),IF('設定'!$B$12="切り上げ",ROUNDUP(ROUND($M18*8/100,6),0),ROUND($M18*8/100,0)))))</f>
        <v/>
      </c>
      <c r="Q18" s="26">
        <f>IF($B18="","",IF('設定'!$B$11="税込",$L18+$M18+$N18,$L18+$O18+$M18+$P18+$N18))</f>
        <v/>
      </c>
      <c r="R18" s="26">
        <f>IF($B18="","",IF($X18="",0,IF(INDEX('支払先'!$I$5:$I$104,$X18)&lt;&gt;"する",0,IF(INDEX('支払先'!$J$5:$J$104,$X18)="税抜",IF('設定'!$B$11="税込",($Y18-IF('設定'!$B$12="切り捨て",ROUNDDOWN(ROUND($Y18*10/110,6),0),IF('設定'!$B$12="切り上げ",ROUNDUP(ROUND($Y18*10/110,6),0),ROUND($Y18*10/110,0)))+$Z18-IF('設定'!$B$12="切り捨て",ROUNDDOWN(ROUND($Z18*8/108,6),0),IF('設定'!$B$12="切り上げ",ROUNDUP(ROUND($Z18*8/108,6),0),ROUND($Z18*8/108,0)))+$AA18),$Y18+$Z18+$AA18),IF('設定'!$B$11="税込",$Y18+$Z18+$AA18,($Y18+IF('設定'!$B$12="切り捨て",ROUNDDOWN(ROUND($Y18*10/100,6),0),IF('設定'!$B$12="切り上げ",ROUNDUP(ROUND($Y18*10/100,6),0),ROUND($Y18*10/100,0)))+$Z18+IF('設定'!$B$12="切り捨て",ROUNDDOWN(ROUND($Z18*8/100,6),0),IF('設定'!$B$12="切り上げ",ROUNDUP(ROUND($Z18*8/100,6),0),ROUND($Z18*8/100,0)))+$AA18))))))</f>
        <v/>
      </c>
      <c r="S18" s="26">
        <f>IF($B18="","",IF(N($R18)&lt;=0,0,IF($R18&lt;='設定'!$B$18,ROUNDDOWN(ROUND($R18*'設定'!$B$17,6),0),ROUNDDOWN(ROUND(($R18-'設定'!$B$18)*'設定'!$B$19,6),0)+'設定'!$B$20)))</f>
        <v/>
      </c>
      <c r="T18" s="26">
        <f>IF($B18="","",IF($X18="",0,IF(INDEX('支払先'!$K$5:$K$104,$X18)="差し引く",N(INDEX('支払先'!$L$5:$L$104,$X18)),0)))</f>
        <v/>
      </c>
      <c r="U18" s="26">
        <f>IF($B18="","",$Q18-$S18-$T18)</f>
        <v/>
      </c>
      <c r="V18" s="22">
        <f>IF($B18="","",MID(IF($C18="","／支払先コードが空",IF($X18="","／支払先にないコード",""))&amp;IF($K18=0,"／明細がない","")&amp;IF($AC18&gt;0,"／税率が空の明細 "&amp;$AC18&amp;"件（合計に入っていない）","")&amp;IF($X18="","",IF(INDEX('支払先'!$G$5:$G$104,$X18)="","／登録番号なし（仕入明細書にならない）",""))&amp;IF($AB18&gt;0,"／60日（2か月）を超える明細 "&amp;$AB18&amp;"件","")&amp;IF($X18="","",IF(AND(INDEX('支払先'!$K$5:$K$104,$X18)="差し引く",OR(INDEX('支払先'!$M$5:$M$104,$X18)&lt;&gt;"対象外",INDEX('支払先'!$N$5:$N$104,$X18)&lt;&gt;"対象外")),"／手数料を差し引けない取引か確かめる",""))&amp;IF(COUNTIF($B$5:$B$204,$B18)&gt;1,"／通知Noが重複","")&amp;IF(AND(ISNUMBER($D18),ISNUMBER($F18),$F18&lt;$D18),"／支払予定日が発行日より前",""),2,300))</f>
        <v/>
      </c>
      <c r="W18" s="67" t="n"/>
      <c r="X18" s="31">
        <f>IF(OR($B18="",$C18=""),"",IFERROR(MATCH($C18,'支払先'!$B$5:$B$104,0),""))</f>
        <v/>
      </c>
      <c r="Y18" s="31">
        <f>IF($B18="","",SUMIFS('支払明細'!$I$5:$I$1004,'支払明細'!$A$5:$A$1004,$B18,'支払明細'!$G$5:$G$1004,"10%（標準）",'支払明細'!$H$5:$H$1004,"&lt;&gt;対象外"))</f>
        <v/>
      </c>
      <c r="Z18" s="31">
        <f>IF($B18="","",SUMIFS('支払明細'!$I$5:$I$1004,'支払明細'!$A$5:$A$1004,$B18,'支払明細'!$G$5:$G$1004,"8%（軽減）",'支払明細'!$H$5:$H$1004,"&lt;&gt;対象外"))</f>
        <v/>
      </c>
      <c r="AA18" s="31">
        <f>IF($B18="","",SUMIFS('支払明細'!$I$5:$I$1004,'支払明細'!$A$5:$A$1004,$B18,'支払明細'!$G$5:$G$1004,"対象外",'支払明細'!$H$5:$H$1004,"&lt;&gt;対象外"))</f>
        <v/>
      </c>
      <c r="AB18" s="31">
        <f>IF($B18="","",COUNTIFS('支払明細'!$A$5:$A$1004,$B18,'支払明細'!$M$5:$M$1004,"超える"))</f>
        <v/>
      </c>
      <c r="AC18" s="31">
        <f>IF($B18="","",COUNTIFS('支払明細'!$A$5:$A$1004,$B18,'支払明細'!$G$5:$G$1004,""))</f>
        <v/>
      </c>
    </row>
    <row r="19" ht="18" customHeight="1">
      <c r="A19" s="17" t="n">
        <v>15</v>
      </c>
      <c r="B19" s="18" t="n"/>
      <c r="C19" s="18" t="n"/>
      <c r="D19" s="24" t="n"/>
      <c r="E19" s="19" t="n"/>
      <c r="F19" s="24" t="n"/>
      <c r="G19" s="28">
        <f>IF(AND($B19&lt;&gt;"",ISNUMBER($D19)),$D19+N('設定'!$B$13),"")</f>
        <v/>
      </c>
      <c r="H19" s="18" t="n"/>
      <c r="I19" s="19" t="n"/>
      <c r="J19" s="27">
        <f>IF($B19="","",IF($C19="","（支払先コードが空）",IF($X19="","※支払先にないコード",INDEX('支払先'!$C$5:$C$104,$X19)&amp;"")))</f>
        <v/>
      </c>
      <c r="K19" s="30">
        <f>IF($B19="","",COUNTIF('支払明細'!$A$5:$A$1004,$B19))</f>
        <v/>
      </c>
      <c r="L19" s="26">
        <f>IF($B19="","",SUMIFS('支払明細'!$I$5:$I$1004,'支払明細'!$A$5:$A$1004,$B19,'支払明細'!$G$5:$G$1004,"10%（標準）"))</f>
        <v/>
      </c>
      <c r="M19" s="26">
        <f>IF($B19="","",SUMIFS('支払明細'!$I$5:$I$1004,'支払明細'!$A$5:$A$1004,$B19,'支払明細'!$G$5:$G$1004,"8%（軽減）"))</f>
        <v/>
      </c>
      <c r="N19" s="26">
        <f>IF($B19="","",SUMIFS('支払明細'!$I$5:$I$1004,'支払明細'!$A$5:$A$1004,$B19,'支払明細'!$G$5:$G$1004,"対象外"))</f>
        <v/>
      </c>
      <c r="O19" s="26">
        <f>IF($B19="","",IF('設定'!$B$11="税込",IF('設定'!$B$12="切り捨て",ROUNDDOWN(ROUND($L19*10/110,6),0),IF('設定'!$B$12="切り上げ",ROUNDUP(ROUND($L19*10/110,6),0),ROUND($L19*10/110,0))),IF('設定'!$B$12="切り捨て",ROUNDDOWN(ROUND($L19*10/100,6),0),IF('設定'!$B$12="切り上げ",ROUNDUP(ROUND($L19*10/100,6),0),ROUND($L19*10/100,0)))))</f>
        <v/>
      </c>
      <c r="P19" s="26">
        <f>IF($B19="","",IF('設定'!$B$11="税込",IF('設定'!$B$12="切り捨て",ROUNDDOWN(ROUND($M19*8/108,6),0),IF('設定'!$B$12="切り上げ",ROUNDUP(ROUND($M19*8/108,6),0),ROUND($M19*8/108,0))),IF('設定'!$B$12="切り捨て",ROUNDDOWN(ROUND($M19*8/100,6),0),IF('設定'!$B$12="切り上げ",ROUNDUP(ROUND($M19*8/100,6),0),ROUND($M19*8/100,0)))))</f>
        <v/>
      </c>
      <c r="Q19" s="26">
        <f>IF($B19="","",IF('設定'!$B$11="税込",$L19+$M19+$N19,$L19+$O19+$M19+$P19+$N19))</f>
        <v/>
      </c>
      <c r="R19" s="26">
        <f>IF($B19="","",IF($X19="",0,IF(INDEX('支払先'!$I$5:$I$104,$X19)&lt;&gt;"する",0,IF(INDEX('支払先'!$J$5:$J$104,$X19)="税抜",IF('設定'!$B$11="税込",($Y19-IF('設定'!$B$12="切り捨て",ROUNDDOWN(ROUND($Y19*10/110,6),0),IF('設定'!$B$12="切り上げ",ROUNDUP(ROUND($Y19*10/110,6),0),ROUND($Y19*10/110,0)))+$Z19-IF('設定'!$B$12="切り捨て",ROUNDDOWN(ROUND($Z19*8/108,6),0),IF('設定'!$B$12="切り上げ",ROUNDUP(ROUND($Z19*8/108,6),0),ROUND($Z19*8/108,0)))+$AA19),$Y19+$Z19+$AA19),IF('設定'!$B$11="税込",$Y19+$Z19+$AA19,($Y19+IF('設定'!$B$12="切り捨て",ROUNDDOWN(ROUND($Y19*10/100,6),0),IF('設定'!$B$12="切り上げ",ROUNDUP(ROUND($Y19*10/100,6),0),ROUND($Y19*10/100,0)))+$Z19+IF('設定'!$B$12="切り捨て",ROUNDDOWN(ROUND($Z19*8/100,6),0),IF('設定'!$B$12="切り上げ",ROUNDUP(ROUND($Z19*8/100,6),0),ROUND($Z19*8/100,0)))+$AA19))))))</f>
        <v/>
      </c>
      <c r="S19" s="26">
        <f>IF($B19="","",IF(N($R19)&lt;=0,0,IF($R19&lt;='設定'!$B$18,ROUNDDOWN(ROUND($R19*'設定'!$B$17,6),0),ROUNDDOWN(ROUND(($R19-'設定'!$B$18)*'設定'!$B$19,6),0)+'設定'!$B$20)))</f>
        <v/>
      </c>
      <c r="T19" s="26">
        <f>IF($B19="","",IF($X19="",0,IF(INDEX('支払先'!$K$5:$K$104,$X19)="差し引く",N(INDEX('支払先'!$L$5:$L$104,$X19)),0)))</f>
        <v/>
      </c>
      <c r="U19" s="26">
        <f>IF($B19="","",$Q19-$S19-$T19)</f>
        <v/>
      </c>
      <c r="V19" s="22">
        <f>IF($B19="","",MID(IF($C19="","／支払先コードが空",IF($X19="","／支払先にないコード",""))&amp;IF($K19=0,"／明細がない","")&amp;IF($AC19&gt;0,"／税率が空の明細 "&amp;$AC19&amp;"件（合計に入っていない）","")&amp;IF($X19="","",IF(INDEX('支払先'!$G$5:$G$104,$X19)="","／登録番号なし（仕入明細書にならない）",""))&amp;IF($AB19&gt;0,"／60日（2か月）を超える明細 "&amp;$AB19&amp;"件","")&amp;IF($X19="","",IF(AND(INDEX('支払先'!$K$5:$K$104,$X19)="差し引く",OR(INDEX('支払先'!$M$5:$M$104,$X19)&lt;&gt;"対象外",INDEX('支払先'!$N$5:$N$104,$X19)&lt;&gt;"対象外")),"／手数料を差し引けない取引か確かめる",""))&amp;IF(COUNTIF($B$5:$B$204,$B19)&gt;1,"／通知Noが重複","")&amp;IF(AND(ISNUMBER($D19),ISNUMBER($F19),$F19&lt;$D19),"／支払予定日が発行日より前",""),2,300))</f>
        <v/>
      </c>
      <c r="W19" s="67" t="n"/>
      <c r="X19" s="31">
        <f>IF(OR($B19="",$C19=""),"",IFERROR(MATCH($C19,'支払先'!$B$5:$B$104,0),""))</f>
        <v/>
      </c>
      <c r="Y19" s="31">
        <f>IF($B19="","",SUMIFS('支払明細'!$I$5:$I$1004,'支払明細'!$A$5:$A$1004,$B19,'支払明細'!$G$5:$G$1004,"10%（標準）",'支払明細'!$H$5:$H$1004,"&lt;&gt;対象外"))</f>
        <v/>
      </c>
      <c r="Z19" s="31">
        <f>IF($B19="","",SUMIFS('支払明細'!$I$5:$I$1004,'支払明細'!$A$5:$A$1004,$B19,'支払明細'!$G$5:$G$1004,"8%（軽減）",'支払明細'!$H$5:$H$1004,"&lt;&gt;対象外"))</f>
        <v/>
      </c>
      <c r="AA19" s="31">
        <f>IF($B19="","",SUMIFS('支払明細'!$I$5:$I$1004,'支払明細'!$A$5:$A$1004,$B19,'支払明細'!$G$5:$G$1004,"対象外",'支払明細'!$H$5:$H$1004,"&lt;&gt;対象外"))</f>
        <v/>
      </c>
      <c r="AB19" s="31">
        <f>IF($B19="","",COUNTIFS('支払明細'!$A$5:$A$1004,$B19,'支払明細'!$M$5:$M$1004,"超える"))</f>
        <v/>
      </c>
      <c r="AC19" s="31">
        <f>IF($B19="","",COUNTIFS('支払明細'!$A$5:$A$1004,$B19,'支払明細'!$G$5:$G$1004,""))</f>
        <v/>
      </c>
    </row>
    <row r="20" ht="18" customHeight="1">
      <c r="A20" s="17" t="n">
        <v>16</v>
      </c>
      <c r="B20" s="18" t="n"/>
      <c r="C20" s="18" t="n"/>
      <c r="D20" s="24" t="n"/>
      <c r="E20" s="19" t="n"/>
      <c r="F20" s="24" t="n"/>
      <c r="G20" s="28">
        <f>IF(AND($B20&lt;&gt;"",ISNUMBER($D20)),$D20+N('設定'!$B$13),"")</f>
        <v/>
      </c>
      <c r="H20" s="18" t="n"/>
      <c r="I20" s="19" t="n"/>
      <c r="J20" s="27">
        <f>IF($B20="","",IF($C20="","（支払先コードが空）",IF($X20="","※支払先にないコード",INDEX('支払先'!$C$5:$C$104,$X20)&amp;"")))</f>
        <v/>
      </c>
      <c r="K20" s="30">
        <f>IF($B20="","",COUNTIF('支払明細'!$A$5:$A$1004,$B20))</f>
        <v/>
      </c>
      <c r="L20" s="26">
        <f>IF($B20="","",SUMIFS('支払明細'!$I$5:$I$1004,'支払明細'!$A$5:$A$1004,$B20,'支払明細'!$G$5:$G$1004,"10%（標準）"))</f>
        <v/>
      </c>
      <c r="M20" s="26">
        <f>IF($B20="","",SUMIFS('支払明細'!$I$5:$I$1004,'支払明細'!$A$5:$A$1004,$B20,'支払明細'!$G$5:$G$1004,"8%（軽減）"))</f>
        <v/>
      </c>
      <c r="N20" s="26">
        <f>IF($B20="","",SUMIFS('支払明細'!$I$5:$I$1004,'支払明細'!$A$5:$A$1004,$B20,'支払明細'!$G$5:$G$1004,"対象外"))</f>
        <v/>
      </c>
      <c r="O20" s="26">
        <f>IF($B20="","",IF('設定'!$B$11="税込",IF('設定'!$B$12="切り捨て",ROUNDDOWN(ROUND($L20*10/110,6),0),IF('設定'!$B$12="切り上げ",ROUNDUP(ROUND($L20*10/110,6),0),ROUND($L20*10/110,0))),IF('設定'!$B$12="切り捨て",ROUNDDOWN(ROUND($L20*10/100,6),0),IF('設定'!$B$12="切り上げ",ROUNDUP(ROUND($L20*10/100,6),0),ROUND($L20*10/100,0)))))</f>
        <v/>
      </c>
      <c r="P20" s="26">
        <f>IF($B20="","",IF('設定'!$B$11="税込",IF('設定'!$B$12="切り捨て",ROUNDDOWN(ROUND($M20*8/108,6),0),IF('設定'!$B$12="切り上げ",ROUNDUP(ROUND($M20*8/108,6),0),ROUND($M20*8/108,0))),IF('設定'!$B$12="切り捨て",ROUNDDOWN(ROUND($M20*8/100,6),0),IF('設定'!$B$12="切り上げ",ROUNDUP(ROUND($M20*8/100,6),0),ROUND($M20*8/100,0)))))</f>
        <v/>
      </c>
      <c r="Q20" s="26">
        <f>IF($B20="","",IF('設定'!$B$11="税込",$L20+$M20+$N20,$L20+$O20+$M20+$P20+$N20))</f>
        <v/>
      </c>
      <c r="R20" s="26">
        <f>IF($B20="","",IF($X20="",0,IF(INDEX('支払先'!$I$5:$I$104,$X20)&lt;&gt;"する",0,IF(INDEX('支払先'!$J$5:$J$104,$X20)="税抜",IF('設定'!$B$11="税込",($Y20-IF('設定'!$B$12="切り捨て",ROUNDDOWN(ROUND($Y20*10/110,6),0),IF('設定'!$B$12="切り上げ",ROUNDUP(ROUND($Y20*10/110,6),0),ROUND($Y20*10/110,0)))+$Z20-IF('設定'!$B$12="切り捨て",ROUNDDOWN(ROUND($Z20*8/108,6),0),IF('設定'!$B$12="切り上げ",ROUNDUP(ROUND($Z20*8/108,6),0),ROUND($Z20*8/108,0)))+$AA20),$Y20+$Z20+$AA20),IF('設定'!$B$11="税込",$Y20+$Z20+$AA20,($Y20+IF('設定'!$B$12="切り捨て",ROUNDDOWN(ROUND($Y20*10/100,6),0),IF('設定'!$B$12="切り上げ",ROUNDUP(ROUND($Y20*10/100,6),0),ROUND($Y20*10/100,0)))+$Z20+IF('設定'!$B$12="切り捨て",ROUNDDOWN(ROUND($Z20*8/100,6),0),IF('設定'!$B$12="切り上げ",ROUNDUP(ROUND($Z20*8/100,6),0),ROUND($Z20*8/100,0)))+$AA20))))))</f>
        <v/>
      </c>
      <c r="S20" s="26">
        <f>IF($B20="","",IF(N($R20)&lt;=0,0,IF($R20&lt;='設定'!$B$18,ROUNDDOWN(ROUND($R20*'設定'!$B$17,6),0),ROUNDDOWN(ROUND(($R20-'設定'!$B$18)*'設定'!$B$19,6),0)+'設定'!$B$20)))</f>
        <v/>
      </c>
      <c r="T20" s="26">
        <f>IF($B20="","",IF($X20="",0,IF(INDEX('支払先'!$K$5:$K$104,$X20)="差し引く",N(INDEX('支払先'!$L$5:$L$104,$X20)),0)))</f>
        <v/>
      </c>
      <c r="U20" s="26">
        <f>IF($B20="","",$Q20-$S20-$T20)</f>
        <v/>
      </c>
      <c r="V20" s="22">
        <f>IF($B20="","",MID(IF($C20="","／支払先コードが空",IF($X20="","／支払先にないコード",""))&amp;IF($K20=0,"／明細がない","")&amp;IF($AC20&gt;0,"／税率が空の明細 "&amp;$AC20&amp;"件（合計に入っていない）","")&amp;IF($X20="","",IF(INDEX('支払先'!$G$5:$G$104,$X20)="","／登録番号なし（仕入明細書にならない）",""))&amp;IF($AB20&gt;0,"／60日（2か月）を超える明細 "&amp;$AB20&amp;"件","")&amp;IF($X20="","",IF(AND(INDEX('支払先'!$K$5:$K$104,$X20)="差し引く",OR(INDEX('支払先'!$M$5:$M$104,$X20)&lt;&gt;"対象外",INDEX('支払先'!$N$5:$N$104,$X20)&lt;&gt;"対象外")),"／手数料を差し引けない取引か確かめる",""))&amp;IF(COUNTIF($B$5:$B$204,$B20)&gt;1,"／通知Noが重複","")&amp;IF(AND(ISNUMBER($D20),ISNUMBER($F20),$F20&lt;$D20),"／支払予定日が発行日より前",""),2,300))</f>
        <v/>
      </c>
      <c r="W20" s="67" t="n"/>
      <c r="X20" s="31">
        <f>IF(OR($B20="",$C20=""),"",IFERROR(MATCH($C20,'支払先'!$B$5:$B$104,0),""))</f>
        <v/>
      </c>
      <c r="Y20" s="31">
        <f>IF($B20="","",SUMIFS('支払明細'!$I$5:$I$1004,'支払明細'!$A$5:$A$1004,$B20,'支払明細'!$G$5:$G$1004,"10%（標準）",'支払明細'!$H$5:$H$1004,"&lt;&gt;対象外"))</f>
        <v/>
      </c>
      <c r="Z20" s="31">
        <f>IF($B20="","",SUMIFS('支払明細'!$I$5:$I$1004,'支払明細'!$A$5:$A$1004,$B20,'支払明細'!$G$5:$G$1004,"8%（軽減）",'支払明細'!$H$5:$H$1004,"&lt;&gt;対象外"))</f>
        <v/>
      </c>
      <c r="AA20" s="31">
        <f>IF($B20="","",SUMIFS('支払明細'!$I$5:$I$1004,'支払明細'!$A$5:$A$1004,$B20,'支払明細'!$G$5:$G$1004,"対象外",'支払明細'!$H$5:$H$1004,"&lt;&gt;対象外"))</f>
        <v/>
      </c>
      <c r="AB20" s="31">
        <f>IF($B20="","",COUNTIFS('支払明細'!$A$5:$A$1004,$B20,'支払明細'!$M$5:$M$1004,"超える"))</f>
        <v/>
      </c>
      <c r="AC20" s="31">
        <f>IF($B20="","",COUNTIFS('支払明細'!$A$5:$A$1004,$B20,'支払明細'!$G$5:$G$1004,""))</f>
        <v/>
      </c>
    </row>
    <row r="21" ht="18" customHeight="1">
      <c r="A21" s="17" t="n">
        <v>17</v>
      </c>
      <c r="B21" s="18" t="n"/>
      <c r="C21" s="18" t="n"/>
      <c r="D21" s="24" t="n"/>
      <c r="E21" s="19" t="n"/>
      <c r="F21" s="24" t="n"/>
      <c r="G21" s="28">
        <f>IF(AND($B21&lt;&gt;"",ISNUMBER($D21)),$D21+N('設定'!$B$13),"")</f>
        <v/>
      </c>
      <c r="H21" s="18" t="n"/>
      <c r="I21" s="19" t="n"/>
      <c r="J21" s="27">
        <f>IF($B21="","",IF($C21="","（支払先コードが空）",IF($X21="","※支払先にないコード",INDEX('支払先'!$C$5:$C$104,$X21)&amp;"")))</f>
        <v/>
      </c>
      <c r="K21" s="30">
        <f>IF($B21="","",COUNTIF('支払明細'!$A$5:$A$1004,$B21))</f>
        <v/>
      </c>
      <c r="L21" s="26">
        <f>IF($B21="","",SUMIFS('支払明細'!$I$5:$I$1004,'支払明細'!$A$5:$A$1004,$B21,'支払明細'!$G$5:$G$1004,"10%（標準）"))</f>
        <v/>
      </c>
      <c r="M21" s="26">
        <f>IF($B21="","",SUMIFS('支払明細'!$I$5:$I$1004,'支払明細'!$A$5:$A$1004,$B21,'支払明細'!$G$5:$G$1004,"8%（軽減）"))</f>
        <v/>
      </c>
      <c r="N21" s="26">
        <f>IF($B21="","",SUMIFS('支払明細'!$I$5:$I$1004,'支払明細'!$A$5:$A$1004,$B21,'支払明細'!$G$5:$G$1004,"対象外"))</f>
        <v/>
      </c>
      <c r="O21" s="26">
        <f>IF($B21="","",IF('設定'!$B$11="税込",IF('設定'!$B$12="切り捨て",ROUNDDOWN(ROUND($L21*10/110,6),0),IF('設定'!$B$12="切り上げ",ROUNDUP(ROUND($L21*10/110,6),0),ROUND($L21*10/110,0))),IF('設定'!$B$12="切り捨て",ROUNDDOWN(ROUND($L21*10/100,6),0),IF('設定'!$B$12="切り上げ",ROUNDUP(ROUND($L21*10/100,6),0),ROUND($L21*10/100,0)))))</f>
        <v/>
      </c>
      <c r="P21" s="26">
        <f>IF($B21="","",IF('設定'!$B$11="税込",IF('設定'!$B$12="切り捨て",ROUNDDOWN(ROUND($M21*8/108,6),0),IF('設定'!$B$12="切り上げ",ROUNDUP(ROUND($M21*8/108,6),0),ROUND($M21*8/108,0))),IF('設定'!$B$12="切り捨て",ROUNDDOWN(ROUND($M21*8/100,6),0),IF('設定'!$B$12="切り上げ",ROUNDUP(ROUND($M21*8/100,6),0),ROUND($M21*8/100,0)))))</f>
        <v/>
      </c>
      <c r="Q21" s="26">
        <f>IF($B21="","",IF('設定'!$B$11="税込",$L21+$M21+$N21,$L21+$O21+$M21+$P21+$N21))</f>
        <v/>
      </c>
      <c r="R21" s="26">
        <f>IF($B21="","",IF($X21="",0,IF(INDEX('支払先'!$I$5:$I$104,$X21)&lt;&gt;"する",0,IF(INDEX('支払先'!$J$5:$J$104,$X21)="税抜",IF('設定'!$B$11="税込",($Y21-IF('設定'!$B$12="切り捨て",ROUNDDOWN(ROUND($Y21*10/110,6),0),IF('設定'!$B$12="切り上げ",ROUNDUP(ROUND($Y21*10/110,6),0),ROUND($Y21*10/110,0)))+$Z21-IF('設定'!$B$12="切り捨て",ROUNDDOWN(ROUND($Z21*8/108,6),0),IF('設定'!$B$12="切り上げ",ROUNDUP(ROUND($Z21*8/108,6),0),ROUND($Z21*8/108,0)))+$AA21),$Y21+$Z21+$AA21),IF('設定'!$B$11="税込",$Y21+$Z21+$AA21,($Y21+IF('設定'!$B$12="切り捨て",ROUNDDOWN(ROUND($Y21*10/100,6),0),IF('設定'!$B$12="切り上げ",ROUNDUP(ROUND($Y21*10/100,6),0),ROUND($Y21*10/100,0)))+$Z21+IF('設定'!$B$12="切り捨て",ROUNDDOWN(ROUND($Z21*8/100,6),0),IF('設定'!$B$12="切り上げ",ROUNDUP(ROUND($Z21*8/100,6),0),ROUND($Z21*8/100,0)))+$AA21))))))</f>
        <v/>
      </c>
      <c r="S21" s="26">
        <f>IF($B21="","",IF(N($R21)&lt;=0,0,IF($R21&lt;='設定'!$B$18,ROUNDDOWN(ROUND($R21*'設定'!$B$17,6),0),ROUNDDOWN(ROUND(($R21-'設定'!$B$18)*'設定'!$B$19,6),0)+'設定'!$B$20)))</f>
        <v/>
      </c>
      <c r="T21" s="26">
        <f>IF($B21="","",IF($X21="",0,IF(INDEX('支払先'!$K$5:$K$104,$X21)="差し引く",N(INDEX('支払先'!$L$5:$L$104,$X21)),0)))</f>
        <v/>
      </c>
      <c r="U21" s="26">
        <f>IF($B21="","",$Q21-$S21-$T21)</f>
        <v/>
      </c>
      <c r="V21" s="22">
        <f>IF($B21="","",MID(IF($C21="","／支払先コードが空",IF($X21="","／支払先にないコード",""))&amp;IF($K21=0,"／明細がない","")&amp;IF($AC21&gt;0,"／税率が空の明細 "&amp;$AC21&amp;"件（合計に入っていない）","")&amp;IF($X21="","",IF(INDEX('支払先'!$G$5:$G$104,$X21)="","／登録番号なし（仕入明細書にならない）",""))&amp;IF($AB21&gt;0,"／60日（2か月）を超える明細 "&amp;$AB21&amp;"件","")&amp;IF($X21="","",IF(AND(INDEX('支払先'!$K$5:$K$104,$X21)="差し引く",OR(INDEX('支払先'!$M$5:$M$104,$X21)&lt;&gt;"対象外",INDEX('支払先'!$N$5:$N$104,$X21)&lt;&gt;"対象外")),"／手数料を差し引けない取引か確かめる",""))&amp;IF(COUNTIF($B$5:$B$204,$B21)&gt;1,"／通知Noが重複","")&amp;IF(AND(ISNUMBER($D21),ISNUMBER($F21),$F21&lt;$D21),"／支払予定日が発行日より前",""),2,300))</f>
        <v/>
      </c>
      <c r="W21" s="67" t="n"/>
      <c r="X21" s="31">
        <f>IF(OR($B21="",$C21=""),"",IFERROR(MATCH($C21,'支払先'!$B$5:$B$104,0),""))</f>
        <v/>
      </c>
      <c r="Y21" s="31">
        <f>IF($B21="","",SUMIFS('支払明細'!$I$5:$I$1004,'支払明細'!$A$5:$A$1004,$B21,'支払明細'!$G$5:$G$1004,"10%（標準）",'支払明細'!$H$5:$H$1004,"&lt;&gt;対象外"))</f>
        <v/>
      </c>
      <c r="Z21" s="31">
        <f>IF($B21="","",SUMIFS('支払明細'!$I$5:$I$1004,'支払明細'!$A$5:$A$1004,$B21,'支払明細'!$G$5:$G$1004,"8%（軽減）",'支払明細'!$H$5:$H$1004,"&lt;&gt;対象外"))</f>
        <v/>
      </c>
      <c r="AA21" s="31">
        <f>IF($B21="","",SUMIFS('支払明細'!$I$5:$I$1004,'支払明細'!$A$5:$A$1004,$B21,'支払明細'!$G$5:$G$1004,"対象外",'支払明細'!$H$5:$H$1004,"&lt;&gt;対象外"))</f>
        <v/>
      </c>
      <c r="AB21" s="31">
        <f>IF($B21="","",COUNTIFS('支払明細'!$A$5:$A$1004,$B21,'支払明細'!$M$5:$M$1004,"超える"))</f>
        <v/>
      </c>
      <c r="AC21" s="31">
        <f>IF($B21="","",COUNTIFS('支払明細'!$A$5:$A$1004,$B21,'支払明細'!$G$5:$G$1004,""))</f>
        <v/>
      </c>
    </row>
    <row r="22" ht="18" customHeight="1">
      <c r="A22" s="17" t="n">
        <v>18</v>
      </c>
      <c r="B22" s="18" t="n"/>
      <c r="C22" s="18" t="n"/>
      <c r="D22" s="24" t="n"/>
      <c r="E22" s="19" t="n"/>
      <c r="F22" s="24" t="n"/>
      <c r="G22" s="28">
        <f>IF(AND($B22&lt;&gt;"",ISNUMBER($D22)),$D22+N('設定'!$B$13),"")</f>
        <v/>
      </c>
      <c r="H22" s="18" t="n"/>
      <c r="I22" s="19" t="n"/>
      <c r="J22" s="27">
        <f>IF($B22="","",IF($C22="","（支払先コードが空）",IF($X22="","※支払先にないコード",INDEX('支払先'!$C$5:$C$104,$X22)&amp;"")))</f>
        <v/>
      </c>
      <c r="K22" s="30">
        <f>IF($B22="","",COUNTIF('支払明細'!$A$5:$A$1004,$B22))</f>
        <v/>
      </c>
      <c r="L22" s="26">
        <f>IF($B22="","",SUMIFS('支払明細'!$I$5:$I$1004,'支払明細'!$A$5:$A$1004,$B22,'支払明細'!$G$5:$G$1004,"10%（標準）"))</f>
        <v/>
      </c>
      <c r="M22" s="26">
        <f>IF($B22="","",SUMIFS('支払明細'!$I$5:$I$1004,'支払明細'!$A$5:$A$1004,$B22,'支払明細'!$G$5:$G$1004,"8%（軽減）"))</f>
        <v/>
      </c>
      <c r="N22" s="26">
        <f>IF($B22="","",SUMIFS('支払明細'!$I$5:$I$1004,'支払明細'!$A$5:$A$1004,$B22,'支払明細'!$G$5:$G$1004,"対象外"))</f>
        <v/>
      </c>
      <c r="O22" s="26">
        <f>IF($B22="","",IF('設定'!$B$11="税込",IF('設定'!$B$12="切り捨て",ROUNDDOWN(ROUND($L22*10/110,6),0),IF('設定'!$B$12="切り上げ",ROUNDUP(ROUND($L22*10/110,6),0),ROUND($L22*10/110,0))),IF('設定'!$B$12="切り捨て",ROUNDDOWN(ROUND($L22*10/100,6),0),IF('設定'!$B$12="切り上げ",ROUNDUP(ROUND($L22*10/100,6),0),ROUND($L22*10/100,0)))))</f>
        <v/>
      </c>
      <c r="P22" s="26">
        <f>IF($B22="","",IF('設定'!$B$11="税込",IF('設定'!$B$12="切り捨て",ROUNDDOWN(ROUND($M22*8/108,6),0),IF('設定'!$B$12="切り上げ",ROUNDUP(ROUND($M22*8/108,6),0),ROUND($M22*8/108,0))),IF('設定'!$B$12="切り捨て",ROUNDDOWN(ROUND($M22*8/100,6),0),IF('設定'!$B$12="切り上げ",ROUNDUP(ROUND($M22*8/100,6),0),ROUND($M22*8/100,0)))))</f>
        <v/>
      </c>
      <c r="Q22" s="26">
        <f>IF($B22="","",IF('設定'!$B$11="税込",$L22+$M22+$N22,$L22+$O22+$M22+$P22+$N22))</f>
        <v/>
      </c>
      <c r="R22" s="26">
        <f>IF($B22="","",IF($X22="",0,IF(INDEX('支払先'!$I$5:$I$104,$X22)&lt;&gt;"する",0,IF(INDEX('支払先'!$J$5:$J$104,$X22)="税抜",IF('設定'!$B$11="税込",($Y22-IF('設定'!$B$12="切り捨て",ROUNDDOWN(ROUND($Y22*10/110,6),0),IF('設定'!$B$12="切り上げ",ROUNDUP(ROUND($Y22*10/110,6),0),ROUND($Y22*10/110,0)))+$Z22-IF('設定'!$B$12="切り捨て",ROUNDDOWN(ROUND($Z22*8/108,6),0),IF('設定'!$B$12="切り上げ",ROUNDUP(ROUND($Z22*8/108,6),0),ROUND($Z22*8/108,0)))+$AA22),$Y22+$Z22+$AA22),IF('設定'!$B$11="税込",$Y22+$Z22+$AA22,($Y22+IF('設定'!$B$12="切り捨て",ROUNDDOWN(ROUND($Y22*10/100,6),0),IF('設定'!$B$12="切り上げ",ROUNDUP(ROUND($Y22*10/100,6),0),ROUND($Y22*10/100,0)))+$Z22+IF('設定'!$B$12="切り捨て",ROUNDDOWN(ROUND($Z22*8/100,6),0),IF('設定'!$B$12="切り上げ",ROUNDUP(ROUND($Z22*8/100,6),0),ROUND($Z22*8/100,0)))+$AA22))))))</f>
        <v/>
      </c>
      <c r="S22" s="26">
        <f>IF($B22="","",IF(N($R22)&lt;=0,0,IF($R22&lt;='設定'!$B$18,ROUNDDOWN(ROUND($R22*'設定'!$B$17,6),0),ROUNDDOWN(ROUND(($R22-'設定'!$B$18)*'設定'!$B$19,6),0)+'設定'!$B$20)))</f>
        <v/>
      </c>
      <c r="T22" s="26">
        <f>IF($B22="","",IF($X22="",0,IF(INDEX('支払先'!$K$5:$K$104,$X22)="差し引く",N(INDEX('支払先'!$L$5:$L$104,$X22)),0)))</f>
        <v/>
      </c>
      <c r="U22" s="26">
        <f>IF($B22="","",$Q22-$S22-$T22)</f>
        <v/>
      </c>
      <c r="V22" s="22">
        <f>IF($B22="","",MID(IF($C22="","／支払先コードが空",IF($X22="","／支払先にないコード",""))&amp;IF($K22=0,"／明細がない","")&amp;IF($AC22&gt;0,"／税率が空の明細 "&amp;$AC22&amp;"件（合計に入っていない）","")&amp;IF($X22="","",IF(INDEX('支払先'!$G$5:$G$104,$X22)="","／登録番号なし（仕入明細書にならない）",""))&amp;IF($AB22&gt;0,"／60日（2か月）を超える明細 "&amp;$AB22&amp;"件","")&amp;IF($X22="","",IF(AND(INDEX('支払先'!$K$5:$K$104,$X22)="差し引く",OR(INDEX('支払先'!$M$5:$M$104,$X22)&lt;&gt;"対象外",INDEX('支払先'!$N$5:$N$104,$X22)&lt;&gt;"対象外")),"／手数料を差し引けない取引か確かめる",""))&amp;IF(COUNTIF($B$5:$B$204,$B22)&gt;1,"／通知Noが重複","")&amp;IF(AND(ISNUMBER($D22),ISNUMBER($F22),$F22&lt;$D22),"／支払予定日が発行日より前",""),2,300))</f>
        <v/>
      </c>
      <c r="W22" s="67" t="n"/>
      <c r="X22" s="31">
        <f>IF(OR($B22="",$C22=""),"",IFERROR(MATCH($C22,'支払先'!$B$5:$B$104,0),""))</f>
        <v/>
      </c>
      <c r="Y22" s="31">
        <f>IF($B22="","",SUMIFS('支払明細'!$I$5:$I$1004,'支払明細'!$A$5:$A$1004,$B22,'支払明細'!$G$5:$G$1004,"10%（標準）",'支払明細'!$H$5:$H$1004,"&lt;&gt;対象外"))</f>
        <v/>
      </c>
      <c r="Z22" s="31">
        <f>IF($B22="","",SUMIFS('支払明細'!$I$5:$I$1004,'支払明細'!$A$5:$A$1004,$B22,'支払明細'!$G$5:$G$1004,"8%（軽減）",'支払明細'!$H$5:$H$1004,"&lt;&gt;対象外"))</f>
        <v/>
      </c>
      <c r="AA22" s="31">
        <f>IF($B22="","",SUMIFS('支払明細'!$I$5:$I$1004,'支払明細'!$A$5:$A$1004,$B22,'支払明細'!$G$5:$G$1004,"対象外",'支払明細'!$H$5:$H$1004,"&lt;&gt;対象外"))</f>
        <v/>
      </c>
      <c r="AB22" s="31">
        <f>IF($B22="","",COUNTIFS('支払明細'!$A$5:$A$1004,$B22,'支払明細'!$M$5:$M$1004,"超える"))</f>
        <v/>
      </c>
      <c r="AC22" s="31">
        <f>IF($B22="","",COUNTIFS('支払明細'!$A$5:$A$1004,$B22,'支払明細'!$G$5:$G$1004,""))</f>
        <v/>
      </c>
    </row>
    <row r="23" ht="18" customHeight="1">
      <c r="A23" s="17" t="n">
        <v>19</v>
      </c>
      <c r="B23" s="18" t="n"/>
      <c r="C23" s="18" t="n"/>
      <c r="D23" s="24" t="n"/>
      <c r="E23" s="19" t="n"/>
      <c r="F23" s="24" t="n"/>
      <c r="G23" s="28">
        <f>IF(AND($B23&lt;&gt;"",ISNUMBER($D23)),$D23+N('設定'!$B$13),"")</f>
        <v/>
      </c>
      <c r="H23" s="18" t="n"/>
      <c r="I23" s="19" t="n"/>
      <c r="J23" s="27">
        <f>IF($B23="","",IF($C23="","（支払先コードが空）",IF($X23="","※支払先にないコード",INDEX('支払先'!$C$5:$C$104,$X23)&amp;"")))</f>
        <v/>
      </c>
      <c r="K23" s="30">
        <f>IF($B23="","",COUNTIF('支払明細'!$A$5:$A$1004,$B23))</f>
        <v/>
      </c>
      <c r="L23" s="26">
        <f>IF($B23="","",SUMIFS('支払明細'!$I$5:$I$1004,'支払明細'!$A$5:$A$1004,$B23,'支払明細'!$G$5:$G$1004,"10%（標準）"))</f>
        <v/>
      </c>
      <c r="M23" s="26">
        <f>IF($B23="","",SUMIFS('支払明細'!$I$5:$I$1004,'支払明細'!$A$5:$A$1004,$B23,'支払明細'!$G$5:$G$1004,"8%（軽減）"))</f>
        <v/>
      </c>
      <c r="N23" s="26">
        <f>IF($B23="","",SUMIFS('支払明細'!$I$5:$I$1004,'支払明細'!$A$5:$A$1004,$B23,'支払明細'!$G$5:$G$1004,"対象外"))</f>
        <v/>
      </c>
      <c r="O23" s="26">
        <f>IF($B23="","",IF('設定'!$B$11="税込",IF('設定'!$B$12="切り捨て",ROUNDDOWN(ROUND($L23*10/110,6),0),IF('設定'!$B$12="切り上げ",ROUNDUP(ROUND($L23*10/110,6),0),ROUND($L23*10/110,0))),IF('設定'!$B$12="切り捨て",ROUNDDOWN(ROUND($L23*10/100,6),0),IF('設定'!$B$12="切り上げ",ROUNDUP(ROUND($L23*10/100,6),0),ROUND($L23*10/100,0)))))</f>
        <v/>
      </c>
      <c r="P23" s="26">
        <f>IF($B23="","",IF('設定'!$B$11="税込",IF('設定'!$B$12="切り捨て",ROUNDDOWN(ROUND($M23*8/108,6),0),IF('設定'!$B$12="切り上げ",ROUNDUP(ROUND($M23*8/108,6),0),ROUND($M23*8/108,0))),IF('設定'!$B$12="切り捨て",ROUNDDOWN(ROUND($M23*8/100,6),0),IF('設定'!$B$12="切り上げ",ROUNDUP(ROUND($M23*8/100,6),0),ROUND($M23*8/100,0)))))</f>
        <v/>
      </c>
      <c r="Q23" s="26">
        <f>IF($B23="","",IF('設定'!$B$11="税込",$L23+$M23+$N23,$L23+$O23+$M23+$P23+$N23))</f>
        <v/>
      </c>
      <c r="R23" s="26">
        <f>IF($B23="","",IF($X23="",0,IF(INDEX('支払先'!$I$5:$I$104,$X23)&lt;&gt;"する",0,IF(INDEX('支払先'!$J$5:$J$104,$X23)="税抜",IF('設定'!$B$11="税込",($Y23-IF('設定'!$B$12="切り捨て",ROUNDDOWN(ROUND($Y23*10/110,6),0),IF('設定'!$B$12="切り上げ",ROUNDUP(ROUND($Y23*10/110,6),0),ROUND($Y23*10/110,0)))+$Z23-IF('設定'!$B$12="切り捨て",ROUNDDOWN(ROUND($Z23*8/108,6),0),IF('設定'!$B$12="切り上げ",ROUNDUP(ROUND($Z23*8/108,6),0),ROUND($Z23*8/108,0)))+$AA23),$Y23+$Z23+$AA23),IF('設定'!$B$11="税込",$Y23+$Z23+$AA23,($Y23+IF('設定'!$B$12="切り捨て",ROUNDDOWN(ROUND($Y23*10/100,6),0),IF('設定'!$B$12="切り上げ",ROUNDUP(ROUND($Y23*10/100,6),0),ROUND($Y23*10/100,0)))+$Z23+IF('設定'!$B$12="切り捨て",ROUNDDOWN(ROUND($Z23*8/100,6),0),IF('設定'!$B$12="切り上げ",ROUNDUP(ROUND($Z23*8/100,6),0),ROUND($Z23*8/100,0)))+$AA23))))))</f>
        <v/>
      </c>
      <c r="S23" s="26">
        <f>IF($B23="","",IF(N($R23)&lt;=0,0,IF($R23&lt;='設定'!$B$18,ROUNDDOWN(ROUND($R23*'設定'!$B$17,6),0),ROUNDDOWN(ROUND(($R23-'設定'!$B$18)*'設定'!$B$19,6),0)+'設定'!$B$20)))</f>
        <v/>
      </c>
      <c r="T23" s="26">
        <f>IF($B23="","",IF($X23="",0,IF(INDEX('支払先'!$K$5:$K$104,$X23)="差し引く",N(INDEX('支払先'!$L$5:$L$104,$X23)),0)))</f>
        <v/>
      </c>
      <c r="U23" s="26">
        <f>IF($B23="","",$Q23-$S23-$T23)</f>
        <v/>
      </c>
      <c r="V23" s="22">
        <f>IF($B23="","",MID(IF($C23="","／支払先コードが空",IF($X23="","／支払先にないコード",""))&amp;IF($K23=0,"／明細がない","")&amp;IF($AC23&gt;0,"／税率が空の明細 "&amp;$AC23&amp;"件（合計に入っていない）","")&amp;IF($X23="","",IF(INDEX('支払先'!$G$5:$G$104,$X23)="","／登録番号なし（仕入明細書にならない）",""))&amp;IF($AB23&gt;0,"／60日（2か月）を超える明細 "&amp;$AB23&amp;"件","")&amp;IF($X23="","",IF(AND(INDEX('支払先'!$K$5:$K$104,$X23)="差し引く",OR(INDEX('支払先'!$M$5:$M$104,$X23)&lt;&gt;"対象外",INDEX('支払先'!$N$5:$N$104,$X23)&lt;&gt;"対象外")),"／手数料を差し引けない取引か確かめる",""))&amp;IF(COUNTIF($B$5:$B$204,$B23)&gt;1,"／通知Noが重複","")&amp;IF(AND(ISNUMBER($D23),ISNUMBER($F23),$F23&lt;$D23),"／支払予定日が発行日より前",""),2,300))</f>
        <v/>
      </c>
      <c r="W23" s="67" t="n"/>
      <c r="X23" s="31">
        <f>IF(OR($B23="",$C23=""),"",IFERROR(MATCH($C23,'支払先'!$B$5:$B$104,0),""))</f>
        <v/>
      </c>
      <c r="Y23" s="31">
        <f>IF($B23="","",SUMIFS('支払明細'!$I$5:$I$1004,'支払明細'!$A$5:$A$1004,$B23,'支払明細'!$G$5:$G$1004,"10%（標準）",'支払明細'!$H$5:$H$1004,"&lt;&gt;対象外"))</f>
        <v/>
      </c>
      <c r="Z23" s="31">
        <f>IF($B23="","",SUMIFS('支払明細'!$I$5:$I$1004,'支払明細'!$A$5:$A$1004,$B23,'支払明細'!$G$5:$G$1004,"8%（軽減）",'支払明細'!$H$5:$H$1004,"&lt;&gt;対象外"))</f>
        <v/>
      </c>
      <c r="AA23" s="31">
        <f>IF($B23="","",SUMIFS('支払明細'!$I$5:$I$1004,'支払明細'!$A$5:$A$1004,$B23,'支払明細'!$G$5:$G$1004,"対象外",'支払明細'!$H$5:$H$1004,"&lt;&gt;対象外"))</f>
        <v/>
      </c>
      <c r="AB23" s="31">
        <f>IF($B23="","",COUNTIFS('支払明細'!$A$5:$A$1004,$B23,'支払明細'!$M$5:$M$1004,"超える"))</f>
        <v/>
      </c>
      <c r="AC23" s="31">
        <f>IF($B23="","",COUNTIFS('支払明細'!$A$5:$A$1004,$B23,'支払明細'!$G$5:$G$1004,""))</f>
        <v/>
      </c>
    </row>
    <row r="24" ht="18" customHeight="1">
      <c r="A24" s="17" t="n">
        <v>20</v>
      </c>
      <c r="B24" s="18" t="n"/>
      <c r="C24" s="18" t="n"/>
      <c r="D24" s="24" t="n"/>
      <c r="E24" s="19" t="n"/>
      <c r="F24" s="24" t="n"/>
      <c r="G24" s="28">
        <f>IF(AND($B24&lt;&gt;"",ISNUMBER($D24)),$D24+N('設定'!$B$13),"")</f>
        <v/>
      </c>
      <c r="H24" s="18" t="n"/>
      <c r="I24" s="19" t="n"/>
      <c r="J24" s="27">
        <f>IF($B24="","",IF($C24="","（支払先コードが空）",IF($X24="","※支払先にないコード",INDEX('支払先'!$C$5:$C$104,$X24)&amp;"")))</f>
        <v/>
      </c>
      <c r="K24" s="30">
        <f>IF($B24="","",COUNTIF('支払明細'!$A$5:$A$1004,$B24))</f>
        <v/>
      </c>
      <c r="L24" s="26">
        <f>IF($B24="","",SUMIFS('支払明細'!$I$5:$I$1004,'支払明細'!$A$5:$A$1004,$B24,'支払明細'!$G$5:$G$1004,"10%（標準）"))</f>
        <v/>
      </c>
      <c r="M24" s="26">
        <f>IF($B24="","",SUMIFS('支払明細'!$I$5:$I$1004,'支払明細'!$A$5:$A$1004,$B24,'支払明細'!$G$5:$G$1004,"8%（軽減）"))</f>
        <v/>
      </c>
      <c r="N24" s="26">
        <f>IF($B24="","",SUMIFS('支払明細'!$I$5:$I$1004,'支払明細'!$A$5:$A$1004,$B24,'支払明細'!$G$5:$G$1004,"対象外"))</f>
        <v/>
      </c>
      <c r="O24" s="26">
        <f>IF($B24="","",IF('設定'!$B$11="税込",IF('設定'!$B$12="切り捨て",ROUNDDOWN(ROUND($L24*10/110,6),0),IF('設定'!$B$12="切り上げ",ROUNDUP(ROUND($L24*10/110,6),0),ROUND($L24*10/110,0))),IF('設定'!$B$12="切り捨て",ROUNDDOWN(ROUND($L24*10/100,6),0),IF('設定'!$B$12="切り上げ",ROUNDUP(ROUND($L24*10/100,6),0),ROUND($L24*10/100,0)))))</f>
        <v/>
      </c>
      <c r="P24" s="26">
        <f>IF($B24="","",IF('設定'!$B$11="税込",IF('設定'!$B$12="切り捨て",ROUNDDOWN(ROUND($M24*8/108,6),0),IF('設定'!$B$12="切り上げ",ROUNDUP(ROUND($M24*8/108,6),0),ROUND($M24*8/108,0))),IF('設定'!$B$12="切り捨て",ROUNDDOWN(ROUND($M24*8/100,6),0),IF('設定'!$B$12="切り上げ",ROUNDUP(ROUND($M24*8/100,6),0),ROUND($M24*8/100,0)))))</f>
        <v/>
      </c>
      <c r="Q24" s="26">
        <f>IF($B24="","",IF('設定'!$B$11="税込",$L24+$M24+$N24,$L24+$O24+$M24+$P24+$N24))</f>
        <v/>
      </c>
      <c r="R24" s="26">
        <f>IF($B24="","",IF($X24="",0,IF(INDEX('支払先'!$I$5:$I$104,$X24)&lt;&gt;"する",0,IF(INDEX('支払先'!$J$5:$J$104,$X24)="税抜",IF('設定'!$B$11="税込",($Y24-IF('設定'!$B$12="切り捨て",ROUNDDOWN(ROUND($Y24*10/110,6),0),IF('設定'!$B$12="切り上げ",ROUNDUP(ROUND($Y24*10/110,6),0),ROUND($Y24*10/110,0)))+$Z24-IF('設定'!$B$12="切り捨て",ROUNDDOWN(ROUND($Z24*8/108,6),0),IF('設定'!$B$12="切り上げ",ROUNDUP(ROUND($Z24*8/108,6),0),ROUND($Z24*8/108,0)))+$AA24),$Y24+$Z24+$AA24),IF('設定'!$B$11="税込",$Y24+$Z24+$AA24,($Y24+IF('設定'!$B$12="切り捨て",ROUNDDOWN(ROUND($Y24*10/100,6),0),IF('設定'!$B$12="切り上げ",ROUNDUP(ROUND($Y24*10/100,6),0),ROUND($Y24*10/100,0)))+$Z24+IF('設定'!$B$12="切り捨て",ROUNDDOWN(ROUND($Z24*8/100,6),0),IF('設定'!$B$12="切り上げ",ROUNDUP(ROUND($Z24*8/100,6),0),ROUND($Z24*8/100,0)))+$AA24))))))</f>
        <v/>
      </c>
      <c r="S24" s="26">
        <f>IF($B24="","",IF(N($R24)&lt;=0,0,IF($R24&lt;='設定'!$B$18,ROUNDDOWN(ROUND($R24*'設定'!$B$17,6),0),ROUNDDOWN(ROUND(($R24-'設定'!$B$18)*'設定'!$B$19,6),0)+'設定'!$B$20)))</f>
        <v/>
      </c>
      <c r="T24" s="26">
        <f>IF($B24="","",IF($X24="",0,IF(INDEX('支払先'!$K$5:$K$104,$X24)="差し引く",N(INDEX('支払先'!$L$5:$L$104,$X24)),0)))</f>
        <v/>
      </c>
      <c r="U24" s="26">
        <f>IF($B24="","",$Q24-$S24-$T24)</f>
        <v/>
      </c>
      <c r="V24" s="22">
        <f>IF($B24="","",MID(IF($C24="","／支払先コードが空",IF($X24="","／支払先にないコード",""))&amp;IF($K24=0,"／明細がない","")&amp;IF($AC24&gt;0,"／税率が空の明細 "&amp;$AC24&amp;"件（合計に入っていない）","")&amp;IF($X24="","",IF(INDEX('支払先'!$G$5:$G$104,$X24)="","／登録番号なし（仕入明細書にならない）",""))&amp;IF($AB24&gt;0,"／60日（2か月）を超える明細 "&amp;$AB24&amp;"件","")&amp;IF($X24="","",IF(AND(INDEX('支払先'!$K$5:$K$104,$X24)="差し引く",OR(INDEX('支払先'!$M$5:$M$104,$X24)&lt;&gt;"対象外",INDEX('支払先'!$N$5:$N$104,$X24)&lt;&gt;"対象外")),"／手数料を差し引けない取引か確かめる",""))&amp;IF(COUNTIF($B$5:$B$204,$B24)&gt;1,"／通知Noが重複","")&amp;IF(AND(ISNUMBER($D24),ISNUMBER($F24),$F24&lt;$D24),"／支払予定日が発行日より前",""),2,300))</f>
        <v/>
      </c>
      <c r="W24" s="67" t="n"/>
      <c r="X24" s="31">
        <f>IF(OR($B24="",$C24=""),"",IFERROR(MATCH($C24,'支払先'!$B$5:$B$104,0),""))</f>
        <v/>
      </c>
      <c r="Y24" s="31">
        <f>IF($B24="","",SUMIFS('支払明細'!$I$5:$I$1004,'支払明細'!$A$5:$A$1004,$B24,'支払明細'!$G$5:$G$1004,"10%（標準）",'支払明細'!$H$5:$H$1004,"&lt;&gt;対象外"))</f>
        <v/>
      </c>
      <c r="Z24" s="31">
        <f>IF($B24="","",SUMIFS('支払明細'!$I$5:$I$1004,'支払明細'!$A$5:$A$1004,$B24,'支払明細'!$G$5:$G$1004,"8%（軽減）",'支払明細'!$H$5:$H$1004,"&lt;&gt;対象外"))</f>
        <v/>
      </c>
      <c r="AA24" s="31">
        <f>IF($B24="","",SUMIFS('支払明細'!$I$5:$I$1004,'支払明細'!$A$5:$A$1004,$B24,'支払明細'!$G$5:$G$1004,"対象外",'支払明細'!$H$5:$H$1004,"&lt;&gt;対象外"))</f>
        <v/>
      </c>
      <c r="AB24" s="31">
        <f>IF($B24="","",COUNTIFS('支払明細'!$A$5:$A$1004,$B24,'支払明細'!$M$5:$M$1004,"超える"))</f>
        <v/>
      </c>
      <c r="AC24" s="31">
        <f>IF($B24="","",COUNTIFS('支払明細'!$A$5:$A$1004,$B24,'支払明細'!$G$5:$G$1004,""))</f>
        <v/>
      </c>
    </row>
    <row r="25" ht="18" customHeight="1">
      <c r="A25" s="17" t="n">
        <v>21</v>
      </c>
      <c r="B25" s="18" t="n"/>
      <c r="C25" s="18" t="n"/>
      <c r="D25" s="24" t="n"/>
      <c r="E25" s="19" t="n"/>
      <c r="F25" s="24" t="n"/>
      <c r="G25" s="28">
        <f>IF(AND($B25&lt;&gt;"",ISNUMBER($D25)),$D25+N('設定'!$B$13),"")</f>
        <v/>
      </c>
      <c r="H25" s="18" t="n"/>
      <c r="I25" s="19" t="n"/>
      <c r="J25" s="27">
        <f>IF($B25="","",IF($C25="","（支払先コードが空）",IF($X25="","※支払先にないコード",INDEX('支払先'!$C$5:$C$104,$X25)&amp;"")))</f>
        <v/>
      </c>
      <c r="K25" s="30">
        <f>IF($B25="","",COUNTIF('支払明細'!$A$5:$A$1004,$B25))</f>
        <v/>
      </c>
      <c r="L25" s="26">
        <f>IF($B25="","",SUMIFS('支払明細'!$I$5:$I$1004,'支払明細'!$A$5:$A$1004,$B25,'支払明細'!$G$5:$G$1004,"10%（標準）"))</f>
        <v/>
      </c>
      <c r="M25" s="26">
        <f>IF($B25="","",SUMIFS('支払明細'!$I$5:$I$1004,'支払明細'!$A$5:$A$1004,$B25,'支払明細'!$G$5:$G$1004,"8%（軽減）"))</f>
        <v/>
      </c>
      <c r="N25" s="26">
        <f>IF($B25="","",SUMIFS('支払明細'!$I$5:$I$1004,'支払明細'!$A$5:$A$1004,$B25,'支払明細'!$G$5:$G$1004,"対象外"))</f>
        <v/>
      </c>
      <c r="O25" s="26">
        <f>IF($B25="","",IF('設定'!$B$11="税込",IF('設定'!$B$12="切り捨て",ROUNDDOWN(ROUND($L25*10/110,6),0),IF('設定'!$B$12="切り上げ",ROUNDUP(ROUND($L25*10/110,6),0),ROUND($L25*10/110,0))),IF('設定'!$B$12="切り捨て",ROUNDDOWN(ROUND($L25*10/100,6),0),IF('設定'!$B$12="切り上げ",ROUNDUP(ROUND($L25*10/100,6),0),ROUND($L25*10/100,0)))))</f>
        <v/>
      </c>
      <c r="P25" s="26">
        <f>IF($B25="","",IF('設定'!$B$11="税込",IF('設定'!$B$12="切り捨て",ROUNDDOWN(ROUND($M25*8/108,6),0),IF('設定'!$B$12="切り上げ",ROUNDUP(ROUND($M25*8/108,6),0),ROUND($M25*8/108,0))),IF('設定'!$B$12="切り捨て",ROUNDDOWN(ROUND($M25*8/100,6),0),IF('設定'!$B$12="切り上げ",ROUNDUP(ROUND($M25*8/100,6),0),ROUND($M25*8/100,0)))))</f>
        <v/>
      </c>
      <c r="Q25" s="26">
        <f>IF($B25="","",IF('設定'!$B$11="税込",$L25+$M25+$N25,$L25+$O25+$M25+$P25+$N25))</f>
        <v/>
      </c>
      <c r="R25" s="26">
        <f>IF($B25="","",IF($X25="",0,IF(INDEX('支払先'!$I$5:$I$104,$X25)&lt;&gt;"する",0,IF(INDEX('支払先'!$J$5:$J$104,$X25)="税抜",IF('設定'!$B$11="税込",($Y25-IF('設定'!$B$12="切り捨て",ROUNDDOWN(ROUND($Y25*10/110,6),0),IF('設定'!$B$12="切り上げ",ROUNDUP(ROUND($Y25*10/110,6),0),ROUND($Y25*10/110,0)))+$Z25-IF('設定'!$B$12="切り捨て",ROUNDDOWN(ROUND($Z25*8/108,6),0),IF('設定'!$B$12="切り上げ",ROUNDUP(ROUND($Z25*8/108,6),0),ROUND($Z25*8/108,0)))+$AA25),$Y25+$Z25+$AA25),IF('設定'!$B$11="税込",$Y25+$Z25+$AA25,($Y25+IF('設定'!$B$12="切り捨て",ROUNDDOWN(ROUND($Y25*10/100,6),0),IF('設定'!$B$12="切り上げ",ROUNDUP(ROUND($Y25*10/100,6),0),ROUND($Y25*10/100,0)))+$Z25+IF('設定'!$B$12="切り捨て",ROUNDDOWN(ROUND($Z25*8/100,6),0),IF('設定'!$B$12="切り上げ",ROUNDUP(ROUND($Z25*8/100,6),0),ROUND($Z25*8/100,0)))+$AA25))))))</f>
        <v/>
      </c>
      <c r="S25" s="26">
        <f>IF($B25="","",IF(N($R25)&lt;=0,0,IF($R25&lt;='設定'!$B$18,ROUNDDOWN(ROUND($R25*'設定'!$B$17,6),0),ROUNDDOWN(ROUND(($R25-'設定'!$B$18)*'設定'!$B$19,6),0)+'設定'!$B$20)))</f>
        <v/>
      </c>
      <c r="T25" s="26">
        <f>IF($B25="","",IF($X25="",0,IF(INDEX('支払先'!$K$5:$K$104,$X25)="差し引く",N(INDEX('支払先'!$L$5:$L$104,$X25)),0)))</f>
        <v/>
      </c>
      <c r="U25" s="26">
        <f>IF($B25="","",$Q25-$S25-$T25)</f>
        <v/>
      </c>
      <c r="V25" s="22">
        <f>IF($B25="","",MID(IF($C25="","／支払先コードが空",IF($X25="","／支払先にないコード",""))&amp;IF($K25=0,"／明細がない","")&amp;IF($AC25&gt;0,"／税率が空の明細 "&amp;$AC25&amp;"件（合計に入っていない）","")&amp;IF($X25="","",IF(INDEX('支払先'!$G$5:$G$104,$X25)="","／登録番号なし（仕入明細書にならない）",""))&amp;IF($AB25&gt;0,"／60日（2か月）を超える明細 "&amp;$AB25&amp;"件","")&amp;IF($X25="","",IF(AND(INDEX('支払先'!$K$5:$K$104,$X25)="差し引く",OR(INDEX('支払先'!$M$5:$M$104,$X25)&lt;&gt;"対象外",INDEX('支払先'!$N$5:$N$104,$X25)&lt;&gt;"対象外")),"／手数料を差し引けない取引か確かめる",""))&amp;IF(COUNTIF($B$5:$B$204,$B25)&gt;1,"／通知Noが重複","")&amp;IF(AND(ISNUMBER($D25),ISNUMBER($F25),$F25&lt;$D25),"／支払予定日が発行日より前",""),2,300))</f>
        <v/>
      </c>
      <c r="W25" s="67" t="n"/>
      <c r="X25" s="31">
        <f>IF(OR($B25="",$C25=""),"",IFERROR(MATCH($C25,'支払先'!$B$5:$B$104,0),""))</f>
        <v/>
      </c>
      <c r="Y25" s="31">
        <f>IF($B25="","",SUMIFS('支払明細'!$I$5:$I$1004,'支払明細'!$A$5:$A$1004,$B25,'支払明細'!$G$5:$G$1004,"10%（標準）",'支払明細'!$H$5:$H$1004,"&lt;&gt;対象外"))</f>
        <v/>
      </c>
      <c r="Z25" s="31">
        <f>IF($B25="","",SUMIFS('支払明細'!$I$5:$I$1004,'支払明細'!$A$5:$A$1004,$B25,'支払明細'!$G$5:$G$1004,"8%（軽減）",'支払明細'!$H$5:$H$1004,"&lt;&gt;対象外"))</f>
        <v/>
      </c>
      <c r="AA25" s="31">
        <f>IF($B25="","",SUMIFS('支払明細'!$I$5:$I$1004,'支払明細'!$A$5:$A$1004,$B25,'支払明細'!$G$5:$G$1004,"対象外",'支払明細'!$H$5:$H$1004,"&lt;&gt;対象外"))</f>
        <v/>
      </c>
      <c r="AB25" s="31">
        <f>IF($B25="","",COUNTIFS('支払明細'!$A$5:$A$1004,$B25,'支払明細'!$M$5:$M$1004,"超える"))</f>
        <v/>
      </c>
      <c r="AC25" s="31">
        <f>IF($B25="","",COUNTIFS('支払明細'!$A$5:$A$1004,$B25,'支払明細'!$G$5:$G$1004,""))</f>
        <v/>
      </c>
    </row>
    <row r="26" ht="18" customHeight="1">
      <c r="A26" s="17" t="n">
        <v>22</v>
      </c>
      <c r="B26" s="18" t="n"/>
      <c r="C26" s="18" t="n"/>
      <c r="D26" s="24" t="n"/>
      <c r="E26" s="19" t="n"/>
      <c r="F26" s="24" t="n"/>
      <c r="G26" s="28">
        <f>IF(AND($B26&lt;&gt;"",ISNUMBER($D26)),$D26+N('設定'!$B$13),"")</f>
        <v/>
      </c>
      <c r="H26" s="18" t="n"/>
      <c r="I26" s="19" t="n"/>
      <c r="J26" s="27">
        <f>IF($B26="","",IF($C26="","（支払先コードが空）",IF($X26="","※支払先にないコード",INDEX('支払先'!$C$5:$C$104,$X26)&amp;"")))</f>
        <v/>
      </c>
      <c r="K26" s="30">
        <f>IF($B26="","",COUNTIF('支払明細'!$A$5:$A$1004,$B26))</f>
        <v/>
      </c>
      <c r="L26" s="26">
        <f>IF($B26="","",SUMIFS('支払明細'!$I$5:$I$1004,'支払明細'!$A$5:$A$1004,$B26,'支払明細'!$G$5:$G$1004,"10%（標準）"))</f>
        <v/>
      </c>
      <c r="M26" s="26">
        <f>IF($B26="","",SUMIFS('支払明細'!$I$5:$I$1004,'支払明細'!$A$5:$A$1004,$B26,'支払明細'!$G$5:$G$1004,"8%（軽減）"))</f>
        <v/>
      </c>
      <c r="N26" s="26">
        <f>IF($B26="","",SUMIFS('支払明細'!$I$5:$I$1004,'支払明細'!$A$5:$A$1004,$B26,'支払明細'!$G$5:$G$1004,"対象外"))</f>
        <v/>
      </c>
      <c r="O26" s="26">
        <f>IF($B26="","",IF('設定'!$B$11="税込",IF('設定'!$B$12="切り捨て",ROUNDDOWN(ROUND($L26*10/110,6),0),IF('設定'!$B$12="切り上げ",ROUNDUP(ROUND($L26*10/110,6),0),ROUND($L26*10/110,0))),IF('設定'!$B$12="切り捨て",ROUNDDOWN(ROUND($L26*10/100,6),0),IF('設定'!$B$12="切り上げ",ROUNDUP(ROUND($L26*10/100,6),0),ROUND($L26*10/100,0)))))</f>
        <v/>
      </c>
      <c r="P26" s="26">
        <f>IF($B26="","",IF('設定'!$B$11="税込",IF('設定'!$B$12="切り捨て",ROUNDDOWN(ROUND($M26*8/108,6),0),IF('設定'!$B$12="切り上げ",ROUNDUP(ROUND($M26*8/108,6),0),ROUND($M26*8/108,0))),IF('設定'!$B$12="切り捨て",ROUNDDOWN(ROUND($M26*8/100,6),0),IF('設定'!$B$12="切り上げ",ROUNDUP(ROUND($M26*8/100,6),0),ROUND($M26*8/100,0)))))</f>
        <v/>
      </c>
      <c r="Q26" s="26">
        <f>IF($B26="","",IF('設定'!$B$11="税込",$L26+$M26+$N26,$L26+$O26+$M26+$P26+$N26))</f>
        <v/>
      </c>
      <c r="R26" s="26">
        <f>IF($B26="","",IF($X26="",0,IF(INDEX('支払先'!$I$5:$I$104,$X26)&lt;&gt;"する",0,IF(INDEX('支払先'!$J$5:$J$104,$X26)="税抜",IF('設定'!$B$11="税込",($Y26-IF('設定'!$B$12="切り捨て",ROUNDDOWN(ROUND($Y26*10/110,6),0),IF('設定'!$B$12="切り上げ",ROUNDUP(ROUND($Y26*10/110,6),0),ROUND($Y26*10/110,0)))+$Z26-IF('設定'!$B$12="切り捨て",ROUNDDOWN(ROUND($Z26*8/108,6),0),IF('設定'!$B$12="切り上げ",ROUNDUP(ROUND($Z26*8/108,6),0),ROUND($Z26*8/108,0)))+$AA26),$Y26+$Z26+$AA26),IF('設定'!$B$11="税込",$Y26+$Z26+$AA26,($Y26+IF('設定'!$B$12="切り捨て",ROUNDDOWN(ROUND($Y26*10/100,6),0),IF('設定'!$B$12="切り上げ",ROUNDUP(ROUND($Y26*10/100,6),0),ROUND($Y26*10/100,0)))+$Z26+IF('設定'!$B$12="切り捨て",ROUNDDOWN(ROUND($Z26*8/100,6),0),IF('設定'!$B$12="切り上げ",ROUNDUP(ROUND($Z26*8/100,6),0),ROUND($Z26*8/100,0)))+$AA26))))))</f>
        <v/>
      </c>
      <c r="S26" s="26">
        <f>IF($B26="","",IF(N($R26)&lt;=0,0,IF($R26&lt;='設定'!$B$18,ROUNDDOWN(ROUND($R26*'設定'!$B$17,6),0),ROUNDDOWN(ROUND(($R26-'設定'!$B$18)*'設定'!$B$19,6),0)+'設定'!$B$20)))</f>
        <v/>
      </c>
      <c r="T26" s="26">
        <f>IF($B26="","",IF($X26="",0,IF(INDEX('支払先'!$K$5:$K$104,$X26)="差し引く",N(INDEX('支払先'!$L$5:$L$104,$X26)),0)))</f>
        <v/>
      </c>
      <c r="U26" s="26">
        <f>IF($B26="","",$Q26-$S26-$T26)</f>
        <v/>
      </c>
      <c r="V26" s="22">
        <f>IF($B26="","",MID(IF($C26="","／支払先コードが空",IF($X26="","／支払先にないコード",""))&amp;IF($K26=0,"／明細がない","")&amp;IF($AC26&gt;0,"／税率が空の明細 "&amp;$AC26&amp;"件（合計に入っていない）","")&amp;IF($X26="","",IF(INDEX('支払先'!$G$5:$G$104,$X26)="","／登録番号なし（仕入明細書にならない）",""))&amp;IF($AB26&gt;0,"／60日（2か月）を超える明細 "&amp;$AB26&amp;"件","")&amp;IF($X26="","",IF(AND(INDEX('支払先'!$K$5:$K$104,$X26)="差し引く",OR(INDEX('支払先'!$M$5:$M$104,$X26)&lt;&gt;"対象外",INDEX('支払先'!$N$5:$N$104,$X26)&lt;&gt;"対象外")),"／手数料を差し引けない取引か確かめる",""))&amp;IF(COUNTIF($B$5:$B$204,$B26)&gt;1,"／通知Noが重複","")&amp;IF(AND(ISNUMBER($D26),ISNUMBER($F26),$F26&lt;$D26),"／支払予定日が発行日より前",""),2,300))</f>
        <v/>
      </c>
      <c r="W26" s="67" t="n"/>
      <c r="X26" s="31">
        <f>IF(OR($B26="",$C26=""),"",IFERROR(MATCH($C26,'支払先'!$B$5:$B$104,0),""))</f>
        <v/>
      </c>
      <c r="Y26" s="31">
        <f>IF($B26="","",SUMIFS('支払明細'!$I$5:$I$1004,'支払明細'!$A$5:$A$1004,$B26,'支払明細'!$G$5:$G$1004,"10%（標準）",'支払明細'!$H$5:$H$1004,"&lt;&gt;対象外"))</f>
        <v/>
      </c>
      <c r="Z26" s="31">
        <f>IF($B26="","",SUMIFS('支払明細'!$I$5:$I$1004,'支払明細'!$A$5:$A$1004,$B26,'支払明細'!$G$5:$G$1004,"8%（軽減）",'支払明細'!$H$5:$H$1004,"&lt;&gt;対象外"))</f>
        <v/>
      </c>
      <c r="AA26" s="31">
        <f>IF($B26="","",SUMIFS('支払明細'!$I$5:$I$1004,'支払明細'!$A$5:$A$1004,$B26,'支払明細'!$G$5:$G$1004,"対象外",'支払明細'!$H$5:$H$1004,"&lt;&gt;対象外"))</f>
        <v/>
      </c>
      <c r="AB26" s="31">
        <f>IF($B26="","",COUNTIFS('支払明細'!$A$5:$A$1004,$B26,'支払明細'!$M$5:$M$1004,"超える"))</f>
        <v/>
      </c>
      <c r="AC26" s="31">
        <f>IF($B26="","",COUNTIFS('支払明細'!$A$5:$A$1004,$B26,'支払明細'!$G$5:$G$1004,""))</f>
        <v/>
      </c>
    </row>
    <row r="27" ht="18" customHeight="1">
      <c r="A27" s="17" t="n">
        <v>23</v>
      </c>
      <c r="B27" s="18" t="n"/>
      <c r="C27" s="18" t="n"/>
      <c r="D27" s="24" t="n"/>
      <c r="E27" s="19" t="n"/>
      <c r="F27" s="24" t="n"/>
      <c r="G27" s="28">
        <f>IF(AND($B27&lt;&gt;"",ISNUMBER($D27)),$D27+N('設定'!$B$13),"")</f>
        <v/>
      </c>
      <c r="H27" s="18" t="n"/>
      <c r="I27" s="19" t="n"/>
      <c r="J27" s="27">
        <f>IF($B27="","",IF($C27="","（支払先コードが空）",IF($X27="","※支払先にないコード",INDEX('支払先'!$C$5:$C$104,$X27)&amp;"")))</f>
        <v/>
      </c>
      <c r="K27" s="30">
        <f>IF($B27="","",COUNTIF('支払明細'!$A$5:$A$1004,$B27))</f>
        <v/>
      </c>
      <c r="L27" s="26">
        <f>IF($B27="","",SUMIFS('支払明細'!$I$5:$I$1004,'支払明細'!$A$5:$A$1004,$B27,'支払明細'!$G$5:$G$1004,"10%（標準）"))</f>
        <v/>
      </c>
      <c r="M27" s="26">
        <f>IF($B27="","",SUMIFS('支払明細'!$I$5:$I$1004,'支払明細'!$A$5:$A$1004,$B27,'支払明細'!$G$5:$G$1004,"8%（軽減）"))</f>
        <v/>
      </c>
      <c r="N27" s="26">
        <f>IF($B27="","",SUMIFS('支払明細'!$I$5:$I$1004,'支払明細'!$A$5:$A$1004,$B27,'支払明細'!$G$5:$G$1004,"対象外"))</f>
        <v/>
      </c>
      <c r="O27" s="26">
        <f>IF($B27="","",IF('設定'!$B$11="税込",IF('設定'!$B$12="切り捨て",ROUNDDOWN(ROUND($L27*10/110,6),0),IF('設定'!$B$12="切り上げ",ROUNDUP(ROUND($L27*10/110,6),0),ROUND($L27*10/110,0))),IF('設定'!$B$12="切り捨て",ROUNDDOWN(ROUND($L27*10/100,6),0),IF('設定'!$B$12="切り上げ",ROUNDUP(ROUND($L27*10/100,6),0),ROUND($L27*10/100,0)))))</f>
        <v/>
      </c>
      <c r="P27" s="26">
        <f>IF($B27="","",IF('設定'!$B$11="税込",IF('設定'!$B$12="切り捨て",ROUNDDOWN(ROUND($M27*8/108,6),0),IF('設定'!$B$12="切り上げ",ROUNDUP(ROUND($M27*8/108,6),0),ROUND($M27*8/108,0))),IF('設定'!$B$12="切り捨て",ROUNDDOWN(ROUND($M27*8/100,6),0),IF('設定'!$B$12="切り上げ",ROUNDUP(ROUND($M27*8/100,6),0),ROUND($M27*8/100,0)))))</f>
        <v/>
      </c>
      <c r="Q27" s="26">
        <f>IF($B27="","",IF('設定'!$B$11="税込",$L27+$M27+$N27,$L27+$O27+$M27+$P27+$N27))</f>
        <v/>
      </c>
      <c r="R27" s="26">
        <f>IF($B27="","",IF($X27="",0,IF(INDEX('支払先'!$I$5:$I$104,$X27)&lt;&gt;"する",0,IF(INDEX('支払先'!$J$5:$J$104,$X27)="税抜",IF('設定'!$B$11="税込",($Y27-IF('設定'!$B$12="切り捨て",ROUNDDOWN(ROUND($Y27*10/110,6),0),IF('設定'!$B$12="切り上げ",ROUNDUP(ROUND($Y27*10/110,6),0),ROUND($Y27*10/110,0)))+$Z27-IF('設定'!$B$12="切り捨て",ROUNDDOWN(ROUND($Z27*8/108,6),0),IF('設定'!$B$12="切り上げ",ROUNDUP(ROUND($Z27*8/108,6),0),ROUND($Z27*8/108,0)))+$AA27),$Y27+$Z27+$AA27),IF('設定'!$B$11="税込",$Y27+$Z27+$AA27,($Y27+IF('設定'!$B$12="切り捨て",ROUNDDOWN(ROUND($Y27*10/100,6),0),IF('設定'!$B$12="切り上げ",ROUNDUP(ROUND($Y27*10/100,6),0),ROUND($Y27*10/100,0)))+$Z27+IF('設定'!$B$12="切り捨て",ROUNDDOWN(ROUND($Z27*8/100,6),0),IF('設定'!$B$12="切り上げ",ROUNDUP(ROUND($Z27*8/100,6),0),ROUND($Z27*8/100,0)))+$AA27))))))</f>
        <v/>
      </c>
      <c r="S27" s="26">
        <f>IF($B27="","",IF(N($R27)&lt;=0,0,IF($R27&lt;='設定'!$B$18,ROUNDDOWN(ROUND($R27*'設定'!$B$17,6),0),ROUNDDOWN(ROUND(($R27-'設定'!$B$18)*'設定'!$B$19,6),0)+'設定'!$B$20)))</f>
        <v/>
      </c>
      <c r="T27" s="26">
        <f>IF($B27="","",IF($X27="",0,IF(INDEX('支払先'!$K$5:$K$104,$X27)="差し引く",N(INDEX('支払先'!$L$5:$L$104,$X27)),0)))</f>
        <v/>
      </c>
      <c r="U27" s="26">
        <f>IF($B27="","",$Q27-$S27-$T27)</f>
        <v/>
      </c>
      <c r="V27" s="22">
        <f>IF($B27="","",MID(IF($C27="","／支払先コードが空",IF($X27="","／支払先にないコード",""))&amp;IF($K27=0,"／明細がない","")&amp;IF($AC27&gt;0,"／税率が空の明細 "&amp;$AC27&amp;"件（合計に入っていない）","")&amp;IF($X27="","",IF(INDEX('支払先'!$G$5:$G$104,$X27)="","／登録番号なし（仕入明細書にならない）",""))&amp;IF($AB27&gt;0,"／60日（2か月）を超える明細 "&amp;$AB27&amp;"件","")&amp;IF($X27="","",IF(AND(INDEX('支払先'!$K$5:$K$104,$X27)="差し引く",OR(INDEX('支払先'!$M$5:$M$104,$X27)&lt;&gt;"対象外",INDEX('支払先'!$N$5:$N$104,$X27)&lt;&gt;"対象外")),"／手数料を差し引けない取引か確かめる",""))&amp;IF(COUNTIF($B$5:$B$204,$B27)&gt;1,"／通知Noが重複","")&amp;IF(AND(ISNUMBER($D27),ISNUMBER($F27),$F27&lt;$D27),"／支払予定日が発行日より前",""),2,300))</f>
        <v/>
      </c>
      <c r="W27" s="67" t="n"/>
      <c r="X27" s="31">
        <f>IF(OR($B27="",$C27=""),"",IFERROR(MATCH($C27,'支払先'!$B$5:$B$104,0),""))</f>
        <v/>
      </c>
      <c r="Y27" s="31">
        <f>IF($B27="","",SUMIFS('支払明細'!$I$5:$I$1004,'支払明細'!$A$5:$A$1004,$B27,'支払明細'!$G$5:$G$1004,"10%（標準）",'支払明細'!$H$5:$H$1004,"&lt;&gt;対象外"))</f>
        <v/>
      </c>
      <c r="Z27" s="31">
        <f>IF($B27="","",SUMIFS('支払明細'!$I$5:$I$1004,'支払明細'!$A$5:$A$1004,$B27,'支払明細'!$G$5:$G$1004,"8%（軽減）",'支払明細'!$H$5:$H$1004,"&lt;&gt;対象外"))</f>
        <v/>
      </c>
      <c r="AA27" s="31">
        <f>IF($B27="","",SUMIFS('支払明細'!$I$5:$I$1004,'支払明細'!$A$5:$A$1004,$B27,'支払明細'!$G$5:$G$1004,"対象外",'支払明細'!$H$5:$H$1004,"&lt;&gt;対象外"))</f>
        <v/>
      </c>
      <c r="AB27" s="31">
        <f>IF($B27="","",COUNTIFS('支払明細'!$A$5:$A$1004,$B27,'支払明細'!$M$5:$M$1004,"超える"))</f>
        <v/>
      </c>
      <c r="AC27" s="31">
        <f>IF($B27="","",COUNTIFS('支払明細'!$A$5:$A$1004,$B27,'支払明細'!$G$5:$G$1004,""))</f>
        <v/>
      </c>
    </row>
    <row r="28" ht="18" customHeight="1">
      <c r="A28" s="17" t="n">
        <v>24</v>
      </c>
      <c r="B28" s="18" t="n"/>
      <c r="C28" s="18" t="n"/>
      <c r="D28" s="24" t="n"/>
      <c r="E28" s="19" t="n"/>
      <c r="F28" s="24" t="n"/>
      <c r="G28" s="28">
        <f>IF(AND($B28&lt;&gt;"",ISNUMBER($D28)),$D28+N('設定'!$B$13),"")</f>
        <v/>
      </c>
      <c r="H28" s="18" t="n"/>
      <c r="I28" s="19" t="n"/>
      <c r="J28" s="27">
        <f>IF($B28="","",IF($C28="","（支払先コードが空）",IF($X28="","※支払先にないコード",INDEX('支払先'!$C$5:$C$104,$X28)&amp;"")))</f>
        <v/>
      </c>
      <c r="K28" s="30">
        <f>IF($B28="","",COUNTIF('支払明細'!$A$5:$A$1004,$B28))</f>
        <v/>
      </c>
      <c r="L28" s="26">
        <f>IF($B28="","",SUMIFS('支払明細'!$I$5:$I$1004,'支払明細'!$A$5:$A$1004,$B28,'支払明細'!$G$5:$G$1004,"10%（標準）"))</f>
        <v/>
      </c>
      <c r="M28" s="26">
        <f>IF($B28="","",SUMIFS('支払明細'!$I$5:$I$1004,'支払明細'!$A$5:$A$1004,$B28,'支払明細'!$G$5:$G$1004,"8%（軽減）"))</f>
        <v/>
      </c>
      <c r="N28" s="26">
        <f>IF($B28="","",SUMIFS('支払明細'!$I$5:$I$1004,'支払明細'!$A$5:$A$1004,$B28,'支払明細'!$G$5:$G$1004,"対象外"))</f>
        <v/>
      </c>
      <c r="O28" s="26">
        <f>IF($B28="","",IF('設定'!$B$11="税込",IF('設定'!$B$12="切り捨て",ROUNDDOWN(ROUND($L28*10/110,6),0),IF('設定'!$B$12="切り上げ",ROUNDUP(ROUND($L28*10/110,6),0),ROUND($L28*10/110,0))),IF('設定'!$B$12="切り捨て",ROUNDDOWN(ROUND($L28*10/100,6),0),IF('設定'!$B$12="切り上げ",ROUNDUP(ROUND($L28*10/100,6),0),ROUND($L28*10/100,0)))))</f>
        <v/>
      </c>
      <c r="P28" s="26">
        <f>IF($B28="","",IF('設定'!$B$11="税込",IF('設定'!$B$12="切り捨て",ROUNDDOWN(ROUND($M28*8/108,6),0),IF('設定'!$B$12="切り上げ",ROUNDUP(ROUND($M28*8/108,6),0),ROUND($M28*8/108,0))),IF('設定'!$B$12="切り捨て",ROUNDDOWN(ROUND($M28*8/100,6),0),IF('設定'!$B$12="切り上げ",ROUNDUP(ROUND($M28*8/100,6),0),ROUND($M28*8/100,0)))))</f>
        <v/>
      </c>
      <c r="Q28" s="26">
        <f>IF($B28="","",IF('設定'!$B$11="税込",$L28+$M28+$N28,$L28+$O28+$M28+$P28+$N28))</f>
        <v/>
      </c>
      <c r="R28" s="26">
        <f>IF($B28="","",IF($X28="",0,IF(INDEX('支払先'!$I$5:$I$104,$X28)&lt;&gt;"する",0,IF(INDEX('支払先'!$J$5:$J$104,$X28)="税抜",IF('設定'!$B$11="税込",($Y28-IF('設定'!$B$12="切り捨て",ROUNDDOWN(ROUND($Y28*10/110,6),0),IF('設定'!$B$12="切り上げ",ROUNDUP(ROUND($Y28*10/110,6),0),ROUND($Y28*10/110,0)))+$Z28-IF('設定'!$B$12="切り捨て",ROUNDDOWN(ROUND($Z28*8/108,6),0),IF('設定'!$B$12="切り上げ",ROUNDUP(ROUND($Z28*8/108,6),0),ROUND($Z28*8/108,0)))+$AA28),$Y28+$Z28+$AA28),IF('設定'!$B$11="税込",$Y28+$Z28+$AA28,($Y28+IF('設定'!$B$12="切り捨て",ROUNDDOWN(ROUND($Y28*10/100,6),0),IF('設定'!$B$12="切り上げ",ROUNDUP(ROUND($Y28*10/100,6),0),ROUND($Y28*10/100,0)))+$Z28+IF('設定'!$B$12="切り捨て",ROUNDDOWN(ROUND($Z28*8/100,6),0),IF('設定'!$B$12="切り上げ",ROUNDUP(ROUND($Z28*8/100,6),0),ROUND($Z28*8/100,0)))+$AA28))))))</f>
        <v/>
      </c>
      <c r="S28" s="26">
        <f>IF($B28="","",IF(N($R28)&lt;=0,0,IF($R28&lt;='設定'!$B$18,ROUNDDOWN(ROUND($R28*'設定'!$B$17,6),0),ROUNDDOWN(ROUND(($R28-'設定'!$B$18)*'設定'!$B$19,6),0)+'設定'!$B$20)))</f>
        <v/>
      </c>
      <c r="T28" s="26">
        <f>IF($B28="","",IF($X28="",0,IF(INDEX('支払先'!$K$5:$K$104,$X28)="差し引く",N(INDEX('支払先'!$L$5:$L$104,$X28)),0)))</f>
        <v/>
      </c>
      <c r="U28" s="26">
        <f>IF($B28="","",$Q28-$S28-$T28)</f>
        <v/>
      </c>
      <c r="V28" s="22">
        <f>IF($B28="","",MID(IF($C28="","／支払先コードが空",IF($X28="","／支払先にないコード",""))&amp;IF($K28=0,"／明細がない","")&amp;IF($AC28&gt;0,"／税率が空の明細 "&amp;$AC28&amp;"件（合計に入っていない）","")&amp;IF($X28="","",IF(INDEX('支払先'!$G$5:$G$104,$X28)="","／登録番号なし（仕入明細書にならない）",""))&amp;IF($AB28&gt;0,"／60日（2か月）を超える明細 "&amp;$AB28&amp;"件","")&amp;IF($X28="","",IF(AND(INDEX('支払先'!$K$5:$K$104,$X28)="差し引く",OR(INDEX('支払先'!$M$5:$M$104,$X28)&lt;&gt;"対象外",INDEX('支払先'!$N$5:$N$104,$X28)&lt;&gt;"対象外")),"／手数料を差し引けない取引か確かめる",""))&amp;IF(COUNTIF($B$5:$B$204,$B28)&gt;1,"／通知Noが重複","")&amp;IF(AND(ISNUMBER($D28),ISNUMBER($F28),$F28&lt;$D28),"／支払予定日が発行日より前",""),2,300))</f>
        <v/>
      </c>
      <c r="W28" s="67" t="n"/>
      <c r="X28" s="31">
        <f>IF(OR($B28="",$C28=""),"",IFERROR(MATCH($C28,'支払先'!$B$5:$B$104,0),""))</f>
        <v/>
      </c>
      <c r="Y28" s="31">
        <f>IF($B28="","",SUMIFS('支払明細'!$I$5:$I$1004,'支払明細'!$A$5:$A$1004,$B28,'支払明細'!$G$5:$G$1004,"10%（標準）",'支払明細'!$H$5:$H$1004,"&lt;&gt;対象外"))</f>
        <v/>
      </c>
      <c r="Z28" s="31">
        <f>IF($B28="","",SUMIFS('支払明細'!$I$5:$I$1004,'支払明細'!$A$5:$A$1004,$B28,'支払明細'!$G$5:$G$1004,"8%（軽減）",'支払明細'!$H$5:$H$1004,"&lt;&gt;対象外"))</f>
        <v/>
      </c>
      <c r="AA28" s="31">
        <f>IF($B28="","",SUMIFS('支払明細'!$I$5:$I$1004,'支払明細'!$A$5:$A$1004,$B28,'支払明細'!$G$5:$G$1004,"対象外",'支払明細'!$H$5:$H$1004,"&lt;&gt;対象外"))</f>
        <v/>
      </c>
      <c r="AB28" s="31">
        <f>IF($B28="","",COUNTIFS('支払明細'!$A$5:$A$1004,$B28,'支払明細'!$M$5:$M$1004,"超える"))</f>
        <v/>
      </c>
      <c r="AC28" s="31">
        <f>IF($B28="","",COUNTIFS('支払明細'!$A$5:$A$1004,$B28,'支払明細'!$G$5:$G$1004,""))</f>
        <v/>
      </c>
    </row>
    <row r="29" ht="18" customHeight="1">
      <c r="A29" s="17" t="n">
        <v>25</v>
      </c>
      <c r="B29" s="18" t="n"/>
      <c r="C29" s="18" t="n"/>
      <c r="D29" s="24" t="n"/>
      <c r="E29" s="19" t="n"/>
      <c r="F29" s="24" t="n"/>
      <c r="G29" s="28">
        <f>IF(AND($B29&lt;&gt;"",ISNUMBER($D29)),$D29+N('設定'!$B$13),"")</f>
        <v/>
      </c>
      <c r="H29" s="18" t="n"/>
      <c r="I29" s="19" t="n"/>
      <c r="J29" s="27">
        <f>IF($B29="","",IF($C29="","（支払先コードが空）",IF($X29="","※支払先にないコード",INDEX('支払先'!$C$5:$C$104,$X29)&amp;"")))</f>
        <v/>
      </c>
      <c r="K29" s="30">
        <f>IF($B29="","",COUNTIF('支払明細'!$A$5:$A$1004,$B29))</f>
        <v/>
      </c>
      <c r="L29" s="26">
        <f>IF($B29="","",SUMIFS('支払明細'!$I$5:$I$1004,'支払明細'!$A$5:$A$1004,$B29,'支払明細'!$G$5:$G$1004,"10%（標準）"))</f>
        <v/>
      </c>
      <c r="M29" s="26">
        <f>IF($B29="","",SUMIFS('支払明細'!$I$5:$I$1004,'支払明細'!$A$5:$A$1004,$B29,'支払明細'!$G$5:$G$1004,"8%（軽減）"))</f>
        <v/>
      </c>
      <c r="N29" s="26">
        <f>IF($B29="","",SUMIFS('支払明細'!$I$5:$I$1004,'支払明細'!$A$5:$A$1004,$B29,'支払明細'!$G$5:$G$1004,"対象外"))</f>
        <v/>
      </c>
      <c r="O29" s="26">
        <f>IF($B29="","",IF('設定'!$B$11="税込",IF('設定'!$B$12="切り捨て",ROUNDDOWN(ROUND($L29*10/110,6),0),IF('設定'!$B$12="切り上げ",ROUNDUP(ROUND($L29*10/110,6),0),ROUND($L29*10/110,0))),IF('設定'!$B$12="切り捨て",ROUNDDOWN(ROUND($L29*10/100,6),0),IF('設定'!$B$12="切り上げ",ROUNDUP(ROUND($L29*10/100,6),0),ROUND($L29*10/100,0)))))</f>
        <v/>
      </c>
      <c r="P29" s="26">
        <f>IF($B29="","",IF('設定'!$B$11="税込",IF('設定'!$B$12="切り捨て",ROUNDDOWN(ROUND($M29*8/108,6),0),IF('設定'!$B$12="切り上げ",ROUNDUP(ROUND($M29*8/108,6),0),ROUND($M29*8/108,0))),IF('設定'!$B$12="切り捨て",ROUNDDOWN(ROUND($M29*8/100,6),0),IF('設定'!$B$12="切り上げ",ROUNDUP(ROUND($M29*8/100,6),0),ROUND($M29*8/100,0)))))</f>
        <v/>
      </c>
      <c r="Q29" s="26">
        <f>IF($B29="","",IF('設定'!$B$11="税込",$L29+$M29+$N29,$L29+$O29+$M29+$P29+$N29))</f>
        <v/>
      </c>
      <c r="R29" s="26">
        <f>IF($B29="","",IF($X29="",0,IF(INDEX('支払先'!$I$5:$I$104,$X29)&lt;&gt;"する",0,IF(INDEX('支払先'!$J$5:$J$104,$X29)="税抜",IF('設定'!$B$11="税込",($Y29-IF('設定'!$B$12="切り捨て",ROUNDDOWN(ROUND($Y29*10/110,6),0),IF('設定'!$B$12="切り上げ",ROUNDUP(ROUND($Y29*10/110,6),0),ROUND($Y29*10/110,0)))+$Z29-IF('設定'!$B$12="切り捨て",ROUNDDOWN(ROUND($Z29*8/108,6),0),IF('設定'!$B$12="切り上げ",ROUNDUP(ROUND($Z29*8/108,6),0),ROUND($Z29*8/108,0)))+$AA29),$Y29+$Z29+$AA29),IF('設定'!$B$11="税込",$Y29+$Z29+$AA29,($Y29+IF('設定'!$B$12="切り捨て",ROUNDDOWN(ROUND($Y29*10/100,6),0),IF('設定'!$B$12="切り上げ",ROUNDUP(ROUND($Y29*10/100,6),0),ROUND($Y29*10/100,0)))+$Z29+IF('設定'!$B$12="切り捨て",ROUNDDOWN(ROUND($Z29*8/100,6),0),IF('設定'!$B$12="切り上げ",ROUNDUP(ROUND($Z29*8/100,6),0),ROUND($Z29*8/100,0)))+$AA29))))))</f>
        <v/>
      </c>
      <c r="S29" s="26">
        <f>IF($B29="","",IF(N($R29)&lt;=0,0,IF($R29&lt;='設定'!$B$18,ROUNDDOWN(ROUND($R29*'設定'!$B$17,6),0),ROUNDDOWN(ROUND(($R29-'設定'!$B$18)*'設定'!$B$19,6),0)+'設定'!$B$20)))</f>
        <v/>
      </c>
      <c r="T29" s="26">
        <f>IF($B29="","",IF($X29="",0,IF(INDEX('支払先'!$K$5:$K$104,$X29)="差し引く",N(INDEX('支払先'!$L$5:$L$104,$X29)),0)))</f>
        <v/>
      </c>
      <c r="U29" s="26">
        <f>IF($B29="","",$Q29-$S29-$T29)</f>
        <v/>
      </c>
      <c r="V29" s="22">
        <f>IF($B29="","",MID(IF($C29="","／支払先コードが空",IF($X29="","／支払先にないコード",""))&amp;IF($K29=0,"／明細がない","")&amp;IF($AC29&gt;0,"／税率が空の明細 "&amp;$AC29&amp;"件（合計に入っていない）","")&amp;IF($X29="","",IF(INDEX('支払先'!$G$5:$G$104,$X29)="","／登録番号なし（仕入明細書にならない）",""))&amp;IF($AB29&gt;0,"／60日（2か月）を超える明細 "&amp;$AB29&amp;"件","")&amp;IF($X29="","",IF(AND(INDEX('支払先'!$K$5:$K$104,$X29)="差し引く",OR(INDEX('支払先'!$M$5:$M$104,$X29)&lt;&gt;"対象外",INDEX('支払先'!$N$5:$N$104,$X29)&lt;&gt;"対象外")),"／手数料を差し引けない取引か確かめる",""))&amp;IF(COUNTIF($B$5:$B$204,$B29)&gt;1,"／通知Noが重複","")&amp;IF(AND(ISNUMBER($D29),ISNUMBER($F29),$F29&lt;$D29),"／支払予定日が発行日より前",""),2,300))</f>
        <v/>
      </c>
      <c r="W29" s="67" t="n"/>
      <c r="X29" s="31">
        <f>IF(OR($B29="",$C29=""),"",IFERROR(MATCH($C29,'支払先'!$B$5:$B$104,0),""))</f>
        <v/>
      </c>
      <c r="Y29" s="31">
        <f>IF($B29="","",SUMIFS('支払明細'!$I$5:$I$1004,'支払明細'!$A$5:$A$1004,$B29,'支払明細'!$G$5:$G$1004,"10%（標準）",'支払明細'!$H$5:$H$1004,"&lt;&gt;対象外"))</f>
        <v/>
      </c>
      <c r="Z29" s="31">
        <f>IF($B29="","",SUMIFS('支払明細'!$I$5:$I$1004,'支払明細'!$A$5:$A$1004,$B29,'支払明細'!$G$5:$G$1004,"8%（軽減）",'支払明細'!$H$5:$H$1004,"&lt;&gt;対象外"))</f>
        <v/>
      </c>
      <c r="AA29" s="31">
        <f>IF($B29="","",SUMIFS('支払明細'!$I$5:$I$1004,'支払明細'!$A$5:$A$1004,$B29,'支払明細'!$G$5:$G$1004,"対象外",'支払明細'!$H$5:$H$1004,"&lt;&gt;対象外"))</f>
        <v/>
      </c>
      <c r="AB29" s="31">
        <f>IF($B29="","",COUNTIFS('支払明細'!$A$5:$A$1004,$B29,'支払明細'!$M$5:$M$1004,"超える"))</f>
        <v/>
      </c>
      <c r="AC29" s="31">
        <f>IF($B29="","",COUNTIFS('支払明細'!$A$5:$A$1004,$B29,'支払明細'!$G$5:$G$1004,""))</f>
        <v/>
      </c>
    </row>
    <row r="30" ht="18" customHeight="1">
      <c r="A30" s="17" t="n">
        <v>26</v>
      </c>
      <c r="B30" s="18" t="n"/>
      <c r="C30" s="18" t="n"/>
      <c r="D30" s="24" t="n"/>
      <c r="E30" s="19" t="n"/>
      <c r="F30" s="24" t="n"/>
      <c r="G30" s="28">
        <f>IF(AND($B30&lt;&gt;"",ISNUMBER($D30)),$D30+N('設定'!$B$13),"")</f>
        <v/>
      </c>
      <c r="H30" s="18" t="n"/>
      <c r="I30" s="19" t="n"/>
      <c r="J30" s="27">
        <f>IF($B30="","",IF($C30="","（支払先コードが空）",IF($X30="","※支払先にないコード",INDEX('支払先'!$C$5:$C$104,$X30)&amp;"")))</f>
        <v/>
      </c>
      <c r="K30" s="30">
        <f>IF($B30="","",COUNTIF('支払明細'!$A$5:$A$1004,$B30))</f>
        <v/>
      </c>
      <c r="L30" s="26">
        <f>IF($B30="","",SUMIFS('支払明細'!$I$5:$I$1004,'支払明細'!$A$5:$A$1004,$B30,'支払明細'!$G$5:$G$1004,"10%（標準）"))</f>
        <v/>
      </c>
      <c r="M30" s="26">
        <f>IF($B30="","",SUMIFS('支払明細'!$I$5:$I$1004,'支払明細'!$A$5:$A$1004,$B30,'支払明細'!$G$5:$G$1004,"8%（軽減）"))</f>
        <v/>
      </c>
      <c r="N30" s="26">
        <f>IF($B30="","",SUMIFS('支払明細'!$I$5:$I$1004,'支払明細'!$A$5:$A$1004,$B30,'支払明細'!$G$5:$G$1004,"対象外"))</f>
        <v/>
      </c>
      <c r="O30" s="26">
        <f>IF($B30="","",IF('設定'!$B$11="税込",IF('設定'!$B$12="切り捨て",ROUNDDOWN(ROUND($L30*10/110,6),0),IF('設定'!$B$12="切り上げ",ROUNDUP(ROUND($L30*10/110,6),0),ROUND($L30*10/110,0))),IF('設定'!$B$12="切り捨て",ROUNDDOWN(ROUND($L30*10/100,6),0),IF('設定'!$B$12="切り上げ",ROUNDUP(ROUND($L30*10/100,6),0),ROUND($L30*10/100,0)))))</f>
        <v/>
      </c>
      <c r="P30" s="26">
        <f>IF($B30="","",IF('設定'!$B$11="税込",IF('設定'!$B$12="切り捨て",ROUNDDOWN(ROUND($M30*8/108,6),0),IF('設定'!$B$12="切り上げ",ROUNDUP(ROUND($M30*8/108,6),0),ROUND($M30*8/108,0))),IF('設定'!$B$12="切り捨て",ROUNDDOWN(ROUND($M30*8/100,6),0),IF('設定'!$B$12="切り上げ",ROUNDUP(ROUND($M30*8/100,6),0),ROUND($M30*8/100,0)))))</f>
        <v/>
      </c>
      <c r="Q30" s="26">
        <f>IF($B30="","",IF('設定'!$B$11="税込",$L30+$M30+$N30,$L30+$O30+$M30+$P30+$N30))</f>
        <v/>
      </c>
      <c r="R30" s="26">
        <f>IF($B30="","",IF($X30="",0,IF(INDEX('支払先'!$I$5:$I$104,$X30)&lt;&gt;"する",0,IF(INDEX('支払先'!$J$5:$J$104,$X30)="税抜",IF('設定'!$B$11="税込",($Y30-IF('設定'!$B$12="切り捨て",ROUNDDOWN(ROUND($Y30*10/110,6),0),IF('設定'!$B$12="切り上げ",ROUNDUP(ROUND($Y30*10/110,6),0),ROUND($Y30*10/110,0)))+$Z30-IF('設定'!$B$12="切り捨て",ROUNDDOWN(ROUND($Z30*8/108,6),0),IF('設定'!$B$12="切り上げ",ROUNDUP(ROUND($Z30*8/108,6),0),ROUND($Z30*8/108,0)))+$AA30),$Y30+$Z30+$AA30),IF('設定'!$B$11="税込",$Y30+$Z30+$AA30,($Y30+IF('設定'!$B$12="切り捨て",ROUNDDOWN(ROUND($Y30*10/100,6),0),IF('設定'!$B$12="切り上げ",ROUNDUP(ROUND($Y30*10/100,6),0),ROUND($Y30*10/100,0)))+$Z30+IF('設定'!$B$12="切り捨て",ROUNDDOWN(ROUND($Z30*8/100,6),0),IF('設定'!$B$12="切り上げ",ROUNDUP(ROUND($Z30*8/100,6),0),ROUND($Z30*8/100,0)))+$AA30))))))</f>
        <v/>
      </c>
      <c r="S30" s="26">
        <f>IF($B30="","",IF(N($R30)&lt;=0,0,IF($R30&lt;='設定'!$B$18,ROUNDDOWN(ROUND($R30*'設定'!$B$17,6),0),ROUNDDOWN(ROUND(($R30-'設定'!$B$18)*'設定'!$B$19,6),0)+'設定'!$B$20)))</f>
        <v/>
      </c>
      <c r="T30" s="26">
        <f>IF($B30="","",IF($X30="",0,IF(INDEX('支払先'!$K$5:$K$104,$X30)="差し引く",N(INDEX('支払先'!$L$5:$L$104,$X30)),0)))</f>
        <v/>
      </c>
      <c r="U30" s="26">
        <f>IF($B30="","",$Q30-$S30-$T30)</f>
        <v/>
      </c>
      <c r="V30" s="22">
        <f>IF($B30="","",MID(IF($C30="","／支払先コードが空",IF($X30="","／支払先にないコード",""))&amp;IF($K30=0,"／明細がない","")&amp;IF($AC30&gt;0,"／税率が空の明細 "&amp;$AC30&amp;"件（合計に入っていない）","")&amp;IF($X30="","",IF(INDEX('支払先'!$G$5:$G$104,$X30)="","／登録番号なし（仕入明細書にならない）",""))&amp;IF($AB30&gt;0,"／60日（2か月）を超える明細 "&amp;$AB30&amp;"件","")&amp;IF($X30="","",IF(AND(INDEX('支払先'!$K$5:$K$104,$X30)="差し引く",OR(INDEX('支払先'!$M$5:$M$104,$X30)&lt;&gt;"対象外",INDEX('支払先'!$N$5:$N$104,$X30)&lt;&gt;"対象外")),"／手数料を差し引けない取引か確かめる",""))&amp;IF(COUNTIF($B$5:$B$204,$B30)&gt;1,"／通知Noが重複","")&amp;IF(AND(ISNUMBER($D30),ISNUMBER($F30),$F30&lt;$D30),"／支払予定日が発行日より前",""),2,300))</f>
        <v/>
      </c>
      <c r="W30" s="67" t="n"/>
      <c r="X30" s="31">
        <f>IF(OR($B30="",$C30=""),"",IFERROR(MATCH($C30,'支払先'!$B$5:$B$104,0),""))</f>
        <v/>
      </c>
      <c r="Y30" s="31">
        <f>IF($B30="","",SUMIFS('支払明細'!$I$5:$I$1004,'支払明細'!$A$5:$A$1004,$B30,'支払明細'!$G$5:$G$1004,"10%（標準）",'支払明細'!$H$5:$H$1004,"&lt;&gt;対象外"))</f>
        <v/>
      </c>
      <c r="Z30" s="31">
        <f>IF($B30="","",SUMIFS('支払明細'!$I$5:$I$1004,'支払明細'!$A$5:$A$1004,$B30,'支払明細'!$G$5:$G$1004,"8%（軽減）",'支払明細'!$H$5:$H$1004,"&lt;&gt;対象外"))</f>
        <v/>
      </c>
      <c r="AA30" s="31">
        <f>IF($B30="","",SUMIFS('支払明細'!$I$5:$I$1004,'支払明細'!$A$5:$A$1004,$B30,'支払明細'!$G$5:$G$1004,"対象外",'支払明細'!$H$5:$H$1004,"&lt;&gt;対象外"))</f>
        <v/>
      </c>
      <c r="AB30" s="31">
        <f>IF($B30="","",COUNTIFS('支払明細'!$A$5:$A$1004,$B30,'支払明細'!$M$5:$M$1004,"超える"))</f>
        <v/>
      </c>
      <c r="AC30" s="31">
        <f>IF($B30="","",COUNTIFS('支払明細'!$A$5:$A$1004,$B30,'支払明細'!$G$5:$G$1004,""))</f>
        <v/>
      </c>
    </row>
    <row r="31" ht="18" customHeight="1">
      <c r="A31" s="17" t="n">
        <v>27</v>
      </c>
      <c r="B31" s="18" t="n"/>
      <c r="C31" s="18" t="n"/>
      <c r="D31" s="24" t="n"/>
      <c r="E31" s="19" t="n"/>
      <c r="F31" s="24" t="n"/>
      <c r="G31" s="28">
        <f>IF(AND($B31&lt;&gt;"",ISNUMBER($D31)),$D31+N('設定'!$B$13),"")</f>
        <v/>
      </c>
      <c r="H31" s="18" t="n"/>
      <c r="I31" s="19" t="n"/>
      <c r="J31" s="27">
        <f>IF($B31="","",IF($C31="","（支払先コードが空）",IF($X31="","※支払先にないコード",INDEX('支払先'!$C$5:$C$104,$X31)&amp;"")))</f>
        <v/>
      </c>
      <c r="K31" s="30">
        <f>IF($B31="","",COUNTIF('支払明細'!$A$5:$A$1004,$B31))</f>
        <v/>
      </c>
      <c r="L31" s="26">
        <f>IF($B31="","",SUMIFS('支払明細'!$I$5:$I$1004,'支払明細'!$A$5:$A$1004,$B31,'支払明細'!$G$5:$G$1004,"10%（標準）"))</f>
        <v/>
      </c>
      <c r="M31" s="26">
        <f>IF($B31="","",SUMIFS('支払明細'!$I$5:$I$1004,'支払明細'!$A$5:$A$1004,$B31,'支払明細'!$G$5:$G$1004,"8%（軽減）"))</f>
        <v/>
      </c>
      <c r="N31" s="26">
        <f>IF($B31="","",SUMIFS('支払明細'!$I$5:$I$1004,'支払明細'!$A$5:$A$1004,$B31,'支払明細'!$G$5:$G$1004,"対象外"))</f>
        <v/>
      </c>
      <c r="O31" s="26">
        <f>IF($B31="","",IF('設定'!$B$11="税込",IF('設定'!$B$12="切り捨て",ROUNDDOWN(ROUND($L31*10/110,6),0),IF('設定'!$B$12="切り上げ",ROUNDUP(ROUND($L31*10/110,6),0),ROUND($L31*10/110,0))),IF('設定'!$B$12="切り捨て",ROUNDDOWN(ROUND($L31*10/100,6),0),IF('設定'!$B$12="切り上げ",ROUNDUP(ROUND($L31*10/100,6),0),ROUND($L31*10/100,0)))))</f>
        <v/>
      </c>
      <c r="P31" s="26">
        <f>IF($B31="","",IF('設定'!$B$11="税込",IF('設定'!$B$12="切り捨て",ROUNDDOWN(ROUND($M31*8/108,6),0),IF('設定'!$B$12="切り上げ",ROUNDUP(ROUND($M31*8/108,6),0),ROUND($M31*8/108,0))),IF('設定'!$B$12="切り捨て",ROUNDDOWN(ROUND($M31*8/100,6),0),IF('設定'!$B$12="切り上げ",ROUNDUP(ROUND($M31*8/100,6),0),ROUND($M31*8/100,0)))))</f>
        <v/>
      </c>
      <c r="Q31" s="26">
        <f>IF($B31="","",IF('設定'!$B$11="税込",$L31+$M31+$N31,$L31+$O31+$M31+$P31+$N31))</f>
        <v/>
      </c>
      <c r="R31" s="26">
        <f>IF($B31="","",IF($X31="",0,IF(INDEX('支払先'!$I$5:$I$104,$X31)&lt;&gt;"する",0,IF(INDEX('支払先'!$J$5:$J$104,$X31)="税抜",IF('設定'!$B$11="税込",($Y31-IF('設定'!$B$12="切り捨て",ROUNDDOWN(ROUND($Y31*10/110,6),0),IF('設定'!$B$12="切り上げ",ROUNDUP(ROUND($Y31*10/110,6),0),ROUND($Y31*10/110,0)))+$Z31-IF('設定'!$B$12="切り捨て",ROUNDDOWN(ROUND($Z31*8/108,6),0),IF('設定'!$B$12="切り上げ",ROUNDUP(ROUND($Z31*8/108,6),0),ROUND($Z31*8/108,0)))+$AA31),$Y31+$Z31+$AA31),IF('設定'!$B$11="税込",$Y31+$Z31+$AA31,($Y31+IF('設定'!$B$12="切り捨て",ROUNDDOWN(ROUND($Y31*10/100,6),0),IF('設定'!$B$12="切り上げ",ROUNDUP(ROUND($Y31*10/100,6),0),ROUND($Y31*10/100,0)))+$Z31+IF('設定'!$B$12="切り捨て",ROUNDDOWN(ROUND($Z31*8/100,6),0),IF('設定'!$B$12="切り上げ",ROUNDUP(ROUND($Z31*8/100,6),0),ROUND($Z31*8/100,0)))+$AA31))))))</f>
        <v/>
      </c>
      <c r="S31" s="26">
        <f>IF($B31="","",IF(N($R31)&lt;=0,0,IF($R31&lt;='設定'!$B$18,ROUNDDOWN(ROUND($R31*'設定'!$B$17,6),0),ROUNDDOWN(ROUND(($R31-'設定'!$B$18)*'設定'!$B$19,6),0)+'設定'!$B$20)))</f>
        <v/>
      </c>
      <c r="T31" s="26">
        <f>IF($B31="","",IF($X31="",0,IF(INDEX('支払先'!$K$5:$K$104,$X31)="差し引く",N(INDEX('支払先'!$L$5:$L$104,$X31)),0)))</f>
        <v/>
      </c>
      <c r="U31" s="26">
        <f>IF($B31="","",$Q31-$S31-$T31)</f>
        <v/>
      </c>
      <c r="V31" s="22">
        <f>IF($B31="","",MID(IF($C31="","／支払先コードが空",IF($X31="","／支払先にないコード",""))&amp;IF($K31=0,"／明細がない","")&amp;IF($AC31&gt;0,"／税率が空の明細 "&amp;$AC31&amp;"件（合計に入っていない）","")&amp;IF($X31="","",IF(INDEX('支払先'!$G$5:$G$104,$X31)="","／登録番号なし（仕入明細書にならない）",""))&amp;IF($AB31&gt;0,"／60日（2か月）を超える明細 "&amp;$AB31&amp;"件","")&amp;IF($X31="","",IF(AND(INDEX('支払先'!$K$5:$K$104,$X31)="差し引く",OR(INDEX('支払先'!$M$5:$M$104,$X31)&lt;&gt;"対象外",INDEX('支払先'!$N$5:$N$104,$X31)&lt;&gt;"対象外")),"／手数料を差し引けない取引か確かめる",""))&amp;IF(COUNTIF($B$5:$B$204,$B31)&gt;1,"／通知Noが重複","")&amp;IF(AND(ISNUMBER($D31),ISNUMBER($F31),$F31&lt;$D31),"／支払予定日が発行日より前",""),2,300))</f>
        <v/>
      </c>
      <c r="W31" s="67" t="n"/>
      <c r="X31" s="31">
        <f>IF(OR($B31="",$C31=""),"",IFERROR(MATCH($C31,'支払先'!$B$5:$B$104,0),""))</f>
        <v/>
      </c>
      <c r="Y31" s="31">
        <f>IF($B31="","",SUMIFS('支払明細'!$I$5:$I$1004,'支払明細'!$A$5:$A$1004,$B31,'支払明細'!$G$5:$G$1004,"10%（標準）",'支払明細'!$H$5:$H$1004,"&lt;&gt;対象外"))</f>
        <v/>
      </c>
      <c r="Z31" s="31">
        <f>IF($B31="","",SUMIFS('支払明細'!$I$5:$I$1004,'支払明細'!$A$5:$A$1004,$B31,'支払明細'!$G$5:$G$1004,"8%（軽減）",'支払明細'!$H$5:$H$1004,"&lt;&gt;対象外"))</f>
        <v/>
      </c>
      <c r="AA31" s="31">
        <f>IF($B31="","",SUMIFS('支払明細'!$I$5:$I$1004,'支払明細'!$A$5:$A$1004,$B31,'支払明細'!$G$5:$G$1004,"対象外",'支払明細'!$H$5:$H$1004,"&lt;&gt;対象外"))</f>
        <v/>
      </c>
      <c r="AB31" s="31">
        <f>IF($B31="","",COUNTIFS('支払明細'!$A$5:$A$1004,$B31,'支払明細'!$M$5:$M$1004,"超える"))</f>
        <v/>
      </c>
      <c r="AC31" s="31">
        <f>IF($B31="","",COUNTIFS('支払明細'!$A$5:$A$1004,$B31,'支払明細'!$G$5:$G$1004,""))</f>
        <v/>
      </c>
    </row>
    <row r="32" ht="18" customHeight="1">
      <c r="A32" s="17" t="n">
        <v>28</v>
      </c>
      <c r="B32" s="18" t="n"/>
      <c r="C32" s="18" t="n"/>
      <c r="D32" s="24" t="n"/>
      <c r="E32" s="19" t="n"/>
      <c r="F32" s="24" t="n"/>
      <c r="G32" s="28">
        <f>IF(AND($B32&lt;&gt;"",ISNUMBER($D32)),$D32+N('設定'!$B$13),"")</f>
        <v/>
      </c>
      <c r="H32" s="18" t="n"/>
      <c r="I32" s="19" t="n"/>
      <c r="J32" s="27">
        <f>IF($B32="","",IF($C32="","（支払先コードが空）",IF($X32="","※支払先にないコード",INDEX('支払先'!$C$5:$C$104,$X32)&amp;"")))</f>
        <v/>
      </c>
      <c r="K32" s="30">
        <f>IF($B32="","",COUNTIF('支払明細'!$A$5:$A$1004,$B32))</f>
        <v/>
      </c>
      <c r="L32" s="26">
        <f>IF($B32="","",SUMIFS('支払明細'!$I$5:$I$1004,'支払明細'!$A$5:$A$1004,$B32,'支払明細'!$G$5:$G$1004,"10%（標準）"))</f>
        <v/>
      </c>
      <c r="M32" s="26">
        <f>IF($B32="","",SUMIFS('支払明細'!$I$5:$I$1004,'支払明細'!$A$5:$A$1004,$B32,'支払明細'!$G$5:$G$1004,"8%（軽減）"))</f>
        <v/>
      </c>
      <c r="N32" s="26">
        <f>IF($B32="","",SUMIFS('支払明細'!$I$5:$I$1004,'支払明細'!$A$5:$A$1004,$B32,'支払明細'!$G$5:$G$1004,"対象外"))</f>
        <v/>
      </c>
      <c r="O32" s="26">
        <f>IF($B32="","",IF('設定'!$B$11="税込",IF('設定'!$B$12="切り捨て",ROUNDDOWN(ROUND($L32*10/110,6),0),IF('設定'!$B$12="切り上げ",ROUNDUP(ROUND($L32*10/110,6),0),ROUND($L32*10/110,0))),IF('設定'!$B$12="切り捨て",ROUNDDOWN(ROUND($L32*10/100,6),0),IF('設定'!$B$12="切り上げ",ROUNDUP(ROUND($L32*10/100,6),0),ROUND($L32*10/100,0)))))</f>
        <v/>
      </c>
      <c r="P32" s="26">
        <f>IF($B32="","",IF('設定'!$B$11="税込",IF('設定'!$B$12="切り捨て",ROUNDDOWN(ROUND($M32*8/108,6),0),IF('設定'!$B$12="切り上げ",ROUNDUP(ROUND($M32*8/108,6),0),ROUND($M32*8/108,0))),IF('設定'!$B$12="切り捨て",ROUNDDOWN(ROUND($M32*8/100,6),0),IF('設定'!$B$12="切り上げ",ROUNDUP(ROUND($M32*8/100,6),0),ROUND($M32*8/100,0)))))</f>
        <v/>
      </c>
      <c r="Q32" s="26">
        <f>IF($B32="","",IF('設定'!$B$11="税込",$L32+$M32+$N32,$L32+$O32+$M32+$P32+$N32))</f>
        <v/>
      </c>
      <c r="R32" s="26">
        <f>IF($B32="","",IF($X32="",0,IF(INDEX('支払先'!$I$5:$I$104,$X32)&lt;&gt;"する",0,IF(INDEX('支払先'!$J$5:$J$104,$X32)="税抜",IF('設定'!$B$11="税込",($Y32-IF('設定'!$B$12="切り捨て",ROUNDDOWN(ROUND($Y32*10/110,6),0),IF('設定'!$B$12="切り上げ",ROUNDUP(ROUND($Y32*10/110,6),0),ROUND($Y32*10/110,0)))+$Z32-IF('設定'!$B$12="切り捨て",ROUNDDOWN(ROUND($Z32*8/108,6),0),IF('設定'!$B$12="切り上げ",ROUNDUP(ROUND($Z32*8/108,6),0),ROUND($Z32*8/108,0)))+$AA32),$Y32+$Z32+$AA32),IF('設定'!$B$11="税込",$Y32+$Z32+$AA32,($Y32+IF('設定'!$B$12="切り捨て",ROUNDDOWN(ROUND($Y32*10/100,6),0),IF('設定'!$B$12="切り上げ",ROUNDUP(ROUND($Y32*10/100,6),0),ROUND($Y32*10/100,0)))+$Z32+IF('設定'!$B$12="切り捨て",ROUNDDOWN(ROUND($Z32*8/100,6),0),IF('設定'!$B$12="切り上げ",ROUNDUP(ROUND($Z32*8/100,6),0),ROUND($Z32*8/100,0)))+$AA32))))))</f>
        <v/>
      </c>
      <c r="S32" s="26">
        <f>IF($B32="","",IF(N($R32)&lt;=0,0,IF($R32&lt;='設定'!$B$18,ROUNDDOWN(ROUND($R32*'設定'!$B$17,6),0),ROUNDDOWN(ROUND(($R32-'設定'!$B$18)*'設定'!$B$19,6),0)+'設定'!$B$20)))</f>
        <v/>
      </c>
      <c r="T32" s="26">
        <f>IF($B32="","",IF($X32="",0,IF(INDEX('支払先'!$K$5:$K$104,$X32)="差し引く",N(INDEX('支払先'!$L$5:$L$104,$X32)),0)))</f>
        <v/>
      </c>
      <c r="U32" s="26">
        <f>IF($B32="","",$Q32-$S32-$T32)</f>
        <v/>
      </c>
      <c r="V32" s="22">
        <f>IF($B32="","",MID(IF($C32="","／支払先コードが空",IF($X32="","／支払先にないコード",""))&amp;IF($K32=0,"／明細がない","")&amp;IF($AC32&gt;0,"／税率が空の明細 "&amp;$AC32&amp;"件（合計に入っていない）","")&amp;IF($X32="","",IF(INDEX('支払先'!$G$5:$G$104,$X32)="","／登録番号なし（仕入明細書にならない）",""))&amp;IF($AB32&gt;0,"／60日（2か月）を超える明細 "&amp;$AB32&amp;"件","")&amp;IF($X32="","",IF(AND(INDEX('支払先'!$K$5:$K$104,$X32)="差し引く",OR(INDEX('支払先'!$M$5:$M$104,$X32)&lt;&gt;"対象外",INDEX('支払先'!$N$5:$N$104,$X32)&lt;&gt;"対象外")),"／手数料を差し引けない取引か確かめる",""))&amp;IF(COUNTIF($B$5:$B$204,$B32)&gt;1,"／通知Noが重複","")&amp;IF(AND(ISNUMBER($D32),ISNUMBER($F32),$F32&lt;$D32),"／支払予定日が発行日より前",""),2,300))</f>
        <v/>
      </c>
      <c r="W32" s="67" t="n"/>
      <c r="X32" s="31">
        <f>IF(OR($B32="",$C32=""),"",IFERROR(MATCH($C32,'支払先'!$B$5:$B$104,0),""))</f>
        <v/>
      </c>
      <c r="Y32" s="31">
        <f>IF($B32="","",SUMIFS('支払明細'!$I$5:$I$1004,'支払明細'!$A$5:$A$1004,$B32,'支払明細'!$G$5:$G$1004,"10%（標準）",'支払明細'!$H$5:$H$1004,"&lt;&gt;対象外"))</f>
        <v/>
      </c>
      <c r="Z32" s="31">
        <f>IF($B32="","",SUMIFS('支払明細'!$I$5:$I$1004,'支払明細'!$A$5:$A$1004,$B32,'支払明細'!$G$5:$G$1004,"8%（軽減）",'支払明細'!$H$5:$H$1004,"&lt;&gt;対象外"))</f>
        <v/>
      </c>
      <c r="AA32" s="31">
        <f>IF($B32="","",SUMIFS('支払明細'!$I$5:$I$1004,'支払明細'!$A$5:$A$1004,$B32,'支払明細'!$G$5:$G$1004,"対象外",'支払明細'!$H$5:$H$1004,"&lt;&gt;対象外"))</f>
        <v/>
      </c>
      <c r="AB32" s="31">
        <f>IF($B32="","",COUNTIFS('支払明細'!$A$5:$A$1004,$B32,'支払明細'!$M$5:$M$1004,"超える"))</f>
        <v/>
      </c>
      <c r="AC32" s="31">
        <f>IF($B32="","",COUNTIFS('支払明細'!$A$5:$A$1004,$B32,'支払明細'!$G$5:$G$1004,""))</f>
        <v/>
      </c>
    </row>
    <row r="33" ht="18" customHeight="1">
      <c r="A33" s="17" t="n">
        <v>29</v>
      </c>
      <c r="B33" s="18" t="n"/>
      <c r="C33" s="18" t="n"/>
      <c r="D33" s="24" t="n"/>
      <c r="E33" s="19" t="n"/>
      <c r="F33" s="24" t="n"/>
      <c r="G33" s="28">
        <f>IF(AND($B33&lt;&gt;"",ISNUMBER($D33)),$D33+N('設定'!$B$13),"")</f>
        <v/>
      </c>
      <c r="H33" s="18" t="n"/>
      <c r="I33" s="19" t="n"/>
      <c r="J33" s="27">
        <f>IF($B33="","",IF($C33="","（支払先コードが空）",IF($X33="","※支払先にないコード",INDEX('支払先'!$C$5:$C$104,$X33)&amp;"")))</f>
        <v/>
      </c>
      <c r="K33" s="30">
        <f>IF($B33="","",COUNTIF('支払明細'!$A$5:$A$1004,$B33))</f>
        <v/>
      </c>
      <c r="L33" s="26">
        <f>IF($B33="","",SUMIFS('支払明細'!$I$5:$I$1004,'支払明細'!$A$5:$A$1004,$B33,'支払明細'!$G$5:$G$1004,"10%（標準）"))</f>
        <v/>
      </c>
      <c r="M33" s="26">
        <f>IF($B33="","",SUMIFS('支払明細'!$I$5:$I$1004,'支払明細'!$A$5:$A$1004,$B33,'支払明細'!$G$5:$G$1004,"8%（軽減）"))</f>
        <v/>
      </c>
      <c r="N33" s="26">
        <f>IF($B33="","",SUMIFS('支払明細'!$I$5:$I$1004,'支払明細'!$A$5:$A$1004,$B33,'支払明細'!$G$5:$G$1004,"対象外"))</f>
        <v/>
      </c>
      <c r="O33" s="26">
        <f>IF($B33="","",IF('設定'!$B$11="税込",IF('設定'!$B$12="切り捨て",ROUNDDOWN(ROUND($L33*10/110,6),0),IF('設定'!$B$12="切り上げ",ROUNDUP(ROUND($L33*10/110,6),0),ROUND($L33*10/110,0))),IF('設定'!$B$12="切り捨て",ROUNDDOWN(ROUND($L33*10/100,6),0),IF('設定'!$B$12="切り上げ",ROUNDUP(ROUND($L33*10/100,6),0),ROUND($L33*10/100,0)))))</f>
        <v/>
      </c>
      <c r="P33" s="26">
        <f>IF($B33="","",IF('設定'!$B$11="税込",IF('設定'!$B$12="切り捨て",ROUNDDOWN(ROUND($M33*8/108,6),0),IF('設定'!$B$12="切り上げ",ROUNDUP(ROUND($M33*8/108,6),0),ROUND($M33*8/108,0))),IF('設定'!$B$12="切り捨て",ROUNDDOWN(ROUND($M33*8/100,6),0),IF('設定'!$B$12="切り上げ",ROUNDUP(ROUND($M33*8/100,6),0),ROUND($M33*8/100,0)))))</f>
        <v/>
      </c>
      <c r="Q33" s="26">
        <f>IF($B33="","",IF('設定'!$B$11="税込",$L33+$M33+$N33,$L33+$O33+$M33+$P33+$N33))</f>
        <v/>
      </c>
      <c r="R33" s="26">
        <f>IF($B33="","",IF($X33="",0,IF(INDEX('支払先'!$I$5:$I$104,$X33)&lt;&gt;"する",0,IF(INDEX('支払先'!$J$5:$J$104,$X33)="税抜",IF('設定'!$B$11="税込",($Y33-IF('設定'!$B$12="切り捨て",ROUNDDOWN(ROUND($Y33*10/110,6),0),IF('設定'!$B$12="切り上げ",ROUNDUP(ROUND($Y33*10/110,6),0),ROUND($Y33*10/110,0)))+$Z33-IF('設定'!$B$12="切り捨て",ROUNDDOWN(ROUND($Z33*8/108,6),0),IF('設定'!$B$12="切り上げ",ROUNDUP(ROUND($Z33*8/108,6),0),ROUND($Z33*8/108,0)))+$AA33),$Y33+$Z33+$AA33),IF('設定'!$B$11="税込",$Y33+$Z33+$AA33,($Y33+IF('設定'!$B$12="切り捨て",ROUNDDOWN(ROUND($Y33*10/100,6),0),IF('設定'!$B$12="切り上げ",ROUNDUP(ROUND($Y33*10/100,6),0),ROUND($Y33*10/100,0)))+$Z33+IF('設定'!$B$12="切り捨て",ROUNDDOWN(ROUND($Z33*8/100,6),0),IF('設定'!$B$12="切り上げ",ROUNDUP(ROUND($Z33*8/100,6),0),ROUND($Z33*8/100,0)))+$AA33))))))</f>
        <v/>
      </c>
      <c r="S33" s="26">
        <f>IF($B33="","",IF(N($R33)&lt;=0,0,IF($R33&lt;='設定'!$B$18,ROUNDDOWN(ROUND($R33*'設定'!$B$17,6),0),ROUNDDOWN(ROUND(($R33-'設定'!$B$18)*'設定'!$B$19,6),0)+'設定'!$B$20)))</f>
        <v/>
      </c>
      <c r="T33" s="26">
        <f>IF($B33="","",IF($X33="",0,IF(INDEX('支払先'!$K$5:$K$104,$X33)="差し引く",N(INDEX('支払先'!$L$5:$L$104,$X33)),0)))</f>
        <v/>
      </c>
      <c r="U33" s="26">
        <f>IF($B33="","",$Q33-$S33-$T33)</f>
        <v/>
      </c>
      <c r="V33" s="22">
        <f>IF($B33="","",MID(IF($C33="","／支払先コードが空",IF($X33="","／支払先にないコード",""))&amp;IF($K33=0,"／明細がない","")&amp;IF($AC33&gt;0,"／税率が空の明細 "&amp;$AC33&amp;"件（合計に入っていない）","")&amp;IF($X33="","",IF(INDEX('支払先'!$G$5:$G$104,$X33)="","／登録番号なし（仕入明細書にならない）",""))&amp;IF($AB33&gt;0,"／60日（2か月）を超える明細 "&amp;$AB33&amp;"件","")&amp;IF($X33="","",IF(AND(INDEX('支払先'!$K$5:$K$104,$X33)="差し引く",OR(INDEX('支払先'!$M$5:$M$104,$X33)&lt;&gt;"対象外",INDEX('支払先'!$N$5:$N$104,$X33)&lt;&gt;"対象外")),"／手数料を差し引けない取引か確かめる",""))&amp;IF(COUNTIF($B$5:$B$204,$B33)&gt;1,"／通知Noが重複","")&amp;IF(AND(ISNUMBER($D33),ISNUMBER($F33),$F33&lt;$D33),"／支払予定日が発行日より前",""),2,300))</f>
        <v/>
      </c>
      <c r="W33" s="67" t="n"/>
      <c r="X33" s="31">
        <f>IF(OR($B33="",$C33=""),"",IFERROR(MATCH($C33,'支払先'!$B$5:$B$104,0),""))</f>
        <v/>
      </c>
      <c r="Y33" s="31">
        <f>IF($B33="","",SUMIFS('支払明細'!$I$5:$I$1004,'支払明細'!$A$5:$A$1004,$B33,'支払明細'!$G$5:$G$1004,"10%（標準）",'支払明細'!$H$5:$H$1004,"&lt;&gt;対象外"))</f>
        <v/>
      </c>
      <c r="Z33" s="31">
        <f>IF($B33="","",SUMIFS('支払明細'!$I$5:$I$1004,'支払明細'!$A$5:$A$1004,$B33,'支払明細'!$G$5:$G$1004,"8%（軽減）",'支払明細'!$H$5:$H$1004,"&lt;&gt;対象外"))</f>
        <v/>
      </c>
      <c r="AA33" s="31">
        <f>IF($B33="","",SUMIFS('支払明細'!$I$5:$I$1004,'支払明細'!$A$5:$A$1004,$B33,'支払明細'!$G$5:$G$1004,"対象外",'支払明細'!$H$5:$H$1004,"&lt;&gt;対象外"))</f>
        <v/>
      </c>
      <c r="AB33" s="31">
        <f>IF($B33="","",COUNTIFS('支払明細'!$A$5:$A$1004,$B33,'支払明細'!$M$5:$M$1004,"超える"))</f>
        <v/>
      </c>
      <c r="AC33" s="31">
        <f>IF($B33="","",COUNTIFS('支払明細'!$A$5:$A$1004,$B33,'支払明細'!$G$5:$G$1004,""))</f>
        <v/>
      </c>
    </row>
    <row r="34" ht="18" customHeight="1">
      <c r="A34" s="17" t="n">
        <v>30</v>
      </c>
      <c r="B34" s="18" t="n"/>
      <c r="C34" s="18" t="n"/>
      <c r="D34" s="24" t="n"/>
      <c r="E34" s="19" t="n"/>
      <c r="F34" s="24" t="n"/>
      <c r="G34" s="28">
        <f>IF(AND($B34&lt;&gt;"",ISNUMBER($D34)),$D34+N('設定'!$B$13),"")</f>
        <v/>
      </c>
      <c r="H34" s="18" t="n"/>
      <c r="I34" s="19" t="n"/>
      <c r="J34" s="27">
        <f>IF($B34="","",IF($C34="","（支払先コードが空）",IF($X34="","※支払先にないコード",INDEX('支払先'!$C$5:$C$104,$X34)&amp;"")))</f>
        <v/>
      </c>
      <c r="K34" s="30">
        <f>IF($B34="","",COUNTIF('支払明細'!$A$5:$A$1004,$B34))</f>
        <v/>
      </c>
      <c r="L34" s="26">
        <f>IF($B34="","",SUMIFS('支払明細'!$I$5:$I$1004,'支払明細'!$A$5:$A$1004,$B34,'支払明細'!$G$5:$G$1004,"10%（標準）"))</f>
        <v/>
      </c>
      <c r="M34" s="26">
        <f>IF($B34="","",SUMIFS('支払明細'!$I$5:$I$1004,'支払明細'!$A$5:$A$1004,$B34,'支払明細'!$G$5:$G$1004,"8%（軽減）"))</f>
        <v/>
      </c>
      <c r="N34" s="26">
        <f>IF($B34="","",SUMIFS('支払明細'!$I$5:$I$1004,'支払明細'!$A$5:$A$1004,$B34,'支払明細'!$G$5:$G$1004,"対象外"))</f>
        <v/>
      </c>
      <c r="O34" s="26">
        <f>IF($B34="","",IF('設定'!$B$11="税込",IF('設定'!$B$12="切り捨て",ROUNDDOWN(ROUND($L34*10/110,6),0),IF('設定'!$B$12="切り上げ",ROUNDUP(ROUND($L34*10/110,6),0),ROUND($L34*10/110,0))),IF('設定'!$B$12="切り捨て",ROUNDDOWN(ROUND($L34*10/100,6),0),IF('設定'!$B$12="切り上げ",ROUNDUP(ROUND($L34*10/100,6),0),ROUND($L34*10/100,0)))))</f>
        <v/>
      </c>
      <c r="P34" s="26">
        <f>IF($B34="","",IF('設定'!$B$11="税込",IF('設定'!$B$12="切り捨て",ROUNDDOWN(ROUND($M34*8/108,6),0),IF('設定'!$B$12="切り上げ",ROUNDUP(ROUND($M34*8/108,6),0),ROUND($M34*8/108,0))),IF('設定'!$B$12="切り捨て",ROUNDDOWN(ROUND($M34*8/100,6),0),IF('設定'!$B$12="切り上げ",ROUNDUP(ROUND($M34*8/100,6),0),ROUND($M34*8/100,0)))))</f>
        <v/>
      </c>
      <c r="Q34" s="26">
        <f>IF($B34="","",IF('設定'!$B$11="税込",$L34+$M34+$N34,$L34+$O34+$M34+$P34+$N34))</f>
        <v/>
      </c>
      <c r="R34" s="26">
        <f>IF($B34="","",IF($X34="",0,IF(INDEX('支払先'!$I$5:$I$104,$X34)&lt;&gt;"する",0,IF(INDEX('支払先'!$J$5:$J$104,$X34)="税抜",IF('設定'!$B$11="税込",($Y34-IF('設定'!$B$12="切り捨て",ROUNDDOWN(ROUND($Y34*10/110,6),0),IF('設定'!$B$12="切り上げ",ROUNDUP(ROUND($Y34*10/110,6),0),ROUND($Y34*10/110,0)))+$Z34-IF('設定'!$B$12="切り捨て",ROUNDDOWN(ROUND($Z34*8/108,6),0),IF('設定'!$B$12="切り上げ",ROUNDUP(ROUND($Z34*8/108,6),0),ROUND($Z34*8/108,0)))+$AA34),$Y34+$Z34+$AA34),IF('設定'!$B$11="税込",$Y34+$Z34+$AA34,($Y34+IF('設定'!$B$12="切り捨て",ROUNDDOWN(ROUND($Y34*10/100,6),0),IF('設定'!$B$12="切り上げ",ROUNDUP(ROUND($Y34*10/100,6),0),ROUND($Y34*10/100,0)))+$Z34+IF('設定'!$B$12="切り捨て",ROUNDDOWN(ROUND($Z34*8/100,6),0),IF('設定'!$B$12="切り上げ",ROUNDUP(ROUND($Z34*8/100,6),0),ROUND($Z34*8/100,0)))+$AA34))))))</f>
        <v/>
      </c>
      <c r="S34" s="26">
        <f>IF($B34="","",IF(N($R34)&lt;=0,0,IF($R34&lt;='設定'!$B$18,ROUNDDOWN(ROUND($R34*'設定'!$B$17,6),0),ROUNDDOWN(ROUND(($R34-'設定'!$B$18)*'設定'!$B$19,6),0)+'設定'!$B$20)))</f>
        <v/>
      </c>
      <c r="T34" s="26">
        <f>IF($B34="","",IF($X34="",0,IF(INDEX('支払先'!$K$5:$K$104,$X34)="差し引く",N(INDEX('支払先'!$L$5:$L$104,$X34)),0)))</f>
        <v/>
      </c>
      <c r="U34" s="26">
        <f>IF($B34="","",$Q34-$S34-$T34)</f>
        <v/>
      </c>
      <c r="V34" s="22">
        <f>IF($B34="","",MID(IF($C34="","／支払先コードが空",IF($X34="","／支払先にないコード",""))&amp;IF($K34=0,"／明細がない","")&amp;IF($AC34&gt;0,"／税率が空の明細 "&amp;$AC34&amp;"件（合計に入っていない）","")&amp;IF($X34="","",IF(INDEX('支払先'!$G$5:$G$104,$X34)="","／登録番号なし（仕入明細書にならない）",""))&amp;IF($AB34&gt;0,"／60日（2か月）を超える明細 "&amp;$AB34&amp;"件","")&amp;IF($X34="","",IF(AND(INDEX('支払先'!$K$5:$K$104,$X34)="差し引く",OR(INDEX('支払先'!$M$5:$M$104,$X34)&lt;&gt;"対象外",INDEX('支払先'!$N$5:$N$104,$X34)&lt;&gt;"対象外")),"／手数料を差し引けない取引か確かめる",""))&amp;IF(COUNTIF($B$5:$B$204,$B34)&gt;1,"／通知Noが重複","")&amp;IF(AND(ISNUMBER($D34),ISNUMBER($F34),$F34&lt;$D34),"／支払予定日が発行日より前",""),2,300))</f>
        <v/>
      </c>
      <c r="W34" s="67" t="n"/>
      <c r="X34" s="31">
        <f>IF(OR($B34="",$C34=""),"",IFERROR(MATCH($C34,'支払先'!$B$5:$B$104,0),""))</f>
        <v/>
      </c>
      <c r="Y34" s="31">
        <f>IF($B34="","",SUMIFS('支払明細'!$I$5:$I$1004,'支払明細'!$A$5:$A$1004,$B34,'支払明細'!$G$5:$G$1004,"10%（標準）",'支払明細'!$H$5:$H$1004,"&lt;&gt;対象外"))</f>
        <v/>
      </c>
      <c r="Z34" s="31">
        <f>IF($B34="","",SUMIFS('支払明細'!$I$5:$I$1004,'支払明細'!$A$5:$A$1004,$B34,'支払明細'!$G$5:$G$1004,"8%（軽減）",'支払明細'!$H$5:$H$1004,"&lt;&gt;対象外"))</f>
        <v/>
      </c>
      <c r="AA34" s="31">
        <f>IF($B34="","",SUMIFS('支払明細'!$I$5:$I$1004,'支払明細'!$A$5:$A$1004,$B34,'支払明細'!$G$5:$G$1004,"対象外",'支払明細'!$H$5:$H$1004,"&lt;&gt;対象外"))</f>
        <v/>
      </c>
      <c r="AB34" s="31">
        <f>IF($B34="","",COUNTIFS('支払明細'!$A$5:$A$1004,$B34,'支払明細'!$M$5:$M$1004,"超える"))</f>
        <v/>
      </c>
      <c r="AC34" s="31">
        <f>IF($B34="","",COUNTIFS('支払明細'!$A$5:$A$1004,$B34,'支払明細'!$G$5:$G$1004,""))</f>
        <v/>
      </c>
    </row>
    <row r="35" ht="18" customHeight="1">
      <c r="A35" s="17" t="n">
        <v>31</v>
      </c>
      <c r="B35" s="18" t="n"/>
      <c r="C35" s="18" t="n"/>
      <c r="D35" s="24" t="n"/>
      <c r="E35" s="19" t="n"/>
      <c r="F35" s="24" t="n"/>
      <c r="G35" s="28">
        <f>IF(AND($B35&lt;&gt;"",ISNUMBER($D35)),$D35+N('設定'!$B$13),"")</f>
        <v/>
      </c>
      <c r="H35" s="18" t="n"/>
      <c r="I35" s="19" t="n"/>
      <c r="J35" s="27">
        <f>IF($B35="","",IF($C35="","（支払先コードが空）",IF($X35="","※支払先にないコード",INDEX('支払先'!$C$5:$C$104,$X35)&amp;"")))</f>
        <v/>
      </c>
      <c r="K35" s="30">
        <f>IF($B35="","",COUNTIF('支払明細'!$A$5:$A$1004,$B35))</f>
        <v/>
      </c>
      <c r="L35" s="26">
        <f>IF($B35="","",SUMIFS('支払明細'!$I$5:$I$1004,'支払明細'!$A$5:$A$1004,$B35,'支払明細'!$G$5:$G$1004,"10%（標準）"))</f>
        <v/>
      </c>
      <c r="M35" s="26">
        <f>IF($B35="","",SUMIFS('支払明細'!$I$5:$I$1004,'支払明細'!$A$5:$A$1004,$B35,'支払明細'!$G$5:$G$1004,"8%（軽減）"))</f>
        <v/>
      </c>
      <c r="N35" s="26">
        <f>IF($B35="","",SUMIFS('支払明細'!$I$5:$I$1004,'支払明細'!$A$5:$A$1004,$B35,'支払明細'!$G$5:$G$1004,"対象外"))</f>
        <v/>
      </c>
      <c r="O35" s="26">
        <f>IF($B35="","",IF('設定'!$B$11="税込",IF('設定'!$B$12="切り捨て",ROUNDDOWN(ROUND($L35*10/110,6),0),IF('設定'!$B$12="切り上げ",ROUNDUP(ROUND($L35*10/110,6),0),ROUND($L35*10/110,0))),IF('設定'!$B$12="切り捨て",ROUNDDOWN(ROUND($L35*10/100,6),0),IF('設定'!$B$12="切り上げ",ROUNDUP(ROUND($L35*10/100,6),0),ROUND($L35*10/100,0)))))</f>
        <v/>
      </c>
      <c r="P35" s="26">
        <f>IF($B35="","",IF('設定'!$B$11="税込",IF('設定'!$B$12="切り捨て",ROUNDDOWN(ROUND($M35*8/108,6),0),IF('設定'!$B$12="切り上げ",ROUNDUP(ROUND($M35*8/108,6),0),ROUND($M35*8/108,0))),IF('設定'!$B$12="切り捨て",ROUNDDOWN(ROUND($M35*8/100,6),0),IF('設定'!$B$12="切り上げ",ROUNDUP(ROUND($M35*8/100,6),0),ROUND($M35*8/100,0)))))</f>
        <v/>
      </c>
      <c r="Q35" s="26">
        <f>IF($B35="","",IF('設定'!$B$11="税込",$L35+$M35+$N35,$L35+$O35+$M35+$P35+$N35))</f>
        <v/>
      </c>
      <c r="R35" s="26">
        <f>IF($B35="","",IF($X35="",0,IF(INDEX('支払先'!$I$5:$I$104,$X35)&lt;&gt;"する",0,IF(INDEX('支払先'!$J$5:$J$104,$X35)="税抜",IF('設定'!$B$11="税込",($Y35-IF('設定'!$B$12="切り捨て",ROUNDDOWN(ROUND($Y35*10/110,6),0),IF('設定'!$B$12="切り上げ",ROUNDUP(ROUND($Y35*10/110,6),0),ROUND($Y35*10/110,0)))+$Z35-IF('設定'!$B$12="切り捨て",ROUNDDOWN(ROUND($Z35*8/108,6),0),IF('設定'!$B$12="切り上げ",ROUNDUP(ROUND($Z35*8/108,6),0),ROUND($Z35*8/108,0)))+$AA35),$Y35+$Z35+$AA35),IF('設定'!$B$11="税込",$Y35+$Z35+$AA35,($Y35+IF('設定'!$B$12="切り捨て",ROUNDDOWN(ROUND($Y35*10/100,6),0),IF('設定'!$B$12="切り上げ",ROUNDUP(ROUND($Y35*10/100,6),0),ROUND($Y35*10/100,0)))+$Z35+IF('設定'!$B$12="切り捨て",ROUNDDOWN(ROUND($Z35*8/100,6),0),IF('設定'!$B$12="切り上げ",ROUNDUP(ROUND($Z35*8/100,6),0),ROUND($Z35*8/100,0)))+$AA35))))))</f>
        <v/>
      </c>
      <c r="S35" s="26">
        <f>IF($B35="","",IF(N($R35)&lt;=0,0,IF($R35&lt;='設定'!$B$18,ROUNDDOWN(ROUND($R35*'設定'!$B$17,6),0),ROUNDDOWN(ROUND(($R35-'設定'!$B$18)*'設定'!$B$19,6),0)+'設定'!$B$20)))</f>
        <v/>
      </c>
      <c r="T35" s="26">
        <f>IF($B35="","",IF($X35="",0,IF(INDEX('支払先'!$K$5:$K$104,$X35)="差し引く",N(INDEX('支払先'!$L$5:$L$104,$X35)),0)))</f>
        <v/>
      </c>
      <c r="U35" s="26">
        <f>IF($B35="","",$Q35-$S35-$T35)</f>
        <v/>
      </c>
      <c r="V35" s="22">
        <f>IF($B35="","",MID(IF($C35="","／支払先コードが空",IF($X35="","／支払先にないコード",""))&amp;IF($K35=0,"／明細がない","")&amp;IF($AC35&gt;0,"／税率が空の明細 "&amp;$AC35&amp;"件（合計に入っていない）","")&amp;IF($X35="","",IF(INDEX('支払先'!$G$5:$G$104,$X35)="","／登録番号なし（仕入明細書にならない）",""))&amp;IF($AB35&gt;0,"／60日（2か月）を超える明細 "&amp;$AB35&amp;"件","")&amp;IF($X35="","",IF(AND(INDEX('支払先'!$K$5:$K$104,$X35)="差し引く",OR(INDEX('支払先'!$M$5:$M$104,$X35)&lt;&gt;"対象外",INDEX('支払先'!$N$5:$N$104,$X35)&lt;&gt;"対象外")),"／手数料を差し引けない取引か確かめる",""))&amp;IF(COUNTIF($B$5:$B$204,$B35)&gt;1,"／通知Noが重複","")&amp;IF(AND(ISNUMBER($D35),ISNUMBER($F35),$F35&lt;$D35),"／支払予定日が発行日より前",""),2,300))</f>
        <v/>
      </c>
      <c r="W35" s="67" t="n"/>
      <c r="X35" s="31">
        <f>IF(OR($B35="",$C35=""),"",IFERROR(MATCH($C35,'支払先'!$B$5:$B$104,0),""))</f>
        <v/>
      </c>
      <c r="Y35" s="31">
        <f>IF($B35="","",SUMIFS('支払明細'!$I$5:$I$1004,'支払明細'!$A$5:$A$1004,$B35,'支払明細'!$G$5:$G$1004,"10%（標準）",'支払明細'!$H$5:$H$1004,"&lt;&gt;対象外"))</f>
        <v/>
      </c>
      <c r="Z35" s="31">
        <f>IF($B35="","",SUMIFS('支払明細'!$I$5:$I$1004,'支払明細'!$A$5:$A$1004,$B35,'支払明細'!$G$5:$G$1004,"8%（軽減）",'支払明細'!$H$5:$H$1004,"&lt;&gt;対象外"))</f>
        <v/>
      </c>
      <c r="AA35" s="31">
        <f>IF($B35="","",SUMIFS('支払明細'!$I$5:$I$1004,'支払明細'!$A$5:$A$1004,$B35,'支払明細'!$G$5:$G$1004,"対象外",'支払明細'!$H$5:$H$1004,"&lt;&gt;対象外"))</f>
        <v/>
      </c>
      <c r="AB35" s="31">
        <f>IF($B35="","",COUNTIFS('支払明細'!$A$5:$A$1004,$B35,'支払明細'!$M$5:$M$1004,"超える"))</f>
        <v/>
      </c>
      <c r="AC35" s="31">
        <f>IF($B35="","",COUNTIFS('支払明細'!$A$5:$A$1004,$B35,'支払明細'!$G$5:$G$1004,""))</f>
        <v/>
      </c>
    </row>
    <row r="36" ht="18" customHeight="1">
      <c r="A36" s="17" t="n">
        <v>32</v>
      </c>
      <c r="B36" s="18" t="n"/>
      <c r="C36" s="18" t="n"/>
      <c r="D36" s="24" t="n"/>
      <c r="E36" s="19" t="n"/>
      <c r="F36" s="24" t="n"/>
      <c r="G36" s="28">
        <f>IF(AND($B36&lt;&gt;"",ISNUMBER($D36)),$D36+N('設定'!$B$13),"")</f>
        <v/>
      </c>
      <c r="H36" s="18" t="n"/>
      <c r="I36" s="19" t="n"/>
      <c r="J36" s="27">
        <f>IF($B36="","",IF($C36="","（支払先コードが空）",IF($X36="","※支払先にないコード",INDEX('支払先'!$C$5:$C$104,$X36)&amp;"")))</f>
        <v/>
      </c>
      <c r="K36" s="30">
        <f>IF($B36="","",COUNTIF('支払明細'!$A$5:$A$1004,$B36))</f>
        <v/>
      </c>
      <c r="L36" s="26">
        <f>IF($B36="","",SUMIFS('支払明細'!$I$5:$I$1004,'支払明細'!$A$5:$A$1004,$B36,'支払明細'!$G$5:$G$1004,"10%（標準）"))</f>
        <v/>
      </c>
      <c r="M36" s="26">
        <f>IF($B36="","",SUMIFS('支払明細'!$I$5:$I$1004,'支払明細'!$A$5:$A$1004,$B36,'支払明細'!$G$5:$G$1004,"8%（軽減）"))</f>
        <v/>
      </c>
      <c r="N36" s="26">
        <f>IF($B36="","",SUMIFS('支払明細'!$I$5:$I$1004,'支払明細'!$A$5:$A$1004,$B36,'支払明細'!$G$5:$G$1004,"対象外"))</f>
        <v/>
      </c>
      <c r="O36" s="26">
        <f>IF($B36="","",IF('設定'!$B$11="税込",IF('設定'!$B$12="切り捨て",ROUNDDOWN(ROUND($L36*10/110,6),0),IF('設定'!$B$12="切り上げ",ROUNDUP(ROUND($L36*10/110,6),0),ROUND($L36*10/110,0))),IF('設定'!$B$12="切り捨て",ROUNDDOWN(ROUND($L36*10/100,6),0),IF('設定'!$B$12="切り上げ",ROUNDUP(ROUND($L36*10/100,6),0),ROUND($L36*10/100,0)))))</f>
        <v/>
      </c>
      <c r="P36" s="26">
        <f>IF($B36="","",IF('設定'!$B$11="税込",IF('設定'!$B$12="切り捨て",ROUNDDOWN(ROUND($M36*8/108,6),0),IF('設定'!$B$12="切り上げ",ROUNDUP(ROUND($M36*8/108,6),0),ROUND($M36*8/108,0))),IF('設定'!$B$12="切り捨て",ROUNDDOWN(ROUND($M36*8/100,6),0),IF('設定'!$B$12="切り上げ",ROUNDUP(ROUND($M36*8/100,6),0),ROUND($M36*8/100,0)))))</f>
        <v/>
      </c>
      <c r="Q36" s="26">
        <f>IF($B36="","",IF('設定'!$B$11="税込",$L36+$M36+$N36,$L36+$O36+$M36+$P36+$N36))</f>
        <v/>
      </c>
      <c r="R36" s="26">
        <f>IF($B36="","",IF($X36="",0,IF(INDEX('支払先'!$I$5:$I$104,$X36)&lt;&gt;"する",0,IF(INDEX('支払先'!$J$5:$J$104,$X36)="税抜",IF('設定'!$B$11="税込",($Y36-IF('設定'!$B$12="切り捨て",ROUNDDOWN(ROUND($Y36*10/110,6),0),IF('設定'!$B$12="切り上げ",ROUNDUP(ROUND($Y36*10/110,6),0),ROUND($Y36*10/110,0)))+$Z36-IF('設定'!$B$12="切り捨て",ROUNDDOWN(ROUND($Z36*8/108,6),0),IF('設定'!$B$12="切り上げ",ROUNDUP(ROUND($Z36*8/108,6),0),ROUND($Z36*8/108,0)))+$AA36),$Y36+$Z36+$AA36),IF('設定'!$B$11="税込",$Y36+$Z36+$AA36,($Y36+IF('設定'!$B$12="切り捨て",ROUNDDOWN(ROUND($Y36*10/100,6),0),IF('設定'!$B$12="切り上げ",ROUNDUP(ROUND($Y36*10/100,6),0),ROUND($Y36*10/100,0)))+$Z36+IF('設定'!$B$12="切り捨て",ROUNDDOWN(ROUND($Z36*8/100,6),0),IF('設定'!$B$12="切り上げ",ROUNDUP(ROUND($Z36*8/100,6),0),ROUND($Z36*8/100,0)))+$AA36))))))</f>
        <v/>
      </c>
      <c r="S36" s="26">
        <f>IF($B36="","",IF(N($R36)&lt;=0,0,IF($R36&lt;='設定'!$B$18,ROUNDDOWN(ROUND($R36*'設定'!$B$17,6),0),ROUNDDOWN(ROUND(($R36-'設定'!$B$18)*'設定'!$B$19,6),0)+'設定'!$B$20)))</f>
        <v/>
      </c>
      <c r="T36" s="26">
        <f>IF($B36="","",IF($X36="",0,IF(INDEX('支払先'!$K$5:$K$104,$X36)="差し引く",N(INDEX('支払先'!$L$5:$L$104,$X36)),0)))</f>
        <v/>
      </c>
      <c r="U36" s="26">
        <f>IF($B36="","",$Q36-$S36-$T36)</f>
        <v/>
      </c>
      <c r="V36" s="22">
        <f>IF($B36="","",MID(IF($C36="","／支払先コードが空",IF($X36="","／支払先にないコード",""))&amp;IF($K36=0,"／明細がない","")&amp;IF($AC36&gt;0,"／税率が空の明細 "&amp;$AC36&amp;"件（合計に入っていない）","")&amp;IF($X36="","",IF(INDEX('支払先'!$G$5:$G$104,$X36)="","／登録番号なし（仕入明細書にならない）",""))&amp;IF($AB36&gt;0,"／60日（2か月）を超える明細 "&amp;$AB36&amp;"件","")&amp;IF($X36="","",IF(AND(INDEX('支払先'!$K$5:$K$104,$X36)="差し引く",OR(INDEX('支払先'!$M$5:$M$104,$X36)&lt;&gt;"対象外",INDEX('支払先'!$N$5:$N$104,$X36)&lt;&gt;"対象外")),"／手数料を差し引けない取引か確かめる",""))&amp;IF(COUNTIF($B$5:$B$204,$B36)&gt;1,"／通知Noが重複","")&amp;IF(AND(ISNUMBER($D36),ISNUMBER($F36),$F36&lt;$D36),"／支払予定日が発行日より前",""),2,300))</f>
        <v/>
      </c>
      <c r="W36" s="67" t="n"/>
      <c r="X36" s="31">
        <f>IF(OR($B36="",$C36=""),"",IFERROR(MATCH($C36,'支払先'!$B$5:$B$104,0),""))</f>
        <v/>
      </c>
      <c r="Y36" s="31">
        <f>IF($B36="","",SUMIFS('支払明細'!$I$5:$I$1004,'支払明細'!$A$5:$A$1004,$B36,'支払明細'!$G$5:$G$1004,"10%（標準）",'支払明細'!$H$5:$H$1004,"&lt;&gt;対象外"))</f>
        <v/>
      </c>
      <c r="Z36" s="31">
        <f>IF($B36="","",SUMIFS('支払明細'!$I$5:$I$1004,'支払明細'!$A$5:$A$1004,$B36,'支払明細'!$G$5:$G$1004,"8%（軽減）",'支払明細'!$H$5:$H$1004,"&lt;&gt;対象外"))</f>
        <v/>
      </c>
      <c r="AA36" s="31">
        <f>IF($B36="","",SUMIFS('支払明細'!$I$5:$I$1004,'支払明細'!$A$5:$A$1004,$B36,'支払明細'!$G$5:$G$1004,"対象外",'支払明細'!$H$5:$H$1004,"&lt;&gt;対象外"))</f>
        <v/>
      </c>
      <c r="AB36" s="31">
        <f>IF($B36="","",COUNTIFS('支払明細'!$A$5:$A$1004,$B36,'支払明細'!$M$5:$M$1004,"超える"))</f>
        <v/>
      </c>
      <c r="AC36" s="31">
        <f>IF($B36="","",COUNTIFS('支払明細'!$A$5:$A$1004,$B36,'支払明細'!$G$5:$G$1004,""))</f>
        <v/>
      </c>
    </row>
    <row r="37" ht="18" customHeight="1">
      <c r="A37" s="17" t="n">
        <v>33</v>
      </c>
      <c r="B37" s="18" t="n"/>
      <c r="C37" s="18" t="n"/>
      <c r="D37" s="24" t="n"/>
      <c r="E37" s="19" t="n"/>
      <c r="F37" s="24" t="n"/>
      <c r="G37" s="28">
        <f>IF(AND($B37&lt;&gt;"",ISNUMBER($D37)),$D37+N('設定'!$B$13),"")</f>
        <v/>
      </c>
      <c r="H37" s="18" t="n"/>
      <c r="I37" s="19" t="n"/>
      <c r="J37" s="27">
        <f>IF($B37="","",IF($C37="","（支払先コードが空）",IF($X37="","※支払先にないコード",INDEX('支払先'!$C$5:$C$104,$X37)&amp;"")))</f>
        <v/>
      </c>
      <c r="K37" s="30">
        <f>IF($B37="","",COUNTIF('支払明細'!$A$5:$A$1004,$B37))</f>
        <v/>
      </c>
      <c r="L37" s="26">
        <f>IF($B37="","",SUMIFS('支払明細'!$I$5:$I$1004,'支払明細'!$A$5:$A$1004,$B37,'支払明細'!$G$5:$G$1004,"10%（標準）"))</f>
        <v/>
      </c>
      <c r="M37" s="26">
        <f>IF($B37="","",SUMIFS('支払明細'!$I$5:$I$1004,'支払明細'!$A$5:$A$1004,$B37,'支払明細'!$G$5:$G$1004,"8%（軽減）"))</f>
        <v/>
      </c>
      <c r="N37" s="26">
        <f>IF($B37="","",SUMIFS('支払明細'!$I$5:$I$1004,'支払明細'!$A$5:$A$1004,$B37,'支払明細'!$G$5:$G$1004,"対象外"))</f>
        <v/>
      </c>
      <c r="O37" s="26">
        <f>IF($B37="","",IF('設定'!$B$11="税込",IF('設定'!$B$12="切り捨て",ROUNDDOWN(ROUND($L37*10/110,6),0),IF('設定'!$B$12="切り上げ",ROUNDUP(ROUND($L37*10/110,6),0),ROUND($L37*10/110,0))),IF('設定'!$B$12="切り捨て",ROUNDDOWN(ROUND($L37*10/100,6),0),IF('設定'!$B$12="切り上げ",ROUNDUP(ROUND($L37*10/100,6),0),ROUND($L37*10/100,0)))))</f>
        <v/>
      </c>
      <c r="P37" s="26">
        <f>IF($B37="","",IF('設定'!$B$11="税込",IF('設定'!$B$12="切り捨て",ROUNDDOWN(ROUND($M37*8/108,6),0),IF('設定'!$B$12="切り上げ",ROUNDUP(ROUND($M37*8/108,6),0),ROUND($M37*8/108,0))),IF('設定'!$B$12="切り捨て",ROUNDDOWN(ROUND($M37*8/100,6),0),IF('設定'!$B$12="切り上げ",ROUNDUP(ROUND($M37*8/100,6),0),ROUND($M37*8/100,0)))))</f>
        <v/>
      </c>
      <c r="Q37" s="26">
        <f>IF($B37="","",IF('設定'!$B$11="税込",$L37+$M37+$N37,$L37+$O37+$M37+$P37+$N37))</f>
        <v/>
      </c>
      <c r="R37" s="26">
        <f>IF($B37="","",IF($X37="",0,IF(INDEX('支払先'!$I$5:$I$104,$X37)&lt;&gt;"する",0,IF(INDEX('支払先'!$J$5:$J$104,$X37)="税抜",IF('設定'!$B$11="税込",($Y37-IF('設定'!$B$12="切り捨て",ROUNDDOWN(ROUND($Y37*10/110,6),0),IF('設定'!$B$12="切り上げ",ROUNDUP(ROUND($Y37*10/110,6),0),ROUND($Y37*10/110,0)))+$Z37-IF('設定'!$B$12="切り捨て",ROUNDDOWN(ROUND($Z37*8/108,6),0),IF('設定'!$B$12="切り上げ",ROUNDUP(ROUND($Z37*8/108,6),0),ROUND($Z37*8/108,0)))+$AA37),$Y37+$Z37+$AA37),IF('設定'!$B$11="税込",$Y37+$Z37+$AA37,($Y37+IF('設定'!$B$12="切り捨て",ROUNDDOWN(ROUND($Y37*10/100,6),0),IF('設定'!$B$12="切り上げ",ROUNDUP(ROUND($Y37*10/100,6),0),ROUND($Y37*10/100,0)))+$Z37+IF('設定'!$B$12="切り捨て",ROUNDDOWN(ROUND($Z37*8/100,6),0),IF('設定'!$B$12="切り上げ",ROUNDUP(ROUND($Z37*8/100,6),0),ROUND($Z37*8/100,0)))+$AA37))))))</f>
        <v/>
      </c>
      <c r="S37" s="26">
        <f>IF($B37="","",IF(N($R37)&lt;=0,0,IF($R37&lt;='設定'!$B$18,ROUNDDOWN(ROUND($R37*'設定'!$B$17,6),0),ROUNDDOWN(ROUND(($R37-'設定'!$B$18)*'設定'!$B$19,6),0)+'設定'!$B$20)))</f>
        <v/>
      </c>
      <c r="T37" s="26">
        <f>IF($B37="","",IF($X37="",0,IF(INDEX('支払先'!$K$5:$K$104,$X37)="差し引く",N(INDEX('支払先'!$L$5:$L$104,$X37)),0)))</f>
        <v/>
      </c>
      <c r="U37" s="26">
        <f>IF($B37="","",$Q37-$S37-$T37)</f>
        <v/>
      </c>
      <c r="V37" s="22">
        <f>IF($B37="","",MID(IF($C37="","／支払先コードが空",IF($X37="","／支払先にないコード",""))&amp;IF($K37=0,"／明細がない","")&amp;IF($AC37&gt;0,"／税率が空の明細 "&amp;$AC37&amp;"件（合計に入っていない）","")&amp;IF($X37="","",IF(INDEX('支払先'!$G$5:$G$104,$X37)="","／登録番号なし（仕入明細書にならない）",""))&amp;IF($AB37&gt;0,"／60日（2か月）を超える明細 "&amp;$AB37&amp;"件","")&amp;IF($X37="","",IF(AND(INDEX('支払先'!$K$5:$K$104,$X37)="差し引く",OR(INDEX('支払先'!$M$5:$M$104,$X37)&lt;&gt;"対象外",INDEX('支払先'!$N$5:$N$104,$X37)&lt;&gt;"対象外")),"／手数料を差し引けない取引か確かめる",""))&amp;IF(COUNTIF($B$5:$B$204,$B37)&gt;1,"／通知Noが重複","")&amp;IF(AND(ISNUMBER($D37),ISNUMBER($F37),$F37&lt;$D37),"／支払予定日が発行日より前",""),2,300))</f>
        <v/>
      </c>
      <c r="W37" s="67" t="n"/>
      <c r="X37" s="31">
        <f>IF(OR($B37="",$C37=""),"",IFERROR(MATCH($C37,'支払先'!$B$5:$B$104,0),""))</f>
        <v/>
      </c>
      <c r="Y37" s="31">
        <f>IF($B37="","",SUMIFS('支払明細'!$I$5:$I$1004,'支払明細'!$A$5:$A$1004,$B37,'支払明細'!$G$5:$G$1004,"10%（標準）",'支払明細'!$H$5:$H$1004,"&lt;&gt;対象外"))</f>
        <v/>
      </c>
      <c r="Z37" s="31">
        <f>IF($B37="","",SUMIFS('支払明細'!$I$5:$I$1004,'支払明細'!$A$5:$A$1004,$B37,'支払明細'!$G$5:$G$1004,"8%（軽減）",'支払明細'!$H$5:$H$1004,"&lt;&gt;対象外"))</f>
        <v/>
      </c>
      <c r="AA37" s="31">
        <f>IF($B37="","",SUMIFS('支払明細'!$I$5:$I$1004,'支払明細'!$A$5:$A$1004,$B37,'支払明細'!$G$5:$G$1004,"対象外",'支払明細'!$H$5:$H$1004,"&lt;&gt;対象外"))</f>
        <v/>
      </c>
      <c r="AB37" s="31">
        <f>IF($B37="","",COUNTIFS('支払明細'!$A$5:$A$1004,$B37,'支払明細'!$M$5:$M$1004,"超える"))</f>
        <v/>
      </c>
      <c r="AC37" s="31">
        <f>IF($B37="","",COUNTIFS('支払明細'!$A$5:$A$1004,$B37,'支払明細'!$G$5:$G$1004,""))</f>
        <v/>
      </c>
    </row>
    <row r="38" ht="18" customHeight="1">
      <c r="A38" s="17" t="n">
        <v>34</v>
      </c>
      <c r="B38" s="18" t="n"/>
      <c r="C38" s="18" t="n"/>
      <c r="D38" s="24" t="n"/>
      <c r="E38" s="19" t="n"/>
      <c r="F38" s="24" t="n"/>
      <c r="G38" s="28">
        <f>IF(AND($B38&lt;&gt;"",ISNUMBER($D38)),$D38+N('設定'!$B$13),"")</f>
        <v/>
      </c>
      <c r="H38" s="18" t="n"/>
      <c r="I38" s="19" t="n"/>
      <c r="J38" s="27">
        <f>IF($B38="","",IF($C38="","（支払先コードが空）",IF($X38="","※支払先にないコード",INDEX('支払先'!$C$5:$C$104,$X38)&amp;"")))</f>
        <v/>
      </c>
      <c r="K38" s="30">
        <f>IF($B38="","",COUNTIF('支払明細'!$A$5:$A$1004,$B38))</f>
        <v/>
      </c>
      <c r="L38" s="26">
        <f>IF($B38="","",SUMIFS('支払明細'!$I$5:$I$1004,'支払明細'!$A$5:$A$1004,$B38,'支払明細'!$G$5:$G$1004,"10%（標準）"))</f>
        <v/>
      </c>
      <c r="M38" s="26">
        <f>IF($B38="","",SUMIFS('支払明細'!$I$5:$I$1004,'支払明細'!$A$5:$A$1004,$B38,'支払明細'!$G$5:$G$1004,"8%（軽減）"))</f>
        <v/>
      </c>
      <c r="N38" s="26">
        <f>IF($B38="","",SUMIFS('支払明細'!$I$5:$I$1004,'支払明細'!$A$5:$A$1004,$B38,'支払明細'!$G$5:$G$1004,"対象外"))</f>
        <v/>
      </c>
      <c r="O38" s="26">
        <f>IF($B38="","",IF('設定'!$B$11="税込",IF('設定'!$B$12="切り捨て",ROUNDDOWN(ROUND($L38*10/110,6),0),IF('設定'!$B$12="切り上げ",ROUNDUP(ROUND($L38*10/110,6),0),ROUND($L38*10/110,0))),IF('設定'!$B$12="切り捨て",ROUNDDOWN(ROUND($L38*10/100,6),0),IF('設定'!$B$12="切り上げ",ROUNDUP(ROUND($L38*10/100,6),0),ROUND($L38*10/100,0)))))</f>
        <v/>
      </c>
      <c r="P38" s="26">
        <f>IF($B38="","",IF('設定'!$B$11="税込",IF('設定'!$B$12="切り捨て",ROUNDDOWN(ROUND($M38*8/108,6),0),IF('設定'!$B$12="切り上げ",ROUNDUP(ROUND($M38*8/108,6),0),ROUND($M38*8/108,0))),IF('設定'!$B$12="切り捨て",ROUNDDOWN(ROUND($M38*8/100,6),0),IF('設定'!$B$12="切り上げ",ROUNDUP(ROUND($M38*8/100,6),0),ROUND($M38*8/100,0)))))</f>
        <v/>
      </c>
      <c r="Q38" s="26">
        <f>IF($B38="","",IF('設定'!$B$11="税込",$L38+$M38+$N38,$L38+$O38+$M38+$P38+$N38))</f>
        <v/>
      </c>
      <c r="R38" s="26">
        <f>IF($B38="","",IF($X38="",0,IF(INDEX('支払先'!$I$5:$I$104,$X38)&lt;&gt;"する",0,IF(INDEX('支払先'!$J$5:$J$104,$X38)="税抜",IF('設定'!$B$11="税込",($Y38-IF('設定'!$B$12="切り捨て",ROUNDDOWN(ROUND($Y38*10/110,6),0),IF('設定'!$B$12="切り上げ",ROUNDUP(ROUND($Y38*10/110,6),0),ROUND($Y38*10/110,0)))+$Z38-IF('設定'!$B$12="切り捨て",ROUNDDOWN(ROUND($Z38*8/108,6),0),IF('設定'!$B$12="切り上げ",ROUNDUP(ROUND($Z38*8/108,6),0),ROUND($Z38*8/108,0)))+$AA38),$Y38+$Z38+$AA38),IF('設定'!$B$11="税込",$Y38+$Z38+$AA38,($Y38+IF('設定'!$B$12="切り捨て",ROUNDDOWN(ROUND($Y38*10/100,6),0),IF('設定'!$B$12="切り上げ",ROUNDUP(ROUND($Y38*10/100,6),0),ROUND($Y38*10/100,0)))+$Z38+IF('設定'!$B$12="切り捨て",ROUNDDOWN(ROUND($Z38*8/100,6),0),IF('設定'!$B$12="切り上げ",ROUNDUP(ROUND($Z38*8/100,6),0),ROUND($Z38*8/100,0)))+$AA38))))))</f>
        <v/>
      </c>
      <c r="S38" s="26">
        <f>IF($B38="","",IF(N($R38)&lt;=0,0,IF($R38&lt;='設定'!$B$18,ROUNDDOWN(ROUND($R38*'設定'!$B$17,6),0),ROUNDDOWN(ROUND(($R38-'設定'!$B$18)*'設定'!$B$19,6),0)+'設定'!$B$20)))</f>
        <v/>
      </c>
      <c r="T38" s="26">
        <f>IF($B38="","",IF($X38="",0,IF(INDEX('支払先'!$K$5:$K$104,$X38)="差し引く",N(INDEX('支払先'!$L$5:$L$104,$X38)),0)))</f>
        <v/>
      </c>
      <c r="U38" s="26">
        <f>IF($B38="","",$Q38-$S38-$T38)</f>
        <v/>
      </c>
      <c r="V38" s="22">
        <f>IF($B38="","",MID(IF($C38="","／支払先コードが空",IF($X38="","／支払先にないコード",""))&amp;IF($K38=0,"／明細がない","")&amp;IF($AC38&gt;0,"／税率が空の明細 "&amp;$AC38&amp;"件（合計に入っていない）","")&amp;IF($X38="","",IF(INDEX('支払先'!$G$5:$G$104,$X38)="","／登録番号なし（仕入明細書にならない）",""))&amp;IF($AB38&gt;0,"／60日（2か月）を超える明細 "&amp;$AB38&amp;"件","")&amp;IF($X38="","",IF(AND(INDEX('支払先'!$K$5:$K$104,$X38)="差し引く",OR(INDEX('支払先'!$M$5:$M$104,$X38)&lt;&gt;"対象外",INDEX('支払先'!$N$5:$N$104,$X38)&lt;&gt;"対象外")),"／手数料を差し引けない取引か確かめる",""))&amp;IF(COUNTIF($B$5:$B$204,$B38)&gt;1,"／通知Noが重複","")&amp;IF(AND(ISNUMBER($D38),ISNUMBER($F38),$F38&lt;$D38),"／支払予定日が発行日より前",""),2,300))</f>
        <v/>
      </c>
      <c r="W38" s="67" t="n"/>
      <c r="X38" s="31">
        <f>IF(OR($B38="",$C38=""),"",IFERROR(MATCH($C38,'支払先'!$B$5:$B$104,0),""))</f>
        <v/>
      </c>
      <c r="Y38" s="31">
        <f>IF($B38="","",SUMIFS('支払明細'!$I$5:$I$1004,'支払明細'!$A$5:$A$1004,$B38,'支払明細'!$G$5:$G$1004,"10%（標準）",'支払明細'!$H$5:$H$1004,"&lt;&gt;対象外"))</f>
        <v/>
      </c>
      <c r="Z38" s="31">
        <f>IF($B38="","",SUMIFS('支払明細'!$I$5:$I$1004,'支払明細'!$A$5:$A$1004,$B38,'支払明細'!$G$5:$G$1004,"8%（軽減）",'支払明細'!$H$5:$H$1004,"&lt;&gt;対象外"))</f>
        <v/>
      </c>
      <c r="AA38" s="31">
        <f>IF($B38="","",SUMIFS('支払明細'!$I$5:$I$1004,'支払明細'!$A$5:$A$1004,$B38,'支払明細'!$G$5:$G$1004,"対象外",'支払明細'!$H$5:$H$1004,"&lt;&gt;対象外"))</f>
        <v/>
      </c>
      <c r="AB38" s="31">
        <f>IF($B38="","",COUNTIFS('支払明細'!$A$5:$A$1004,$B38,'支払明細'!$M$5:$M$1004,"超える"))</f>
        <v/>
      </c>
      <c r="AC38" s="31">
        <f>IF($B38="","",COUNTIFS('支払明細'!$A$5:$A$1004,$B38,'支払明細'!$G$5:$G$1004,""))</f>
        <v/>
      </c>
    </row>
    <row r="39" ht="18" customHeight="1">
      <c r="A39" s="17" t="n">
        <v>35</v>
      </c>
      <c r="B39" s="18" t="n"/>
      <c r="C39" s="18" t="n"/>
      <c r="D39" s="24" t="n"/>
      <c r="E39" s="19" t="n"/>
      <c r="F39" s="24" t="n"/>
      <c r="G39" s="28">
        <f>IF(AND($B39&lt;&gt;"",ISNUMBER($D39)),$D39+N('設定'!$B$13),"")</f>
        <v/>
      </c>
      <c r="H39" s="18" t="n"/>
      <c r="I39" s="19" t="n"/>
      <c r="J39" s="27">
        <f>IF($B39="","",IF($C39="","（支払先コードが空）",IF($X39="","※支払先にないコード",INDEX('支払先'!$C$5:$C$104,$X39)&amp;"")))</f>
        <v/>
      </c>
      <c r="K39" s="30">
        <f>IF($B39="","",COUNTIF('支払明細'!$A$5:$A$1004,$B39))</f>
        <v/>
      </c>
      <c r="L39" s="26">
        <f>IF($B39="","",SUMIFS('支払明細'!$I$5:$I$1004,'支払明細'!$A$5:$A$1004,$B39,'支払明細'!$G$5:$G$1004,"10%（標準）"))</f>
        <v/>
      </c>
      <c r="M39" s="26">
        <f>IF($B39="","",SUMIFS('支払明細'!$I$5:$I$1004,'支払明細'!$A$5:$A$1004,$B39,'支払明細'!$G$5:$G$1004,"8%（軽減）"))</f>
        <v/>
      </c>
      <c r="N39" s="26">
        <f>IF($B39="","",SUMIFS('支払明細'!$I$5:$I$1004,'支払明細'!$A$5:$A$1004,$B39,'支払明細'!$G$5:$G$1004,"対象外"))</f>
        <v/>
      </c>
      <c r="O39" s="26">
        <f>IF($B39="","",IF('設定'!$B$11="税込",IF('設定'!$B$12="切り捨て",ROUNDDOWN(ROUND($L39*10/110,6),0),IF('設定'!$B$12="切り上げ",ROUNDUP(ROUND($L39*10/110,6),0),ROUND($L39*10/110,0))),IF('設定'!$B$12="切り捨て",ROUNDDOWN(ROUND($L39*10/100,6),0),IF('設定'!$B$12="切り上げ",ROUNDUP(ROUND($L39*10/100,6),0),ROUND($L39*10/100,0)))))</f>
        <v/>
      </c>
      <c r="P39" s="26">
        <f>IF($B39="","",IF('設定'!$B$11="税込",IF('設定'!$B$12="切り捨て",ROUNDDOWN(ROUND($M39*8/108,6),0),IF('設定'!$B$12="切り上げ",ROUNDUP(ROUND($M39*8/108,6),0),ROUND($M39*8/108,0))),IF('設定'!$B$12="切り捨て",ROUNDDOWN(ROUND($M39*8/100,6),0),IF('設定'!$B$12="切り上げ",ROUNDUP(ROUND($M39*8/100,6),0),ROUND($M39*8/100,0)))))</f>
        <v/>
      </c>
      <c r="Q39" s="26">
        <f>IF($B39="","",IF('設定'!$B$11="税込",$L39+$M39+$N39,$L39+$O39+$M39+$P39+$N39))</f>
        <v/>
      </c>
      <c r="R39" s="26">
        <f>IF($B39="","",IF($X39="",0,IF(INDEX('支払先'!$I$5:$I$104,$X39)&lt;&gt;"する",0,IF(INDEX('支払先'!$J$5:$J$104,$X39)="税抜",IF('設定'!$B$11="税込",($Y39-IF('設定'!$B$12="切り捨て",ROUNDDOWN(ROUND($Y39*10/110,6),0),IF('設定'!$B$12="切り上げ",ROUNDUP(ROUND($Y39*10/110,6),0),ROUND($Y39*10/110,0)))+$Z39-IF('設定'!$B$12="切り捨て",ROUNDDOWN(ROUND($Z39*8/108,6),0),IF('設定'!$B$12="切り上げ",ROUNDUP(ROUND($Z39*8/108,6),0),ROUND($Z39*8/108,0)))+$AA39),$Y39+$Z39+$AA39),IF('設定'!$B$11="税込",$Y39+$Z39+$AA39,($Y39+IF('設定'!$B$12="切り捨て",ROUNDDOWN(ROUND($Y39*10/100,6),0),IF('設定'!$B$12="切り上げ",ROUNDUP(ROUND($Y39*10/100,6),0),ROUND($Y39*10/100,0)))+$Z39+IF('設定'!$B$12="切り捨て",ROUNDDOWN(ROUND($Z39*8/100,6),0),IF('設定'!$B$12="切り上げ",ROUNDUP(ROUND($Z39*8/100,6),0),ROUND($Z39*8/100,0)))+$AA39))))))</f>
        <v/>
      </c>
      <c r="S39" s="26">
        <f>IF($B39="","",IF(N($R39)&lt;=0,0,IF($R39&lt;='設定'!$B$18,ROUNDDOWN(ROUND($R39*'設定'!$B$17,6),0),ROUNDDOWN(ROUND(($R39-'設定'!$B$18)*'設定'!$B$19,6),0)+'設定'!$B$20)))</f>
        <v/>
      </c>
      <c r="T39" s="26">
        <f>IF($B39="","",IF($X39="",0,IF(INDEX('支払先'!$K$5:$K$104,$X39)="差し引く",N(INDEX('支払先'!$L$5:$L$104,$X39)),0)))</f>
        <v/>
      </c>
      <c r="U39" s="26">
        <f>IF($B39="","",$Q39-$S39-$T39)</f>
        <v/>
      </c>
      <c r="V39" s="22">
        <f>IF($B39="","",MID(IF($C39="","／支払先コードが空",IF($X39="","／支払先にないコード",""))&amp;IF($K39=0,"／明細がない","")&amp;IF($AC39&gt;0,"／税率が空の明細 "&amp;$AC39&amp;"件（合計に入っていない）","")&amp;IF($X39="","",IF(INDEX('支払先'!$G$5:$G$104,$X39)="","／登録番号なし（仕入明細書にならない）",""))&amp;IF($AB39&gt;0,"／60日（2か月）を超える明細 "&amp;$AB39&amp;"件","")&amp;IF($X39="","",IF(AND(INDEX('支払先'!$K$5:$K$104,$X39)="差し引く",OR(INDEX('支払先'!$M$5:$M$104,$X39)&lt;&gt;"対象外",INDEX('支払先'!$N$5:$N$104,$X39)&lt;&gt;"対象外")),"／手数料を差し引けない取引か確かめる",""))&amp;IF(COUNTIF($B$5:$B$204,$B39)&gt;1,"／通知Noが重複","")&amp;IF(AND(ISNUMBER($D39),ISNUMBER($F39),$F39&lt;$D39),"／支払予定日が発行日より前",""),2,300))</f>
        <v/>
      </c>
      <c r="W39" s="67" t="n"/>
      <c r="X39" s="31">
        <f>IF(OR($B39="",$C39=""),"",IFERROR(MATCH($C39,'支払先'!$B$5:$B$104,0),""))</f>
        <v/>
      </c>
      <c r="Y39" s="31">
        <f>IF($B39="","",SUMIFS('支払明細'!$I$5:$I$1004,'支払明細'!$A$5:$A$1004,$B39,'支払明細'!$G$5:$G$1004,"10%（標準）",'支払明細'!$H$5:$H$1004,"&lt;&gt;対象外"))</f>
        <v/>
      </c>
      <c r="Z39" s="31">
        <f>IF($B39="","",SUMIFS('支払明細'!$I$5:$I$1004,'支払明細'!$A$5:$A$1004,$B39,'支払明細'!$G$5:$G$1004,"8%（軽減）",'支払明細'!$H$5:$H$1004,"&lt;&gt;対象外"))</f>
        <v/>
      </c>
      <c r="AA39" s="31">
        <f>IF($B39="","",SUMIFS('支払明細'!$I$5:$I$1004,'支払明細'!$A$5:$A$1004,$B39,'支払明細'!$G$5:$G$1004,"対象外",'支払明細'!$H$5:$H$1004,"&lt;&gt;対象外"))</f>
        <v/>
      </c>
      <c r="AB39" s="31">
        <f>IF($B39="","",COUNTIFS('支払明細'!$A$5:$A$1004,$B39,'支払明細'!$M$5:$M$1004,"超える"))</f>
        <v/>
      </c>
      <c r="AC39" s="31">
        <f>IF($B39="","",COUNTIFS('支払明細'!$A$5:$A$1004,$B39,'支払明細'!$G$5:$G$1004,""))</f>
        <v/>
      </c>
    </row>
    <row r="40" ht="18" customHeight="1">
      <c r="A40" s="17" t="n">
        <v>36</v>
      </c>
      <c r="B40" s="18" t="n"/>
      <c r="C40" s="18" t="n"/>
      <c r="D40" s="24" t="n"/>
      <c r="E40" s="19" t="n"/>
      <c r="F40" s="24" t="n"/>
      <c r="G40" s="28">
        <f>IF(AND($B40&lt;&gt;"",ISNUMBER($D40)),$D40+N('設定'!$B$13),"")</f>
        <v/>
      </c>
      <c r="H40" s="18" t="n"/>
      <c r="I40" s="19" t="n"/>
      <c r="J40" s="27">
        <f>IF($B40="","",IF($C40="","（支払先コードが空）",IF($X40="","※支払先にないコード",INDEX('支払先'!$C$5:$C$104,$X40)&amp;"")))</f>
        <v/>
      </c>
      <c r="K40" s="30">
        <f>IF($B40="","",COUNTIF('支払明細'!$A$5:$A$1004,$B40))</f>
        <v/>
      </c>
      <c r="L40" s="26">
        <f>IF($B40="","",SUMIFS('支払明細'!$I$5:$I$1004,'支払明細'!$A$5:$A$1004,$B40,'支払明細'!$G$5:$G$1004,"10%（標準）"))</f>
        <v/>
      </c>
      <c r="M40" s="26">
        <f>IF($B40="","",SUMIFS('支払明細'!$I$5:$I$1004,'支払明細'!$A$5:$A$1004,$B40,'支払明細'!$G$5:$G$1004,"8%（軽減）"))</f>
        <v/>
      </c>
      <c r="N40" s="26">
        <f>IF($B40="","",SUMIFS('支払明細'!$I$5:$I$1004,'支払明細'!$A$5:$A$1004,$B40,'支払明細'!$G$5:$G$1004,"対象外"))</f>
        <v/>
      </c>
      <c r="O40" s="26">
        <f>IF($B40="","",IF('設定'!$B$11="税込",IF('設定'!$B$12="切り捨て",ROUNDDOWN(ROUND($L40*10/110,6),0),IF('設定'!$B$12="切り上げ",ROUNDUP(ROUND($L40*10/110,6),0),ROUND($L40*10/110,0))),IF('設定'!$B$12="切り捨て",ROUNDDOWN(ROUND($L40*10/100,6),0),IF('設定'!$B$12="切り上げ",ROUNDUP(ROUND($L40*10/100,6),0),ROUND($L40*10/100,0)))))</f>
        <v/>
      </c>
      <c r="P40" s="26">
        <f>IF($B40="","",IF('設定'!$B$11="税込",IF('設定'!$B$12="切り捨て",ROUNDDOWN(ROUND($M40*8/108,6),0),IF('設定'!$B$12="切り上げ",ROUNDUP(ROUND($M40*8/108,6),0),ROUND($M40*8/108,0))),IF('設定'!$B$12="切り捨て",ROUNDDOWN(ROUND($M40*8/100,6),0),IF('設定'!$B$12="切り上げ",ROUNDUP(ROUND($M40*8/100,6),0),ROUND($M40*8/100,0)))))</f>
        <v/>
      </c>
      <c r="Q40" s="26">
        <f>IF($B40="","",IF('設定'!$B$11="税込",$L40+$M40+$N40,$L40+$O40+$M40+$P40+$N40))</f>
        <v/>
      </c>
      <c r="R40" s="26">
        <f>IF($B40="","",IF($X40="",0,IF(INDEX('支払先'!$I$5:$I$104,$X40)&lt;&gt;"する",0,IF(INDEX('支払先'!$J$5:$J$104,$X40)="税抜",IF('設定'!$B$11="税込",($Y40-IF('設定'!$B$12="切り捨て",ROUNDDOWN(ROUND($Y40*10/110,6),0),IF('設定'!$B$12="切り上げ",ROUNDUP(ROUND($Y40*10/110,6),0),ROUND($Y40*10/110,0)))+$Z40-IF('設定'!$B$12="切り捨て",ROUNDDOWN(ROUND($Z40*8/108,6),0),IF('設定'!$B$12="切り上げ",ROUNDUP(ROUND($Z40*8/108,6),0),ROUND($Z40*8/108,0)))+$AA40),$Y40+$Z40+$AA40),IF('設定'!$B$11="税込",$Y40+$Z40+$AA40,($Y40+IF('設定'!$B$12="切り捨て",ROUNDDOWN(ROUND($Y40*10/100,6),0),IF('設定'!$B$12="切り上げ",ROUNDUP(ROUND($Y40*10/100,6),0),ROUND($Y40*10/100,0)))+$Z40+IF('設定'!$B$12="切り捨て",ROUNDDOWN(ROUND($Z40*8/100,6),0),IF('設定'!$B$12="切り上げ",ROUNDUP(ROUND($Z40*8/100,6),0),ROUND($Z40*8/100,0)))+$AA40))))))</f>
        <v/>
      </c>
      <c r="S40" s="26">
        <f>IF($B40="","",IF(N($R40)&lt;=0,0,IF($R40&lt;='設定'!$B$18,ROUNDDOWN(ROUND($R40*'設定'!$B$17,6),0),ROUNDDOWN(ROUND(($R40-'設定'!$B$18)*'設定'!$B$19,6),0)+'設定'!$B$20)))</f>
        <v/>
      </c>
      <c r="T40" s="26">
        <f>IF($B40="","",IF($X40="",0,IF(INDEX('支払先'!$K$5:$K$104,$X40)="差し引く",N(INDEX('支払先'!$L$5:$L$104,$X40)),0)))</f>
        <v/>
      </c>
      <c r="U40" s="26">
        <f>IF($B40="","",$Q40-$S40-$T40)</f>
        <v/>
      </c>
      <c r="V40" s="22">
        <f>IF($B40="","",MID(IF($C40="","／支払先コードが空",IF($X40="","／支払先にないコード",""))&amp;IF($K40=0,"／明細がない","")&amp;IF($AC40&gt;0,"／税率が空の明細 "&amp;$AC40&amp;"件（合計に入っていない）","")&amp;IF($X40="","",IF(INDEX('支払先'!$G$5:$G$104,$X40)="","／登録番号なし（仕入明細書にならない）",""))&amp;IF($AB40&gt;0,"／60日（2か月）を超える明細 "&amp;$AB40&amp;"件","")&amp;IF($X40="","",IF(AND(INDEX('支払先'!$K$5:$K$104,$X40)="差し引く",OR(INDEX('支払先'!$M$5:$M$104,$X40)&lt;&gt;"対象外",INDEX('支払先'!$N$5:$N$104,$X40)&lt;&gt;"対象外")),"／手数料を差し引けない取引か確かめる",""))&amp;IF(COUNTIF($B$5:$B$204,$B40)&gt;1,"／通知Noが重複","")&amp;IF(AND(ISNUMBER($D40),ISNUMBER($F40),$F40&lt;$D40),"／支払予定日が発行日より前",""),2,300))</f>
        <v/>
      </c>
      <c r="W40" s="67" t="n"/>
      <c r="X40" s="31">
        <f>IF(OR($B40="",$C40=""),"",IFERROR(MATCH($C40,'支払先'!$B$5:$B$104,0),""))</f>
        <v/>
      </c>
      <c r="Y40" s="31">
        <f>IF($B40="","",SUMIFS('支払明細'!$I$5:$I$1004,'支払明細'!$A$5:$A$1004,$B40,'支払明細'!$G$5:$G$1004,"10%（標準）",'支払明細'!$H$5:$H$1004,"&lt;&gt;対象外"))</f>
        <v/>
      </c>
      <c r="Z40" s="31">
        <f>IF($B40="","",SUMIFS('支払明細'!$I$5:$I$1004,'支払明細'!$A$5:$A$1004,$B40,'支払明細'!$G$5:$G$1004,"8%（軽減）",'支払明細'!$H$5:$H$1004,"&lt;&gt;対象外"))</f>
        <v/>
      </c>
      <c r="AA40" s="31">
        <f>IF($B40="","",SUMIFS('支払明細'!$I$5:$I$1004,'支払明細'!$A$5:$A$1004,$B40,'支払明細'!$G$5:$G$1004,"対象外",'支払明細'!$H$5:$H$1004,"&lt;&gt;対象外"))</f>
        <v/>
      </c>
      <c r="AB40" s="31">
        <f>IF($B40="","",COUNTIFS('支払明細'!$A$5:$A$1004,$B40,'支払明細'!$M$5:$M$1004,"超える"))</f>
        <v/>
      </c>
      <c r="AC40" s="31">
        <f>IF($B40="","",COUNTIFS('支払明細'!$A$5:$A$1004,$B40,'支払明細'!$G$5:$G$1004,""))</f>
        <v/>
      </c>
    </row>
    <row r="41" ht="18" customHeight="1">
      <c r="A41" s="17" t="n">
        <v>37</v>
      </c>
      <c r="B41" s="18" t="n"/>
      <c r="C41" s="18" t="n"/>
      <c r="D41" s="24" t="n"/>
      <c r="E41" s="19" t="n"/>
      <c r="F41" s="24" t="n"/>
      <c r="G41" s="28">
        <f>IF(AND($B41&lt;&gt;"",ISNUMBER($D41)),$D41+N('設定'!$B$13),"")</f>
        <v/>
      </c>
      <c r="H41" s="18" t="n"/>
      <c r="I41" s="19" t="n"/>
      <c r="J41" s="27">
        <f>IF($B41="","",IF($C41="","（支払先コードが空）",IF($X41="","※支払先にないコード",INDEX('支払先'!$C$5:$C$104,$X41)&amp;"")))</f>
        <v/>
      </c>
      <c r="K41" s="30">
        <f>IF($B41="","",COUNTIF('支払明細'!$A$5:$A$1004,$B41))</f>
        <v/>
      </c>
      <c r="L41" s="26">
        <f>IF($B41="","",SUMIFS('支払明細'!$I$5:$I$1004,'支払明細'!$A$5:$A$1004,$B41,'支払明細'!$G$5:$G$1004,"10%（標準）"))</f>
        <v/>
      </c>
      <c r="M41" s="26">
        <f>IF($B41="","",SUMIFS('支払明細'!$I$5:$I$1004,'支払明細'!$A$5:$A$1004,$B41,'支払明細'!$G$5:$G$1004,"8%（軽減）"))</f>
        <v/>
      </c>
      <c r="N41" s="26">
        <f>IF($B41="","",SUMIFS('支払明細'!$I$5:$I$1004,'支払明細'!$A$5:$A$1004,$B41,'支払明細'!$G$5:$G$1004,"対象外"))</f>
        <v/>
      </c>
      <c r="O41" s="26">
        <f>IF($B41="","",IF('設定'!$B$11="税込",IF('設定'!$B$12="切り捨て",ROUNDDOWN(ROUND($L41*10/110,6),0),IF('設定'!$B$12="切り上げ",ROUNDUP(ROUND($L41*10/110,6),0),ROUND($L41*10/110,0))),IF('設定'!$B$12="切り捨て",ROUNDDOWN(ROUND($L41*10/100,6),0),IF('設定'!$B$12="切り上げ",ROUNDUP(ROUND($L41*10/100,6),0),ROUND($L41*10/100,0)))))</f>
        <v/>
      </c>
      <c r="P41" s="26">
        <f>IF($B41="","",IF('設定'!$B$11="税込",IF('設定'!$B$12="切り捨て",ROUNDDOWN(ROUND($M41*8/108,6),0),IF('設定'!$B$12="切り上げ",ROUNDUP(ROUND($M41*8/108,6),0),ROUND($M41*8/108,0))),IF('設定'!$B$12="切り捨て",ROUNDDOWN(ROUND($M41*8/100,6),0),IF('設定'!$B$12="切り上げ",ROUNDUP(ROUND($M41*8/100,6),0),ROUND($M41*8/100,0)))))</f>
        <v/>
      </c>
      <c r="Q41" s="26">
        <f>IF($B41="","",IF('設定'!$B$11="税込",$L41+$M41+$N41,$L41+$O41+$M41+$P41+$N41))</f>
        <v/>
      </c>
      <c r="R41" s="26">
        <f>IF($B41="","",IF($X41="",0,IF(INDEX('支払先'!$I$5:$I$104,$X41)&lt;&gt;"する",0,IF(INDEX('支払先'!$J$5:$J$104,$X41)="税抜",IF('設定'!$B$11="税込",($Y41-IF('設定'!$B$12="切り捨て",ROUNDDOWN(ROUND($Y41*10/110,6),0),IF('設定'!$B$12="切り上げ",ROUNDUP(ROUND($Y41*10/110,6),0),ROUND($Y41*10/110,0)))+$Z41-IF('設定'!$B$12="切り捨て",ROUNDDOWN(ROUND($Z41*8/108,6),0),IF('設定'!$B$12="切り上げ",ROUNDUP(ROUND($Z41*8/108,6),0),ROUND($Z41*8/108,0)))+$AA41),$Y41+$Z41+$AA41),IF('設定'!$B$11="税込",$Y41+$Z41+$AA41,($Y41+IF('設定'!$B$12="切り捨て",ROUNDDOWN(ROUND($Y41*10/100,6),0),IF('設定'!$B$12="切り上げ",ROUNDUP(ROUND($Y41*10/100,6),0),ROUND($Y41*10/100,0)))+$Z41+IF('設定'!$B$12="切り捨て",ROUNDDOWN(ROUND($Z41*8/100,6),0),IF('設定'!$B$12="切り上げ",ROUNDUP(ROUND($Z41*8/100,6),0),ROUND($Z41*8/100,0)))+$AA41))))))</f>
        <v/>
      </c>
      <c r="S41" s="26">
        <f>IF($B41="","",IF(N($R41)&lt;=0,0,IF($R41&lt;='設定'!$B$18,ROUNDDOWN(ROUND($R41*'設定'!$B$17,6),0),ROUNDDOWN(ROUND(($R41-'設定'!$B$18)*'設定'!$B$19,6),0)+'設定'!$B$20)))</f>
        <v/>
      </c>
      <c r="T41" s="26">
        <f>IF($B41="","",IF($X41="",0,IF(INDEX('支払先'!$K$5:$K$104,$X41)="差し引く",N(INDEX('支払先'!$L$5:$L$104,$X41)),0)))</f>
        <v/>
      </c>
      <c r="U41" s="26">
        <f>IF($B41="","",$Q41-$S41-$T41)</f>
        <v/>
      </c>
      <c r="V41" s="22">
        <f>IF($B41="","",MID(IF($C41="","／支払先コードが空",IF($X41="","／支払先にないコード",""))&amp;IF($K41=0,"／明細がない","")&amp;IF($AC41&gt;0,"／税率が空の明細 "&amp;$AC41&amp;"件（合計に入っていない）","")&amp;IF($X41="","",IF(INDEX('支払先'!$G$5:$G$104,$X41)="","／登録番号なし（仕入明細書にならない）",""))&amp;IF($AB41&gt;0,"／60日（2か月）を超える明細 "&amp;$AB41&amp;"件","")&amp;IF($X41="","",IF(AND(INDEX('支払先'!$K$5:$K$104,$X41)="差し引く",OR(INDEX('支払先'!$M$5:$M$104,$X41)&lt;&gt;"対象外",INDEX('支払先'!$N$5:$N$104,$X41)&lt;&gt;"対象外")),"／手数料を差し引けない取引か確かめる",""))&amp;IF(COUNTIF($B$5:$B$204,$B41)&gt;1,"／通知Noが重複","")&amp;IF(AND(ISNUMBER($D41),ISNUMBER($F41),$F41&lt;$D41),"／支払予定日が発行日より前",""),2,300))</f>
        <v/>
      </c>
      <c r="W41" s="67" t="n"/>
      <c r="X41" s="31">
        <f>IF(OR($B41="",$C41=""),"",IFERROR(MATCH($C41,'支払先'!$B$5:$B$104,0),""))</f>
        <v/>
      </c>
      <c r="Y41" s="31">
        <f>IF($B41="","",SUMIFS('支払明細'!$I$5:$I$1004,'支払明細'!$A$5:$A$1004,$B41,'支払明細'!$G$5:$G$1004,"10%（標準）",'支払明細'!$H$5:$H$1004,"&lt;&gt;対象外"))</f>
        <v/>
      </c>
      <c r="Z41" s="31">
        <f>IF($B41="","",SUMIFS('支払明細'!$I$5:$I$1004,'支払明細'!$A$5:$A$1004,$B41,'支払明細'!$G$5:$G$1004,"8%（軽減）",'支払明細'!$H$5:$H$1004,"&lt;&gt;対象外"))</f>
        <v/>
      </c>
      <c r="AA41" s="31">
        <f>IF($B41="","",SUMIFS('支払明細'!$I$5:$I$1004,'支払明細'!$A$5:$A$1004,$B41,'支払明細'!$G$5:$G$1004,"対象外",'支払明細'!$H$5:$H$1004,"&lt;&gt;対象外"))</f>
        <v/>
      </c>
      <c r="AB41" s="31">
        <f>IF($B41="","",COUNTIFS('支払明細'!$A$5:$A$1004,$B41,'支払明細'!$M$5:$M$1004,"超える"))</f>
        <v/>
      </c>
      <c r="AC41" s="31">
        <f>IF($B41="","",COUNTIFS('支払明細'!$A$5:$A$1004,$B41,'支払明細'!$G$5:$G$1004,""))</f>
        <v/>
      </c>
    </row>
    <row r="42" ht="18" customHeight="1">
      <c r="A42" s="17" t="n">
        <v>38</v>
      </c>
      <c r="B42" s="18" t="n"/>
      <c r="C42" s="18" t="n"/>
      <c r="D42" s="24" t="n"/>
      <c r="E42" s="19" t="n"/>
      <c r="F42" s="24" t="n"/>
      <c r="G42" s="28">
        <f>IF(AND($B42&lt;&gt;"",ISNUMBER($D42)),$D42+N('設定'!$B$13),"")</f>
        <v/>
      </c>
      <c r="H42" s="18" t="n"/>
      <c r="I42" s="19" t="n"/>
      <c r="J42" s="27">
        <f>IF($B42="","",IF($C42="","（支払先コードが空）",IF($X42="","※支払先にないコード",INDEX('支払先'!$C$5:$C$104,$X42)&amp;"")))</f>
        <v/>
      </c>
      <c r="K42" s="30">
        <f>IF($B42="","",COUNTIF('支払明細'!$A$5:$A$1004,$B42))</f>
        <v/>
      </c>
      <c r="L42" s="26">
        <f>IF($B42="","",SUMIFS('支払明細'!$I$5:$I$1004,'支払明細'!$A$5:$A$1004,$B42,'支払明細'!$G$5:$G$1004,"10%（標準）"))</f>
        <v/>
      </c>
      <c r="M42" s="26">
        <f>IF($B42="","",SUMIFS('支払明細'!$I$5:$I$1004,'支払明細'!$A$5:$A$1004,$B42,'支払明細'!$G$5:$G$1004,"8%（軽減）"))</f>
        <v/>
      </c>
      <c r="N42" s="26">
        <f>IF($B42="","",SUMIFS('支払明細'!$I$5:$I$1004,'支払明細'!$A$5:$A$1004,$B42,'支払明細'!$G$5:$G$1004,"対象外"))</f>
        <v/>
      </c>
      <c r="O42" s="26">
        <f>IF($B42="","",IF('設定'!$B$11="税込",IF('設定'!$B$12="切り捨て",ROUNDDOWN(ROUND($L42*10/110,6),0),IF('設定'!$B$12="切り上げ",ROUNDUP(ROUND($L42*10/110,6),0),ROUND($L42*10/110,0))),IF('設定'!$B$12="切り捨て",ROUNDDOWN(ROUND($L42*10/100,6),0),IF('設定'!$B$12="切り上げ",ROUNDUP(ROUND($L42*10/100,6),0),ROUND($L42*10/100,0)))))</f>
        <v/>
      </c>
      <c r="P42" s="26">
        <f>IF($B42="","",IF('設定'!$B$11="税込",IF('設定'!$B$12="切り捨て",ROUNDDOWN(ROUND($M42*8/108,6),0),IF('設定'!$B$12="切り上げ",ROUNDUP(ROUND($M42*8/108,6),0),ROUND($M42*8/108,0))),IF('設定'!$B$12="切り捨て",ROUNDDOWN(ROUND($M42*8/100,6),0),IF('設定'!$B$12="切り上げ",ROUNDUP(ROUND($M42*8/100,6),0),ROUND($M42*8/100,0)))))</f>
        <v/>
      </c>
      <c r="Q42" s="26">
        <f>IF($B42="","",IF('設定'!$B$11="税込",$L42+$M42+$N42,$L42+$O42+$M42+$P42+$N42))</f>
        <v/>
      </c>
      <c r="R42" s="26">
        <f>IF($B42="","",IF($X42="",0,IF(INDEX('支払先'!$I$5:$I$104,$X42)&lt;&gt;"する",0,IF(INDEX('支払先'!$J$5:$J$104,$X42)="税抜",IF('設定'!$B$11="税込",($Y42-IF('設定'!$B$12="切り捨て",ROUNDDOWN(ROUND($Y42*10/110,6),0),IF('設定'!$B$12="切り上げ",ROUNDUP(ROUND($Y42*10/110,6),0),ROUND($Y42*10/110,0)))+$Z42-IF('設定'!$B$12="切り捨て",ROUNDDOWN(ROUND($Z42*8/108,6),0),IF('設定'!$B$12="切り上げ",ROUNDUP(ROUND($Z42*8/108,6),0),ROUND($Z42*8/108,0)))+$AA42),$Y42+$Z42+$AA42),IF('設定'!$B$11="税込",$Y42+$Z42+$AA42,($Y42+IF('設定'!$B$12="切り捨て",ROUNDDOWN(ROUND($Y42*10/100,6),0),IF('設定'!$B$12="切り上げ",ROUNDUP(ROUND($Y42*10/100,6),0),ROUND($Y42*10/100,0)))+$Z42+IF('設定'!$B$12="切り捨て",ROUNDDOWN(ROUND($Z42*8/100,6),0),IF('設定'!$B$12="切り上げ",ROUNDUP(ROUND($Z42*8/100,6),0),ROUND($Z42*8/100,0)))+$AA42))))))</f>
        <v/>
      </c>
      <c r="S42" s="26">
        <f>IF($B42="","",IF(N($R42)&lt;=0,0,IF($R42&lt;='設定'!$B$18,ROUNDDOWN(ROUND($R42*'設定'!$B$17,6),0),ROUNDDOWN(ROUND(($R42-'設定'!$B$18)*'設定'!$B$19,6),0)+'設定'!$B$20)))</f>
        <v/>
      </c>
      <c r="T42" s="26">
        <f>IF($B42="","",IF($X42="",0,IF(INDEX('支払先'!$K$5:$K$104,$X42)="差し引く",N(INDEX('支払先'!$L$5:$L$104,$X42)),0)))</f>
        <v/>
      </c>
      <c r="U42" s="26">
        <f>IF($B42="","",$Q42-$S42-$T42)</f>
        <v/>
      </c>
      <c r="V42" s="22">
        <f>IF($B42="","",MID(IF($C42="","／支払先コードが空",IF($X42="","／支払先にないコード",""))&amp;IF($K42=0,"／明細がない","")&amp;IF($AC42&gt;0,"／税率が空の明細 "&amp;$AC42&amp;"件（合計に入っていない）","")&amp;IF($X42="","",IF(INDEX('支払先'!$G$5:$G$104,$X42)="","／登録番号なし（仕入明細書にならない）",""))&amp;IF($AB42&gt;0,"／60日（2か月）を超える明細 "&amp;$AB42&amp;"件","")&amp;IF($X42="","",IF(AND(INDEX('支払先'!$K$5:$K$104,$X42)="差し引く",OR(INDEX('支払先'!$M$5:$M$104,$X42)&lt;&gt;"対象外",INDEX('支払先'!$N$5:$N$104,$X42)&lt;&gt;"対象外")),"／手数料を差し引けない取引か確かめる",""))&amp;IF(COUNTIF($B$5:$B$204,$B42)&gt;1,"／通知Noが重複","")&amp;IF(AND(ISNUMBER($D42),ISNUMBER($F42),$F42&lt;$D42),"／支払予定日が発行日より前",""),2,300))</f>
        <v/>
      </c>
      <c r="W42" s="67" t="n"/>
      <c r="X42" s="31">
        <f>IF(OR($B42="",$C42=""),"",IFERROR(MATCH($C42,'支払先'!$B$5:$B$104,0),""))</f>
        <v/>
      </c>
      <c r="Y42" s="31">
        <f>IF($B42="","",SUMIFS('支払明細'!$I$5:$I$1004,'支払明細'!$A$5:$A$1004,$B42,'支払明細'!$G$5:$G$1004,"10%（標準）",'支払明細'!$H$5:$H$1004,"&lt;&gt;対象外"))</f>
        <v/>
      </c>
      <c r="Z42" s="31">
        <f>IF($B42="","",SUMIFS('支払明細'!$I$5:$I$1004,'支払明細'!$A$5:$A$1004,$B42,'支払明細'!$G$5:$G$1004,"8%（軽減）",'支払明細'!$H$5:$H$1004,"&lt;&gt;対象外"))</f>
        <v/>
      </c>
      <c r="AA42" s="31">
        <f>IF($B42="","",SUMIFS('支払明細'!$I$5:$I$1004,'支払明細'!$A$5:$A$1004,$B42,'支払明細'!$G$5:$G$1004,"対象外",'支払明細'!$H$5:$H$1004,"&lt;&gt;対象外"))</f>
        <v/>
      </c>
      <c r="AB42" s="31">
        <f>IF($B42="","",COUNTIFS('支払明細'!$A$5:$A$1004,$B42,'支払明細'!$M$5:$M$1004,"超える"))</f>
        <v/>
      </c>
      <c r="AC42" s="31">
        <f>IF($B42="","",COUNTIFS('支払明細'!$A$5:$A$1004,$B42,'支払明細'!$G$5:$G$1004,""))</f>
        <v/>
      </c>
    </row>
    <row r="43" ht="18" customHeight="1">
      <c r="A43" s="17" t="n">
        <v>39</v>
      </c>
      <c r="B43" s="18" t="n"/>
      <c r="C43" s="18" t="n"/>
      <c r="D43" s="24" t="n"/>
      <c r="E43" s="19" t="n"/>
      <c r="F43" s="24" t="n"/>
      <c r="G43" s="28">
        <f>IF(AND($B43&lt;&gt;"",ISNUMBER($D43)),$D43+N('設定'!$B$13),"")</f>
        <v/>
      </c>
      <c r="H43" s="18" t="n"/>
      <c r="I43" s="19" t="n"/>
      <c r="J43" s="27">
        <f>IF($B43="","",IF($C43="","（支払先コードが空）",IF($X43="","※支払先にないコード",INDEX('支払先'!$C$5:$C$104,$X43)&amp;"")))</f>
        <v/>
      </c>
      <c r="K43" s="30">
        <f>IF($B43="","",COUNTIF('支払明細'!$A$5:$A$1004,$B43))</f>
        <v/>
      </c>
      <c r="L43" s="26">
        <f>IF($B43="","",SUMIFS('支払明細'!$I$5:$I$1004,'支払明細'!$A$5:$A$1004,$B43,'支払明細'!$G$5:$G$1004,"10%（標準）"))</f>
        <v/>
      </c>
      <c r="M43" s="26">
        <f>IF($B43="","",SUMIFS('支払明細'!$I$5:$I$1004,'支払明細'!$A$5:$A$1004,$B43,'支払明細'!$G$5:$G$1004,"8%（軽減）"))</f>
        <v/>
      </c>
      <c r="N43" s="26">
        <f>IF($B43="","",SUMIFS('支払明細'!$I$5:$I$1004,'支払明細'!$A$5:$A$1004,$B43,'支払明細'!$G$5:$G$1004,"対象外"))</f>
        <v/>
      </c>
      <c r="O43" s="26">
        <f>IF($B43="","",IF('設定'!$B$11="税込",IF('設定'!$B$12="切り捨て",ROUNDDOWN(ROUND($L43*10/110,6),0),IF('設定'!$B$12="切り上げ",ROUNDUP(ROUND($L43*10/110,6),0),ROUND($L43*10/110,0))),IF('設定'!$B$12="切り捨て",ROUNDDOWN(ROUND($L43*10/100,6),0),IF('設定'!$B$12="切り上げ",ROUNDUP(ROUND($L43*10/100,6),0),ROUND($L43*10/100,0)))))</f>
        <v/>
      </c>
      <c r="P43" s="26">
        <f>IF($B43="","",IF('設定'!$B$11="税込",IF('設定'!$B$12="切り捨て",ROUNDDOWN(ROUND($M43*8/108,6),0),IF('設定'!$B$12="切り上げ",ROUNDUP(ROUND($M43*8/108,6),0),ROUND($M43*8/108,0))),IF('設定'!$B$12="切り捨て",ROUNDDOWN(ROUND($M43*8/100,6),0),IF('設定'!$B$12="切り上げ",ROUNDUP(ROUND($M43*8/100,6),0),ROUND($M43*8/100,0)))))</f>
        <v/>
      </c>
      <c r="Q43" s="26">
        <f>IF($B43="","",IF('設定'!$B$11="税込",$L43+$M43+$N43,$L43+$O43+$M43+$P43+$N43))</f>
        <v/>
      </c>
      <c r="R43" s="26">
        <f>IF($B43="","",IF($X43="",0,IF(INDEX('支払先'!$I$5:$I$104,$X43)&lt;&gt;"する",0,IF(INDEX('支払先'!$J$5:$J$104,$X43)="税抜",IF('設定'!$B$11="税込",($Y43-IF('設定'!$B$12="切り捨て",ROUNDDOWN(ROUND($Y43*10/110,6),0),IF('設定'!$B$12="切り上げ",ROUNDUP(ROUND($Y43*10/110,6),0),ROUND($Y43*10/110,0)))+$Z43-IF('設定'!$B$12="切り捨て",ROUNDDOWN(ROUND($Z43*8/108,6),0),IF('設定'!$B$12="切り上げ",ROUNDUP(ROUND($Z43*8/108,6),0),ROUND($Z43*8/108,0)))+$AA43),$Y43+$Z43+$AA43),IF('設定'!$B$11="税込",$Y43+$Z43+$AA43,($Y43+IF('設定'!$B$12="切り捨て",ROUNDDOWN(ROUND($Y43*10/100,6),0),IF('設定'!$B$12="切り上げ",ROUNDUP(ROUND($Y43*10/100,6),0),ROUND($Y43*10/100,0)))+$Z43+IF('設定'!$B$12="切り捨て",ROUNDDOWN(ROUND($Z43*8/100,6),0),IF('設定'!$B$12="切り上げ",ROUNDUP(ROUND($Z43*8/100,6),0),ROUND($Z43*8/100,0)))+$AA43))))))</f>
        <v/>
      </c>
      <c r="S43" s="26">
        <f>IF($B43="","",IF(N($R43)&lt;=0,0,IF($R43&lt;='設定'!$B$18,ROUNDDOWN(ROUND($R43*'設定'!$B$17,6),0),ROUNDDOWN(ROUND(($R43-'設定'!$B$18)*'設定'!$B$19,6),0)+'設定'!$B$20)))</f>
        <v/>
      </c>
      <c r="T43" s="26">
        <f>IF($B43="","",IF($X43="",0,IF(INDEX('支払先'!$K$5:$K$104,$X43)="差し引く",N(INDEX('支払先'!$L$5:$L$104,$X43)),0)))</f>
        <v/>
      </c>
      <c r="U43" s="26">
        <f>IF($B43="","",$Q43-$S43-$T43)</f>
        <v/>
      </c>
      <c r="V43" s="22">
        <f>IF($B43="","",MID(IF($C43="","／支払先コードが空",IF($X43="","／支払先にないコード",""))&amp;IF($K43=0,"／明細がない","")&amp;IF($AC43&gt;0,"／税率が空の明細 "&amp;$AC43&amp;"件（合計に入っていない）","")&amp;IF($X43="","",IF(INDEX('支払先'!$G$5:$G$104,$X43)="","／登録番号なし（仕入明細書にならない）",""))&amp;IF($AB43&gt;0,"／60日（2か月）を超える明細 "&amp;$AB43&amp;"件","")&amp;IF($X43="","",IF(AND(INDEX('支払先'!$K$5:$K$104,$X43)="差し引く",OR(INDEX('支払先'!$M$5:$M$104,$X43)&lt;&gt;"対象外",INDEX('支払先'!$N$5:$N$104,$X43)&lt;&gt;"対象外")),"／手数料を差し引けない取引か確かめる",""))&amp;IF(COUNTIF($B$5:$B$204,$B43)&gt;1,"／通知Noが重複","")&amp;IF(AND(ISNUMBER($D43),ISNUMBER($F43),$F43&lt;$D43),"／支払予定日が発行日より前",""),2,300))</f>
        <v/>
      </c>
      <c r="W43" s="67" t="n"/>
      <c r="X43" s="31">
        <f>IF(OR($B43="",$C43=""),"",IFERROR(MATCH($C43,'支払先'!$B$5:$B$104,0),""))</f>
        <v/>
      </c>
      <c r="Y43" s="31">
        <f>IF($B43="","",SUMIFS('支払明細'!$I$5:$I$1004,'支払明細'!$A$5:$A$1004,$B43,'支払明細'!$G$5:$G$1004,"10%（標準）",'支払明細'!$H$5:$H$1004,"&lt;&gt;対象外"))</f>
        <v/>
      </c>
      <c r="Z43" s="31">
        <f>IF($B43="","",SUMIFS('支払明細'!$I$5:$I$1004,'支払明細'!$A$5:$A$1004,$B43,'支払明細'!$G$5:$G$1004,"8%（軽減）",'支払明細'!$H$5:$H$1004,"&lt;&gt;対象外"))</f>
        <v/>
      </c>
      <c r="AA43" s="31">
        <f>IF($B43="","",SUMIFS('支払明細'!$I$5:$I$1004,'支払明細'!$A$5:$A$1004,$B43,'支払明細'!$G$5:$G$1004,"対象外",'支払明細'!$H$5:$H$1004,"&lt;&gt;対象外"))</f>
        <v/>
      </c>
      <c r="AB43" s="31">
        <f>IF($B43="","",COUNTIFS('支払明細'!$A$5:$A$1004,$B43,'支払明細'!$M$5:$M$1004,"超える"))</f>
        <v/>
      </c>
      <c r="AC43" s="31">
        <f>IF($B43="","",COUNTIFS('支払明細'!$A$5:$A$1004,$B43,'支払明細'!$G$5:$G$1004,""))</f>
        <v/>
      </c>
    </row>
    <row r="44" ht="18" customHeight="1">
      <c r="A44" s="17" t="n">
        <v>40</v>
      </c>
      <c r="B44" s="18" t="n"/>
      <c r="C44" s="18" t="n"/>
      <c r="D44" s="24" t="n"/>
      <c r="E44" s="19" t="n"/>
      <c r="F44" s="24" t="n"/>
      <c r="G44" s="28">
        <f>IF(AND($B44&lt;&gt;"",ISNUMBER($D44)),$D44+N('設定'!$B$13),"")</f>
        <v/>
      </c>
      <c r="H44" s="18" t="n"/>
      <c r="I44" s="19" t="n"/>
      <c r="J44" s="27">
        <f>IF($B44="","",IF($C44="","（支払先コードが空）",IF($X44="","※支払先にないコード",INDEX('支払先'!$C$5:$C$104,$X44)&amp;"")))</f>
        <v/>
      </c>
      <c r="K44" s="30">
        <f>IF($B44="","",COUNTIF('支払明細'!$A$5:$A$1004,$B44))</f>
        <v/>
      </c>
      <c r="L44" s="26">
        <f>IF($B44="","",SUMIFS('支払明細'!$I$5:$I$1004,'支払明細'!$A$5:$A$1004,$B44,'支払明細'!$G$5:$G$1004,"10%（標準）"))</f>
        <v/>
      </c>
      <c r="M44" s="26">
        <f>IF($B44="","",SUMIFS('支払明細'!$I$5:$I$1004,'支払明細'!$A$5:$A$1004,$B44,'支払明細'!$G$5:$G$1004,"8%（軽減）"))</f>
        <v/>
      </c>
      <c r="N44" s="26">
        <f>IF($B44="","",SUMIFS('支払明細'!$I$5:$I$1004,'支払明細'!$A$5:$A$1004,$B44,'支払明細'!$G$5:$G$1004,"対象外"))</f>
        <v/>
      </c>
      <c r="O44" s="26">
        <f>IF($B44="","",IF('設定'!$B$11="税込",IF('設定'!$B$12="切り捨て",ROUNDDOWN(ROUND($L44*10/110,6),0),IF('設定'!$B$12="切り上げ",ROUNDUP(ROUND($L44*10/110,6),0),ROUND($L44*10/110,0))),IF('設定'!$B$12="切り捨て",ROUNDDOWN(ROUND($L44*10/100,6),0),IF('設定'!$B$12="切り上げ",ROUNDUP(ROUND($L44*10/100,6),0),ROUND($L44*10/100,0)))))</f>
        <v/>
      </c>
      <c r="P44" s="26">
        <f>IF($B44="","",IF('設定'!$B$11="税込",IF('設定'!$B$12="切り捨て",ROUNDDOWN(ROUND($M44*8/108,6),0),IF('設定'!$B$12="切り上げ",ROUNDUP(ROUND($M44*8/108,6),0),ROUND($M44*8/108,0))),IF('設定'!$B$12="切り捨て",ROUNDDOWN(ROUND($M44*8/100,6),0),IF('設定'!$B$12="切り上げ",ROUNDUP(ROUND($M44*8/100,6),0),ROUND($M44*8/100,0)))))</f>
        <v/>
      </c>
      <c r="Q44" s="26">
        <f>IF($B44="","",IF('設定'!$B$11="税込",$L44+$M44+$N44,$L44+$O44+$M44+$P44+$N44))</f>
        <v/>
      </c>
      <c r="R44" s="26">
        <f>IF($B44="","",IF($X44="",0,IF(INDEX('支払先'!$I$5:$I$104,$X44)&lt;&gt;"する",0,IF(INDEX('支払先'!$J$5:$J$104,$X44)="税抜",IF('設定'!$B$11="税込",($Y44-IF('設定'!$B$12="切り捨て",ROUNDDOWN(ROUND($Y44*10/110,6),0),IF('設定'!$B$12="切り上げ",ROUNDUP(ROUND($Y44*10/110,6),0),ROUND($Y44*10/110,0)))+$Z44-IF('設定'!$B$12="切り捨て",ROUNDDOWN(ROUND($Z44*8/108,6),0),IF('設定'!$B$12="切り上げ",ROUNDUP(ROUND($Z44*8/108,6),0),ROUND($Z44*8/108,0)))+$AA44),$Y44+$Z44+$AA44),IF('設定'!$B$11="税込",$Y44+$Z44+$AA44,($Y44+IF('設定'!$B$12="切り捨て",ROUNDDOWN(ROUND($Y44*10/100,6),0),IF('設定'!$B$12="切り上げ",ROUNDUP(ROUND($Y44*10/100,6),0),ROUND($Y44*10/100,0)))+$Z44+IF('設定'!$B$12="切り捨て",ROUNDDOWN(ROUND($Z44*8/100,6),0),IF('設定'!$B$12="切り上げ",ROUNDUP(ROUND($Z44*8/100,6),0),ROUND($Z44*8/100,0)))+$AA44))))))</f>
        <v/>
      </c>
      <c r="S44" s="26">
        <f>IF($B44="","",IF(N($R44)&lt;=0,0,IF($R44&lt;='設定'!$B$18,ROUNDDOWN(ROUND($R44*'設定'!$B$17,6),0),ROUNDDOWN(ROUND(($R44-'設定'!$B$18)*'設定'!$B$19,6),0)+'設定'!$B$20)))</f>
        <v/>
      </c>
      <c r="T44" s="26">
        <f>IF($B44="","",IF($X44="",0,IF(INDEX('支払先'!$K$5:$K$104,$X44)="差し引く",N(INDEX('支払先'!$L$5:$L$104,$X44)),0)))</f>
        <v/>
      </c>
      <c r="U44" s="26">
        <f>IF($B44="","",$Q44-$S44-$T44)</f>
        <v/>
      </c>
      <c r="V44" s="22">
        <f>IF($B44="","",MID(IF($C44="","／支払先コードが空",IF($X44="","／支払先にないコード",""))&amp;IF($K44=0,"／明細がない","")&amp;IF($AC44&gt;0,"／税率が空の明細 "&amp;$AC44&amp;"件（合計に入っていない）","")&amp;IF($X44="","",IF(INDEX('支払先'!$G$5:$G$104,$X44)="","／登録番号なし（仕入明細書にならない）",""))&amp;IF($AB44&gt;0,"／60日（2か月）を超える明細 "&amp;$AB44&amp;"件","")&amp;IF($X44="","",IF(AND(INDEX('支払先'!$K$5:$K$104,$X44)="差し引く",OR(INDEX('支払先'!$M$5:$M$104,$X44)&lt;&gt;"対象外",INDEX('支払先'!$N$5:$N$104,$X44)&lt;&gt;"対象外")),"／手数料を差し引けない取引か確かめる",""))&amp;IF(COUNTIF($B$5:$B$204,$B44)&gt;1,"／通知Noが重複","")&amp;IF(AND(ISNUMBER($D44),ISNUMBER($F44),$F44&lt;$D44),"／支払予定日が発行日より前",""),2,300))</f>
        <v/>
      </c>
      <c r="W44" s="67" t="n"/>
      <c r="X44" s="31">
        <f>IF(OR($B44="",$C44=""),"",IFERROR(MATCH($C44,'支払先'!$B$5:$B$104,0),""))</f>
        <v/>
      </c>
      <c r="Y44" s="31">
        <f>IF($B44="","",SUMIFS('支払明細'!$I$5:$I$1004,'支払明細'!$A$5:$A$1004,$B44,'支払明細'!$G$5:$G$1004,"10%（標準）",'支払明細'!$H$5:$H$1004,"&lt;&gt;対象外"))</f>
        <v/>
      </c>
      <c r="Z44" s="31">
        <f>IF($B44="","",SUMIFS('支払明細'!$I$5:$I$1004,'支払明細'!$A$5:$A$1004,$B44,'支払明細'!$G$5:$G$1004,"8%（軽減）",'支払明細'!$H$5:$H$1004,"&lt;&gt;対象外"))</f>
        <v/>
      </c>
      <c r="AA44" s="31">
        <f>IF($B44="","",SUMIFS('支払明細'!$I$5:$I$1004,'支払明細'!$A$5:$A$1004,$B44,'支払明細'!$G$5:$G$1004,"対象外",'支払明細'!$H$5:$H$1004,"&lt;&gt;対象外"))</f>
        <v/>
      </c>
      <c r="AB44" s="31">
        <f>IF($B44="","",COUNTIFS('支払明細'!$A$5:$A$1004,$B44,'支払明細'!$M$5:$M$1004,"超える"))</f>
        <v/>
      </c>
      <c r="AC44" s="31">
        <f>IF($B44="","",COUNTIFS('支払明細'!$A$5:$A$1004,$B44,'支払明細'!$G$5:$G$1004,""))</f>
        <v/>
      </c>
    </row>
    <row r="45" ht="18" customHeight="1">
      <c r="A45" s="17" t="n">
        <v>41</v>
      </c>
      <c r="B45" s="18" t="n"/>
      <c r="C45" s="18" t="n"/>
      <c r="D45" s="24" t="n"/>
      <c r="E45" s="19" t="n"/>
      <c r="F45" s="24" t="n"/>
      <c r="G45" s="28">
        <f>IF(AND($B45&lt;&gt;"",ISNUMBER($D45)),$D45+N('設定'!$B$13),"")</f>
        <v/>
      </c>
      <c r="H45" s="18" t="n"/>
      <c r="I45" s="19" t="n"/>
      <c r="J45" s="27">
        <f>IF($B45="","",IF($C45="","（支払先コードが空）",IF($X45="","※支払先にないコード",INDEX('支払先'!$C$5:$C$104,$X45)&amp;"")))</f>
        <v/>
      </c>
      <c r="K45" s="30">
        <f>IF($B45="","",COUNTIF('支払明細'!$A$5:$A$1004,$B45))</f>
        <v/>
      </c>
      <c r="L45" s="26">
        <f>IF($B45="","",SUMIFS('支払明細'!$I$5:$I$1004,'支払明細'!$A$5:$A$1004,$B45,'支払明細'!$G$5:$G$1004,"10%（標準）"))</f>
        <v/>
      </c>
      <c r="M45" s="26">
        <f>IF($B45="","",SUMIFS('支払明細'!$I$5:$I$1004,'支払明細'!$A$5:$A$1004,$B45,'支払明細'!$G$5:$G$1004,"8%（軽減）"))</f>
        <v/>
      </c>
      <c r="N45" s="26">
        <f>IF($B45="","",SUMIFS('支払明細'!$I$5:$I$1004,'支払明細'!$A$5:$A$1004,$B45,'支払明細'!$G$5:$G$1004,"対象外"))</f>
        <v/>
      </c>
      <c r="O45" s="26">
        <f>IF($B45="","",IF('設定'!$B$11="税込",IF('設定'!$B$12="切り捨て",ROUNDDOWN(ROUND($L45*10/110,6),0),IF('設定'!$B$12="切り上げ",ROUNDUP(ROUND($L45*10/110,6),0),ROUND($L45*10/110,0))),IF('設定'!$B$12="切り捨て",ROUNDDOWN(ROUND($L45*10/100,6),0),IF('設定'!$B$12="切り上げ",ROUNDUP(ROUND($L45*10/100,6),0),ROUND($L45*10/100,0)))))</f>
        <v/>
      </c>
      <c r="P45" s="26">
        <f>IF($B45="","",IF('設定'!$B$11="税込",IF('設定'!$B$12="切り捨て",ROUNDDOWN(ROUND($M45*8/108,6),0),IF('設定'!$B$12="切り上げ",ROUNDUP(ROUND($M45*8/108,6),0),ROUND($M45*8/108,0))),IF('設定'!$B$12="切り捨て",ROUNDDOWN(ROUND($M45*8/100,6),0),IF('設定'!$B$12="切り上げ",ROUNDUP(ROUND($M45*8/100,6),0),ROUND($M45*8/100,0)))))</f>
        <v/>
      </c>
      <c r="Q45" s="26">
        <f>IF($B45="","",IF('設定'!$B$11="税込",$L45+$M45+$N45,$L45+$O45+$M45+$P45+$N45))</f>
        <v/>
      </c>
      <c r="R45" s="26">
        <f>IF($B45="","",IF($X45="",0,IF(INDEX('支払先'!$I$5:$I$104,$X45)&lt;&gt;"する",0,IF(INDEX('支払先'!$J$5:$J$104,$X45)="税抜",IF('設定'!$B$11="税込",($Y45-IF('設定'!$B$12="切り捨て",ROUNDDOWN(ROUND($Y45*10/110,6),0),IF('設定'!$B$12="切り上げ",ROUNDUP(ROUND($Y45*10/110,6),0),ROUND($Y45*10/110,0)))+$Z45-IF('設定'!$B$12="切り捨て",ROUNDDOWN(ROUND($Z45*8/108,6),0),IF('設定'!$B$12="切り上げ",ROUNDUP(ROUND($Z45*8/108,6),0),ROUND($Z45*8/108,0)))+$AA45),$Y45+$Z45+$AA45),IF('設定'!$B$11="税込",$Y45+$Z45+$AA45,($Y45+IF('設定'!$B$12="切り捨て",ROUNDDOWN(ROUND($Y45*10/100,6),0),IF('設定'!$B$12="切り上げ",ROUNDUP(ROUND($Y45*10/100,6),0),ROUND($Y45*10/100,0)))+$Z45+IF('設定'!$B$12="切り捨て",ROUNDDOWN(ROUND($Z45*8/100,6),0),IF('設定'!$B$12="切り上げ",ROUNDUP(ROUND($Z45*8/100,6),0),ROUND($Z45*8/100,0)))+$AA45))))))</f>
        <v/>
      </c>
      <c r="S45" s="26">
        <f>IF($B45="","",IF(N($R45)&lt;=0,0,IF($R45&lt;='設定'!$B$18,ROUNDDOWN(ROUND($R45*'設定'!$B$17,6),0),ROUNDDOWN(ROUND(($R45-'設定'!$B$18)*'設定'!$B$19,6),0)+'設定'!$B$20)))</f>
        <v/>
      </c>
      <c r="T45" s="26">
        <f>IF($B45="","",IF($X45="",0,IF(INDEX('支払先'!$K$5:$K$104,$X45)="差し引く",N(INDEX('支払先'!$L$5:$L$104,$X45)),0)))</f>
        <v/>
      </c>
      <c r="U45" s="26">
        <f>IF($B45="","",$Q45-$S45-$T45)</f>
        <v/>
      </c>
      <c r="V45" s="22">
        <f>IF($B45="","",MID(IF($C45="","／支払先コードが空",IF($X45="","／支払先にないコード",""))&amp;IF($K45=0,"／明細がない","")&amp;IF($AC45&gt;0,"／税率が空の明細 "&amp;$AC45&amp;"件（合計に入っていない）","")&amp;IF($X45="","",IF(INDEX('支払先'!$G$5:$G$104,$X45)="","／登録番号なし（仕入明細書にならない）",""))&amp;IF($AB45&gt;0,"／60日（2か月）を超える明細 "&amp;$AB45&amp;"件","")&amp;IF($X45="","",IF(AND(INDEX('支払先'!$K$5:$K$104,$X45)="差し引く",OR(INDEX('支払先'!$M$5:$M$104,$X45)&lt;&gt;"対象外",INDEX('支払先'!$N$5:$N$104,$X45)&lt;&gt;"対象外")),"／手数料を差し引けない取引か確かめる",""))&amp;IF(COUNTIF($B$5:$B$204,$B45)&gt;1,"／通知Noが重複","")&amp;IF(AND(ISNUMBER($D45),ISNUMBER($F45),$F45&lt;$D45),"／支払予定日が発行日より前",""),2,300))</f>
        <v/>
      </c>
      <c r="W45" s="67" t="n"/>
      <c r="X45" s="31">
        <f>IF(OR($B45="",$C45=""),"",IFERROR(MATCH($C45,'支払先'!$B$5:$B$104,0),""))</f>
        <v/>
      </c>
      <c r="Y45" s="31">
        <f>IF($B45="","",SUMIFS('支払明細'!$I$5:$I$1004,'支払明細'!$A$5:$A$1004,$B45,'支払明細'!$G$5:$G$1004,"10%（標準）",'支払明細'!$H$5:$H$1004,"&lt;&gt;対象外"))</f>
        <v/>
      </c>
      <c r="Z45" s="31">
        <f>IF($B45="","",SUMIFS('支払明細'!$I$5:$I$1004,'支払明細'!$A$5:$A$1004,$B45,'支払明細'!$G$5:$G$1004,"8%（軽減）",'支払明細'!$H$5:$H$1004,"&lt;&gt;対象外"))</f>
        <v/>
      </c>
      <c r="AA45" s="31">
        <f>IF($B45="","",SUMIFS('支払明細'!$I$5:$I$1004,'支払明細'!$A$5:$A$1004,$B45,'支払明細'!$G$5:$G$1004,"対象外",'支払明細'!$H$5:$H$1004,"&lt;&gt;対象外"))</f>
        <v/>
      </c>
      <c r="AB45" s="31">
        <f>IF($B45="","",COUNTIFS('支払明細'!$A$5:$A$1004,$B45,'支払明細'!$M$5:$M$1004,"超える"))</f>
        <v/>
      </c>
      <c r="AC45" s="31">
        <f>IF($B45="","",COUNTIFS('支払明細'!$A$5:$A$1004,$B45,'支払明細'!$G$5:$G$1004,""))</f>
        <v/>
      </c>
    </row>
    <row r="46" ht="18" customHeight="1">
      <c r="A46" s="17" t="n">
        <v>42</v>
      </c>
      <c r="B46" s="18" t="n"/>
      <c r="C46" s="18" t="n"/>
      <c r="D46" s="24" t="n"/>
      <c r="E46" s="19" t="n"/>
      <c r="F46" s="24" t="n"/>
      <c r="G46" s="28">
        <f>IF(AND($B46&lt;&gt;"",ISNUMBER($D46)),$D46+N('設定'!$B$13),"")</f>
        <v/>
      </c>
      <c r="H46" s="18" t="n"/>
      <c r="I46" s="19" t="n"/>
      <c r="J46" s="27">
        <f>IF($B46="","",IF($C46="","（支払先コードが空）",IF($X46="","※支払先にないコード",INDEX('支払先'!$C$5:$C$104,$X46)&amp;"")))</f>
        <v/>
      </c>
      <c r="K46" s="30">
        <f>IF($B46="","",COUNTIF('支払明細'!$A$5:$A$1004,$B46))</f>
        <v/>
      </c>
      <c r="L46" s="26">
        <f>IF($B46="","",SUMIFS('支払明細'!$I$5:$I$1004,'支払明細'!$A$5:$A$1004,$B46,'支払明細'!$G$5:$G$1004,"10%（標準）"))</f>
        <v/>
      </c>
      <c r="M46" s="26">
        <f>IF($B46="","",SUMIFS('支払明細'!$I$5:$I$1004,'支払明細'!$A$5:$A$1004,$B46,'支払明細'!$G$5:$G$1004,"8%（軽減）"))</f>
        <v/>
      </c>
      <c r="N46" s="26">
        <f>IF($B46="","",SUMIFS('支払明細'!$I$5:$I$1004,'支払明細'!$A$5:$A$1004,$B46,'支払明細'!$G$5:$G$1004,"対象外"))</f>
        <v/>
      </c>
      <c r="O46" s="26">
        <f>IF($B46="","",IF('設定'!$B$11="税込",IF('設定'!$B$12="切り捨て",ROUNDDOWN(ROUND($L46*10/110,6),0),IF('設定'!$B$12="切り上げ",ROUNDUP(ROUND($L46*10/110,6),0),ROUND($L46*10/110,0))),IF('設定'!$B$12="切り捨て",ROUNDDOWN(ROUND($L46*10/100,6),0),IF('設定'!$B$12="切り上げ",ROUNDUP(ROUND($L46*10/100,6),0),ROUND($L46*10/100,0)))))</f>
        <v/>
      </c>
      <c r="P46" s="26">
        <f>IF($B46="","",IF('設定'!$B$11="税込",IF('設定'!$B$12="切り捨て",ROUNDDOWN(ROUND($M46*8/108,6),0),IF('設定'!$B$12="切り上げ",ROUNDUP(ROUND($M46*8/108,6),0),ROUND($M46*8/108,0))),IF('設定'!$B$12="切り捨て",ROUNDDOWN(ROUND($M46*8/100,6),0),IF('設定'!$B$12="切り上げ",ROUNDUP(ROUND($M46*8/100,6),0),ROUND($M46*8/100,0)))))</f>
        <v/>
      </c>
      <c r="Q46" s="26">
        <f>IF($B46="","",IF('設定'!$B$11="税込",$L46+$M46+$N46,$L46+$O46+$M46+$P46+$N46))</f>
        <v/>
      </c>
      <c r="R46" s="26">
        <f>IF($B46="","",IF($X46="",0,IF(INDEX('支払先'!$I$5:$I$104,$X46)&lt;&gt;"する",0,IF(INDEX('支払先'!$J$5:$J$104,$X46)="税抜",IF('設定'!$B$11="税込",($Y46-IF('設定'!$B$12="切り捨て",ROUNDDOWN(ROUND($Y46*10/110,6),0),IF('設定'!$B$12="切り上げ",ROUNDUP(ROUND($Y46*10/110,6),0),ROUND($Y46*10/110,0)))+$Z46-IF('設定'!$B$12="切り捨て",ROUNDDOWN(ROUND($Z46*8/108,6),0),IF('設定'!$B$12="切り上げ",ROUNDUP(ROUND($Z46*8/108,6),0),ROUND($Z46*8/108,0)))+$AA46),$Y46+$Z46+$AA46),IF('設定'!$B$11="税込",$Y46+$Z46+$AA46,($Y46+IF('設定'!$B$12="切り捨て",ROUNDDOWN(ROUND($Y46*10/100,6),0),IF('設定'!$B$12="切り上げ",ROUNDUP(ROUND($Y46*10/100,6),0),ROUND($Y46*10/100,0)))+$Z46+IF('設定'!$B$12="切り捨て",ROUNDDOWN(ROUND($Z46*8/100,6),0),IF('設定'!$B$12="切り上げ",ROUNDUP(ROUND($Z46*8/100,6),0),ROUND($Z46*8/100,0)))+$AA46))))))</f>
        <v/>
      </c>
      <c r="S46" s="26">
        <f>IF($B46="","",IF(N($R46)&lt;=0,0,IF($R46&lt;='設定'!$B$18,ROUNDDOWN(ROUND($R46*'設定'!$B$17,6),0),ROUNDDOWN(ROUND(($R46-'設定'!$B$18)*'設定'!$B$19,6),0)+'設定'!$B$20)))</f>
        <v/>
      </c>
      <c r="T46" s="26">
        <f>IF($B46="","",IF($X46="",0,IF(INDEX('支払先'!$K$5:$K$104,$X46)="差し引く",N(INDEX('支払先'!$L$5:$L$104,$X46)),0)))</f>
        <v/>
      </c>
      <c r="U46" s="26">
        <f>IF($B46="","",$Q46-$S46-$T46)</f>
        <v/>
      </c>
      <c r="V46" s="22">
        <f>IF($B46="","",MID(IF($C46="","／支払先コードが空",IF($X46="","／支払先にないコード",""))&amp;IF($K46=0,"／明細がない","")&amp;IF($AC46&gt;0,"／税率が空の明細 "&amp;$AC46&amp;"件（合計に入っていない）","")&amp;IF($X46="","",IF(INDEX('支払先'!$G$5:$G$104,$X46)="","／登録番号なし（仕入明細書にならない）",""))&amp;IF($AB46&gt;0,"／60日（2か月）を超える明細 "&amp;$AB46&amp;"件","")&amp;IF($X46="","",IF(AND(INDEX('支払先'!$K$5:$K$104,$X46)="差し引く",OR(INDEX('支払先'!$M$5:$M$104,$X46)&lt;&gt;"対象外",INDEX('支払先'!$N$5:$N$104,$X46)&lt;&gt;"対象外")),"／手数料を差し引けない取引か確かめる",""))&amp;IF(COUNTIF($B$5:$B$204,$B46)&gt;1,"／通知Noが重複","")&amp;IF(AND(ISNUMBER($D46),ISNUMBER($F46),$F46&lt;$D46),"／支払予定日が発行日より前",""),2,300))</f>
        <v/>
      </c>
      <c r="W46" s="67" t="n"/>
      <c r="X46" s="31">
        <f>IF(OR($B46="",$C46=""),"",IFERROR(MATCH($C46,'支払先'!$B$5:$B$104,0),""))</f>
        <v/>
      </c>
      <c r="Y46" s="31">
        <f>IF($B46="","",SUMIFS('支払明細'!$I$5:$I$1004,'支払明細'!$A$5:$A$1004,$B46,'支払明細'!$G$5:$G$1004,"10%（標準）",'支払明細'!$H$5:$H$1004,"&lt;&gt;対象外"))</f>
        <v/>
      </c>
      <c r="Z46" s="31">
        <f>IF($B46="","",SUMIFS('支払明細'!$I$5:$I$1004,'支払明細'!$A$5:$A$1004,$B46,'支払明細'!$G$5:$G$1004,"8%（軽減）",'支払明細'!$H$5:$H$1004,"&lt;&gt;対象外"))</f>
        <v/>
      </c>
      <c r="AA46" s="31">
        <f>IF($B46="","",SUMIFS('支払明細'!$I$5:$I$1004,'支払明細'!$A$5:$A$1004,$B46,'支払明細'!$G$5:$G$1004,"対象外",'支払明細'!$H$5:$H$1004,"&lt;&gt;対象外"))</f>
        <v/>
      </c>
      <c r="AB46" s="31">
        <f>IF($B46="","",COUNTIFS('支払明細'!$A$5:$A$1004,$B46,'支払明細'!$M$5:$M$1004,"超える"))</f>
        <v/>
      </c>
      <c r="AC46" s="31">
        <f>IF($B46="","",COUNTIFS('支払明細'!$A$5:$A$1004,$B46,'支払明細'!$G$5:$G$1004,""))</f>
        <v/>
      </c>
    </row>
    <row r="47" ht="18" customHeight="1">
      <c r="A47" s="17" t="n">
        <v>43</v>
      </c>
      <c r="B47" s="18" t="n"/>
      <c r="C47" s="18" t="n"/>
      <c r="D47" s="24" t="n"/>
      <c r="E47" s="19" t="n"/>
      <c r="F47" s="24" t="n"/>
      <c r="G47" s="28">
        <f>IF(AND($B47&lt;&gt;"",ISNUMBER($D47)),$D47+N('設定'!$B$13),"")</f>
        <v/>
      </c>
      <c r="H47" s="18" t="n"/>
      <c r="I47" s="19" t="n"/>
      <c r="J47" s="27">
        <f>IF($B47="","",IF($C47="","（支払先コードが空）",IF($X47="","※支払先にないコード",INDEX('支払先'!$C$5:$C$104,$X47)&amp;"")))</f>
        <v/>
      </c>
      <c r="K47" s="30">
        <f>IF($B47="","",COUNTIF('支払明細'!$A$5:$A$1004,$B47))</f>
        <v/>
      </c>
      <c r="L47" s="26">
        <f>IF($B47="","",SUMIFS('支払明細'!$I$5:$I$1004,'支払明細'!$A$5:$A$1004,$B47,'支払明細'!$G$5:$G$1004,"10%（標準）"))</f>
        <v/>
      </c>
      <c r="M47" s="26">
        <f>IF($B47="","",SUMIFS('支払明細'!$I$5:$I$1004,'支払明細'!$A$5:$A$1004,$B47,'支払明細'!$G$5:$G$1004,"8%（軽減）"))</f>
        <v/>
      </c>
      <c r="N47" s="26">
        <f>IF($B47="","",SUMIFS('支払明細'!$I$5:$I$1004,'支払明細'!$A$5:$A$1004,$B47,'支払明細'!$G$5:$G$1004,"対象外"))</f>
        <v/>
      </c>
      <c r="O47" s="26">
        <f>IF($B47="","",IF('設定'!$B$11="税込",IF('設定'!$B$12="切り捨て",ROUNDDOWN(ROUND($L47*10/110,6),0),IF('設定'!$B$12="切り上げ",ROUNDUP(ROUND($L47*10/110,6),0),ROUND($L47*10/110,0))),IF('設定'!$B$12="切り捨て",ROUNDDOWN(ROUND($L47*10/100,6),0),IF('設定'!$B$12="切り上げ",ROUNDUP(ROUND($L47*10/100,6),0),ROUND($L47*10/100,0)))))</f>
        <v/>
      </c>
      <c r="P47" s="26">
        <f>IF($B47="","",IF('設定'!$B$11="税込",IF('設定'!$B$12="切り捨て",ROUNDDOWN(ROUND($M47*8/108,6),0),IF('設定'!$B$12="切り上げ",ROUNDUP(ROUND($M47*8/108,6),0),ROUND($M47*8/108,0))),IF('設定'!$B$12="切り捨て",ROUNDDOWN(ROUND($M47*8/100,6),0),IF('設定'!$B$12="切り上げ",ROUNDUP(ROUND($M47*8/100,6),0),ROUND($M47*8/100,0)))))</f>
        <v/>
      </c>
      <c r="Q47" s="26">
        <f>IF($B47="","",IF('設定'!$B$11="税込",$L47+$M47+$N47,$L47+$O47+$M47+$P47+$N47))</f>
        <v/>
      </c>
      <c r="R47" s="26">
        <f>IF($B47="","",IF($X47="",0,IF(INDEX('支払先'!$I$5:$I$104,$X47)&lt;&gt;"する",0,IF(INDEX('支払先'!$J$5:$J$104,$X47)="税抜",IF('設定'!$B$11="税込",($Y47-IF('設定'!$B$12="切り捨て",ROUNDDOWN(ROUND($Y47*10/110,6),0),IF('設定'!$B$12="切り上げ",ROUNDUP(ROUND($Y47*10/110,6),0),ROUND($Y47*10/110,0)))+$Z47-IF('設定'!$B$12="切り捨て",ROUNDDOWN(ROUND($Z47*8/108,6),0),IF('設定'!$B$12="切り上げ",ROUNDUP(ROUND($Z47*8/108,6),0),ROUND($Z47*8/108,0)))+$AA47),$Y47+$Z47+$AA47),IF('設定'!$B$11="税込",$Y47+$Z47+$AA47,($Y47+IF('設定'!$B$12="切り捨て",ROUNDDOWN(ROUND($Y47*10/100,6),0),IF('設定'!$B$12="切り上げ",ROUNDUP(ROUND($Y47*10/100,6),0),ROUND($Y47*10/100,0)))+$Z47+IF('設定'!$B$12="切り捨て",ROUNDDOWN(ROUND($Z47*8/100,6),0),IF('設定'!$B$12="切り上げ",ROUNDUP(ROUND($Z47*8/100,6),0),ROUND($Z47*8/100,0)))+$AA47))))))</f>
        <v/>
      </c>
      <c r="S47" s="26">
        <f>IF($B47="","",IF(N($R47)&lt;=0,0,IF($R47&lt;='設定'!$B$18,ROUNDDOWN(ROUND($R47*'設定'!$B$17,6),0),ROUNDDOWN(ROUND(($R47-'設定'!$B$18)*'設定'!$B$19,6),0)+'設定'!$B$20)))</f>
        <v/>
      </c>
      <c r="T47" s="26">
        <f>IF($B47="","",IF($X47="",0,IF(INDEX('支払先'!$K$5:$K$104,$X47)="差し引く",N(INDEX('支払先'!$L$5:$L$104,$X47)),0)))</f>
        <v/>
      </c>
      <c r="U47" s="26">
        <f>IF($B47="","",$Q47-$S47-$T47)</f>
        <v/>
      </c>
      <c r="V47" s="22">
        <f>IF($B47="","",MID(IF($C47="","／支払先コードが空",IF($X47="","／支払先にないコード",""))&amp;IF($K47=0,"／明細がない","")&amp;IF($AC47&gt;0,"／税率が空の明細 "&amp;$AC47&amp;"件（合計に入っていない）","")&amp;IF($X47="","",IF(INDEX('支払先'!$G$5:$G$104,$X47)="","／登録番号なし（仕入明細書にならない）",""))&amp;IF($AB47&gt;0,"／60日（2か月）を超える明細 "&amp;$AB47&amp;"件","")&amp;IF($X47="","",IF(AND(INDEX('支払先'!$K$5:$K$104,$X47)="差し引く",OR(INDEX('支払先'!$M$5:$M$104,$X47)&lt;&gt;"対象外",INDEX('支払先'!$N$5:$N$104,$X47)&lt;&gt;"対象外")),"／手数料を差し引けない取引か確かめる",""))&amp;IF(COUNTIF($B$5:$B$204,$B47)&gt;1,"／通知Noが重複","")&amp;IF(AND(ISNUMBER($D47),ISNUMBER($F47),$F47&lt;$D47),"／支払予定日が発行日より前",""),2,300))</f>
        <v/>
      </c>
      <c r="W47" s="67" t="n"/>
      <c r="X47" s="31">
        <f>IF(OR($B47="",$C47=""),"",IFERROR(MATCH($C47,'支払先'!$B$5:$B$104,0),""))</f>
        <v/>
      </c>
      <c r="Y47" s="31">
        <f>IF($B47="","",SUMIFS('支払明細'!$I$5:$I$1004,'支払明細'!$A$5:$A$1004,$B47,'支払明細'!$G$5:$G$1004,"10%（標準）",'支払明細'!$H$5:$H$1004,"&lt;&gt;対象外"))</f>
        <v/>
      </c>
      <c r="Z47" s="31">
        <f>IF($B47="","",SUMIFS('支払明細'!$I$5:$I$1004,'支払明細'!$A$5:$A$1004,$B47,'支払明細'!$G$5:$G$1004,"8%（軽減）",'支払明細'!$H$5:$H$1004,"&lt;&gt;対象外"))</f>
        <v/>
      </c>
      <c r="AA47" s="31">
        <f>IF($B47="","",SUMIFS('支払明細'!$I$5:$I$1004,'支払明細'!$A$5:$A$1004,$B47,'支払明細'!$G$5:$G$1004,"対象外",'支払明細'!$H$5:$H$1004,"&lt;&gt;対象外"))</f>
        <v/>
      </c>
      <c r="AB47" s="31">
        <f>IF($B47="","",COUNTIFS('支払明細'!$A$5:$A$1004,$B47,'支払明細'!$M$5:$M$1004,"超える"))</f>
        <v/>
      </c>
      <c r="AC47" s="31">
        <f>IF($B47="","",COUNTIFS('支払明細'!$A$5:$A$1004,$B47,'支払明細'!$G$5:$G$1004,""))</f>
        <v/>
      </c>
    </row>
    <row r="48" ht="18" customHeight="1">
      <c r="A48" s="17" t="n">
        <v>44</v>
      </c>
      <c r="B48" s="18" t="n"/>
      <c r="C48" s="18" t="n"/>
      <c r="D48" s="24" t="n"/>
      <c r="E48" s="19" t="n"/>
      <c r="F48" s="24" t="n"/>
      <c r="G48" s="28">
        <f>IF(AND($B48&lt;&gt;"",ISNUMBER($D48)),$D48+N('設定'!$B$13),"")</f>
        <v/>
      </c>
      <c r="H48" s="18" t="n"/>
      <c r="I48" s="19" t="n"/>
      <c r="J48" s="27">
        <f>IF($B48="","",IF($C48="","（支払先コードが空）",IF($X48="","※支払先にないコード",INDEX('支払先'!$C$5:$C$104,$X48)&amp;"")))</f>
        <v/>
      </c>
      <c r="K48" s="30">
        <f>IF($B48="","",COUNTIF('支払明細'!$A$5:$A$1004,$B48))</f>
        <v/>
      </c>
      <c r="L48" s="26">
        <f>IF($B48="","",SUMIFS('支払明細'!$I$5:$I$1004,'支払明細'!$A$5:$A$1004,$B48,'支払明細'!$G$5:$G$1004,"10%（標準）"))</f>
        <v/>
      </c>
      <c r="M48" s="26">
        <f>IF($B48="","",SUMIFS('支払明細'!$I$5:$I$1004,'支払明細'!$A$5:$A$1004,$B48,'支払明細'!$G$5:$G$1004,"8%（軽減）"))</f>
        <v/>
      </c>
      <c r="N48" s="26">
        <f>IF($B48="","",SUMIFS('支払明細'!$I$5:$I$1004,'支払明細'!$A$5:$A$1004,$B48,'支払明細'!$G$5:$G$1004,"対象外"))</f>
        <v/>
      </c>
      <c r="O48" s="26">
        <f>IF($B48="","",IF('設定'!$B$11="税込",IF('設定'!$B$12="切り捨て",ROUNDDOWN(ROUND($L48*10/110,6),0),IF('設定'!$B$12="切り上げ",ROUNDUP(ROUND($L48*10/110,6),0),ROUND($L48*10/110,0))),IF('設定'!$B$12="切り捨て",ROUNDDOWN(ROUND($L48*10/100,6),0),IF('設定'!$B$12="切り上げ",ROUNDUP(ROUND($L48*10/100,6),0),ROUND($L48*10/100,0)))))</f>
        <v/>
      </c>
      <c r="P48" s="26">
        <f>IF($B48="","",IF('設定'!$B$11="税込",IF('設定'!$B$12="切り捨て",ROUNDDOWN(ROUND($M48*8/108,6),0),IF('設定'!$B$12="切り上げ",ROUNDUP(ROUND($M48*8/108,6),0),ROUND($M48*8/108,0))),IF('設定'!$B$12="切り捨て",ROUNDDOWN(ROUND($M48*8/100,6),0),IF('設定'!$B$12="切り上げ",ROUNDUP(ROUND($M48*8/100,6),0),ROUND($M48*8/100,0)))))</f>
        <v/>
      </c>
      <c r="Q48" s="26">
        <f>IF($B48="","",IF('設定'!$B$11="税込",$L48+$M48+$N48,$L48+$O48+$M48+$P48+$N48))</f>
        <v/>
      </c>
      <c r="R48" s="26">
        <f>IF($B48="","",IF($X48="",0,IF(INDEX('支払先'!$I$5:$I$104,$X48)&lt;&gt;"する",0,IF(INDEX('支払先'!$J$5:$J$104,$X48)="税抜",IF('設定'!$B$11="税込",($Y48-IF('設定'!$B$12="切り捨て",ROUNDDOWN(ROUND($Y48*10/110,6),0),IF('設定'!$B$12="切り上げ",ROUNDUP(ROUND($Y48*10/110,6),0),ROUND($Y48*10/110,0)))+$Z48-IF('設定'!$B$12="切り捨て",ROUNDDOWN(ROUND($Z48*8/108,6),0),IF('設定'!$B$12="切り上げ",ROUNDUP(ROUND($Z48*8/108,6),0),ROUND($Z48*8/108,0)))+$AA48),$Y48+$Z48+$AA48),IF('設定'!$B$11="税込",$Y48+$Z48+$AA48,($Y48+IF('設定'!$B$12="切り捨て",ROUNDDOWN(ROUND($Y48*10/100,6),0),IF('設定'!$B$12="切り上げ",ROUNDUP(ROUND($Y48*10/100,6),0),ROUND($Y48*10/100,0)))+$Z48+IF('設定'!$B$12="切り捨て",ROUNDDOWN(ROUND($Z48*8/100,6),0),IF('設定'!$B$12="切り上げ",ROUNDUP(ROUND($Z48*8/100,6),0),ROUND($Z48*8/100,0)))+$AA48))))))</f>
        <v/>
      </c>
      <c r="S48" s="26">
        <f>IF($B48="","",IF(N($R48)&lt;=0,0,IF($R48&lt;='設定'!$B$18,ROUNDDOWN(ROUND($R48*'設定'!$B$17,6),0),ROUNDDOWN(ROUND(($R48-'設定'!$B$18)*'設定'!$B$19,6),0)+'設定'!$B$20)))</f>
        <v/>
      </c>
      <c r="T48" s="26">
        <f>IF($B48="","",IF($X48="",0,IF(INDEX('支払先'!$K$5:$K$104,$X48)="差し引く",N(INDEX('支払先'!$L$5:$L$104,$X48)),0)))</f>
        <v/>
      </c>
      <c r="U48" s="26">
        <f>IF($B48="","",$Q48-$S48-$T48)</f>
        <v/>
      </c>
      <c r="V48" s="22">
        <f>IF($B48="","",MID(IF($C48="","／支払先コードが空",IF($X48="","／支払先にないコード",""))&amp;IF($K48=0,"／明細がない","")&amp;IF($AC48&gt;0,"／税率が空の明細 "&amp;$AC48&amp;"件（合計に入っていない）","")&amp;IF($X48="","",IF(INDEX('支払先'!$G$5:$G$104,$X48)="","／登録番号なし（仕入明細書にならない）",""))&amp;IF($AB48&gt;0,"／60日（2か月）を超える明細 "&amp;$AB48&amp;"件","")&amp;IF($X48="","",IF(AND(INDEX('支払先'!$K$5:$K$104,$X48)="差し引く",OR(INDEX('支払先'!$M$5:$M$104,$X48)&lt;&gt;"対象外",INDEX('支払先'!$N$5:$N$104,$X48)&lt;&gt;"対象外")),"／手数料を差し引けない取引か確かめる",""))&amp;IF(COUNTIF($B$5:$B$204,$B48)&gt;1,"／通知Noが重複","")&amp;IF(AND(ISNUMBER($D48),ISNUMBER($F48),$F48&lt;$D48),"／支払予定日が発行日より前",""),2,300))</f>
        <v/>
      </c>
      <c r="W48" s="67" t="n"/>
      <c r="X48" s="31">
        <f>IF(OR($B48="",$C48=""),"",IFERROR(MATCH($C48,'支払先'!$B$5:$B$104,0),""))</f>
        <v/>
      </c>
      <c r="Y48" s="31">
        <f>IF($B48="","",SUMIFS('支払明細'!$I$5:$I$1004,'支払明細'!$A$5:$A$1004,$B48,'支払明細'!$G$5:$G$1004,"10%（標準）",'支払明細'!$H$5:$H$1004,"&lt;&gt;対象外"))</f>
        <v/>
      </c>
      <c r="Z48" s="31">
        <f>IF($B48="","",SUMIFS('支払明細'!$I$5:$I$1004,'支払明細'!$A$5:$A$1004,$B48,'支払明細'!$G$5:$G$1004,"8%（軽減）",'支払明細'!$H$5:$H$1004,"&lt;&gt;対象外"))</f>
        <v/>
      </c>
      <c r="AA48" s="31">
        <f>IF($B48="","",SUMIFS('支払明細'!$I$5:$I$1004,'支払明細'!$A$5:$A$1004,$B48,'支払明細'!$G$5:$G$1004,"対象外",'支払明細'!$H$5:$H$1004,"&lt;&gt;対象外"))</f>
        <v/>
      </c>
      <c r="AB48" s="31">
        <f>IF($B48="","",COUNTIFS('支払明細'!$A$5:$A$1004,$B48,'支払明細'!$M$5:$M$1004,"超える"))</f>
        <v/>
      </c>
      <c r="AC48" s="31">
        <f>IF($B48="","",COUNTIFS('支払明細'!$A$5:$A$1004,$B48,'支払明細'!$G$5:$G$1004,""))</f>
        <v/>
      </c>
    </row>
    <row r="49" ht="18" customHeight="1">
      <c r="A49" s="17" t="n">
        <v>45</v>
      </c>
      <c r="B49" s="18" t="n"/>
      <c r="C49" s="18" t="n"/>
      <c r="D49" s="24" t="n"/>
      <c r="E49" s="19" t="n"/>
      <c r="F49" s="24" t="n"/>
      <c r="G49" s="28">
        <f>IF(AND($B49&lt;&gt;"",ISNUMBER($D49)),$D49+N('設定'!$B$13),"")</f>
        <v/>
      </c>
      <c r="H49" s="18" t="n"/>
      <c r="I49" s="19" t="n"/>
      <c r="J49" s="27">
        <f>IF($B49="","",IF($C49="","（支払先コードが空）",IF($X49="","※支払先にないコード",INDEX('支払先'!$C$5:$C$104,$X49)&amp;"")))</f>
        <v/>
      </c>
      <c r="K49" s="30">
        <f>IF($B49="","",COUNTIF('支払明細'!$A$5:$A$1004,$B49))</f>
        <v/>
      </c>
      <c r="L49" s="26">
        <f>IF($B49="","",SUMIFS('支払明細'!$I$5:$I$1004,'支払明細'!$A$5:$A$1004,$B49,'支払明細'!$G$5:$G$1004,"10%（標準）"))</f>
        <v/>
      </c>
      <c r="M49" s="26">
        <f>IF($B49="","",SUMIFS('支払明細'!$I$5:$I$1004,'支払明細'!$A$5:$A$1004,$B49,'支払明細'!$G$5:$G$1004,"8%（軽減）"))</f>
        <v/>
      </c>
      <c r="N49" s="26">
        <f>IF($B49="","",SUMIFS('支払明細'!$I$5:$I$1004,'支払明細'!$A$5:$A$1004,$B49,'支払明細'!$G$5:$G$1004,"対象外"))</f>
        <v/>
      </c>
      <c r="O49" s="26">
        <f>IF($B49="","",IF('設定'!$B$11="税込",IF('設定'!$B$12="切り捨て",ROUNDDOWN(ROUND($L49*10/110,6),0),IF('設定'!$B$12="切り上げ",ROUNDUP(ROUND($L49*10/110,6),0),ROUND($L49*10/110,0))),IF('設定'!$B$12="切り捨て",ROUNDDOWN(ROUND($L49*10/100,6),0),IF('設定'!$B$12="切り上げ",ROUNDUP(ROUND($L49*10/100,6),0),ROUND($L49*10/100,0)))))</f>
        <v/>
      </c>
      <c r="P49" s="26">
        <f>IF($B49="","",IF('設定'!$B$11="税込",IF('設定'!$B$12="切り捨て",ROUNDDOWN(ROUND($M49*8/108,6),0),IF('設定'!$B$12="切り上げ",ROUNDUP(ROUND($M49*8/108,6),0),ROUND($M49*8/108,0))),IF('設定'!$B$12="切り捨て",ROUNDDOWN(ROUND($M49*8/100,6),0),IF('設定'!$B$12="切り上げ",ROUNDUP(ROUND($M49*8/100,6),0),ROUND($M49*8/100,0)))))</f>
        <v/>
      </c>
      <c r="Q49" s="26">
        <f>IF($B49="","",IF('設定'!$B$11="税込",$L49+$M49+$N49,$L49+$O49+$M49+$P49+$N49))</f>
        <v/>
      </c>
      <c r="R49" s="26">
        <f>IF($B49="","",IF($X49="",0,IF(INDEX('支払先'!$I$5:$I$104,$X49)&lt;&gt;"する",0,IF(INDEX('支払先'!$J$5:$J$104,$X49)="税抜",IF('設定'!$B$11="税込",($Y49-IF('設定'!$B$12="切り捨て",ROUNDDOWN(ROUND($Y49*10/110,6),0),IF('設定'!$B$12="切り上げ",ROUNDUP(ROUND($Y49*10/110,6),0),ROUND($Y49*10/110,0)))+$Z49-IF('設定'!$B$12="切り捨て",ROUNDDOWN(ROUND($Z49*8/108,6),0),IF('設定'!$B$12="切り上げ",ROUNDUP(ROUND($Z49*8/108,6),0),ROUND($Z49*8/108,0)))+$AA49),$Y49+$Z49+$AA49),IF('設定'!$B$11="税込",$Y49+$Z49+$AA49,($Y49+IF('設定'!$B$12="切り捨て",ROUNDDOWN(ROUND($Y49*10/100,6),0),IF('設定'!$B$12="切り上げ",ROUNDUP(ROUND($Y49*10/100,6),0),ROUND($Y49*10/100,0)))+$Z49+IF('設定'!$B$12="切り捨て",ROUNDDOWN(ROUND($Z49*8/100,6),0),IF('設定'!$B$12="切り上げ",ROUNDUP(ROUND($Z49*8/100,6),0),ROUND($Z49*8/100,0)))+$AA49))))))</f>
        <v/>
      </c>
      <c r="S49" s="26">
        <f>IF($B49="","",IF(N($R49)&lt;=0,0,IF($R49&lt;='設定'!$B$18,ROUNDDOWN(ROUND($R49*'設定'!$B$17,6),0),ROUNDDOWN(ROUND(($R49-'設定'!$B$18)*'設定'!$B$19,6),0)+'設定'!$B$20)))</f>
        <v/>
      </c>
      <c r="T49" s="26">
        <f>IF($B49="","",IF($X49="",0,IF(INDEX('支払先'!$K$5:$K$104,$X49)="差し引く",N(INDEX('支払先'!$L$5:$L$104,$X49)),0)))</f>
        <v/>
      </c>
      <c r="U49" s="26">
        <f>IF($B49="","",$Q49-$S49-$T49)</f>
        <v/>
      </c>
      <c r="V49" s="22">
        <f>IF($B49="","",MID(IF($C49="","／支払先コードが空",IF($X49="","／支払先にないコード",""))&amp;IF($K49=0,"／明細がない","")&amp;IF($AC49&gt;0,"／税率が空の明細 "&amp;$AC49&amp;"件（合計に入っていない）","")&amp;IF($X49="","",IF(INDEX('支払先'!$G$5:$G$104,$X49)="","／登録番号なし（仕入明細書にならない）",""))&amp;IF($AB49&gt;0,"／60日（2か月）を超える明細 "&amp;$AB49&amp;"件","")&amp;IF($X49="","",IF(AND(INDEX('支払先'!$K$5:$K$104,$X49)="差し引く",OR(INDEX('支払先'!$M$5:$M$104,$X49)&lt;&gt;"対象外",INDEX('支払先'!$N$5:$N$104,$X49)&lt;&gt;"対象外")),"／手数料を差し引けない取引か確かめる",""))&amp;IF(COUNTIF($B$5:$B$204,$B49)&gt;1,"／通知Noが重複","")&amp;IF(AND(ISNUMBER($D49),ISNUMBER($F49),$F49&lt;$D49),"／支払予定日が発行日より前",""),2,300))</f>
        <v/>
      </c>
      <c r="W49" s="67" t="n"/>
      <c r="X49" s="31">
        <f>IF(OR($B49="",$C49=""),"",IFERROR(MATCH($C49,'支払先'!$B$5:$B$104,0),""))</f>
        <v/>
      </c>
      <c r="Y49" s="31">
        <f>IF($B49="","",SUMIFS('支払明細'!$I$5:$I$1004,'支払明細'!$A$5:$A$1004,$B49,'支払明細'!$G$5:$G$1004,"10%（標準）",'支払明細'!$H$5:$H$1004,"&lt;&gt;対象外"))</f>
        <v/>
      </c>
      <c r="Z49" s="31">
        <f>IF($B49="","",SUMIFS('支払明細'!$I$5:$I$1004,'支払明細'!$A$5:$A$1004,$B49,'支払明細'!$G$5:$G$1004,"8%（軽減）",'支払明細'!$H$5:$H$1004,"&lt;&gt;対象外"))</f>
        <v/>
      </c>
      <c r="AA49" s="31">
        <f>IF($B49="","",SUMIFS('支払明細'!$I$5:$I$1004,'支払明細'!$A$5:$A$1004,$B49,'支払明細'!$G$5:$G$1004,"対象外",'支払明細'!$H$5:$H$1004,"&lt;&gt;対象外"))</f>
        <v/>
      </c>
      <c r="AB49" s="31">
        <f>IF($B49="","",COUNTIFS('支払明細'!$A$5:$A$1004,$B49,'支払明細'!$M$5:$M$1004,"超える"))</f>
        <v/>
      </c>
      <c r="AC49" s="31">
        <f>IF($B49="","",COUNTIFS('支払明細'!$A$5:$A$1004,$B49,'支払明細'!$G$5:$G$1004,""))</f>
        <v/>
      </c>
    </row>
    <row r="50" ht="18" customHeight="1">
      <c r="A50" s="17" t="n">
        <v>46</v>
      </c>
      <c r="B50" s="18" t="n"/>
      <c r="C50" s="18" t="n"/>
      <c r="D50" s="24" t="n"/>
      <c r="E50" s="19" t="n"/>
      <c r="F50" s="24" t="n"/>
      <c r="G50" s="28">
        <f>IF(AND($B50&lt;&gt;"",ISNUMBER($D50)),$D50+N('設定'!$B$13),"")</f>
        <v/>
      </c>
      <c r="H50" s="18" t="n"/>
      <c r="I50" s="19" t="n"/>
      <c r="J50" s="27">
        <f>IF($B50="","",IF($C50="","（支払先コードが空）",IF($X50="","※支払先にないコード",INDEX('支払先'!$C$5:$C$104,$X50)&amp;"")))</f>
        <v/>
      </c>
      <c r="K50" s="30">
        <f>IF($B50="","",COUNTIF('支払明細'!$A$5:$A$1004,$B50))</f>
        <v/>
      </c>
      <c r="L50" s="26">
        <f>IF($B50="","",SUMIFS('支払明細'!$I$5:$I$1004,'支払明細'!$A$5:$A$1004,$B50,'支払明細'!$G$5:$G$1004,"10%（標準）"))</f>
        <v/>
      </c>
      <c r="M50" s="26">
        <f>IF($B50="","",SUMIFS('支払明細'!$I$5:$I$1004,'支払明細'!$A$5:$A$1004,$B50,'支払明細'!$G$5:$G$1004,"8%（軽減）"))</f>
        <v/>
      </c>
      <c r="N50" s="26">
        <f>IF($B50="","",SUMIFS('支払明細'!$I$5:$I$1004,'支払明細'!$A$5:$A$1004,$B50,'支払明細'!$G$5:$G$1004,"対象外"))</f>
        <v/>
      </c>
      <c r="O50" s="26">
        <f>IF($B50="","",IF('設定'!$B$11="税込",IF('設定'!$B$12="切り捨て",ROUNDDOWN(ROUND($L50*10/110,6),0),IF('設定'!$B$12="切り上げ",ROUNDUP(ROUND($L50*10/110,6),0),ROUND($L50*10/110,0))),IF('設定'!$B$12="切り捨て",ROUNDDOWN(ROUND($L50*10/100,6),0),IF('設定'!$B$12="切り上げ",ROUNDUP(ROUND($L50*10/100,6),0),ROUND($L50*10/100,0)))))</f>
        <v/>
      </c>
      <c r="P50" s="26">
        <f>IF($B50="","",IF('設定'!$B$11="税込",IF('設定'!$B$12="切り捨て",ROUNDDOWN(ROUND($M50*8/108,6),0),IF('設定'!$B$12="切り上げ",ROUNDUP(ROUND($M50*8/108,6),0),ROUND($M50*8/108,0))),IF('設定'!$B$12="切り捨て",ROUNDDOWN(ROUND($M50*8/100,6),0),IF('設定'!$B$12="切り上げ",ROUNDUP(ROUND($M50*8/100,6),0),ROUND($M50*8/100,0)))))</f>
        <v/>
      </c>
      <c r="Q50" s="26">
        <f>IF($B50="","",IF('設定'!$B$11="税込",$L50+$M50+$N50,$L50+$O50+$M50+$P50+$N50))</f>
        <v/>
      </c>
      <c r="R50" s="26">
        <f>IF($B50="","",IF($X50="",0,IF(INDEX('支払先'!$I$5:$I$104,$X50)&lt;&gt;"する",0,IF(INDEX('支払先'!$J$5:$J$104,$X50)="税抜",IF('設定'!$B$11="税込",($Y50-IF('設定'!$B$12="切り捨て",ROUNDDOWN(ROUND($Y50*10/110,6),0),IF('設定'!$B$12="切り上げ",ROUNDUP(ROUND($Y50*10/110,6),0),ROUND($Y50*10/110,0)))+$Z50-IF('設定'!$B$12="切り捨て",ROUNDDOWN(ROUND($Z50*8/108,6),0),IF('設定'!$B$12="切り上げ",ROUNDUP(ROUND($Z50*8/108,6),0),ROUND($Z50*8/108,0)))+$AA50),$Y50+$Z50+$AA50),IF('設定'!$B$11="税込",$Y50+$Z50+$AA50,($Y50+IF('設定'!$B$12="切り捨て",ROUNDDOWN(ROUND($Y50*10/100,6),0),IF('設定'!$B$12="切り上げ",ROUNDUP(ROUND($Y50*10/100,6),0),ROUND($Y50*10/100,0)))+$Z50+IF('設定'!$B$12="切り捨て",ROUNDDOWN(ROUND($Z50*8/100,6),0),IF('設定'!$B$12="切り上げ",ROUNDUP(ROUND($Z50*8/100,6),0),ROUND($Z50*8/100,0)))+$AA50))))))</f>
        <v/>
      </c>
      <c r="S50" s="26">
        <f>IF($B50="","",IF(N($R50)&lt;=0,0,IF($R50&lt;='設定'!$B$18,ROUNDDOWN(ROUND($R50*'設定'!$B$17,6),0),ROUNDDOWN(ROUND(($R50-'設定'!$B$18)*'設定'!$B$19,6),0)+'設定'!$B$20)))</f>
        <v/>
      </c>
      <c r="T50" s="26">
        <f>IF($B50="","",IF($X50="",0,IF(INDEX('支払先'!$K$5:$K$104,$X50)="差し引く",N(INDEX('支払先'!$L$5:$L$104,$X50)),0)))</f>
        <v/>
      </c>
      <c r="U50" s="26">
        <f>IF($B50="","",$Q50-$S50-$T50)</f>
        <v/>
      </c>
      <c r="V50" s="22">
        <f>IF($B50="","",MID(IF($C50="","／支払先コードが空",IF($X50="","／支払先にないコード",""))&amp;IF($K50=0,"／明細がない","")&amp;IF($AC50&gt;0,"／税率が空の明細 "&amp;$AC50&amp;"件（合計に入っていない）","")&amp;IF($X50="","",IF(INDEX('支払先'!$G$5:$G$104,$X50)="","／登録番号なし（仕入明細書にならない）",""))&amp;IF($AB50&gt;0,"／60日（2か月）を超える明細 "&amp;$AB50&amp;"件","")&amp;IF($X50="","",IF(AND(INDEX('支払先'!$K$5:$K$104,$X50)="差し引く",OR(INDEX('支払先'!$M$5:$M$104,$X50)&lt;&gt;"対象外",INDEX('支払先'!$N$5:$N$104,$X50)&lt;&gt;"対象外")),"／手数料を差し引けない取引か確かめる",""))&amp;IF(COUNTIF($B$5:$B$204,$B50)&gt;1,"／通知Noが重複","")&amp;IF(AND(ISNUMBER($D50),ISNUMBER($F50),$F50&lt;$D50),"／支払予定日が発行日より前",""),2,300))</f>
        <v/>
      </c>
      <c r="W50" s="67" t="n"/>
      <c r="X50" s="31">
        <f>IF(OR($B50="",$C50=""),"",IFERROR(MATCH($C50,'支払先'!$B$5:$B$104,0),""))</f>
        <v/>
      </c>
      <c r="Y50" s="31">
        <f>IF($B50="","",SUMIFS('支払明細'!$I$5:$I$1004,'支払明細'!$A$5:$A$1004,$B50,'支払明細'!$G$5:$G$1004,"10%（標準）",'支払明細'!$H$5:$H$1004,"&lt;&gt;対象外"))</f>
        <v/>
      </c>
      <c r="Z50" s="31">
        <f>IF($B50="","",SUMIFS('支払明細'!$I$5:$I$1004,'支払明細'!$A$5:$A$1004,$B50,'支払明細'!$G$5:$G$1004,"8%（軽減）",'支払明細'!$H$5:$H$1004,"&lt;&gt;対象外"))</f>
        <v/>
      </c>
      <c r="AA50" s="31">
        <f>IF($B50="","",SUMIFS('支払明細'!$I$5:$I$1004,'支払明細'!$A$5:$A$1004,$B50,'支払明細'!$G$5:$G$1004,"対象外",'支払明細'!$H$5:$H$1004,"&lt;&gt;対象外"))</f>
        <v/>
      </c>
      <c r="AB50" s="31">
        <f>IF($B50="","",COUNTIFS('支払明細'!$A$5:$A$1004,$B50,'支払明細'!$M$5:$M$1004,"超える"))</f>
        <v/>
      </c>
      <c r="AC50" s="31">
        <f>IF($B50="","",COUNTIFS('支払明細'!$A$5:$A$1004,$B50,'支払明細'!$G$5:$G$1004,""))</f>
        <v/>
      </c>
    </row>
    <row r="51" ht="18" customHeight="1">
      <c r="A51" s="17" t="n">
        <v>47</v>
      </c>
      <c r="B51" s="18" t="n"/>
      <c r="C51" s="18" t="n"/>
      <c r="D51" s="24" t="n"/>
      <c r="E51" s="19" t="n"/>
      <c r="F51" s="24" t="n"/>
      <c r="G51" s="28">
        <f>IF(AND($B51&lt;&gt;"",ISNUMBER($D51)),$D51+N('設定'!$B$13),"")</f>
        <v/>
      </c>
      <c r="H51" s="18" t="n"/>
      <c r="I51" s="19" t="n"/>
      <c r="J51" s="27">
        <f>IF($B51="","",IF($C51="","（支払先コードが空）",IF($X51="","※支払先にないコード",INDEX('支払先'!$C$5:$C$104,$X51)&amp;"")))</f>
        <v/>
      </c>
      <c r="K51" s="30">
        <f>IF($B51="","",COUNTIF('支払明細'!$A$5:$A$1004,$B51))</f>
        <v/>
      </c>
      <c r="L51" s="26">
        <f>IF($B51="","",SUMIFS('支払明細'!$I$5:$I$1004,'支払明細'!$A$5:$A$1004,$B51,'支払明細'!$G$5:$G$1004,"10%（標準）"))</f>
        <v/>
      </c>
      <c r="M51" s="26">
        <f>IF($B51="","",SUMIFS('支払明細'!$I$5:$I$1004,'支払明細'!$A$5:$A$1004,$B51,'支払明細'!$G$5:$G$1004,"8%（軽減）"))</f>
        <v/>
      </c>
      <c r="N51" s="26">
        <f>IF($B51="","",SUMIFS('支払明細'!$I$5:$I$1004,'支払明細'!$A$5:$A$1004,$B51,'支払明細'!$G$5:$G$1004,"対象外"))</f>
        <v/>
      </c>
      <c r="O51" s="26">
        <f>IF($B51="","",IF('設定'!$B$11="税込",IF('設定'!$B$12="切り捨て",ROUNDDOWN(ROUND($L51*10/110,6),0),IF('設定'!$B$12="切り上げ",ROUNDUP(ROUND($L51*10/110,6),0),ROUND($L51*10/110,0))),IF('設定'!$B$12="切り捨て",ROUNDDOWN(ROUND($L51*10/100,6),0),IF('設定'!$B$12="切り上げ",ROUNDUP(ROUND($L51*10/100,6),0),ROUND($L51*10/100,0)))))</f>
        <v/>
      </c>
      <c r="P51" s="26">
        <f>IF($B51="","",IF('設定'!$B$11="税込",IF('設定'!$B$12="切り捨て",ROUNDDOWN(ROUND($M51*8/108,6),0),IF('設定'!$B$12="切り上げ",ROUNDUP(ROUND($M51*8/108,6),0),ROUND($M51*8/108,0))),IF('設定'!$B$12="切り捨て",ROUNDDOWN(ROUND($M51*8/100,6),0),IF('設定'!$B$12="切り上げ",ROUNDUP(ROUND($M51*8/100,6),0),ROUND($M51*8/100,0)))))</f>
        <v/>
      </c>
      <c r="Q51" s="26">
        <f>IF($B51="","",IF('設定'!$B$11="税込",$L51+$M51+$N51,$L51+$O51+$M51+$P51+$N51))</f>
        <v/>
      </c>
      <c r="R51" s="26">
        <f>IF($B51="","",IF($X51="",0,IF(INDEX('支払先'!$I$5:$I$104,$X51)&lt;&gt;"する",0,IF(INDEX('支払先'!$J$5:$J$104,$X51)="税抜",IF('設定'!$B$11="税込",($Y51-IF('設定'!$B$12="切り捨て",ROUNDDOWN(ROUND($Y51*10/110,6),0),IF('設定'!$B$12="切り上げ",ROUNDUP(ROUND($Y51*10/110,6),0),ROUND($Y51*10/110,0)))+$Z51-IF('設定'!$B$12="切り捨て",ROUNDDOWN(ROUND($Z51*8/108,6),0),IF('設定'!$B$12="切り上げ",ROUNDUP(ROUND($Z51*8/108,6),0),ROUND($Z51*8/108,0)))+$AA51),$Y51+$Z51+$AA51),IF('設定'!$B$11="税込",$Y51+$Z51+$AA51,($Y51+IF('設定'!$B$12="切り捨て",ROUNDDOWN(ROUND($Y51*10/100,6),0),IF('設定'!$B$12="切り上げ",ROUNDUP(ROUND($Y51*10/100,6),0),ROUND($Y51*10/100,0)))+$Z51+IF('設定'!$B$12="切り捨て",ROUNDDOWN(ROUND($Z51*8/100,6),0),IF('設定'!$B$12="切り上げ",ROUNDUP(ROUND($Z51*8/100,6),0),ROUND($Z51*8/100,0)))+$AA51))))))</f>
        <v/>
      </c>
      <c r="S51" s="26">
        <f>IF($B51="","",IF(N($R51)&lt;=0,0,IF($R51&lt;='設定'!$B$18,ROUNDDOWN(ROUND($R51*'設定'!$B$17,6),0),ROUNDDOWN(ROUND(($R51-'設定'!$B$18)*'設定'!$B$19,6),0)+'設定'!$B$20)))</f>
        <v/>
      </c>
      <c r="T51" s="26">
        <f>IF($B51="","",IF($X51="",0,IF(INDEX('支払先'!$K$5:$K$104,$X51)="差し引く",N(INDEX('支払先'!$L$5:$L$104,$X51)),0)))</f>
        <v/>
      </c>
      <c r="U51" s="26">
        <f>IF($B51="","",$Q51-$S51-$T51)</f>
        <v/>
      </c>
      <c r="V51" s="22">
        <f>IF($B51="","",MID(IF($C51="","／支払先コードが空",IF($X51="","／支払先にないコード",""))&amp;IF($K51=0,"／明細がない","")&amp;IF($AC51&gt;0,"／税率が空の明細 "&amp;$AC51&amp;"件（合計に入っていない）","")&amp;IF($X51="","",IF(INDEX('支払先'!$G$5:$G$104,$X51)="","／登録番号なし（仕入明細書にならない）",""))&amp;IF($AB51&gt;0,"／60日（2か月）を超える明細 "&amp;$AB51&amp;"件","")&amp;IF($X51="","",IF(AND(INDEX('支払先'!$K$5:$K$104,$X51)="差し引く",OR(INDEX('支払先'!$M$5:$M$104,$X51)&lt;&gt;"対象外",INDEX('支払先'!$N$5:$N$104,$X51)&lt;&gt;"対象外")),"／手数料を差し引けない取引か確かめる",""))&amp;IF(COUNTIF($B$5:$B$204,$B51)&gt;1,"／通知Noが重複","")&amp;IF(AND(ISNUMBER($D51),ISNUMBER($F51),$F51&lt;$D51),"／支払予定日が発行日より前",""),2,300))</f>
        <v/>
      </c>
      <c r="W51" s="67" t="n"/>
      <c r="X51" s="31">
        <f>IF(OR($B51="",$C51=""),"",IFERROR(MATCH($C51,'支払先'!$B$5:$B$104,0),""))</f>
        <v/>
      </c>
      <c r="Y51" s="31">
        <f>IF($B51="","",SUMIFS('支払明細'!$I$5:$I$1004,'支払明細'!$A$5:$A$1004,$B51,'支払明細'!$G$5:$G$1004,"10%（標準）",'支払明細'!$H$5:$H$1004,"&lt;&gt;対象外"))</f>
        <v/>
      </c>
      <c r="Z51" s="31">
        <f>IF($B51="","",SUMIFS('支払明細'!$I$5:$I$1004,'支払明細'!$A$5:$A$1004,$B51,'支払明細'!$G$5:$G$1004,"8%（軽減）",'支払明細'!$H$5:$H$1004,"&lt;&gt;対象外"))</f>
        <v/>
      </c>
      <c r="AA51" s="31">
        <f>IF($B51="","",SUMIFS('支払明細'!$I$5:$I$1004,'支払明細'!$A$5:$A$1004,$B51,'支払明細'!$G$5:$G$1004,"対象外",'支払明細'!$H$5:$H$1004,"&lt;&gt;対象外"))</f>
        <v/>
      </c>
      <c r="AB51" s="31">
        <f>IF($B51="","",COUNTIFS('支払明細'!$A$5:$A$1004,$B51,'支払明細'!$M$5:$M$1004,"超える"))</f>
        <v/>
      </c>
      <c r="AC51" s="31">
        <f>IF($B51="","",COUNTIFS('支払明細'!$A$5:$A$1004,$B51,'支払明細'!$G$5:$G$1004,""))</f>
        <v/>
      </c>
    </row>
    <row r="52" ht="18" customHeight="1">
      <c r="A52" s="17" t="n">
        <v>48</v>
      </c>
      <c r="B52" s="18" t="n"/>
      <c r="C52" s="18" t="n"/>
      <c r="D52" s="24" t="n"/>
      <c r="E52" s="19" t="n"/>
      <c r="F52" s="24" t="n"/>
      <c r="G52" s="28">
        <f>IF(AND($B52&lt;&gt;"",ISNUMBER($D52)),$D52+N('設定'!$B$13),"")</f>
        <v/>
      </c>
      <c r="H52" s="18" t="n"/>
      <c r="I52" s="19" t="n"/>
      <c r="J52" s="27">
        <f>IF($B52="","",IF($C52="","（支払先コードが空）",IF($X52="","※支払先にないコード",INDEX('支払先'!$C$5:$C$104,$X52)&amp;"")))</f>
        <v/>
      </c>
      <c r="K52" s="30">
        <f>IF($B52="","",COUNTIF('支払明細'!$A$5:$A$1004,$B52))</f>
        <v/>
      </c>
      <c r="L52" s="26">
        <f>IF($B52="","",SUMIFS('支払明細'!$I$5:$I$1004,'支払明細'!$A$5:$A$1004,$B52,'支払明細'!$G$5:$G$1004,"10%（標準）"))</f>
        <v/>
      </c>
      <c r="M52" s="26">
        <f>IF($B52="","",SUMIFS('支払明細'!$I$5:$I$1004,'支払明細'!$A$5:$A$1004,$B52,'支払明細'!$G$5:$G$1004,"8%（軽減）"))</f>
        <v/>
      </c>
      <c r="N52" s="26">
        <f>IF($B52="","",SUMIFS('支払明細'!$I$5:$I$1004,'支払明細'!$A$5:$A$1004,$B52,'支払明細'!$G$5:$G$1004,"対象外"))</f>
        <v/>
      </c>
      <c r="O52" s="26">
        <f>IF($B52="","",IF('設定'!$B$11="税込",IF('設定'!$B$12="切り捨て",ROUNDDOWN(ROUND($L52*10/110,6),0),IF('設定'!$B$12="切り上げ",ROUNDUP(ROUND($L52*10/110,6),0),ROUND($L52*10/110,0))),IF('設定'!$B$12="切り捨て",ROUNDDOWN(ROUND($L52*10/100,6),0),IF('設定'!$B$12="切り上げ",ROUNDUP(ROUND($L52*10/100,6),0),ROUND($L52*10/100,0)))))</f>
        <v/>
      </c>
      <c r="P52" s="26">
        <f>IF($B52="","",IF('設定'!$B$11="税込",IF('設定'!$B$12="切り捨て",ROUNDDOWN(ROUND($M52*8/108,6),0),IF('設定'!$B$12="切り上げ",ROUNDUP(ROUND($M52*8/108,6),0),ROUND($M52*8/108,0))),IF('設定'!$B$12="切り捨て",ROUNDDOWN(ROUND($M52*8/100,6),0),IF('設定'!$B$12="切り上げ",ROUNDUP(ROUND($M52*8/100,6),0),ROUND($M52*8/100,0)))))</f>
        <v/>
      </c>
      <c r="Q52" s="26">
        <f>IF($B52="","",IF('設定'!$B$11="税込",$L52+$M52+$N52,$L52+$O52+$M52+$P52+$N52))</f>
        <v/>
      </c>
      <c r="R52" s="26">
        <f>IF($B52="","",IF($X52="",0,IF(INDEX('支払先'!$I$5:$I$104,$X52)&lt;&gt;"する",0,IF(INDEX('支払先'!$J$5:$J$104,$X52)="税抜",IF('設定'!$B$11="税込",($Y52-IF('設定'!$B$12="切り捨て",ROUNDDOWN(ROUND($Y52*10/110,6),0),IF('設定'!$B$12="切り上げ",ROUNDUP(ROUND($Y52*10/110,6),0),ROUND($Y52*10/110,0)))+$Z52-IF('設定'!$B$12="切り捨て",ROUNDDOWN(ROUND($Z52*8/108,6),0),IF('設定'!$B$12="切り上げ",ROUNDUP(ROUND($Z52*8/108,6),0),ROUND($Z52*8/108,0)))+$AA52),$Y52+$Z52+$AA52),IF('設定'!$B$11="税込",$Y52+$Z52+$AA52,($Y52+IF('設定'!$B$12="切り捨て",ROUNDDOWN(ROUND($Y52*10/100,6),0),IF('設定'!$B$12="切り上げ",ROUNDUP(ROUND($Y52*10/100,6),0),ROUND($Y52*10/100,0)))+$Z52+IF('設定'!$B$12="切り捨て",ROUNDDOWN(ROUND($Z52*8/100,6),0),IF('設定'!$B$12="切り上げ",ROUNDUP(ROUND($Z52*8/100,6),0),ROUND($Z52*8/100,0)))+$AA52))))))</f>
        <v/>
      </c>
      <c r="S52" s="26">
        <f>IF($B52="","",IF(N($R52)&lt;=0,0,IF($R52&lt;='設定'!$B$18,ROUNDDOWN(ROUND($R52*'設定'!$B$17,6),0),ROUNDDOWN(ROUND(($R52-'設定'!$B$18)*'設定'!$B$19,6),0)+'設定'!$B$20)))</f>
        <v/>
      </c>
      <c r="T52" s="26">
        <f>IF($B52="","",IF($X52="",0,IF(INDEX('支払先'!$K$5:$K$104,$X52)="差し引く",N(INDEX('支払先'!$L$5:$L$104,$X52)),0)))</f>
        <v/>
      </c>
      <c r="U52" s="26">
        <f>IF($B52="","",$Q52-$S52-$T52)</f>
        <v/>
      </c>
      <c r="V52" s="22">
        <f>IF($B52="","",MID(IF($C52="","／支払先コードが空",IF($X52="","／支払先にないコード",""))&amp;IF($K52=0,"／明細がない","")&amp;IF($AC52&gt;0,"／税率が空の明細 "&amp;$AC52&amp;"件（合計に入っていない）","")&amp;IF($X52="","",IF(INDEX('支払先'!$G$5:$G$104,$X52)="","／登録番号なし（仕入明細書にならない）",""))&amp;IF($AB52&gt;0,"／60日（2か月）を超える明細 "&amp;$AB52&amp;"件","")&amp;IF($X52="","",IF(AND(INDEX('支払先'!$K$5:$K$104,$X52)="差し引く",OR(INDEX('支払先'!$M$5:$M$104,$X52)&lt;&gt;"対象外",INDEX('支払先'!$N$5:$N$104,$X52)&lt;&gt;"対象外")),"／手数料を差し引けない取引か確かめる",""))&amp;IF(COUNTIF($B$5:$B$204,$B52)&gt;1,"／通知Noが重複","")&amp;IF(AND(ISNUMBER($D52),ISNUMBER($F52),$F52&lt;$D52),"／支払予定日が発行日より前",""),2,300))</f>
        <v/>
      </c>
      <c r="W52" s="67" t="n"/>
      <c r="X52" s="31">
        <f>IF(OR($B52="",$C52=""),"",IFERROR(MATCH($C52,'支払先'!$B$5:$B$104,0),""))</f>
        <v/>
      </c>
      <c r="Y52" s="31">
        <f>IF($B52="","",SUMIFS('支払明細'!$I$5:$I$1004,'支払明細'!$A$5:$A$1004,$B52,'支払明細'!$G$5:$G$1004,"10%（標準）",'支払明細'!$H$5:$H$1004,"&lt;&gt;対象外"))</f>
        <v/>
      </c>
      <c r="Z52" s="31">
        <f>IF($B52="","",SUMIFS('支払明細'!$I$5:$I$1004,'支払明細'!$A$5:$A$1004,$B52,'支払明細'!$G$5:$G$1004,"8%（軽減）",'支払明細'!$H$5:$H$1004,"&lt;&gt;対象外"))</f>
        <v/>
      </c>
      <c r="AA52" s="31">
        <f>IF($B52="","",SUMIFS('支払明細'!$I$5:$I$1004,'支払明細'!$A$5:$A$1004,$B52,'支払明細'!$G$5:$G$1004,"対象外",'支払明細'!$H$5:$H$1004,"&lt;&gt;対象外"))</f>
        <v/>
      </c>
      <c r="AB52" s="31">
        <f>IF($B52="","",COUNTIFS('支払明細'!$A$5:$A$1004,$B52,'支払明細'!$M$5:$M$1004,"超える"))</f>
        <v/>
      </c>
      <c r="AC52" s="31">
        <f>IF($B52="","",COUNTIFS('支払明細'!$A$5:$A$1004,$B52,'支払明細'!$G$5:$G$1004,""))</f>
        <v/>
      </c>
    </row>
    <row r="53" ht="18" customHeight="1">
      <c r="A53" s="17" t="n">
        <v>49</v>
      </c>
      <c r="B53" s="18" t="n"/>
      <c r="C53" s="18" t="n"/>
      <c r="D53" s="24" t="n"/>
      <c r="E53" s="19" t="n"/>
      <c r="F53" s="24" t="n"/>
      <c r="G53" s="28">
        <f>IF(AND($B53&lt;&gt;"",ISNUMBER($D53)),$D53+N('設定'!$B$13),"")</f>
        <v/>
      </c>
      <c r="H53" s="18" t="n"/>
      <c r="I53" s="19" t="n"/>
      <c r="J53" s="27">
        <f>IF($B53="","",IF($C53="","（支払先コードが空）",IF($X53="","※支払先にないコード",INDEX('支払先'!$C$5:$C$104,$X53)&amp;"")))</f>
        <v/>
      </c>
      <c r="K53" s="30">
        <f>IF($B53="","",COUNTIF('支払明細'!$A$5:$A$1004,$B53))</f>
        <v/>
      </c>
      <c r="L53" s="26">
        <f>IF($B53="","",SUMIFS('支払明細'!$I$5:$I$1004,'支払明細'!$A$5:$A$1004,$B53,'支払明細'!$G$5:$G$1004,"10%（標準）"))</f>
        <v/>
      </c>
      <c r="M53" s="26">
        <f>IF($B53="","",SUMIFS('支払明細'!$I$5:$I$1004,'支払明細'!$A$5:$A$1004,$B53,'支払明細'!$G$5:$G$1004,"8%（軽減）"))</f>
        <v/>
      </c>
      <c r="N53" s="26">
        <f>IF($B53="","",SUMIFS('支払明細'!$I$5:$I$1004,'支払明細'!$A$5:$A$1004,$B53,'支払明細'!$G$5:$G$1004,"対象外"))</f>
        <v/>
      </c>
      <c r="O53" s="26">
        <f>IF($B53="","",IF('設定'!$B$11="税込",IF('設定'!$B$12="切り捨て",ROUNDDOWN(ROUND($L53*10/110,6),0),IF('設定'!$B$12="切り上げ",ROUNDUP(ROUND($L53*10/110,6),0),ROUND($L53*10/110,0))),IF('設定'!$B$12="切り捨て",ROUNDDOWN(ROUND($L53*10/100,6),0),IF('設定'!$B$12="切り上げ",ROUNDUP(ROUND($L53*10/100,6),0),ROUND($L53*10/100,0)))))</f>
        <v/>
      </c>
      <c r="P53" s="26">
        <f>IF($B53="","",IF('設定'!$B$11="税込",IF('設定'!$B$12="切り捨て",ROUNDDOWN(ROUND($M53*8/108,6),0),IF('設定'!$B$12="切り上げ",ROUNDUP(ROUND($M53*8/108,6),0),ROUND($M53*8/108,0))),IF('設定'!$B$12="切り捨て",ROUNDDOWN(ROUND($M53*8/100,6),0),IF('設定'!$B$12="切り上げ",ROUNDUP(ROUND($M53*8/100,6),0),ROUND($M53*8/100,0)))))</f>
        <v/>
      </c>
      <c r="Q53" s="26">
        <f>IF($B53="","",IF('設定'!$B$11="税込",$L53+$M53+$N53,$L53+$O53+$M53+$P53+$N53))</f>
        <v/>
      </c>
      <c r="R53" s="26">
        <f>IF($B53="","",IF($X53="",0,IF(INDEX('支払先'!$I$5:$I$104,$X53)&lt;&gt;"する",0,IF(INDEX('支払先'!$J$5:$J$104,$X53)="税抜",IF('設定'!$B$11="税込",($Y53-IF('設定'!$B$12="切り捨て",ROUNDDOWN(ROUND($Y53*10/110,6),0),IF('設定'!$B$12="切り上げ",ROUNDUP(ROUND($Y53*10/110,6),0),ROUND($Y53*10/110,0)))+$Z53-IF('設定'!$B$12="切り捨て",ROUNDDOWN(ROUND($Z53*8/108,6),0),IF('設定'!$B$12="切り上げ",ROUNDUP(ROUND($Z53*8/108,6),0),ROUND($Z53*8/108,0)))+$AA53),$Y53+$Z53+$AA53),IF('設定'!$B$11="税込",$Y53+$Z53+$AA53,($Y53+IF('設定'!$B$12="切り捨て",ROUNDDOWN(ROUND($Y53*10/100,6),0),IF('設定'!$B$12="切り上げ",ROUNDUP(ROUND($Y53*10/100,6),0),ROUND($Y53*10/100,0)))+$Z53+IF('設定'!$B$12="切り捨て",ROUNDDOWN(ROUND($Z53*8/100,6),0),IF('設定'!$B$12="切り上げ",ROUNDUP(ROUND($Z53*8/100,6),0),ROUND($Z53*8/100,0)))+$AA53))))))</f>
        <v/>
      </c>
      <c r="S53" s="26">
        <f>IF($B53="","",IF(N($R53)&lt;=0,0,IF($R53&lt;='設定'!$B$18,ROUNDDOWN(ROUND($R53*'設定'!$B$17,6),0),ROUNDDOWN(ROUND(($R53-'設定'!$B$18)*'設定'!$B$19,6),0)+'設定'!$B$20)))</f>
        <v/>
      </c>
      <c r="T53" s="26">
        <f>IF($B53="","",IF($X53="",0,IF(INDEX('支払先'!$K$5:$K$104,$X53)="差し引く",N(INDEX('支払先'!$L$5:$L$104,$X53)),0)))</f>
        <v/>
      </c>
      <c r="U53" s="26">
        <f>IF($B53="","",$Q53-$S53-$T53)</f>
        <v/>
      </c>
      <c r="V53" s="22">
        <f>IF($B53="","",MID(IF($C53="","／支払先コードが空",IF($X53="","／支払先にないコード",""))&amp;IF($K53=0,"／明細がない","")&amp;IF($AC53&gt;0,"／税率が空の明細 "&amp;$AC53&amp;"件（合計に入っていない）","")&amp;IF($X53="","",IF(INDEX('支払先'!$G$5:$G$104,$X53)="","／登録番号なし（仕入明細書にならない）",""))&amp;IF($AB53&gt;0,"／60日（2か月）を超える明細 "&amp;$AB53&amp;"件","")&amp;IF($X53="","",IF(AND(INDEX('支払先'!$K$5:$K$104,$X53)="差し引く",OR(INDEX('支払先'!$M$5:$M$104,$X53)&lt;&gt;"対象外",INDEX('支払先'!$N$5:$N$104,$X53)&lt;&gt;"対象外")),"／手数料を差し引けない取引か確かめる",""))&amp;IF(COUNTIF($B$5:$B$204,$B53)&gt;1,"／通知Noが重複","")&amp;IF(AND(ISNUMBER($D53),ISNUMBER($F53),$F53&lt;$D53),"／支払予定日が発行日より前",""),2,300))</f>
        <v/>
      </c>
      <c r="W53" s="67" t="n"/>
      <c r="X53" s="31">
        <f>IF(OR($B53="",$C53=""),"",IFERROR(MATCH($C53,'支払先'!$B$5:$B$104,0),""))</f>
        <v/>
      </c>
      <c r="Y53" s="31">
        <f>IF($B53="","",SUMIFS('支払明細'!$I$5:$I$1004,'支払明細'!$A$5:$A$1004,$B53,'支払明細'!$G$5:$G$1004,"10%（標準）",'支払明細'!$H$5:$H$1004,"&lt;&gt;対象外"))</f>
        <v/>
      </c>
      <c r="Z53" s="31">
        <f>IF($B53="","",SUMIFS('支払明細'!$I$5:$I$1004,'支払明細'!$A$5:$A$1004,$B53,'支払明細'!$G$5:$G$1004,"8%（軽減）",'支払明細'!$H$5:$H$1004,"&lt;&gt;対象外"))</f>
        <v/>
      </c>
      <c r="AA53" s="31">
        <f>IF($B53="","",SUMIFS('支払明細'!$I$5:$I$1004,'支払明細'!$A$5:$A$1004,$B53,'支払明細'!$G$5:$G$1004,"対象外",'支払明細'!$H$5:$H$1004,"&lt;&gt;対象外"))</f>
        <v/>
      </c>
      <c r="AB53" s="31">
        <f>IF($B53="","",COUNTIFS('支払明細'!$A$5:$A$1004,$B53,'支払明細'!$M$5:$M$1004,"超える"))</f>
        <v/>
      </c>
      <c r="AC53" s="31">
        <f>IF($B53="","",COUNTIFS('支払明細'!$A$5:$A$1004,$B53,'支払明細'!$G$5:$G$1004,""))</f>
        <v/>
      </c>
    </row>
    <row r="54" ht="18" customHeight="1">
      <c r="A54" s="17" t="n">
        <v>50</v>
      </c>
      <c r="B54" s="18" t="n"/>
      <c r="C54" s="18" t="n"/>
      <c r="D54" s="24" t="n"/>
      <c r="E54" s="19" t="n"/>
      <c r="F54" s="24" t="n"/>
      <c r="G54" s="28">
        <f>IF(AND($B54&lt;&gt;"",ISNUMBER($D54)),$D54+N('設定'!$B$13),"")</f>
        <v/>
      </c>
      <c r="H54" s="18" t="n"/>
      <c r="I54" s="19" t="n"/>
      <c r="J54" s="27">
        <f>IF($B54="","",IF($C54="","（支払先コードが空）",IF($X54="","※支払先にないコード",INDEX('支払先'!$C$5:$C$104,$X54)&amp;"")))</f>
        <v/>
      </c>
      <c r="K54" s="30">
        <f>IF($B54="","",COUNTIF('支払明細'!$A$5:$A$1004,$B54))</f>
        <v/>
      </c>
      <c r="L54" s="26">
        <f>IF($B54="","",SUMIFS('支払明細'!$I$5:$I$1004,'支払明細'!$A$5:$A$1004,$B54,'支払明細'!$G$5:$G$1004,"10%（標準）"))</f>
        <v/>
      </c>
      <c r="M54" s="26">
        <f>IF($B54="","",SUMIFS('支払明細'!$I$5:$I$1004,'支払明細'!$A$5:$A$1004,$B54,'支払明細'!$G$5:$G$1004,"8%（軽減）"))</f>
        <v/>
      </c>
      <c r="N54" s="26">
        <f>IF($B54="","",SUMIFS('支払明細'!$I$5:$I$1004,'支払明細'!$A$5:$A$1004,$B54,'支払明細'!$G$5:$G$1004,"対象外"))</f>
        <v/>
      </c>
      <c r="O54" s="26">
        <f>IF($B54="","",IF('設定'!$B$11="税込",IF('設定'!$B$12="切り捨て",ROUNDDOWN(ROUND($L54*10/110,6),0),IF('設定'!$B$12="切り上げ",ROUNDUP(ROUND($L54*10/110,6),0),ROUND($L54*10/110,0))),IF('設定'!$B$12="切り捨て",ROUNDDOWN(ROUND($L54*10/100,6),0),IF('設定'!$B$12="切り上げ",ROUNDUP(ROUND($L54*10/100,6),0),ROUND($L54*10/100,0)))))</f>
        <v/>
      </c>
      <c r="P54" s="26">
        <f>IF($B54="","",IF('設定'!$B$11="税込",IF('設定'!$B$12="切り捨て",ROUNDDOWN(ROUND($M54*8/108,6),0),IF('設定'!$B$12="切り上げ",ROUNDUP(ROUND($M54*8/108,6),0),ROUND($M54*8/108,0))),IF('設定'!$B$12="切り捨て",ROUNDDOWN(ROUND($M54*8/100,6),0),IF('設定'!$B$12="切り上げ",ROUNDUP(ROUND($M54*8/100,6),0),ROUND($M54*8/100,0)))))</f>
        <v/>
      </c>
      <c r="Q54" s="26">
        <f>IF($B54="","",IF('設定'!$B$11="税込",$L54+$M54+$N54,$L54+$O54+$M54+$P54+$N54))</f>
        <v/>
      </c>
      <c r="R54" s="26">
        <f>IF($B54="","",IF($X54="",0,IF(INDEX('支払先'!$I$5:$I$104,$X54)&lt;&gt;"する",0,IF(INDEX('支払先'!$J$5:$J$104,$X54)="税抜",IF('設定'!$B$11="税込",($Y54-IF('設定'!$B$12="切り捨て",ROUNDDOWN(ROUND($Y54*10/110,6),0),IF('設定'!$B$12="切り上げ",ROUNDUP(ROUND($Y54*10/110,6),0),ROUND($Y54*10/110,0)))+$Z54-IF('設定'!$B$12="切り捨て",ROUNDDOWN(ROUND($Z54*8/108,6),0),IF('設定'!$B$12="切り上げ",ROUNDUP(ROUND($Z54*8/108,6),0),ROUND($Z54*8/108,0)))+$AA54),$Y54+$Z54+$AA54),IF('設定'!$B$11="税込",$Y54+$Z54+$AA54,($Y54+IF('設定'!$B$12="切り捨て",ROUNDDOWN(ROUND($Y54*10/100,6),0),IF('設定'!$B$12="切り上げ",ROUNDUP(ROUND($Y54*10/100,6),0),ROUND($Y54*10/100,0)))+$Z54+IF('設定'!$B$12="切り捨て",ROUNDDOWN(ROUND($Z54*8/100,6),0),IF('設定'!$B$12="切り上げ",ROUNDUP(ROUND($Z54*8/100,6),0),ROUND($Z54*8/100,0)))+$AA54))))))</f>
        <v/>
      </c>
      <c r="S54" s="26">
        <f>IF($B54="","",IF(N($R54)&lt;=0,0,IF($R54&lt;='設定'!$B$18,ROUNDDOWN(ROUND($R54*'設定'!$B$17,6),0),ROUNDDOWN(ROUND(($R54-'設定'!$B$18)*'設定'!$B$19,6),0)+'設定'!$B$20)))</f>
        <v/>
      </c>
      <c r="T54" s="26">
        <f>IF($B54="","",IF($X54="",0,IF(INDEX('支払先'!$K$5:$K$104,$X54)="差し引く",N(INDEX('支払先'!$L$5:$L$104,$X54)),0)))</f>
        <v/>
      </c>
      <c r="U54" s="26">
        <f>IF($B54="","",$Q54-$S54-$T54)</f>
        <v/>
      </c>
      <c r="V54" s="22">
        <f>IF($B54="","",MID(IF($C54="","／支払先コードが空",IF($X54="","／支払先にないコード",""))&amp;IF($K54=0,"／明細がない","")&amp;IF($AC54&gt;0,"／税率が空の明細 "&amp;$AC54&amp;"件（合計に入っていない）","")&amp;IF($X54="","",IF(INDEX('支払先'!$G$5:$G$104,$X54)="","／登録番号なし（仕入明細書にならない）",""))&amp;IF($AB54&gt;0,"／60日（2か月）を超える明細 "&amp;$AB54&amp;"件","")&amp;IF($X54="","",IF(AND(INDEX('支払先'!$K$5:$K$104,$X54)="差し引く",OR(INDEX('支払先'!$M$5:$M$104,$X54)&lt;&gt;"対象外",INDEX('支払先'!$N$5:$N$104,$X54)&lt;&gt;"対象外")),"／手数料を差し引けない取引か確かめる",""))&amp;IF(COUNTIF($B$5:$B$204,$B54)&gt;1,"／通知Noが重複","")&amp;IF(AND(ISNUMBER($D54),ISNUMBER($F54),$F54&lt;$D54),"／支払予定日が発行日より前",""),2,300))</f>
        <v/>
      </c>
      <c r="W54" s="67" t="n"/>
      <c r="X54" s="31">
        <f>IF(OR($B54="",$C54=""),"",IFERROR(MATCH($C54,'支払先'!$B$5:$B$104,0),""))</f>
        <v/>
      </c>
      <c r="Y54" s="31">
        <f>IF($B54="","",SUMIFS('支払明細'!$I$5:$I$1004,'支払明細'!$A$5:$A$1004,$B54,'支払明細'!$G$5:$G$1004,"10%（標準）",'支払明細'!$H$5:$H$1004,"&lt;&gt;対象外"))</f>
        <v/>
      </c>
      <c r="Z54" s="31">
        <f>IF($B54="","",SUMIFS('支払明細'!$I$5:$I$1004,'支払明細'!$A$5:$A$1004,$B54,'支払明細'!$G$5:$G$1004,"8%（軽減）",'支払明細'!$H$5:$H$1004,"&lt;&gt;対象外"))</f>
        <v/>
      </c>
      <c r="AA54" s="31">
        <f>IF($B54="","",SUMIFS('支払明細'!$I$5:$I$1004,'支払明細'!$A$5:$A$1004,$B54,'支払明細'!$G$5:$G$1004,"対象外",'支払明細'!$H$5:$H$1004,"&lt;&gt;対象外"))</f>
        <v/>
      </c>
      <c r="AB54" s="31">
        <f>IF($B54="","",COUNTIFS('支払明細'!$A$5:$A$1004,$B54,'支払明細'!$M$5:$M$1004,"超える"))</f>
        <v/>
      </c>
      <c r="AC54" s="31">
        <f>IF($B54="","",COUNTIFS('支払明細'!$A$5:$A$1004,$B54,'支払明細'!$G$5:$G$1004,""))</f>
        <v/>
      </c>
    </row>
    <row r="55" ht="18" customHeight="1">
      <c r="A55" s="17" t="n">
        <v>51</v>
      </c>
      <c r="B55" s="18" t="n"/>
      <c r="C55" s="18" t="n"/>
      <c r="D55" s="24" t="n"/>
      <c r="E55" s="19" t="n"/>
      <c r="F55" s="24" t="n"/>
      <c r="G55" s="28">
        <f>IF(AND($B55&lt;&gt;"",ISNUMBER($D55)),$D55+N('設定'!$B$13),"")</f>
        <v/>
      </c>
      <c r="H55" s="18" t="n"/>
      <c r="I55" s="19" t="n"/>
      <c r="J55" s="27">
        <f>IF($B55="","",IF($C55="","（支払先コードが空）",IF($X55="","※支払先にないコード",INDEX('支払先'!$C$5:$C$104,$X55)&amp;"")))</f>
        <v/>
      </c>
      <c r="K55" s="30">
        <f>IF($B55="","",COUNTIF('支払明細'!$A$5:$A$1004,$B55))</f>
        <v/>
      </c>
      <c r="L55" s="26">
        <f>IF($B55="","",SUMIFS('支払明細'!$I$5:$I$1004,'支払明細'!$A$5:$A$1004,$B55,'支払明細'!$G$5:$G$1004,"10%（標準）"))</f>
        <v/>
      </c>
      <c r="M55" s="26">
        <f>IF($B55="","",SUMIFS('支払明細'!$I$5:$I$1004,'支払明細'!$A$5:$A$1004,$B55,'支払明細'!$G$5:$G$1004,"8%（軽減）"))</f>
        <v/>
      </c>
      <c r="N55" s="26">
        <f>IF($B55="","",SUMIFS('支払明細'!$I$5:$I$1004,'支払明細'!$A$5:$A$1004,$B55,'支払明細'!$G$5:$G$1004,"対象外"))</f>
        <v/>
      </c>
      <c r="O55" s="26">
        <f>IF($B55="","",IF('設定'!$B$11="税込",IF('設定'!$B$12="切り捨て",ROUNDDOWN(ROUND($L55*10/110,6),0),IF('設定'!$B$12="切り上げ",ROUNDUP(ROUND($L55*10/110,6),0),ROUND($L55*10/110,0))),IF('設定'!$B$12="切り捨て",ROUNDDOWN(ROUND($L55*10/100,6),0),IF('設定'!$B$12="切り上げ",ROUNDUP(ROUND($L55*10/100,6),0),ROUND($L55*10/100,0)))))</f>
        <v/>
      </c>
      <c r="P55" s="26">
        <f>IF($B55="","",IF('設定'!$B$11="税込",IF('設定'!$B$12="切り捨て",ROUNDDOWN(ROUND($M55*8/108,6),0),IF('設定'!$B$12="切り上げ",ROUNDUP(ROUND($M55*8/108,6),0),ROUND($M55*8/108,0))),IF('設定'!$B$12="切り捨て",ROUNDDOWN(ROUND($M55*8/100,6),0),IF('設定'!$B$12="切り上げ",ROUNDUP(ROUND($M55*8/100,6),0),ROUND($M55*8/100,0)))))</f>
        <v/>
      </c>
      <c r="Q55" s="26">
        <f>IF($B55="","",IF('設定'!$B$11="税込",$L55+$M55+$N55,$L55+$O55+$M55+$P55+$N55))</f>
        <v/>
      </c>
      <c r="R55" s="26">
        <f>IF($B55="","",IF($X55="",0,IF(INDEX('支払先'!$I$5:$I$104,$X55)&lt;&gt;"する",0,IF(INDEX('支払先'!$J$5:$J$104,$X55)="税抜",IF('設定'!$B$11="税込",($Y55-IF('設定'!$B$12="切り捨て",ROUNDDOWN(ROUND($Y55*10/110,6),0),IF('設定'!$B$12="切り上げ",ROUNDUP(ROUND($Y55*10/110,6),0),ROUND($Y55*10/110,0)))+$Z55-IF('設定'!$B$12="切り捨て",ROUNDDOWN(ROUND($Z55*8/108,6),0),IF('設定'!$B$12="切り上げ",ROUNDUP(ROUND($Z55*8/108,6),0),ROUND($Z55*8/108,0)))+$AA55),$Y55+$Z55+$AA55),IF('設定'!$B$11="税込",$Y55+$Z55+$AA55,($Y55+IF('設定'!$B$12="切り捨て",ROUNDDOWN(ROUND($Y55*10/100,6),0),IF('設定'!$B$12="切り上げ",ROUNDUP(ROUND($Y55*10/100,6),0),ROUND($Y55*10/100,0)))+$Z55+IF('設定'!$B$12="切り捨て",ROUNDDOWN(ROUND($Z55*8/100,6),0),IF('設定'!$B$12="切り上げ",ROUNDUP(ROUND($Z55*8/100,6),0),ROUND($Z55*8/100,0)))+$AA55))))))</f>
        <v/>
      </c>
      <c r="S55" s="26">
        <f>IF($B55="","",IF(N($R55)&lt;=0,0,IF($R55&lt;='設定'!$B$18,ROUNDDOWN(ROUND($R55*'設定'!$B$17,6),0),ROUNDDOWN(ROUND(($R55-'設定'!$B$18)*'設定'!$B$19,6),0)+'設定'!$B$20)))</f>
        <v/>
      </c>
      <c r="T55" s="26">
        <f>IF($B55="","",IF($X55="",0,IF(INDEX('支払先'!$K$5:$K$104,$X55)="差し引く",N(INDEX('支払先'!$L$5:$L$104,$X55)),0)))</f>
        <v/>
      </c>
      <c r="U55" s="26">
        <f>IF($B55="","",$Q55-$S55-$T55)</f>
        <v/>
      </c>
      <c r="V55" s="22">
        <f>IF($B55="","",MID(IF($C55="","／支払先コードが空",IF($X55="","／支払先にないコード",""))&amp;IF($K55=0,"／明細がない","")&amp;IF($AC55&gt;0,"／税率が空の明細 "&amp;$AC55&amp;"件（合計に入っていない）","")&amp;IF($X55="","",IF(INDEX('支払先'!$G$5:$G$104,$X55)="","／登録番号なし（仕入明細書にならない）",""))&amp;IF($AB55&gt;0,"／60日（2か月）を超える明細 "&amp;$AB55&amp;"件","")&amp;IF($X55="","",IF(AND(INDEX('支払先'!$K$5:$K$104,$X55)="差し引く",OR(INDEX('支払先'!$M$5:$M$104,$X55)&lt;&gt;"対象外",INDEX('支払先'!$N$5:$N$104,$X55)&lt;&gt;"対象外")),"／手数料を差し引けない取引か確かめる",""))&amp;IF(COUNTIF($B$5:$B$204,$B55)&gt;1,"／通知Noが重複","")&amp;IF(AND(ISNUMBER($D55),ISNUMBER($F55),$F55&lt;$D55),"／支払予定日が発行日より前",""),2,300))</f>
        <v/>
      </c>
      <c r="W55" s="67" t="n"/>
      <c r="X55" s="31">
        <f>IF(OR($B55="",$C55=""),"",IFERROR(MATCH($C55,'支払先'!$B$5:$B$104,0),""))</f>
        <v/>
      </c>
      <c r="Y55" s="31">
        <f>IF($B55="","",SUMIFS('支払明細'!$I$5:$I$1004,'支払明細'!$A$5:$A$1004,$B55,'支払明細'!$G$5:$G$1004,"10%（標準）",'支払明細'!$H$5:$H$1004,"&lt;&gt;対象外"))</f>
        <v/>
      </c>
      <c r="Z55" s="31">
        <f>IF($B55="","",SUMIFS('支払明細'!$I$5:$I$1004,'支払明細'!$A$5:$A$1004,$B55,'支払明細'!$G$5:$G$1004,"8%（軽減）",'支払明細'!$H$5:$H$1004,"&lt;&gt;対象外"))</f>
        <v/>
      </c>
      <c r="AA55" s="31">
        <f>IF($B55="","",SUMIFS('支払明細'!$I$5:$I$1004,'支払明細'!$A$5:$A$1004,$B55,'支払明細'!$G$5:$G$1004,"対象外",'支払明細'!$H$5:$H$1004,"&lt;&gt;対象外"))</f>
        <v/>
      </c>
      <c r="AB55" s="31">
        <f>IF($B55="","",COUNTIFS('支払明細'!$A$5:$A$1004,$B55,'支払明細'!$M$5:$M$1004,"超える"))</f>
        <v/>
      </c>
      <c r="AC55" s="31">
        <f>IF($B55="","",COUNTIFS('支払明細'!$A$5:$A$1004,$B55,'支払明細'!$G$5:$G$1004,""))</f>
        <v/>
      </c>
    </row>
    <row r="56" ht="18" customHeight="1">
      <c r="A56" s="17" t="n">
        <v>52</v>
      </c>
      <c r="B56" s="18" t="n"/>
      <c r="C56" s="18" t="n"/>
      <c r="D56" s="24" t="n"/>
      <c r="E56" s="19" t="n"/>
      <c r="F56" s="24" t="n"/>
      <c r="G56" s="28">
        <f>IF(AND($B56&lt;&gt;"",ISNUMBER($D56)),$D56+N('設定'!$B$13),"")</f>
        <v/>
      </c>
      <c r="H56" s="18" t="n"/>
      <c r="I56" s="19" t="n"/>
      <c r="J56" s="27">
        <f>IF($B56="","",IF($C56="","（支払先コードが空）",IF($X56="","※支払先にないコード",INDEX('支払先'!$C$5:$C$104,$X56)&amp;"")))</f>
        <v/>
      </c>
      <c r="K56" s="30">
        <f>IF($B56="","",COUNTIF('支払明細'!$A$5:$A$1004,$B56))</f>
        <v/>
      </c>
      <c r="L56" s="26">
        <f>IF($B56="","",SUMIFS('支払明細'!$I$5:$I$1004,'支払明細'!$A$5:$A$1004,$B56,'支払明細'!$G$5:$G$1004,"10%（標準）"))</f>
        <v/>
      </c>
      <c r="M56" s="26">
        <f>IF($B56="","",SUMIFS('支払明細'!$I$5:$I$1004,'支払明細'!$A$5:$A$1004,$B56,'支払明細'!$G$5:$G$1004,"8%（軽減）"))</f>
        <v/>
      </c>
      <c r="N56" s="26">
        <f>IF($B56="","",SUMIFS('支払明細'!$I$5:$I$1004,'支払明細'!$A$5:$A$1004,$B56,'支払明細'!$G$5:$G$1004,"対象外"))</f>
        <v/>
      </c>
      <c r="O56" s="26">
        <f>IF($B56="","",IF('設定'!$B$11="税込",IF('設定'!$B$12="切り捨て",ROUNDDOWN(ROUND($L56*10/110,6),0),IF('設定'!$B$12="切り上げ",ROUNDUP(ROUND($L56*10/110,6),0),ROUND($L56*10/110,0))),IF('設定'!$B$12="切り捨て",ROUNDDOWN(ROUND($L56*10/100,6),0),IF('設定'!$B$12="切り上げ",ROUNDUP(ROUND($L56*10/100,6),0),ROUND($L56*10/100,0)))))</f>
        <v/>
      </c>
      <c r="P56" s="26">
        <f>IF($B56="","",IF('設定'!$B$11="税込",IF('設定'!$B$12="切り捨て",ROUNDDOWN(ROUND($M56*8/108,6),0),IF('設定'!$B$12="切り上げ",ROUNDUP(ROUND($M56*8/108,6),0),ROUND($M56*8/108,0))),IF('設定'!$B$12="切り捨て",ROUNDDOWN(ROUND($M56*8/100,6),0),IF('設定'!$B$12="切り上げ",ROUNDUP(ROUND($M56*8/100,6),0),ROUND($M56*8/100,0)))))</f>
        <v/>
      </c>
      <c r="Q56" s="26">
        <f>IF($B56="","",IF('設定'!$B$11="税込",$L56+$M56+$N56,$L56+$O56+$M56+$P56+$N56))</f>
        <v/>
      </c>
      <c r="R56" s="26">
        <f>IF($B56="","",IF($X56="",0,IF(INDEX('支払先'!$I$5:$I$104,$X56)&lt;&gt;"する",0,IF(INDEX('支払先'!$J$5:$J$104,$X56)="税抜",IF('設定'!$B$11="税込",($Y56-IF('設定'!$B$12="切り捨て",ROUNDDOWN(ROUND($Y56*10/110,6),0),IF('設定'!$B$12="切り上げ",ROUNDUP(ROUND($Y56*10/110,6),0),ROUND($Y56*10/110,0)))+$Z56-IF('設定'!$B$12="切り捨て",ROUNDDOWN(ROUND($Z56*8/108,6),0),IF('設定'!$B$12="切り上げ",ROUNDUP(ROUND($Z56*8/108,6),0),ROUND($Z56*8/108,0)))+$AA56),$Y56+$Z56+$AA56),IF('設定'!$B$11="税込",$Y56+$Z56+$AA56,($Y56+IF('設定'!$B$12="切り捨て",ROUNDDOWN(ROUND($Y56*10/100,6),0),IF('設定'!$B$12="切り上げ",ROUNDUP(ROUND($Y56*10/100,6),0),ROUND($Y56*10/100,0)))+$Z56+IF('設定'!$B$12="切り捨て",ROUNDDOWN(ROUND($Z56*8/100,6),0),IF('設定'!$B$12="切り上げ",ROUNDUP(ROUND($Z56*8/100,6),0),ROUND($Z56*8/100,0)))+$AA56))))))</f>
        <v/>
      </c>
      <c r="S56" s="26">
        <f>IF($B56="","",IF(N($R56)&lt;=0,0,IF($R56&lt;='設定'!$B$18,ROUNDDOWN(ROUND($R56*'設定'!$B$17,6),0),ROUNDDOWN(ROUND(($R56-'設定'!$B$18)*'設定'!$B$19,6),0)+'設定'!$B$20)))</f>
        <v/>
      </c>
      <c r="T56" s="26">
        <f>IF($B56="","",IF($X56="",0,IF(INDEX('支払先'!$K$5:$K$104,$X56)="差し引く",N(INDEX('支払先'!$L$5:$L$104,$X56)),0)))</f>
        <v/>
      </c>
      <c r="U56" s="26">
        <f>IF($B56="","",$Q56-$S56-$T56)</f>
        <v/>
      </c>
      <c r="V56" s="22">
        <f>IF($B56="","",MID(IF($C56="","／支払先コードが空",IF($X56="","／支払先にないコード",""))&amp;IF($K56=0,"／明細がない","")&amp;IF($AC56&gt;0,"／税率が空の明細 "&amp;$AC56&amp;"件（合計に入っていない）","")&amp;IF($X56="","",IF(INDEX('支払先'!$G$5:$G$104,$X56)="","／登録番号なし（仕入明細書にならない）",""))&amp;IF($AB56&gt;0,"／60日（2か月）を超える明細 "&amp;$AB56&amp;"件","")&amp;IF($X56="","",IF(AND(INDEX('支払先'!$K$5:$K$104,$X56)="差し引く",OR(INDEX('支払先'!$M$5:$M$104,$X56)&lt;&gt;"対象外",INDEX('支払先'!$N$5:$N$104,$X56)&lt;&gt;"対象外")),"／手数料を差し引けない取引か確かめる",""))&amp;IF(COUNTIF($B$5:$B$204,$B56)&gt;1,"／通知Noが重複","")&amp;IF(AND(ISNUMBER($D56),ISNUMBER($F56),$F56&lt;$D56),"／支払予定日が発行日より前",""),2,300))</f>
        <v/>
      </c>
      <c r="W56" s="67" t="n"/>
      <c r="X56" s="31">
        <f>IF(OR($B56="",$C56=""),"",IFERROR(MATCH($C56,'支払先'!$B$5:$B$104,0),""))</f>
        <v/>
      </c>
      <c r="Y56" s="31">
        <f>IF($B56="","",SUMIFS('支払明細'!$I$5:$I$1004,'支払明細'!$A$5:$A$1004,$B56,'支払明細'!$G$5:$G$1004,"10%（標準）",'支払明細'!$H$5:$H$1004,"&lt;&gt;対象外"))</f>
        <v/>
      </c>
      <c r="Z56" s="31">
        <f>IF($B56="","",SUMIFS('支払明細'!$I$5:$I$1004,'支払明細'!$A$5:$A$1004,$B56,'支払明細'!$G$5:$G$1004,"8%（軽減）",'支払明細'!$H$5:$H$1004,"&lt;&gt;対象外"))</f>
        <v/>
      </c>
      <c r="AA56" s="31">
        <f>IF($B56="","",SUMIFS('支払明細'!$I$5:$I$1004,'支払明細'!$A$5:$A$1004,$B56,'支払明細'!$G$5:$G$1004,"対象外",'支払明細'!$H$5:$H$1004,"&lt;&gt;対象外"))</f>
        <v/>
      </c>
      <c r="AB56" s="31">
        <f>IF($B56="","",COUNTIFS('支払明細'!$A$5:$A$1004,$B56,'支払明細'!$M$5:$M$1004,"超える"))</f>
        <v/>
      </c>
      <c r="AC56" s="31">
        <f>IF($B56="","",COUNTIFS('支払明細'!$A$5:$A$1004,$B56,'支払明細'!$G$5:$G$1004,""))</f>
        <v/>
      </c>
    </row>
    <row r="57" ht="18" customHeight="1">
      <c r="A57" s="17" t="n">
        <v>53</v>
      </c>
      <c r="B57" s="18" t="n"/>
      <c r="C57" s="18" t="n"/>
      <c r="D57" s="24" t="n"/>
      <c r="E57" s="19" t="n"/>
      <c r="F57" s="24" t="n"/>
      <c r="G57" s="28">
        <f>IF(AND($B57&lt;&gt;"",ISNUMBER($D57)),$D57+N('設定'!$B$13),"")</f>
        <v/>
      </c>
      <c r="H57" s="18" t="n"/>
      <c r="I57" s="19" t="n"/>
      <c r="J57" s="27">
        <f>IF($B57="","",IF($C57="","（支払先コードが空）",IF($X57="","※支払先にないコード",INDEX('支払先'!$C$5:$C$104,$X57)&amp;"")))</f>
        <v/>
      </c>
      <c r="K57" s="30">
        <f>IF($B57="","",COUNTIF('支払明細'!$A$5:$A$1004,$B57))</f>
        <v/>
      </c>
      <c r="L57" s="26">
        <f>IF($B57="","",SUMIFS('支払明細'!$I$5:$I$1004,'支払明細'!$A$5:$A$1004,$B57,'支払明細'!$G$5:$G$1004,"10%（標準）"))</f>
        <v/>
      </c>
      <c r="M57" s="26">
        <f>IF($B57="","",SUMIFS('支払明細'!$I$5:$I$1004,'支払明細'!$A$5:$A$1004,$B57,'支払明細'!$G$5:$G$1004,"8%（軽減）"))</f>
        <v/>
      </c>
      <c r="N57" s="26">
        <f>IF($B57="","",SUMIFS('支払明細'!$I$5:$I$1004,'支払明細'!$A$5:$A$1004,$B57,'支払明細'!$G$5:$G$1004,"対象外"))</f>
        <v/>
      </c>
      <c r="O57" s="26">
        <f>IF($B57="","",IF('設定'!$B$11="税込",IF('設定'!$B$12="切り捨て",ROUNDDOWN(ROUND($L57*10/110,6),0),IF('設定'!$B$12="切り上げ",ROUNDUP(ROUND($L57*10/110,6),0),ROUND($L57*10/110,0))),IF('設定'!$B$12="切り捨て",ROUNDDOWN(ROUND($L57*10/100,6),0),IF('設定'!$B$12="切り上げ",ROUNDUP(ROUND($L57*10/100,6),0),ROUND($L57*10/100,0)))))</f>
        <v/>
      </c>
      <c r="P57" s="26">
        <f>IF($B57="","",IF('設定'!$B$11="税込",IF('設定'!$B$12="切り捨て",ROUNDDOWN(ROUND($M57*8/108,6),0),IF('設定'!$B$12="切り上げ",ROUNDUP(ROUND($M57*8/108,6),0),ROUND($M57*8/108,0))),IF('設定'!$B$12="切り捨て",ROUNDDOWN(ROUND($M57*8/100,6),0),IF('設定'!$B$12="切り上げ",ROUNDUP(ROUND($M57*8/100,6),0),ROUND($M57*8/100,0)))))</f>
        <v/>
      </c>
      <c r="Q57" s="26">
        <f>IF($B57="","",IF('設定'!$B$11="税込",$L57+$M57+$N57,$L57+$O57+$M57+$P57+$N57))</f>
        <v/>
      </c>
      <c r="R57" s="26">
        <f>IF($B57="","",IF($X57="",0,IF(INDEX('支払先'!$I$5:$I$104,$X57)&lt;&gt;"する",0,IF(INDEX('支払先'!$J$5:$J$104,$X57)="税抜",IF('設定'!$B$11="税込",($Y57-IF('設定'!$B$12="切り捨て",ROUNDDOWN(ROUND($Y57*10/110,6),0),IF('設定'!$B$12="切り上げ",ROUNDUP(ROUND($Y57*10/110,6),0),ROUND($Y57*10/110,0)))+$Z57-IF('設定'!$B$12="切り捨て",ROUNDDOWN(ROUND($Z57*8/108,6),0),IF('設定'!$B$12="切り上げ",ROUNDUP(ROUND($Z57*8/108,6),0),ROUND($Z57*8/108,0)))+$AA57),$Y57+$Z57+$AA57),IF('設定'!$B$11="税込",$Y57+$Z57+$AA57,($Y57+IF('設定'!$B$12="切り捨て",ROUNDDOWN(ROUND($Y57*10/100,6),0),IF('設定'!$B$12="切り上げ",ROUNDUP(ROUND($Y57*10/100,6),0),ROUND($Y57*10/100,0)))+$Z57+IF('設定'!$B$12="切り捨て",ROUNDDOWN(ROUND($Z57*8/100,6),0),IF('設定'!$B$12="切り上げ",ROUNDUP(ROUND($Z57*8/100,6),0),ROUND($Z57*8/100,0)))+$AA57))))))</f>
        <v/>
      </c>
      <c r="S57" s="26">
        <f>IF($B57="","",IF(N($R57)&lt;=0,0,IF($R57&lt;='設定'!$B$18,ROUNDDOWN(ROUND($R57*'設定'!$B$17,6),0),ROUNDDOWN(ROUND(($R57-'設定'!$B$18)*'設定'!$B$19,6),0)+'設定'!$B$20)))</f>
        <v/>
      </c>
      <c r="T57" s="26">
        <f>IF($B57="","",IF($X57="",0,IF(INDEX('支払先'!$K$5:$K$104,$X57)="差し引く",N(INDEX('支払先'!$L$5:$L$104,$X57)),0)))</f>
        <v/>
      </c>
      <c r="U57" s="26">
        <f>IF($B57="","",$Q57-$S57-$T57)</f>
        <v/>
      </c>
      <c r="V57" s="22">
        <f>IF($B57="","",MID(IF($C57="","／支払先コードが空",IF($X57="","／支払先にないコード",""))&amp;IF($K57=0,"／明細がない","")&amp;IF($AC57&gt;0,"／税率が空の明細 "&amp;$AC57&amp;"件（合計に入っていない）","")&amp;IF($X57="","",IF(INDEX('支払先'!$G$5:$G$104,$X57)="","／登録番号なし（仕入明細書にならない）",""))&amp;IF($AB57&gt;0,"／60日（2か月）を超える明細 "&amp;$AB57&amp;"件","")&amp;IF($X57="","",IF(AND(INDEX('支払先'!$K$5:$K$104,$X57)="差し引く",OR(INDEX('支払先'!$M$5:$M$104,$X57)&lt;&gt;"対象外",INDEX('支払先'!$N$5:$N$104,$X57)&lt;&gt;"対象外")),"／手数料を差し引けない取引か確かめる",""))&amp;IF(COUNTIF($B$5:$B$204,$B57)&gt;1,"／通知Noが重複","")&amp;IF(AND(ISNUMBER($D57),ISNUMBER($F57),$F57&lt;$D57),"／支払予定日が発行日より前",""),2,300))</f>
        <v/>
      </c>
      <c r="W57" s="67" t="n"/>
      <c r="X57" s="31">
        <f>IF(OR($B57="",$C57=""),"",IFERROR(MATCH($C57,'支払先'!$B$5:$B$104,0),""))</f>
        <v/>
      </c>
      <c r="Y57" s="31">
        <f>IF($B57="","",SUMIFS('支払明細'!$I$5:$I$1004,'支払明細'!$A$5:$A$1004,$B57,'支払明細'!$G$5:$G$1004,"10%（標準）",'支払明細'!$H$5:$H$1004,"&lt;&gt;対象外"))</f>
        <v/>
      </c>
      <c r="Z57" s="31">
        <f>IF($B57="","",SUMIFS('支払明細'!$I$5:$I$1004,'支払明細'!$A$5:$A$1004,$B57,'支払明細'!$G$5:$G$1004,"8%（軽減）",'支払明細'!$H$5:$H$1004,"&lt;&gt;対象外"))</f>
        <v/>
      </c>
      <c r="AA57" s="31">
        <f>IF($B57="","",SUMIFS('支払明細'!$I$5:$I$1004,'支払明細'!$A$5:$A$1004,$B57,'支払明細'!$G$5:$G$1004,"対象外",'支払明細'!$H$5:$H$1004,"&lt;&gt;対象外"))</f>
        <v/>
      </c>
      <c r="AB57" s="31">
        <f>IF($B57="","",COUNTIFS('支払明細'!$A$5:$A$1004,$B57,'支払明細'!$M$5:$M$1004,"超える"))</f>
        <v/>
      </c>
      <c r="AC57" s="31">
        <f>IF($B57="","",COUNTIFS('支払明細'!$A$5:$A$1004,$B57,'支払明細'!$G$5:$G$1004,""))</f>
        <v/>
      </c>
    </row>
    <row r="58" ht="18" customHeight="1">
      <c r="A58" s="17" t="n">
        <v>54</v>
      </c>
      <c r="B58" s="18" t="n"/>
      <c r="C58" s="18" t="n"/>
      <c r="D58" s="24" t="n"/>
      <c r="E58" s="19" t="n"/>
      <c r="F58" s="24" t="n"/>
      <c r="G58" s="28">
        <f>IF(AND($B58&lt;&gt;"",ISNUMBER($D58)),$D58+N('設定'!$B$13),"")</f>
        <v/>
      </c>
      <c r="H58" s="18" t="n"/>
      <c r="I58" s="19" t="n"/>
      <c r="J58" s="27">
        <f>IF($B58="","",IF($C58="","（支払先コードが空）",IF($X58="","※支払先にないコード",INDEX('支払先'!$C$5:$C$104,$X58)&amp;"")))</f>
        <v/>
      </c>
      <c r="K58" s="30">
        <f>IF($B58="","",COUNTIF('支払明細'!$A$5:$A$1004,$B58))</f>
        <v/>
      </c>
      <c r="L58" s="26">
        <f>IF($B58="","",SUMIFS('支払明細'!$I$5:$I$1004,'支払明細'!$A$5:$A$1004,$B58,'支払明細'!$G$5:$G$1004,"10%（標準）"))</f>
        <v/>
      </c>
      <c r="M58" s="26">
        <f>IF($B58="","",SUMIFS('支払明細'!$I$5:$I$1004,'支払明細'!$A$5:$A$1004,$B58,'支払明細'!$G$5:$G$1004,"8%（軽減）"))</f>
        <v/>
      </c>
      <c r="N58" s="26">
        <f>IF($B58="","",SUMIFS('支払明細'!$I$5:$I$1004,'支払明細'!$A$5:$A$1004,$B58,'支払明細'!$G$5:$G$1004,"対象外"))</f>
        <v/>
      </c>
      <c r="O58" s="26">
        <f>IF($B58="","",IF('設定'!$B$11="税込",IF('設定'!$B$12="切り捨て",ROUNDDOWN(ROUND($L58*10/110,6),0),IF('設定'!$B$12="切り上げ",ROUNDUP(ROUND($L58*10/110,6),0),ROUND($L58*10/110,0))),IF('設定'!$B$12="切り捨て",ROUNDDOWN(ROUND($L58*10/100,6),0),IF('設定'!$B$12="切り上げ",ROUNDUP(ROUND($L58*10/100,6),0),ROUND($L58*10/100,0)))))</f>
        <v/>
      </c>
      <c r="P58" s="26">
        <f>IF($B58="","",IF('設定'!$B$11="税込",IF('設定'!$B$12="切り捨て",ROUNDDOWN(ROUND($M58*8/108,6),0),IF('設定'!$B$12="切り上げ",ROUNDUP(ROUND($M58*8/108,6),0),ROUND($M58*8/108,0))),IF('設定'!$B$12="切り捨て",ROUNDDOWN(ROUND($M58*8/100,6),0),IF('設定'!$B$12="切り上げ",ROUNDUP(ROUND($M58*8/100,6),0),ROUND($M58*8/100,0)))))</f>
        <v/>
      </c>
      <c r="Q58" s="26">
        <f>IF($B58="","",IF('設定'!$B$11="税込",$L58+$M58+$N58,$L58+$O58+$M58+$P58+$N58))</f>
        <v/>
      </c>
      <c r="R58" s="26">
        <f>IF($B58="","",IF($X58="",0,IF(INDEX('支払先'!$I$5:$I$104,$X58)&lt;&gt;"する",0,IF(INDEX('支払先'!$J$5:$J$104,$X58)="税抜",IF('設定'!$B$11="税込",($Y58-IF('設定'!$B$12="切り捨て",ROUNDDOWN(ROUND($Y58*10/110,6),0),IF('設定'!$B$12="切り上げ",ROUNDUP(ROUND($Y58*10/110,6),0),ROUND($Y58*10/110,0)))+$Z58-IF('設定'!$B$12="切り捨て",ROUNDDOWN(ROUND($Z58*8/108,6),0),IF('設定'!$B$12="切り上げ",ROUNDUP(ROUND($Z58*8/108,6),0),ROUND($Z58*8/108,0)))+$AA58),$Y58+$Z58+$AA58),IF('設定'!$B$11="税込",$Y58+$Z58+$AA58,($Y58+IF('設定'!$B$12="切り捨て",ROUNDDOWN(ROUND($Y58*10/100,6),0),IF('設定'!$B$12="切り上げ",ROUNDUP(ROUND($Y58*10/100,6),0),ROUND($Y58*10/100,0)))+$Z58+IF('設定'!$B$12="切り捨て",ROUNDDOWN(ROUND($Z58*8/100,6),0),IF('設定'!$B$12="切り上げ",ROUNDUP(ROUND($Z58*8/100,6),0),ROUND($Z58*8/100,0)))+$AA58))))))</f>
        <v/>
      </c>
      <c r="S58" s="26">
        <f>IF($B58="","",IF(N($R58)&lt;=0,0,IF($R58&lt;='設定'!$B$18,ROUNDDOWN(ROUND($R58*'設定'!$B$17,6),0),ROUNDDOWN(ROUND(($R58-'設定'!$B$18)*'設定'!$B$19,6),0)+'設定'!$B$20)))</f>
        <v/>
      </c>
      <c r="T58" s="26">
        <f>IF($B58="","",IF($X58="",0,IF(INDEX('支払先'!$K$5:$K$104,$X58)="差し引く",N(INDEX('支払先'!$L$5:$L$104,$X58)),0)))</f>
        <v/>
      </c>
      <c r="U58" s="26">
        <f>IF($B58="","",$Q58-$S58-$T58)</f>
        <v/>
      </c>
      <c r="V58" s="22">
        <f>IF($B58="","",MID(IF($C58="","／支払先コードが空",IF($X58="","／支払先にないコード",""))&amp;IF($K58=0,"／明細がない","")&amp;IF($AC58&gt;0,"／税率が空の明細 "&amp;$AC58&amp;"件（合計に入っていない）","")&amp;IF($X58="","",IF(INDEX('支払先'!$G$5:$G$104,$X58)="","／登録番号なし（仕入明細書にならない）",""))&amp;IF($AB58&gt;0,"／60日（2か月）を超える明細 "&amp;$AB58&amp;"件","")&amp;IF($X58="","",IF(AND(INDEX('支払先'!$K$5:$K$104,$X58)="差し引く",OR(INDEX('支払先'!$M$5:$M$104,$X58)&lt;&gt;"対象外",INDEX('支払先'!$N$5:$N$104,$X58)&lt;&gt;"対象外")),"／手数料を差し引けない取引か確かめる",""))&amp;IF(COUNTIF($B$5:$B$204,$B58)&gt;1,"／通知Noが重複","")&amp;IF(AND(ISNUMBER($D58),ISNUMBER($F58),$F58&lt;$D58),"／支払予定日が発行日より前",""),2,300))</f>
        <v/>
      </c>
      <c r="W58" s="67" t="n"/>
      <c r="X58" s="31">
        <f>IF(OR($B58="",$C58=""),"",IFERROR(MATCH($C58,'支払先'!$B$5:$B$104,0),""))</f>
        <v/>
      </c>
      <c r="Y58" s="31">
        <f>IF($B58="","",SUMIFS('支払明細'!$I$5:$I$1004,'支払明細'!$A$5:$A$1004,$B58,'支払明細'!$G$5:$G$1004,"10%（標準）",'支払明細'!$H$5:$H$1004,"&lt;&gt;対象外"))</f>
        <v/>
      </c>
      <c r="Z58" s="31">
        <f>IF($B58="","",SUMIFS('支払明細'!$I$5:$I$1004,'支払明細'!$A$5:$A$1004,$B58,'支払明細'!$G$5:$G$1004,"8%（軽減）",'支払明細'!$H$5:$H$1004,"&lt;&gt;対象外"))</f>
        <v/>
      </c>
      <c r="AA58" s="31">
        <f>IF($B58="","",SUMIFS('支払明細'!$I$5:$I$1004,'支払明細'!$A$5:$A$1004,$B58,'支払明細'!$G$5:$G$1004,"対象外",'支払明細'!$H$5:$H$1004,"&lt;&gt;対象外"))</f>
        <v/>
      </c>
      <c r="AB58" s="31">
        <f>IF($B58="","",COUNTIFS('支払明細'!$A$5:$A$1004,$B58,'支払明細'!$M$5:$M$1004,"超える"))</f>
        <v/>
      </c>
      <c r="AC58" s="31">
        <f>IF($B58="","",COUNTIFS('支払明細'!$A$5:$A$1004,$B58,'支払明細'!$G$5:$G$1004,""))</f>
        <v/>
      </c>
    </row>
    <row r="59" ht="18" customHeight="1">
      <c r="A59" s="17" t="n">
        <v>55</v>
      </c>
      <c r="B59" s="18" t="n"/>
      <c r="C59" s="18" t="n"/>
      <c r="D59" s="24" t="n"/>
      <c r="E59" s="19" t="n"/>
      <c r="F59" s="24" t="n"/>
      <c r="G59" s="28">
        <f>IF(AND($B59&lt;&gt;"",ISNUMBER($D59)),$D59+N('設定'!$B$13),"")</f>
        <v/>
      </c>
      <c r="H59" s="18" t="n"/>
      <c r="I59" s="19" t="n"/>
      <c r="J59" s="27">
        <f>IF($B59="","",IF($C59="","（支払先コードが空）",IF($X59="","※支払先にないコード",INDEX('支払先'!$C$5:$C$104,$X59)&amp;"")))</f>
        <v/>
      </c>
      <c r="K59" s="30">
        <f>IF($B59="","",COUNTIF('支払明細'!$A$5:$A$1004,$B59))</f>
        <v/>
      </c>
      <c r="L59" s="26">
        <f>IF($B59="","",SUMIFS('支払明細'!$I$5:$I$1004,'支払明細'!$A$5:$A$1004,$B59,'支払明細'!$G$5:$G$1004,"10%（標準）"))</f>
        <v/>
      </c>
      <c r="M59" s="26">
        <f>IF($B59="","",SUMIFS('支払明細'!$I$5:$I$1004,'支払明細'!$A$5:$A$1004,$B59,'支払明細'!$G$5:$G$1004,"8%（軽減）"))</f>
        <v/>
      </c>
      <c r="N59" s="26">
        <f>IF($B59="","",SUMIFS('支払明細'!$I$5:$I$1004,'支払明細'!$A$5:$A$1004,$B59,'支払明細'!$G$5:$G$1004,"対象外"))</f>
        <v/>
      </c>
      <c r="O59" s="26">
        <f>IF($B59="","",IF('設定'!$B$11="税込",IF('設定'!$B$12="切り捨て",ROUNDDOWN(ROUND($L59*10/110,6),0),IF('設定'!$B$12="切り上げ",ROUNDUP(ROUND($L59*10/110,6),0),ROUND($L59*10/110,0))),IF('設定'!$B$12="切り捨て",ROUNDDOWN(ROUND($L59*10/100,6),0),IF('設定'!$B$12="切り上げ",ROUNDUP(ROUND($L59*10/100,6),0),ROUND($L59*10/100,0)))))</f>
        <v/>
      </c>
      <c r="P59" s="26">
        <f>IF($B59="","",IF('設定'!$B$11="税込",IF('設定'!$B$12="切り捨て",ROUNDDOWN(ROUND($M59*8/108,6),0),IF('設定'!$B$12="切り上げ",ROUNDUP(ROUND($M59*8/108,6),0),ROUND($M59*8/108,0))),IF('設定'!$B$12="切り捨て",ROUNDDOWN(ROUND($M59*8/100,6),0),IF('設定'!$B$12="切り上げ",ROUNDUP(ROUND($M59*8/100,6),0),ROUND($M59*8/100,0)))))</f>
        <v/>
      </c>
      <c r="Q59" s="26">
        <f>IF($B59="","",IF('設定'!$B$11="税込",$L59+$M59+$N59,$L59+$O59+$M59+$P59+$N59))</f>
        <v/>
      </c>
      <c r="R59" s="26">
        <f>IF($B59="","",IF($X59="",0,IF(INDEX('支払先'!$I$5:$I$104,$X59)&lt;&gt;"する",0,IF(INDEX('支払先'!$J$5:$J$104,$X59)="税抜",IF('設定'!$B$11="税込",($Y59-IF('設定'!$B$12="切り捨て",ROUNDDOWN(ROUND($Y59*10/110,6),0),IF('設定'!$B$12="切り上げ",ROUNDUP(ROUND($Y59*10/110,6),0),ROUND($Y59*10/110,0)))+$Z59-IF('設定'!$B$12="切り捨て",ROUNDDOWN(ROUND($Z59*8/108,6),0),IF('設定'!$B$12="切り上げ",ROUNDUP(ROUND($Z59*8/108,6),0),ROUND($Z59*8/108,0)))+$AA59),$Y59+$Z59+$AA59),IF('設定'!$B$11="税込",$Y59+$Z59+$AA59,($Y59+IF('設定'!$B$12="切り捨て",ROUNDDOWN(ROUND($Y59*10/100,6),0),IF('設定'!$B$12="切り上げ",ROUNDUP(ROUND($Y59*10/100,6),0),ROUND($Y59*10/100,0)))+$Z59+IF('設定'!$B$12="切り捨て",ROUNDDOWN(ROUND($Z59*8/100,6),0),IF('設定'!$B$12="切り上げ",ROUNDUP(ROUND($Z59*8/100,6),0),ROUND($Z59*8/100,0)))+$AA59))))))</f>
        <v/>
      </c>
      <c r="S59" s="26">
        <f>IF($B59="","",IF(N($R59)&lt;=0,0,IF($R59&lt;='設定'!$B$18,ROUNDDOWN(ROUND($R59*'設定'!$B$17,6),0),ROUNDDOWN(ROUND(($R59-'設定'!$B$18)*'設定'!$B$19,6),0)+'設定'!$B$20)))</f>
        <v/>
      </c>
      <c r="T59" s="26">
        <f>IF($B59="","",IF($X59="",0,IF(INDEX('支払先'!$K$5:$K$104,$X59)="差し引く",N(INDEX('支払先'!$L$5:$L$104,$X59)),0)))</f>
        <v/>
      </c>
      <c r="U59" s="26">
        <f>IF($B59="","",$Q59-$S59-$T59)</f>
        <v/>
      </c>
      <c r="V59" s="22">
        <f>IF($B59="","",MID(IF($C59="","／支払先コードが空",IF($X59="","／支払先にないコード",""))&amp;IF($K59=0,"／明細がない","")&amp;IF($AC59&gt;0,"／税率が空の明細 "&amp;$AC59&amp;"件（合計に入っていない）","")&amp;IF($X59="","",IF(INDEX('支払先'!$G$5:$G$104,$X59)="","／登録番号なし（仕入明細書にならない）",""))&amp;IF($AB59&gt;0,"／60日（2か月）を超える明細 "&amp;$AB59&amp;"件","")&amp;IF($X59="","",IF(AND(INDEX('支払先'!$K$5:$K$104,$X59)="差し引く",OR(INDEX('支払先'!$M$5:$M$104,$X59)&lt;&gt;"対象外",INDEX('支払先'!$N$5:$N$104,$X59)&lt;&gt;"対象外")),"／手数料を差し引けない取引か確かめる",""))&amp;IF(COUNTIF($B$5:$B$204,$B59)&gt;1,"／通知Noが重複","")&amp;IF(AND(ISNUMBER($D59),ISNUMBER($F59),$F59&lt;$D59),"／支払予定日が発行日より前",""),2,300))</f>
        <v/>
      </c>
      <c r="W59" s="67" t="n"/>
      <c r="X59" s="31">
        <f>IF(OR($B59="",$C59=""),"",IFERROR(MATCH($C59,'支払先'!$B$5:$B$104,0),""))</f>
        <v/>
      </c>
      <c r="Y59" s="31">
        <f>IF($B59="","",SUMIFS('支払明細'!$I$5:$I$1004,'支払明細'!$A$5:$A$1004,$B59,'支払明細'!$G$5:$G$1004,"10%（標準）",'支払明細'!$H$5:$H$1004,"&lt;&gt;対象外"))</f>
        <v/>
      </c>
      <c r="Z59" s="31">
        <f>IF($B59="","",SUMIFS('支払明細'!$I$5:$I$1004,'支払明細'!$A$5:$A$1004,$B59,'支払明細'!$G$5:$G$1004,"8%（軽減）",'支払明細'!$H$5:$H$1004,"&lt;&gt;対象外"))</f>
        <v/>
      </c>
      <c r="AA59" s="31">
        <f>IF($B59="","",SUMIFS('支払明細'!$I$5:$I$1004,'支払明細'!$A$5:$A$1004,$B59,'支払明細'!$G$5:$G$1004,"対象外",'支払明細'!$H$5:$H$1004,"&lt;&gt;対象外"))</f>
        <v/>
      </c>
      <c r="AB59" s="31">
        <f>IF($B59="","",COUNTIFS('支払明細'!$A$5:$A$1004,$B59,'支払明細'!$M$5:$M$1004,"超える"))</f>
        <v/>
      </c>
      <c r="AC59" s="31">
        <f>IF($B59="","",COUNTIFS('支払明細'!$A$5:$A$1004,$B59,'支払明細'!$G$5:$G$1004,""))</f>
        <v/>
      </c>
    </row>
    <row r="60" ht="18" customHeight="1">
      <c r="A60" s="17" t="n">
        <v>56</v>
      </c>
      <c r="B60" s="18" t="n"/>
      <c r="C60" s="18" t="n"/>
      <c r="D60" s="24" t="n"/>
      <c r="E60" s="19" t="n"/>
      <c r="F60" s="24" t="n"/>
      <c r="G60" s="28">
        <f>IF(AND($B60&lt;&gt;"",ISNUMBER($D60)),$D60+N('設定'!$B$13),"")</f>
        <v/>
      </c>
      <c r="H60" s="18" t="n"/>
      <c r="I60" s="19" t="n"/>
      <c r="J60" s="27">
        <f>IF($B60="","",IF($C60="","（支払先コードが空）",IF($X60="","※支払先にないコード",INDEX('支払先'!$C$5:$C$104,$X60)&amp;"")))</f>
        <v/>
      </c>
      <c r="K60" s="30">
        <f>IF($B60="","",COUNTIF('支払明細'!$A$5:$A$1004,$B60))</f>
        <v/>
      </c>
      <c r="L60" s="26">
        <f>IF($B60="","",SUMIFS('支払明細'!$I$5:$I$1004,'支払明細'!$A$5:$A$1004,$B60,'支払明細'!$G$5:$G$1004,"10%（標準）"))</f>
        <v/>
      </c>
      <c r="M60" s="26">
        <f>IF($B60="","",SUMIFS('支払明細'!$I$5:$I$1004,'支払明細'!$A$5:$A$1004,$B60,'支払明細'!$G$5:$G$1004,"8%（軽減）"))</f>
        <v/>
      </c>
      <c r="N60" s="26">
        <f>IF($B60="","",SUMIFS('支払明細'!$I$5:$I$1004,'支払明細'!$A$5:$A$1004,$B60,'支払明細'!$G$5:$G$1004,"対象外"))</f>
        <v/>
      </c>
      <c r="O60" s="26">
        <f>IF($B60="","",IF('設定'!$B$11="税込",IF('設定'!$B$12="切り捨て",ROUNDDOWN(ROUND($L60*10/110,6),0),IF('設定'!$B$12="切り上げ",ROUNDUP(ROUND($L60*10/110,6),0),ROUND($L60*10/110,0))),IF('設定'!$B$12="切り捨て",ROUNDDOWN(ROUND($L60*10/100,6),0),IF('設定'!$B$12="切り上げ",ROUNDUP(ROUND($L60*10/100,6),0),ROUND($L60*10/100,0)))))</f>
        <v/>
      </c>
      <c r="P60" s="26">
        <f>IF($B60="","",IF('設定'!$B$11="税込",IF('設定'!$B$12="切り捨て",ROUNDDOWN(ROUND($M60*8/108,6),0),IF('設定'!$B$12="切り上げ",ROUNDUP(ROUND($M60*8/108,6),0),ROUND($M60*8/108,0))),IF('設定'!$B$12="切り捨て",ROUNDDOWN(ROUND($M60*8/100,6),0),IF('設定'!$B$12="切り上げ",ROUNDUP(ROUND($M60*8/100,6),0),ROUND($M60*8/100,0)))))</f>
        <v/>
      </c>
      <c r="Q60" s="26">
        <f>IF($B60="","",IF('設定'!$B$11="税込",$L60+$M60+$N60,$L60+$O60+$M60+$P60+$N60))</f>
        <v/>
      </c>
      <c r="R60" s="26">
        <f>IF($B60="","",IF($X60="",0,IF(INDEX('支払先'!$I$5:$I$104,$X60)&lt;&gt;"する",0,IF(INDEX('支払先'!$J$5:$J$104,$X60)="税抜",IF('設定'!$B$11="税込",($Y60-IF('設定'!$B$12="切り捨て",ROUNDDOWN(ROUND($Y60*10/110,6),0),IF('設定'!$B$12="切り上げ",ROUNDUP(ROUND($Y60*10/110,6),0),ROUND($Y60*10/110,0)))+$Z60-IF('設定'!$B$12="切り捨て",ROUNDDOWN(ROUND($Z60*8/108,6),0),IF('設定'!$B$12="切り上げ",ROUNDUP(ROUND($Z60*8/108,6),0),ROUND($Z60*8/108,0)))+$AA60),$Y60+$Z60+$AA60),IF('設定'!$B$11="税込",$Y60+$Z60+$AA60,($Y60+IF('設定'!$B$12="切り捨て",ROUNDDOWN(ROUND($Y60*10/100,6),0),IF('設定'!$B$12="切り上げ",ROUNDUP(ROUND($Y60*10/100,6),0),ROUND($Y60*10/100,0)))+$Z60+IF('設定'!$B$12="切り捨て",ROUNDDOWN(ROUND($Z60*8/100,6),0),IF('設定'!$B$12="切り上げ",ROUNDUP(ROUND($Z60*8/100,6),0),ROUND($Z60*8/100,0)))+$AA60))))))</f>
        <v/>
      </c>
      <c r="S60" s="26">
        <f>IF($B60="","",IF(N($R60)&lt;=0,0,IF($R60&lt;='設定'!$B$18,ROUNDDOWN(ROUND($R60*'設定'!$B$17,6),0),ROUNDDOWN(ROUND(($R60-'設定'!$B$18)*'設定'!$B$19,6),0)+'設定'!$B$20)))</f>
        <v/>
      </c>
      <c r="T60" s="26">
        <f>IF($B60="","",IF($X60="",0,IF(INDEX('支払先'!$K$5:$K$104,$X60)="差し引く",N(INDEX('支払先'!$L$5:$L$104,$X60)),0)))</f>
        <v/>
      </c>
      <c r="U60" s="26">
        <f>IF($B60="","",$Q60-$S60-$T60)</f>
        <v/>
      </c>
      <c r="V60" s="22">
        <f>IF($B60="","",MID(IF($C60="","／支払先コードが空",IF($X60="","／支払先にないコード",""))&amp;IF($K60=0,"／明細がない","")&amp;IF($AC60&gt;0,"／税率が空の明細 "&amp;$AC60&amp;"件（合計に入っていない）","")&amp;IF($X60="","",IF(INDEX('支払先'!$G$5:$G$104,$X60)="","／登録番号なし（仕入明細書にならない）",""))&amp;IF($AB60&gt;0,"／60日（2か月）を超える明細 "&amp;$AB60&amp;"件","")&amp;IF($X60="","",IF(AND(INDEX('支払先'!$K$5:$K$104,$X60)="差し引く",OR(INDEX('支払先'!$M$5:$M$104,$X60)&lt;&gt;"対象外",INDEX('支払先'!$N$5:$N$104,$X60)&lt;&gt;"対象外")),"／手数料を差し引けない取引か確かめる",""))&amp;IF(COUNTIF($B$5:$B$204,$B60)&gt;1,"／通知Noが重複","")&amp;IF(AND(ISNUMBER($D60),ISNUMBER($F60),$F60&lt;$D60),"／支払予定日が発行日より前",""),2,300))</f>
        <v/>
      </c>
      <c r="W60" s="67" t="n"/>
      <c r="X60" s="31">
        <f>IF(OR($B60="",$C60=""),"",IFERROR(MATCH($C60,'支払先'!$B$5:$B$104,0),""))</f>
        <v/>
      </c>
      <c r="Y60" s="31">
        <f>IF($B60="","",SUMIFS('支払明細'!$I$5:$I$1004,'支払明細'!$A$5:$A$1004,$B60,'支払明細'!$G$5:$G$1004,"10%（標準）",'支払明細'!$H$5:$H$1004,"&lt;&gt;対象外"))</f>
        <v/>
      </c>
      <c r="Z60" s="31">
        <f>IF($B60="","",SUMIFS('支払明細'!$I$5:$I$1004,'支払明細'!$A$5:$A$1004,$B60,'支払明細'!$G$5:$G$1004,"8%（軽減）",'支払明細'!$H$5:$H$1004,"&lt;&gt;対象外"))</f>
        <v/>
      </c>
      <c r="AA60" s="31">
        <f>IF($B60="","",SUMIFS('支払明細'!$I$5:$I$1004,'支払明細'!$A$5:$A$1004,$B60,'支払明細'!$G$5:$G$1004,"対象外",'支払明細'!$H$5:$H$1004,"&lt;&gt;対象外"))</f>
        <v/>
      </c>
      <c r="AB60" s="31">
        <f>IF($B60="","",COUNTIFS('支払明細'!$A$5:$A$1004,$B60,'支払明細'!$M$5:$M$1004,"超える"))</f>
        <v/>
      </c>
      <c r="AC60" s="31">
        <f>IF($B60="","",COUNTIFS('支払明細'!$A$5:$A$1004,$B60,'支払明細'!$G$5:$G$1004,""))</f>
        <v/>
      </c>
    </row>
    <row r="61" ht="18" customHeight="1">
      <c r="A61" s="17" t="n">
        <v>57</v>
      </c>
      <c r="B61" s="18" t="n"/>
      <c r="C61" s="18" t="n"/>
      <c r="D61" s="24" t="n"/>
      <c r="E61" s="19" t="n"/>
      <c r="F61" s="24" t="n"/>
      <c r="G61" s="28">
        <f>IF(AND($B61&lt;&gt;"",ISNUMBER($D61)),$D61+N('設定'!$B$13),"")</f>
        <v/>
      </c>
      <c r="H61" s="18" t="n"/>
      <c r="I61" s="19" t="n"/>
      <c r="J61" s="27">
        <f>IF($B61="","",IF($C61="","（支払先コードが空）",IF($X61="","※支払先にないコード",INDEX('支払先'!$C$5:$C$104,$X61)&amp;"")))</f>
        <v/>
      </c>
      <c r="K61" s="30">
        <f>IF($B61="","",COUNTIF('支払明細'!$A$5:$A$1004,$B61))</f>
        <v/>
      </c>
      <c r="L61" s="26">
        <f>IF($B61="","",SUMIFS('支払明細'!$I$5:$I$1004,'支払明細'!$A$5:$A$1004,$B61,'支払明細'!$G$5:$G$1004,"10%（標準）"))</f>
        <v/>
      </c>
      <c r="M61" s="26">
        <f>IF($B61="","",SUMIFS('支払明細'!$I$5:$I$1004,'支払明細'!$A$5:$A$1004,$B61,'支払明細'!$G$5:$G$1004,"8%（軽減）"))</f>
        <v/>
      </c>
      <c r="N61" s="26">
        <f>IF($B61="","",SUMIFS('支払明細'!$I$5:$I$1004,'支払明細'!$A$5:$A$1004,$B61,'支払明細'!$G$5:$G$1004,"対象外"))</f>
        <v/>
      </c>
      <c r="O61" s="26">
        <f>IF($B61="","",IF('設定'!$B$11="税込",IF('設定'!$B$12="切り捨て",ROUNDDOWN(ROUND($L61*10/110,6),0),IF('設定'!$B$12="切り上げ",ROUNDUP(ROUND($L61*10/110,6),0),ROUND($L61*10/110,0))),IF('設定'!$B$12="切り捨て",ROUNDDOWN(ROUND($L61*10/100,6),0),IF('設定'!$B$12="切り上げ",ROUNDUP(ROUND($L61*10/100,6),0),ROUND($L61*10/100,0)))))</f>
        <v/>
      </c>
      <c r="P61" s="26">
        <f>IF($B61="","",IF('設定'!$B$11="税込",IF('設定'!$B$12="切り捨て",ROUNDDOWN(ROUND($M61*8/108,6),0),IF('設定'!$B$12="切り上げ",ROUNDUP(ROUND($M61*8/108,6),0),ROUND($M61*8/108,0))),IF('設定'!$B$12="切り捨て",ROUNDDOWN(ROUND($M61*8/100,6),0),IF('設定'!$B$12="切り上げ",ROUNDUP(ROUND($M61*8/100,6),0),ROUND($M61*8/100,0)))))</f>
        <v/>
      </c>
      <c r="Q61" s="26">
        <f>IF($B61="","",IF('設定'!$B$11="税込",$L61+$M61+$N61,$L61+$O61+$M61+$P61+$N61))</f>
        <v/>
      </c>
      <c r="R61" s="26">
        <f>IF($B61="","",IF($X61="",0,IF(INDEX('支払先'!$I$5:$I$104,$X61)&lt;&gt;"する",0,IF(INDEX('支払先'!$J$5:$J$104,$X61)="税抜",IF('設定'!$B$11="税込",($Y61-IF('設定'!$B$12="切り捨て",ROUNDDOWN(ROUND($Y61*10/110,6),0),IF('設定'!$B$12="切り上げ",ROUNDUP(ROUND($Y61*10/110,6),0),ROUND($Y61*10/110,0)))+$Z61-IF('設定'!$B$12="切り捨て",ROUNDDOWN(ROUND($Z61*8/108,6),0),IF('設定'!$B$12="切り上げ",ROUNDUP(ROUND($Z61*8/108,6),0),ROUND($Z61*8/108,0)))+$AA61),$Y61+$Z61+$AA61),IF('設定'!$B$11="税込",$Y61+$Z61+$AA61,($Y61+IF('設定'!$B$12="切り捨て",ROUNDDOWN(ROUND($Y61*10/100,6),0),IF('設定'!$B$12="切り上げ",ROUNDUP(ROUND($Y61*10/100,6),0),ROUND($Y61*10/100,0)))+$Z61+IF('設定'!$B$12="切り捨て",ROUNDDOWN(ROUND($Z61*8/100,6),0),IF('設定'!$B$12="切り上げ",ROUNDUP(ROUND($Z61*8/100,6),0),ROUND($Z61*8/100,0)))+$AA61))))))</f>
        <v/>
      </c>
      <c r="S61" s="26">
        <f>IF($B61="","",IF(N($R61)&lt;=0,0,IF($R61&lt;='設定'!$B$18,ROUNDDOWN(ROUND($R61*'設定'!$B$17,6),0),ROUNDDOWN(ROUND(($R61-'設定'!$B$18)*'設定'!$B$19,6),0)+'設定'!$B$20)))</f>
        <v/>
      </c>
      <c r="T61" s="26">
        <f>IF($B61="","",IF($X61="",0,IF(INDEX('支払先'!$K$5:$K$104,$X61)="差し引く",N(INDEX('支払先'!$L$5:$L$104,$X61)),0)))</f>
        <v/>
      </c>
      <c r="U61" s="26">
        <f>IF($B61="","",$Q61-$S61-$T61)</f>
        <v/>
      </c>
      <c r="V61" s="22">
        <f>IF($B61="","",MID(IF($C61="","／支払先コードが空",IF($X61="","／支払先にないコード",""))&amp;IF($K61=0,"／明細がない","")&amp;IF($AC61&gt;0,"／税率が空の明細 "&amp;$AC61&amp;"件（合計に入っていない）","")&amp;IF($X61="","",IF(INDEX('支払先'!$G$5:$G$104,$X61)="","／登録番号なし（仕入明細書にならない）",""))&amp;IF($AB61&gt;0,"／60日（2か月）を超える明細 "&amp;$AB61&amp;"件","")&amp;IF($X61="","",IF(AND(INDEX('支払先'!$K$5:$K$104,$X61)="差し引く",OR(INDEX('支払先'!$M$5:$M$104,$X61)&lt;&gt;"対象外",INDEX('支払先'!$N$5:$N$104,$X61)&lt;&gt;"対象外")),"／手数料を差し引けない取引か確かめる",""))&amp;IF(COUNTIF($B$5:$B$204,$B61)&gt;1,"／通知Noが重複","")&amp;IF(AND(ISNUMBER($D61),ISNUMBER($F61),$F61&lt;$D61),"／支払予定日が発行日より前",""),2,300))</f>
        <v/>
      </c>
      <c r="W61" s="67" t="n"/>
      <c r="X61" s="31">
        <f>IF(OR($B61="",$C61=""),"",IFERROR(MATCH($C61,'支払先'!$B$5:$B$104,0),""))</f>
        <v/>
      </c>
      <c r="Y61" s="31">
        <f>IF($B61="","",SUMIFS('支払明細'!$I$5:$I$1004,'支払明細'!$A$5:$A$1004,$B61,'支払明細'!$G$5:$G$1004,"10%（標準）",'支払明細'!$H$5:$H$1004,"&lt;&gt;対象外"))</f>
        <v/>
      </c>
      <c r="Z61" s="31">
        <f>IF($B61="","",SUMIFS('支払明細'!$I$5:$I$1004,'支払明細'!$A$5:$A$1004,$B61,'支払明細'!$G$5:$G$1004,"8%（軽減）",'支払明細'!$H$5:$H$1004,"&lt;&gt;対象外"))</f>
        <v/>
      </c>
      <c r="AA61" s="31">
        <f>IF($B61="","",SUMIFS('支払明細'!$I$5:$I$1004,'支払明細'!$A$5:$A$1004,$B61,'支払明細'!$G$5:$G$1004,"対象外",'支払明細'!$H$5:$H$1004,"&lt;&gt;対象外"))</f>
        <v/>
      </c>
      <c r="AB61" s="31">
        <f>IF($B61="","",COUNTIFS('支払明細'!$A$5:$A$1004,$B61,'支払明細'!$M$5:$M$1004,"超える"))</f>
        <v/>
      </c>
      <c r="AC61" s="31">
        <f>IF($B61="","",COUNTIFS('支払明細'!$A$5:$A$1004,$B61,'支払明細'!$G$5:$G$1004,""))</f>
        <v/>
      </c>
    </row>
    <row r="62" ht="18" customHeight="1">
      <c r="A62" s="17" t="n">
        <v>58</v>
      </c>
      <c r="B62" s="18" t="n"/>
      <c r="C62" s="18" t="n"/>
      <c r="D62" s="24" t="n"/>
      <c r="E62" s="19" t="n"/>
      <c r="F62" s="24" t="n"/>
      <c r="G62" s="28">
        <f>IF(AND($B62&lt;&gt;"",ISNUMBER($D62)),$D62+N('設定'!$B$13),"")</f>
        <v/>
      </c>
      <c r="H62" s="18" t="n"/>
      <c r="I62" s="19" t="n"/>
      <c r="J62" s="27">
        <f>IF($B62="","",IF($C62="","（支払先コードが空）",IF($X62="","※支払先にないコード",INDEX('支払先'!$C$5:$C$104,$X62)&amp;"")))</f>
        <v/>
      </c>
      <c r="K62" s="30">
        <f>IF($B62="","",COUNTIF('支払明細'!$A$5:$A$1004,$B62))</f>
        <v/>
      </c>
      <c r="L62" s="26">
        <f>IF($B62="","",SUMIFS('支払明細'!$I$5:$I$1004,'支払明細'!$A$5:$A$1004,$B62,'支払明細'!$G$5:$G$1004,"10%（標準）"))</f>
        <v/>
      </c>
      <c r="M62" s="26">
        <f>IF($B62="","",SUMIFS('支払明細'!$I$5:$I$1004,'支払明細'!$A$5:$A$1004,$B62,'支払明細'!$G$5:$G$1004,"8%（軽減）"))</f>
        <v/>
      </c>
      <c r="N62" s="26">
        <f>IF($B62="","",SUMIFS('支払明細'!$I$5:$I$1004,'支払明細'!$A$5:$A$1004,$B62,'支払明細'!$G$5:$G$1004,"対象外"))</f>
        <v/>
      </c>
      <c r="O62" s="26">
        <f>IF($B62="","",IF('設定'!$B$11="税込",IF('設定'!$B$12="切り捨て",ROUNDDOWN(ROUND($L62*10/110,6),0),IF('設定'!$B$12="切り上げ",ROUNDUP(ROUND($L62*10/110,6),0),ROUND($L62*10/110,0))),IF('設定'!$B$12="切り捨て",ROUNDDOWN(ROUND($L62*10/100,6),0),IF('設定'!$B$12="切り上げ",ROUNDUP(ROUND($L62*10/100,6),0),ROUND($L62*10/100,0)))))</f>
        <v/>
      </c>
      <c r="P62" s="26">
        <f>IF($B62="","",IF('設定'!$B$11="税込",IF('設定'!$B$12="切り捨て",ROUNDDOWN(ROUND($M62*8/108,6),0),IF('設定'!$B$12="切り上げ",ROUNDUP(ROUND($M62*8/108,6),0),ROUND($M62*8/108,0))),IF('設定'!$B$12="切り捨て",ROUNDDOWN(ROUND($M62*8/100,6),0),IF('設定'!$B$12="切り上げ",ROUNDUP(ROUND($M62*8/100,6),0),ROUND($M62*8/100,0)))))</f>
        <v/>
      </c>
      <c r="Q62" s="26">
        <f>IF($B62="","",IF('設定'!$B$11="税込",$L62+$M62+$N62,$L62+$O62+$M62+$P62+$N62))</f>
        <v/>
      </c>
      <c r="R62" s="26">
        <f>IF($B62="","",IF($X62="",0,IF(INDEX('支払先'!$I$5:$I$104,$X62)&lt;&gt;"する",0,IF(INDEX('支払先'!$J$5:$J$104,$X62)="税抜",IF('設定'!$B$11="税込",($Y62-IF('設定'!$B$12="切り捨て",ROUNDDOWN(ROUND($Y62*10/110,6),0),IF('設定'!$B$12="切り上げ",ROUNDUP(ROUND($Y62*10/110,6),0),ROUND($Y62*10/110,0)))+$Z62-IF('設定'!$B$12="切り捨て",ROUNDDOWN(ROUND($Z62*8/108,6),0),IF('設定'!$B$12="切り上げ",ROUNDUP(ROUND($Z62*8/108,6),0),ROUND($Z62*8/108,0)))+$AA62),$Y62+$Z62+$AA62),IF('設定'!$B$11="税込",$Y62+$Z62+$AA62,($Y62+IF('設定'!$B$12="切り捨て",ROUNDDOWN(ROUND($Y62*10/100,6),0),IF('設定'!$B$12="切り上げ",ROUNDUP(ROUND($Y62*10/100,6),0),ROUND($Y62*10/100,0)))+$Z62+IF('設定'!$B$12="切り捨て",ROUNDDOWN(ROUND($Z62*8/100,6),0),IF('設定'!$B$12="切り上げ",ROUNDUP(ROUND($Z62*8/100,6),0),ROUND($Z62*8/100,0)))+$AA62))))))</f>
        <v/>
      </c>
      <c r="S62" s="26">
        <f>IF($B62="","",IF(N($R62)&lt;=0,0,IF($R62&lt;='設定'!$B$18,ROUNDDOWN(ROUND($R62*'設定'!$B$17,6),0),ROUNDDOWN(ROUND(($R62-'設定'!$B$18)*'設定'!$B$19,6),0)+'設定'!$B$20)))</f>
        <v/>
      </c>
      <c r="T62" s="26">
        <f>IF($B62="","",IF($X62="",0,IF(INDEX('支払先'!$K$5:$K$104,$X62)="差し引く",N(INDEX('支払先'!$L$5:$L$104,$X62)),0)))</f>
        <v/>
      </c>
      <c r="U62" s="26">
        <f>IF($B62="","",$Q62-$S62-$T62)</f>
        <v/>
      </c>
      <c r="V62" s="22">
        <f>IF($B62="","",MID(IF($C62="","／支払先コードが空",IF($X62="","／支払先にないコード",""))&amp;IF($K62=0,"／明細がない","")&amp;IF($AC62&gt;0,"／税率が空の明細 "&amp;$AC62&amp;"件（合計に入っていない）","")&amp;IF($X62="","",IF(INDEX('支払先'!$G$5:$G$104,$X62)="","／登録番号なし（仕入明細書にならない）",""))&amp;IF($AB62&gt;0,"／60日（2か月）を超える明細 "&amp;$AB62&amp;"件","")&amp;IF($X62="","",IF(AND(INDEX('支払先'!$K$5:$K$104,$X62)="差し引く",OR(INDEX('支払先'!$M$5:$M$104,$X62)&lt;&gt;"対象外",INDEX('支払先'!$N$5:$N$104,$X62)&lt;&gt;"対象外")),"／手数料を差し引けない取引か確かめる",""))&amp;IF(COUNTIF($B$5:$B$204,$B62)&gt;1,"／通知Noが重複","")&amp;IF(AND(ISNUMBER($D62),ISNUMBER($F62),$F62&lt;$D62),"／支払予定日が発行日より前",""),2,300))</f>
        <v/>
      </c>
      <c r="W62" s="67" t="n"/>
      <c r="X62" s="31">
        <f>IF(OR($B62="",$C62=""),"",IFERROR(MATCH($C62,'支払先'!$B$5:$B$104,0),""))</f>
        <v/>
      </c>
      <c r="Y62" s="31">
        <f>IF($B62="","",SUMIFS('支払明細'!$I$5:$I$1004,'支払明細'!$A$5:$A$1004,$B62,'支払明細'!$G$5:$G$1004,"10%（標準）",'支払明細'!$H$5:$H$1004,"&lt;&gt;対象外"))</f>
        <v/>
      </c>
      <c r="Z62" s="31">
        <f>IF($B62="","",SUMIFS('支払明細'!$I$5:$I$1004,'支払明細'!$A$5:$A$1004,$B62,'支払明細'!$G$5:$G$1004,"8%（軽減）",'支払明細'!$H$5:$H$1004,"&lt;&gt;対象外"))</f>
        <v/>
      </c>
      <c r="AA62" s="31">
        <f>IF($B62="","",SUMIFS('支払明細'!$I$5:$I$1004,'支払明細'!$A$5:$A$1004,$B62,'支払明細'!$G$5:$G$1004,"対象外",'支払明細'!$H$5:$H$1004,"&lt;&gt;対象外"))</f>
        <v/>
      </c>
      <c r="AB62" s="31">
        <f>IF($B62="","",COUNTIFS('支払明細'!$A$5:$A$1004,$B62,'支払明細'!$M$5:$M$1004,"超える"))</f>
        <v/>
      </c>
      <c r="AC62" s="31">
        <f>IF($B62="","",COUNTIFS('支払明細'!$A$5:$A$1004,$B62,'支払明細'!$G$5:$G$1004,""))</f>
        <v/>
      </c>
    </row>
    <row r="63" ht="18" customHeight="1">
      <c r="A63" s="17" t="n">
        <v>59</v>
      </c>
      <c r="B63" s="18" t="n"/>
      <c r="C63" s="18" t="n"/>
      <c r="D63" s="24" t="n"/>
      <c r="E63" s="19" t="n"/>
      <c r="F63" s="24" t="n"/>
      <c r="G63" s="28">
        <f>IF(AND($B63&lt;&gt;"",ISNUMBER($D63)),$D63+N('設定'!$B$13),"")</f>
        <v/>
      </c>
      <c r="H63" s="18" t="n"/>
      <c r="I63" s="19" t="n"/>
      <c r="J63" s="27">
        <f>IF($B63="","",IF($C63="","（支払先コードが空）",IF($X63="","※支払先にないコード",INDEX('支払先'!$C$5:$C$104,$X63)&amp;"")))</f>
        <v/>
      </c>
      <c r="K63" s="30">
        <f>IF($B63="","",COUNTIF('支払明細'!$A$5:$A$1004,$B63))</f>
        <v/>
      </c>
      <c r="L63" s="26">
        <f>IF($B63="","",SUMIFS('支払明細'!$I$5:$I$1004,'支払明細'!$A$5:$A$1004,$B63,'支払明細'!$G$5:$G$1004,"10%（標準）"))</f>
        <v/>
      </c>
      <c r="M63" s="26">
        <f>IF($B63="","",SUMIFS('支払明細'!$I$5:$I$1004,'支払明細'!$A$5:$A$1004,$B63,'支払明細'!$G$5:$G$1004,"8%（軽減）"))</f>
        <v/>
      </c>
      <c r="N63" s="26">
        <f>IF($B63="","",SUMIFS('支払明細'!$I$5:$I$1004,'支払明細'!$A$5:$A$1004,$B63,'支払明細'!$G$5:$G$1004,"対象外"))</f>
        <v/>
      </c>
      <c r="O63" s="26">
        <f>IF($B63="","",IF('設定'!$B$11="税込",IF('設定'!$B$12="切り捨て",ROUNDDOWN(ROUND($L63*10/110,6),0),IF('設定'!$B$12="切り上げ",ROUNDUP(ROUND($L63*10/110,6),0),ROUND($L63*10/110,0))),IF('設定'!$B$12="切り捨て",ROUNDDOWN(ROUND($L63*10/100,6),0),IF('設定'!$B$12="切り上げ",ROUNDUP(ROUND($L63*10/100,6),0),ROUND($L63*10/100,0)))))</f>
        <v/>
      </c>
      <c r="P63" s="26">
        <f>IF($B63="","",IF('設定'!$B$11="税込",IF('設定'!$B$12="切り捨て",ROUNDDOWN(ROUND($M63*8/108,6),0),IF('設定'!$B$12="切り上げ",ROUNDUP(ROUND($M63*8/108,6),0),ROUND($M63*8/108,0))),IF('設定'!$B$12="切り捨て",ROUNDDOWN(ROUND($M63*8/100,6),0),IF('設定'!$B$12="切り上げ",ROUNDUP(ROUND($M63*8/100,6),0),ROUND($M63*8/100,0)))))</f>
        <v/>
      </c>
      <c r="Q63" s="26">
        <f>IF($B63="","",IF('設定'!$B$11="税込",$L63+$M63+$N63,$L63+$O63+$M63+$P63+$N63))</f>
        <v/>
      </c>
      <c r="R63" s="26">
        <f>IF($B63="","",IF($X63="",0,IF(INDEX('支払先'!$I$5:$I$104,$X63)&lt;&gt;"する",0,IF(INDEX('支払先'!$J$5:$J$104,$X63)="税抜",IF('設定'!$B$11="税込",($Y63-IF('設定'!$B$12="切り捨て",ROUNDDOWN(ROUND($Y63*10/110,6),0),IF('設定'!$B$12="切り上げ",ROUNDUP(ROUND($Y63*10/110,6),0),ROUND($Y63*10/110,0)))+$Z63-IF('設定'!$B$12="切り捨て",ROUNDDOWN(ROUND($Z63*8/108,6),0),IF('設定'!$B$12="切り上げ",ROUNDUP(ROUND($Z63*8/108,6),0),ROUND($Z63*8/108,0)))+$AA63),$Y63+$Z63+$AA63),IF('設定'!$B$11="税込",$Y63+$Z63+$AA63,($Y63+IF('設定'!$B$12="切り捨て",ROUNDDOWN(ROUND($Y63*10/100,6),0),IF('設定'!$B$12="切り上げ",ROUNDUP(ROUND($Y63*10/100,6),0),ROUND($Y63*10/100,0)))+$Z63+IF('設定'!$B$12="切り捨て",ROUNDDOWN(ROUND($Z63*8/100,6),0),IF('設定'!$B$12="切り上げ",ROUNDUP(ROUND($Z63*8/100,6),0),ROUND($Z63*8/100,0)))+$AA63))))))</f>
        <v/>
      </c>
      <c r="S63" s="26">
        <f>IF($B63="","",IF(N($R63)&lt;=0,0,IF($R63&lt;='設定'!$B$18,ROUNDDOWN(ROUND($R63*'設定'!$B$17,6),0),ROUNDDOWN(ROUND(($R63-'設定'!$B$18)*'設定'!$B$19,6),0)+'設定'!$B$20)))</f>
        <v/>
      </c>
      <c r="T63" s="26">
        <f>IF($B63="","",IF($X63="",0,IF(INDEX('支払先'!$K$5:$K$104,$X63)="差し引く",N(INDEX('支払先'!$L$5:$L$104,$X63)),0)))</f>
        <v/>
      </c>
      <c r="U63" s="26">
        <f>IF($B63="","",$Q63-$S63-$T63)</f>
        <v/>
      </c>
      <c r="V63" s="22">
        <f>IF($B63="","",MID(IF($C63="","／支払先コードが空",IF($X63="","／支払先にないコード",""))&amp;IF($K63=0,"／明細がない","")&amp;IF($AC63&gt;0,"／税率が空の明細 "&amp;$AC63&amp;"件（合計に入っていない）","")&amp;IF($X63="","",IF(INDEX('支払先'!$G$5:$G$104,$X63)="","／登録番号なし（仕入明細書にならない）",""))&amp;IF($AB63&gt;0,"／60日（2か月）を超える明細 "&amp;$AB63&amp;"件","")&amp;IF($X63="","",IF(AND(INDEX('支払先'!$K$5:$K$104,$X63)="差し引く",OR(INDEX('支払先'!$M$5:$M$104,$X63)&lt;&gt;"対象外",INDEX('支払先'!$N$5:$N$104,$X63)&lt;&gt;"対象外")),"／手数料を差し引けない取引か確かめる",""))&amp;IF(COUNTIF($B$5:$B$204,$B63)&gt;1,"／通知Noが重複","")&amp;IF(AND(ISNUMBER($D63),ISNUMBER($F63),$F63&lt;$D63),"／支払予定日が発行日より前",""),2,300))</f>
        <v/>
      </c>
      <c r="W63" s="67" t="n"/>
      <c r="X63" s="31">
        <f>IF(OR($B63="",$C63=""),"",IFERROR(MATCH($C63,'支払先'!$B$5:$B$104,0),""))</f>
        <v/>
      </c>
      <c r="Y63" s="31">
        <f>IF($B63="","",SUMIFS('支払明細'!$I$5:$I$1004,'支払明細'!$A$5:$A$1004,$B63,'支払明細'!$G$5:$G$1004,"10%（標準）",'支払明細'!$H$5:$H$1004,"&lt;&gt;対象外"))</f>
        <v/>
      </c>
      <c r="Z63" s="31">
        <f>IF($B63="","",SUMIFS('支払明細'!$I$5:$I$1004,'支払明細'!$A$5:$A$1004,$B63,'支払明細'!$G$5:$G$1004,"8%（軽減）",'支払明細'!$H$5:$H$1004,"&lt;&gt;対象外"))</f>
        <v/>
      </c>
      <c r="AA63" s="31">
        <f>IF($B63="","",SUMIFS('支払明細'!$I$5:$I$1004,'支払明細'!$A$5:$A$1004,$B63,'支払明細'!$G$5:$G$1004,"対象外",'支払明細'!$H$5:$H$1004,"&lt;&gt;対象外"))</f>
        <v/>
      </c>
      <c r="AB63" s="31">
        <f>IF($B63="","",COUNTIFS('支払明細'!$A$5:$A$1004,$B63,'支払明細'!$M$5:$M$1004,"超える"))</f>
        <v/>
      </c>
      <c r="AC63" s="31">
        <f>IF($B63="","",COUNTIFS('支払明細'!$A$5:$A$1004,$B63,'支払明細'!$G$5:$G$1004,""))</f>
        <v/>
      </c>
    </row>
    <row r="64" ht="18" customHeight="1">
      <c r="A64" s="17" t="n">
        <v>60</v>
      </c>
      <c r="B64" s="18" t="n"/>
      <c r="C64" s="18" t="n"/>
      <c r="D64" s="24" t="n"/>
      <c r="E64" s="19" t="n"/>
      <c r="F64" s="24" t="n"/>
      <c r="G64" s="28">
        <f>IF(AND($B64&lt;&gt;"",ISNUMBER($D64)),$D64+N('設定'!$B$13),"")</f>
        <v/>
      </c>
      <c r="H64" s="18" t="n"/>
      <c r="I64" s="19" t="n"/>
      <c r="J64" s="27">
        <f>IF($B64="","",IF($C64="","（支払先コードが空）",IF($X64="","※支払先にないコード",INDEX('支払先'!$C$5:$C$104,$X64)&amp;"")))</f>
        <v/>
      </c>
      <c r="K64" s="30">
        <f>IF($B64="","",COUNTIF('支払明細'!$A$5:$A$1004,$B64))</f>
        <v/>
      </c>
      <c r="L64" s="26">
        <f>IF($B64="","",SUMIFS('支払明細'!$I$5:$I$1004,'支払明細'!$A$5:$A$1004,$B64,'支払明細'!$G$5:$G$1004,"10%（標準）"))</f>
        <v/>
      </c>
      <c r="M64" s="26">
        <f>IF($B64="","",SUMIFS('支払明細'!$I$5:$I$1004,'支払明細'!$A$5:$A$1004,$B64,'支払明細'!$G$5:$G$1004,"8%（軽減）"))</f>
        <v/>
      </c>
      <c r="N64" s="26">
        <f>IF($B64="","",SUMIFS('支払明細'!$I$5:$I$1004,'支払明細'!$A$5:$A$1004,$B64,'支払明細'!$G$5:$G$1004,"対象外"))</f>
        <v/>
      </c>
      <c r="O64" s="26">
        <f>IF($B64="","",IF('設定'!$B$11="税込",IF('設定'!$B$12="切り捨て",ROUNDDOWN(ROUND($L64*10/110,6),0),IF('設定'!$B$12="切り上げ",ROUNDUP(ROUND($L64*10/110,6),0),ROUND($L64*10/110,0))),IF('設定'!$B$12="切り捨て",ROUNDDOWN(ROUND($L64*10/100,6),0),IF('設定'!$B$12="切り上げ",ROUNDUP(ROUND($L64*10/100,6),0),ROUND($L64*10/100,0)))))</f>
        <v/>
      </c>
      <c r="P64" s="26">
        <f>IF($B64="","",IF('設定'!$B$11="税込",IF('設定'!$B$12="切り捨て",ROUNDDOWN(ROUND($M64*8/108,6),0),IF('設定'!$B$12="切り上げ",ROUNDUP(ROUND($M64*8/108,6),0),ROUND($M64*8/108,0))),IF('設定'!$B$12="切り捨て",ROUNDDOWN(ROUND($M64*8/100,6),0),IF('設定'!$B$12="切り上げ",ROUNDUP(ROUND($M64*8/100,6),0),ROUND($M64*8/100,0)))))</f>
        <v/>
      </c>
      <c r="Q64" s="26">
        <f>IF($B64="","",IF('設定'!$B$11="税込",$L64+$M64+$N64,$L64+$O64+$M64+$P64+$N64))</f>
        <v/>
      </c>
      <c r="R64" s="26">
        <f>IF($B64="","",IF($X64="",0,IF(INDEX('支払先'!$I$5:$I$104,$X64)&lt;&gt;"する",0,IF(INDEX('支払先'!$J$5:$J$104,$X64)="税抜",IF('設定'!$B$11="税込",($Y64-IF('設定'!$B$12="切り捨て",ROUNDDOWN(ROUND($Y64*10/110,6),0),IF('設定'!$B$12="切り上げ",ROUNDUP(ROUND($Y64*10/110,6),0),ROUND($Y64*10/110,0)))+$Z64-IF('設定'!$B$12="切り捨て",ROUNDDOWN(ROUND($Z64*8/108,6),0),IF('設定'!$B$12="切り上げ",ROUNDUP(ROUND($Z64*8/108,6),0),ROUND($Z64*8/108,0)))+$AA64),$Y64+$Z64+$AA64),IF('設定'!$B$11="税込",$Y64+$Z64+$AA64,($Y64+IF('設定'!$B$12="切り捨て",ROUNDDOWN(ROUND($Y64*10/100,6),0),IF('設定'!$B$12="切り上げ",ROUNDUP(ROUND($Y64*10/100,6),0),ROUND($Y64*10/100,0)))+$Z64+IF('設定'!$B$12="切り捨て",ROUNDDOWN(ROUND($Z64*8/100,6),0),IF('設定'!$B$12="切り上げ",ROUNDUP(ROUND($Z64*8/100,6),0),ROUND($Z64*8/100,0)))+$AA64))))))</f>
        <v/>
      </c>
      <c r="S64" s="26">
        <f>IF($B64="","",IF(N($R64)&lt;=0,0,IF($R64&lt;='設定'!$B$18,ROUNDDOWN(ROUND($R64*'設定'!$B$17,6),0),ROUNDDOWN(ROUND(($R64-'設定'!$B$18)*'設定'!$B$19,6),0)+'設定'!$B$20)))</f>
        <v/>
      </c>
      <c r="T64" s="26">
        <f>IF($B64="","",IF($X64="",0,IF(INDEX('支払先'!$K$5:$K$104,$X64)="差し引く",N(INDEX('支払先'!$L$5:$L$104,$X64)),0)))</f>
        <v/>
      </c>
      <c r="U64" s="26">
        <f>IF($B64="","",$Q64-$S64-$T64)</f>
        <v/>
      </c>
      <c r="V64" s="22">
        <f>IF($B64="","",MID(IF($C64="","／支払先コードが空",IF($X64="","／支払先にないコード",""))&amp;IF($K64=0,"／明細がない","")&amp;IF($AC64&gt;0,"／税率が空の明細 "&amp;$AC64&amp;"件（合計に入っていない）","")&amp;IF($X64="","",IF(INDEX('支払先'!$G$5:$G$104,$X64)="","／登録番号なし（仕入明細書にならない）",""))&amp;IF($AB64&gt;0,"／60日（2か月）を超える明細 "&amp;$AB64&amp;"件","")&amp;IF($X64="","",IF(AND(INDEX('支払先'!$K$5:$K$104,$X64)="差し引く",OR(INDEX('支払先'!$M$5:$M$104,$X64)&lt;&gt;"対象外",INDEX('支払先'!$N$5:$N$104,$X64)&lt;&gt;"対象外")),"／手数料を差し引けない取引か確かめる",""))&amp;IF(COUNTIF($B$5:$B$204,$B64)&gt;1,"／通知Noが重複","")&amp;IF(AND(ISNUMBER($D64),ISNUMBER($F64),$F64&lt;$D64),"／支払予定日が発行日より前",""),2,300))</f>
        <v/>
      </c>
      <c r="W64" s="67" t="n"/>
      <c r="X64" s="31">
        <f>IF(OR($B64="",$C64=""),"",IFERROR(MATCH($C64,'支払先'!$B$5:$B$104,0),""))</f>
        <v/>
      </c>
      <c r="Y64" s="31">
        <f>IF($B64="","",SUMIFS('支払明細'!$I$5:$I$1004,'支払明細'!$A$5:$A$1004,$B64,'支払明細'!$G$5:$G$1004,"10%（標準）",'支払明細'!$H$5:$H$1004,"&lt;&gt;対象外"))</f>
        <v/>
      </c>
      <c r="Z64" s="31">
        <f>IF($B64="","",SUMIFS('支払明細'!$I$5:$I$1004,'支払明細'!$A$5:$A$1004,$B64,'支払明細'!$G$5:$G$1004,"8%（軽減）",'支払明細'!$H$5:$H$1004,"&lt;&gt;対象外"))</f>
        <v/>
      </c>
      <c r="AA64" s="31">
        <f>IF($B64="","",SUMIFS('支払明細'!$I$5:$I$1004,'支払明細'!$A$5:$A$1004,$B64,'支払明細'!$G$5:$G$1004,"対象外",'支払明細'!$H$5:$H$1004,"&lt;&gt;対象外"))</f>
        <v/>
      </c>
      <c r="AB64" s="31">
        <f>IF($B64="","",COUNTIFS('支払明細'!$A$5:$A$1004,$B64,'支払明細'!$M$5:$M$1004,"超える"))</f>
        <v/>
      </c>
      <c r="AC64" s="31">
        <f>IF($B64="","",COUNTIFS('支払明細'!$A$5:$A$1004,$B64,'支払明細'!$G$5:$G$1004,""))</f>
        <v/>
      </c>
    </row>
    <row r="65" ht="18" customHeight="1">
      <c r="A65" s="17" t="n">
        <v>61</v>
      </c>
      <c r="B65" s="18" t="n"/>
      <c r="C65" s="18" t="n"/>
      <c r="D65" s="24" t="n"/>
      <c r="E65" s="19" t="n"/>
      <c r="F65" s="24" t="n"/>
      <c r="G65" s="28">
        <f>IF(AND($B65&lt;&gt;"",ISNUMBER($D65)),$D65+N('設定'!$B$13),"")</f>
        <v/>
      </c>
      <c r="H65" s="18" t="n"/>
      <c r="I65" s="19" t="n"/>
      <c r="J65" s="27">
        <f>IF($B65="","",IF($C65="","（支払先コードが空）",IF($X65="","※支払先にないコード",INDEX('支払先'!$C$5:$C$104,$X65)&amp;"")))</f>
        <v/>
      </c>
      <c r="K65" s="30">
        <f>IF($B65="","",COUNTIF('支払明細'!$A$5:$A$1004,$B65))</f>
        <v/>
      </c>
      <c r="L65" s="26">
        <f>IF($B65="","",SUMIFS('支払明細'!$I$5:$I$1004,'支払明細'!$A$5:$A$1004,$B65,'支払明細'!$G$5:$G$1004,"10%（標準）"))</f>
        <v/>
      </c>
      <c r="M65" s="26">
        <f>IF($B65="","",SUMIFS('支払明細'!$I$5:$I$1004,'支払明細'!$A$5:$A$1004,$B65,'支払明細'!$G$5:$G$1004,"8%（軽減）"))</f>
        <v/>
      </c>
      <c r="N65" s="26">
        <f>IF($B65="","",SUMIFS('支払明細'!$I$5:$I$1004,'支払明細'!$A$5:$A$1004,$B65,'支払明細'!$G$5:$G$1004,"対象外"))</f>
        <v/>
      </c>
      <c r="O65" s="26">
        <f>IF($B65="","",IF('設定'!$B$11="税込",IF('設定'!$B$12="切り捨て",ROUNDDOWN(ROUND($L65*10/110,6),0),IF('設定'!$B$12="切り上げ",ROUNDUP(ROUND($L65*10/110,6),0),ROUND($L65*10/110,0))),IF('設定'!$B$12="切り捨て",ROUNDDOWN(ROUND($L65*10/100,6),0),IF('設定'!$B$12="切り上げ",ROUNDUP(ROUND($L65*10/100,6),0),ROUND($L65*10/100,0)))))</f>
        <v/>
      </c>
      <c r="P65" s="26">
        <f>IF($B65="","",IF('設定'!$B$11="税込",IF('設定'!$B$12="切り捨て",ROUNDDOWN(ROUND($M65*8/108,6),0),IF('設定'!$B$12="切り上げ",ROUNDUP(ROUND($M65*8/108,6),0),ROUND($M65*8/108,0))),IF('設定'!$B$12="切り捨て",ROUNDDOWN(ROUND($M65*8/100,6),0),IF('設定'!$B$12="切り上げ",ROUNDUP(ROUND($M65*8/100,6),0),ROUND($M65*8/100,0)))))</f>
        <v/>
      </c>
      <c r="Q65" s="26">
        <f>IF($B65="","",IF('設定'!$B$11="税込",$L65+$M65+$N65,$L65+$O65+$M65+$P65+$N65))</f>
        <v/>
      </c>
      <c r="R65" s="26">
        <f>IF($B65="","",IF($X65="",0,IF(INDEX('支払先'!$I$5:$I$104,$X65)&lt;&gt;"する",0,IF(INDEX('支払先'!$J$5:$J$104,$X65)="税抜",IF('設定'!$B$11="税込",($Y65-IF('設定'!$B$12="切り捨て",ROUNDDOWN(ROUND($Y65*10/110,6),0),IF('設定'!$B$12="切り上げ",ROUNDUP(ROUND($Y65*10/110,6),0),ROUND($Y65*10/110,0)))+$Z65-IF('設定'!$B$12="切り捨て",ROUNDDOWN(ROUND($Z65*8/108,6),0),IF('設定'!$B$12="切り上げ",ROUNDUP(ROUND($Z65*8/108,6),0),ROUND($Z65*8/108,0)))+$AA65),$Y65+$Z65+$AA65),IF('設定'!$B$11="税込",$Y65+$Z65+$AA65,($Y65+IF('設定'!$B$12="切り捨て",ROUNDDOWN(ROUND($Y65*10/100,6),0),IF('設定'!$B$12="切り上げ",ROUNDUP(ROUND($Y65*10/100,6),0),ROUND($Y65*10/100,0)))+$Z65+IF('設定'!$B$12="切り捨て",ROUNDDOWN(ROUND($Z65*8/100,6),0),IF('設定'!$B$12="切り上げ",ROUNDUP(ROUND($Z65*8/100,6),0),ROUND($Z65*8/100,0)))+$AA65))))))</f>
        <v/>
      </c>
      <c r="S65" s="26">
        <f>IF($B65="","",IF(N($R65)&lt;=0,0,IF($R65&lt;='設定'!$B$18,ROUNDDOWN(ROUND($R65*'設定'!$B$17,6),0),ROUNDDOWN(ROUND(($R65-'設定'!$B$18)*'設定'!$B$19,6),0)+'設定'!$B$20)))</f>
        <v/>
      </c>
      <c r="T65" s="26">
        <f>IF($B65="","",IF($X65="",0,IF(INDEX('支払先'!$K$5:$K$104,$X65)="差し引く",N(INDEX('支払先'!$L$5:$L$104,$X65)),0)))</f>
        <v/>
      </c>
      <c r="U65" s="26">
        <f>IF($B65="","",$Q65-$S65-$T65)</f>
        <v/>
      </c>
      <c r="V65" s="22">
        <f>IF($B65="","",MID(IF($C65="","／支払先コードが空",IF($X65="","／支払先にないコード",""))&amp;IF($K65=0,"／明細がない","")&amp;IF($AC65&gt;0,"／税率が空の明細 "&amp;$AC65&amp;"件（合計に入っていない）","")&amp;IF($X65="","",IF(INDEX('支払先'!$G$5:$G$104,$X65)="","／登録番号なし（仕入明細書にならない）",""))&amp;IF($AB65&gt;0,"／60日（2か月）を超える明細 "&amp;$AB65&amp;"件","")&amp;IF($X65="","",IF(AND(INDEX('支払先'!$K$5:$K$104,$X65)="差し引く",OR(INDEX('支払先'!$M$5:$M$104,$X65)&lt;&gt;"対象外",INDEX('支払先'!$N$5:$N$104,$X65)&lt;&gt;"対象外")),"／手数料を差し引けない取引か確かめる",""))&amp;IF(COUNTIF($B$5:$B$204,$B65)&gt;1,"／通知Noが重複","")&amp;IF(AND(ISNUMBER($D65),ISNUMBER($F65),$F65&lt;$D65),"／支払予定日が発行日より前",""),2,300))</f>
        <v/>
      </c>
      <c r="W65" s="67" t="n"/>
      <c r="X65" s="31">
        <f>IF(OR($B65="",$C65=""),"",IFERROR(MATCH($C65,'支払先'!$B$5:$B$104,0),""))</f>
        <v/>
      </c>
      <c r="Y65" s="31">
        <f>IF($B65="","",SUMIFS('支払明細'!$I$5:$I$1004,'支払明細'!$A$5:$A$1004,$B65,'支払明細'!$G$5:$G$1004,"10%（標準）",'支払明細'!$H$5:$H$1004,"&lt;&gt;対象外"))</f>
        <v/>
      </c>
      <c r="Z65" s="31">
        <f>IF($B65="","",SUMIFS('支払明細'!$I$5:$I$1004,'支払明細'!$A$5:$A$1004,$B65,'支払明細'!$G$5:$G$1004,"8%（軽減）",'支払明細'!$H$5:$H$1004,"&lt;&gt;対象外"))</f>
        <v/>
      </c>
      <c r="AA65" s="31">
        <f>IF($B65="","",SUMIFS('支払明細'!$I$5:$I$1004,'支払明細'!$A$5:$A$1004,$B65,'支払明細'!$G$5:$G$1004,"対象外",'支払明細'!$H$5:$H$1004,"&lt;&gt;対象外"))</f>
        <v/>
      </c>
      <c r="AB65" s="31">
        <f>IF($B65="","",COUNTIFS('支払明細'!$A$5:$A$1004,$B65,'支払明細'!$M$5:$M$1004,"超える"))</f>
        <v/>
      </c>
      <c r="AC65" s="31">
        <f>IF($B65="","",COUNTIFS('支払明細'!$A$5:$A$1004,$B65,'支払明細'!$G$5:$G$1004,""))</f>
        <v/>
      </c>
    </row>
    <row r="66" ht="18" customHeight="1">
      <c r="A66" s="17" t="n">
        <v>62</v>
      </c>
      <c r="B66" s="18" t="n"/>
      <c r="C66" s="18" t="n"/>
      <c r="D66" s="24" t="n"/>
      <c r="E66" s="19" t="n"/>
      <c r="F66" s="24" t="n"/>
      <c r="G66" s="28">
        <f>IF(AND($B66&lt;&gt;"",ISNUMBER($D66)),$D66+N('設定'!$B$13),"")</f>
        <v/>
      </c>
      <c r="H66" s="18" t="n"/>
      <c r="I66" s="19" t="n"/>
      <c r="J66" s="27">
        <f>IF($B66="","",IF($C66="","（支払先コードが空）",IF($X66="","※支払先にないコード",INDEX('支払先'!$C$5:$C$104,$X66)&amp;"")))</f>
        <v/>
      </c>
      <c r="K66" s="30">
        <f>IF($B66="","",COUNTIF('支払明細'!$A$5:$A$1004,$B66))</f>
        <v/>
      </c>
      <c r="L66" s="26">
        <f>IF($B66="","",SUMIFS('支払明細'!$I$5:$I$1004,'支払明細'!$A$5:$A$1004,$B66,'支払明細'!$G$5:$G$1004,"10%（標準）"))</f>
        <v/>
      </c>
      <c r="M66" s="26">
        <f>IF($B66="","",SUMIFS('支払明細'!$I$5:$I$1004,'支払明細'!$A$5:$A$1004,$B66,'支払明細'!$G$5:$G$1004,"8%（軽減）"))</f>
        <v/>
      </c>
      <c r="N66" s="26">
        <f>IF($B66="","",SUMIFS('支払明細'!$I$5:$I$1004,'支払明細'!$A$5:$A$1004,$B66,'支払明細'!$G$5:$G$1004,"対象外"))</f>
        <v/>
      </c>
      <c r="O66" s="26">
        <f>IF($B66="","",IF('設定'!$B$11="税込",IF('設定'!$B$12="切り捨て",ROUNDDOWN(ROUND($L66*10/110,6),0),IF('設定'!$B$12="切り上げ",ROUNDUP(ROUND($L66*10/110,6),0),ROUND($L66*10/110,0))),IF('設定'!$B$12="切り捨て",ROUNDDOWN(ROUND($L66*10/100,6),0),IF('設定'!$B$12="切り上げ",ROUNDUP(ROUND($L66*10/100,6),0),ROUND($L66*10/100,0)))))</f>
        <v/>
      </c>
      <c r="P66" s="26">
        <f>IF($B66="","",IF('設定'!$B$11="税込",IF('設定'!$B$12="切り捨て",ROUNDDOWN(ROUND($M66*8/108,6),0),IF('設定'!$B$12="切り上げ",ROUNDUP(ROUND($M66*8/108,6),0),ROUND($M66*8/108,0))),IF('設定'!$B$12="切り捨て",ROUNDDOWN(ROUND($M66*8/100,6),0),IF('設定'!$B$12="切り上げ",ROUNDUP(ROUND($M66*8/100,6),0),ROUND($M66*8/100,0)))))</f>
        <v/>
      </c>
      <c r="Q66" s="26">
        <f>IF($B66="","",IF('設定'!$B$11="税込",$L66+$M66+$N66,$L66+$O66+$M66+$P66+$N66))</f>
        <v/>
      </c>
      <c r="R66" s="26">
        <f>IF($B66="","",IF($X66="",0,IF(INDEX('支払先'!$I$5:$I$104,$X66)&lt;&gt;"する",0,IF(INDEX('支払先'!$J$5:$J$104,$X66)="税抜",IF('設定'!$B$11="税込",($Y66-IF('設定'!$B$12="切り捨て",ROUNDDOWN(ROUND($Y66*10/110,6),0),IF('設定'!$B$12="切り上げ",ROUNDUP(ROUND($Y66*10/110,6),0),ROUND($Y66*10/110,0)))+$Z66-IF('設定'!$B$12="切り捨て",ROUNDDOWN(ROUND($Z66*8/108,6),0),IF('設定'!$B$12="切り上げ",ROUNDUP(ROUND($Z66*8/108,6),0),ROUND($Z66*8/108,0)))+$AA66),$Y66+$Z66+$AA66),IF('設定'!$B$11="税込",$Y66+$Z66+$AA66,($Y66+IF('設定'!$B$12="切り捨て",ROUNDDOWN(ROUND($Y66*10/100,6),0),IF('設定'!$B$12="切り上げ",ROUNDUP(ROUND($Y66*10/100,6),0),ROUND($Y66*10/100,0)))+$Z66+IF('設定'!$B$12="切り捨て",ROUNDDOWN(ROUND($Z66*8/100,6),0),IF('設定'!$B$12="切り上げ",ROUNDUP(ROUND($Z66*8/100,6),0),ROUND($Z66*8/100,0)))+$AA66))))))</f>
        <v/>
      </c>
      <c r="S66" s="26">
        <f>IF($B66="","",IF(N($R66)&lt;=0,0,IF($R66&lt;='設定'!$B$18,ROUNDDOWN(ROUND($R66*'設定'!$B$17,6),0),ROUNDDOWN(ROUND(($R66-'設定'!$B$18)*'設定'!$B$19,6),0)+'設定'!$B$20)))</f>
        <v/>
      </c>
      <c r="T66" s="26">
        <f>IF($B66="","",IF($X66="",0,IF(INDEX('支払先'!$K$5:$K$104,$X66)="差し引く",N(INDEX('支払先'!$L$5:$L$104,$X66)),0)))</f>
        <v/>
      </c>
      <c r="U66" s="26">
        <f>IF($B66="","",$Q66-$S66-$T66)</f>
        <v/>
      </c>
      <c r="V66" s="22">
        <f>IF($B66="","",MID(IF($C66="","／支払先コードが空",IF($X66="","／支払先にないコード",""))&amp;IF($K66=0,"／明細がない","")&amp;IF($AC66&gt;0,"／税率が空の明細 "&amp;$AC66&amp;"件（合計に入っていない）","")&amp;IF($X66="","",IF(INDEX('支払先'!$G$5:$G$104,$X66)="","／登録番号なし（仕入明細書にならない）",""))&amp;IF($AB66&gt;0,"／60日（2か月）を超える明細 "&amp;$AB66&amp;"件","")&amp;IF($X66="","",IF(AND(INDEX('支払先'!$K$5:$K$104,$X66)="差し引く",OR(INDEX('支払先'!$M$5:$M$104,$X66)&lt;&gt;"対象外",INDEX('支払先'!$N$5:$N$104,$X66)&lt;&gt;"対象外")),"／手数料を差し引けない取引か確かめる",""))&amp;IF(COUNTIF($B$5:$B$204,$B66)&gt;1,"／通知Noが重複","")&amp;IF(AND(ISNUMBER($D66),ISNUMBER($F66),$F66&lt;$D66),"／支払予定日が発行日より前",""),2,300))</f>
        <v/>
      </c>
      <c r="W66" s="67" t="n"/>
      <c r="X66" s="31">
        <f>IF(OR($B66="",$C66=""),"",IFERROR(MATCH($C66,'支払先'!$B$5:$B$104,0),""))</f>
        <v/>
      </c>
      <c r="Y66" s="31">
        <f>IF($B66="","",SUMIFS('支払明細'!$I$5:$I$1004,'支払明細'!$A$5:$A$1004,$B66,'支払明細'!$G$5:$G$1004,"10%（標準）",'支払明細'!$H$5:$H$1004,"&lt;&gt;対象外"))</f>
        <v/>
      </c>
      <c r="Z66" s="31">
        <f>IF($B66="","",SUMIFS('支払明細'!$I$5:$I$1004,'支払明細'!$A$5:$A$1004,$B66,'支払明細'!$G$5:$G$1004,"8%（軽減）",'支払明細'!$H$5:$H$1004,"&lt;&gt;対象外"))</f>
        <v/>
      </c>
      <c r="AA66" s="31">
        <f>IF($B66="","",SUMIFS('支払明細'!$I$5:$I$1004,'支払明細'!$A$5:$A$1004,$B66,'支払明細'!$G$5:$G$1004,"対象外",'支払明細'!$H$5:$H$1004,"&lt;&gt;対象外"))</f>
        <v/>
      </c>
      <c r="AB66" s="31">
        <f>IF($B66="","",COUNTIFS('支払明細'!$A$5:$A$1004,$B66,'支払明細'!$M$5:$M$1004,"超える"))</f>
        <v/>
      </c>
      <c r="AC66" s="31">
        <f>IF($B66="","",COUNTIFS('支払明細'!$A$5:$A$1004,$B66,'支払明細'!$G$5:$G$1004,""))</f>
        <v/>
      </c>
    </row>
    <row r="67" ht="18" customHeight="1">
      <c r="A67" s="17" t="n">
        <v>63</v>
      </c>
      <c r="B67" s="18" t="n"/>
      <c r="C67" s="18" t="n"/>
      <c r="D67" s="24" t="n"/>
      <c r="E67" s="19" t="n"/>
      <c r="F67" s="24" t="n"/>
      <c r="G67" s="28">
        <f>IF(AND($B67&lt;&gt;"",ISNUMBER($D67)),$D67+N('設定'!$B$13),"")</f>
        <v/>
      </c>
      <c r="H67" s="18" t="n"/>
      <c r="I67" s="19" t="n"/>
      <c r="J67" s="27">
        <f>IF($B67="","",IF($C67="","（支払先コードが空）",IF($X67="","※支払先にないコード",INDEX('支払先'!$C$5:$C$104,$X67)&amp;"")))</f>
        <v/>
      </c>
      <c r="K67" s="30">
        <f>IF($B67="","",COUNTIF('支払明細'!$A$5:$A$1004,$B67))</f>
        <v/>
      </c>
      <c r="L67" s="26">
        <f>IF($B67="","",SUMIFS('支払明細'!$I$5:$I$1004,'支払明細'!$A$5:$A$1004,$B67,'支払明細'!$G$5:$G$1004,"10%（標準）"))</f>
        <v/>
      </c>
      <c r="M67" s="26">
        <f>IF($B67="","",SUMIFS('支払明細'!$I$5:$I$1004,'支払明細'!$A$5:$A$1004,$B67,'支払明細'!$G$5:$G$1004,"8%（軽減）"))</f>
        <v/>
      </c>
      <c r="N67" s="26">
        <f>IF($B67="","",SUMIFS('支払明細'!$I$5:$I$1004,'支払明細'!$A$5:$A$1004,$B67,'支払明細'!$G$5:$G$1004,"対象外"))</f>
        <v/>
      </c>
      <c r="O67" s="26">
        <f>IF($B67="","",IF('設定'!$B$11="税込",IF('設定'!$B$12="切り捨て",ROUNDDOWN(ROUND($L67*10/110,6),0),IF('設定'!$B$12="切り上げ",ROUNDUP(ROUND($L67*10/110,6),0),ROUND($L67*10/110,0))),IF('設定'!$B$12="切り捨て",ROUNDDOWN(ROUND($L67*10/100,6),0),IF('設定'!$B$12="切り上げ",ROUNDUP(ROUND($L67*10/100,6),0),ROUND($L67*10/100,0)))))</f>
        <v/>
      </c>
      <c r="P67" s="26">
        <f>IF($B67="","",IF('設定'!$B$11="税込",IF('設定'!$B$12="切り捨て",ROUNDDOWN(ROUND($M67*8/108,6),0),IF('設定'!$B$12="切り上げ",ROUNDUP(ROUND($M67*8/108,6),0),ROUND($M67*8/108,0))),IF('設定'!$B$12="切り捨て",ROUNDDOWN(ROUND($M67*8/100,6),0),IF('設定'!$B$12="切り上げ",ROUNDUP(ROUND($M67*8/100,6),0),ROUND($M67*8/100,0)))))</f>
        <v/>
      </c>
      <c r="Q67" s="26">
        <f>IF($B67="","",IF('設定'!$B$11="税込",$L67+$M67+$N67,$L67+$O67+$M67+$P67+$N67))</f>
        <v/>
      </c>
      <c r="R67" s="26">
        <f>IF($B67="","",IF($X67="",0,IF(INDEX('支払先'!$I$5:$I$104,$X67)&lt;&gt;"する",0,IF(INDEX('支払先'!$J$5:$J$104,$X67)="税抜",IF('設定'!$B$11="税込",($Y67-IF('設定'!$B$12="切り捨て",ROUNDDOWN(ROUND($Y67*10/110,6),0),IF('設定'!$B$12="切り上げ",ROUNDUP(ROUND($Y67*10/110,6),0),ROUND($Y67*10/110,0)))+$Z67-IF('設定'!$B$12="切り捨て",ROUNDDOWN(ROUND($Z67*8/108,6),0),IF('設定'!$B$12="切り上げ",ROUNDUP(ROUND($Z67*8/108,6),0),ROUND($Z67*8/108,0)))+$AA67),$Y67+$Z67+$AA67),IF('設定'!$B$11="税込",$Y67+$Z67+$AA67,($Y67+IF('設定'!$B$12="切り捨て",ROUNDDOWN(ROUND($Y67*10/100,6),0),IF('設定'!$B$12="切り上げ",ROUNDUP(ROUND($Y67*10/100,6),0),ROUND($Y67*10/100,0)))+$Z67+IF('設定'!$B$12="切り捨て",ROUNDDOWN(ROUND($Z67*8/100,6),0),IF('設定'!$B$12="切り上げ",ROUNDUP(ROUND($Z67*8/100,6),0),ROUND($Z67*8/100,0)))+$AA67))))))</f>
        <v/>
      </c>
      <c r="S67" s="26">
        <f>IF($B67="","",IF(N($R67)&lt;=0,0,IF($R67&lt;='設定'!$B$18,ROUNDDOWN(ROUND($R67*'設定'!$B$17,6),0),ROUNDDOWN(ROUND(($R67-'設定'!$B$18)*'設定'!$B$19,6),0)+'設定'!$B$20)))</f>
        <v/>
      </c>
      <c r="T67" s="26">
        <f>IF($B67="","",IF($X67="",0,IF(INDEX('支払先'!$K$5:$K$104,$X67)="差し引く",N(INDEX('支払先'!$L$5:$L$104,$X67)),0)))</f>
        <v/>
      </c>
      <c r="U67" s="26">
        <f>IF($B67="","",$Q67-$S67-$T67)</f>
        <v/>
      </c>
      <c r="V67" s="22">
        <f>IF($B67="","",MID(IF($C67="","／支払先コードが空",IF($X67="","／支払先にないコード",""))&amp;IF($K67=0,"／明細がない","")&amp;IF($AC67&gt;0,"／税率が空の明細 "&amp;$AC67&amp;"件（合計に入っていない）","")&amp;IF($X67="","",IF(INDEX('支払先'!$G$5:$G$104,$X67)="","／登録番号なし（仕入明細書にならない）",""))&amp;IF($AB67&gt;0,"／60日（2か月）を超える明細 "&amp;$AB67&amp;"件","")&amp;IF($X67="","",IF(AND(INDEX('支払先'!$K$5:$K$104,$X67)="差し引く",OR(INDEX('支払先'!$M$5:$M$104,$X67)&lt;&gt;"対象外",INDEX('支払先'!$N$5:$N$104,$X67)&lt;&gt;"対象外")),"／手数料を差し引けない取引か確かめる",""))&amp;IF(COUNTIF($B$5:$B$204,$B67)&gt;1,"／通知Noが重複","")&amp;IF(AND(ISNUMBER($D67),ISNUMBER($F67),$F67&lt;$D67),"／支払予定日が発行日より前",""),2,300))</f>
        <v/>
      </c>
      <c r="W67" s="67" t="n"/>
      <c r="X67" s="31">
        <f>IF(OR($B67="",$C67=""),"",IFERROR(MATCH($C67,'支払先'!$B$5:$B$104,0),""))</f>
        <v/>
      </c>
      <c r="Y67" s="31">
        <f>IF($B67="","",SUMIFS('支払明細'!$I$5:$I$1004,'支払明細'!$A$5:$A$1004,$B67,'支払明細'!$G$5:$G$1004,"10%（標準）",'支払明細'!$H$5:$H$1004,"&lt;&gt;対象外"))</f>
        <v/>
      </c>
      <c r="Z67" s="31">
        <f>IF($B67="","",SUMIFS('支払明細'!$I$5:$I$1004,'支払明細'!$A$5:$A$1004,$B67,'支払明細'!$G$5:$G$1004,"8%（軽減）",'支払明細'!$H$5:$H$1004,"&lt;&gt;対象外"))</f>
        <v/>
      </c>
      <c r="AA67" s="31">
        <f>IF($B67="","",SUMIFS('支払明細'!$I$5:$I$1004,'支払明細'!$A$5:$A$1004,$B67,'支払明細'!$G$5:$G$1004,"対象外",'支払明細'!$H$5:$H$1004,"&lt;&gt;対象外"))</f>
        <v/>
      </c>
      <c r="AB67" s="31">
        <f>IF($B67="","",COUNTIFS('支払明細'!$A$5:$A$1004,$B67,'支払明細'!$M$5:$M$1004,"超える"))</f>
        <v/>
      </c>
      <c r="AC67" s="31">
        <f>IF($B67="","",COUNTIFS('支払明細'!$A$5:$A$1004,$B67,'支払明細'!$G$5:$G$1004,""))</f>
        <v/>
      </c>
    </row>
    <row r="68" ht="18" customHeight="1">
      <c r="A68" s="17" t="n">
        <v>64</v>
      </c>
      <c r="B68" s="18" t="n"/>
      <c r="C68" s="18" t="n"/>
      <c r="D68" s="24" t="n"/>
      <c r="E68" s="19" t="n"/>
      <c r="F68" s="24" t="n"/>
      <c r="G68" s="28">
        <f>IF(AND($B68&lt;&gt;"",ISNUMBER($D68)),$D68+N('設定'!$B$13),"")</f>
        <v/>
      </c>
      <c r="H68" s="18" t="n"/>
      <c r="I68" s="19" t="n"/>
      <c r="J68" s="27">
        <f>IF($B68="","",IF($C68="","（支払先コードが空）",IF($X68="","※支払先にないコード",INDEX('支払先'!$C$5:$C$104,$X68)&amp;"")))</f>
        <v/>
      </c>
      <c r="K68" s="30">
        <f>IF($B68="","",COUNTIF('支払明細'!$A$5:$A$1004,$B68))</f>
        <v/>
      </c>
      <c r="L68" s="26">
        <f>IF($B68="","",SUMIFS('支払明細'!$I$5:$I$1004,'支払明細'!$A$5:$A$1004,$B68,'支払明細'!$G$5:$G$1004,"10%（標準）"))</f>
        <v/>
      </c>
      <c r="M68" s="26">
        <f>IF($B68="","",SUMIFS('支払明細'!$I$5:$I$1004,'支払明細'!$A$5:$A$1004,$B68,'支払明細'!$G$5:$G$1004,"8%（軽減）"))</f>
        <v/>
      </c>
      <c r="N68" s="26">
        <f>IF($B68="","",SUMIFS('支払明細'!$I$5:$I$1004,'支払明細'!$A$5:$A$1004,$B68,'支払明細'!$G$5:$G$1004,"対象外"))</f>
        <v/>
      </c>
      <c r="O68" s="26">
        <f>IF($B68="","",IF('設定'!$B$11="税込",IF('設定'!$B$12="切り捨て",ROUNDDOWN(ROUND($L68*10/110,6),0),IF('設定'!$B$12="切り上げ",ROUNDUP(ROUND($L68*10/110,6),0),ROUND($L68*10/110,0))),IF('設定'!$B$12="切り捨て",ROUNDDOWN(ROUND($L68*10/100,6),0),IF('設定'!$B$12="切り上げ",ROUNDUP(ROUND($L68*10/100,6),0),ROUND($L68*10/100,0)))))</f>
        <v/>
      </c>
      <c r="P68" s="26">
        <f>IF($B68="","",IF('設定'!$B$11="税込",IF('設定'!$B$12="切り捨て",ROUNDDOWN(ROUND($M68*8/108,6),0),IF('設定'!$B$12="切り上げ",ROUNDUP(ROUND($M68*8/108,6),0),ROUND($M68*8/108,0))),IF('設定'!$B$12="切り捨て",ROUNDDOWN(ROUND($M68*8/100,6),0),IF('設定'!$B$12="切り上げ",ROUNDUP(ROUND($M68*8/100,6),0),ROUND($M68*8/100,0)))))</f>
        <v/>
      </c>
      <c r="Q68" s="26">
        <f>IF($B68="","",IF('設定'!$B$11="税込",$L68+$M68+$N68,$L68+$O68+$M68+$P68+$N68))</f>
        <v/>
      </c>
      <c r="R68" s="26">
        <f>IF($B68="","",IF($X68="",0,IF(INDEX('支払先'!$I$5:$I$104,$X68)&lt;&gt;"する",0,IF(INDEX('支払先'!$J$5:$J$104,$X68)="税抜",IF('設定'!$B$11="税込",($Y68-IF('設定'!$B$12="切り捨て",ROUNDDOWN(ROUND($Y68*10/110,6),0),IF('設定'!$B$12="切り上げ",ROUNDUP(ROUND($Y68*10/110,6),0),ROUND($Y68*10/110,0)))+$Z68-IF('設定'!$B$12="切り捨て",ROUNDDOWN(ROUND($Z68*8/108,6),0),IF('設定'!$B$12="切り上げ",ROUNDUP(ROUND($Z68*8/108,6),0),ROUND($Z68*8/108,0)))+$AA68),$Y68+$Z68+$AA68),IF('設定'!$B$11="税込",$Y68+$Z68+$AA68,($Y68+IF('設定'!$B$12="切り捨て",ROUNDDOWN(ROUND($Y68*10/100,6),0),IF('設定'!$B$12="切り上げ",ROUNDUP(ROUND($Y68*10/100,6),0),ROUND($Y68*10/100,0)))+$Z68+IF('設定'!$B$12="切り捨て",ROUNDDOWN(ROUND($Z68*8/100,6),0),IF('設定'!$B$12="切り上げ",ROUNDUP(ROUND($Z68*8/100,6),0),ROUND($Z68*8/100,0)))+$AA68))))))</f>
        <v/>
      </c>
      <c r="S68" s="26">
        <f>IF($B68="","",IF(N($R68)&lt;=0,0,IF($R68&lt;='設定'!$B$18,ROUNDDOWN(ROUND($R68*'設定'!$B$17,6),0),ROUNDDOWN(ROUND(($R68-'設定'!$B$18)*'設定'!$B$19,6),0)+'設定'!$B$20)))</f>
        <v/>
      </c>
      <c r="T68" s="26">
        <f>IF($B68="","",IF($X68="",0,IF(INDEX('支払先'!$K$5:$K$104,$X68)="差し引く",N(INDEX('支払先'!$L$5:$L$104,$X68)),0)))</f>
        <v/>
      </c>
      <c r="U68" s="26">
        <f>IF($B68="","",$Q68-$S68-$T68)</f>
        <v/>
      </c>
      <c r="V68" s="22">
        <f>IF($B68="","",MID(IF($C68="","／支払先コードが空",IF($X68="","／支払先にないコード",""))&amp;IF($K68=0,"／明細がない","")&amp;IF($AC68&gt;0,"／税率が空の明細 "&amp;$AC68&amp;"件（合計に入っていない）","")&amp;IF($X68="","",IF(INDEX('支払先'!$G$5:$G$104,$X68)="","／登録番号なし（仕入明細書にならない）",""))&amp;IF($AB68&gt;0,"／60日（2か月）を超える明細 "&amp;$AB68&amp;"件","")&amp;IF($X68="","",IF(AND(INDEX('支払先'!$K$5:$K$104,$X68)="差し引く",OR(INDEX('支払先'!$M$5:$M$104,$X68)&lt;&gt;"対象外",INDEX('支払先'!$N$5:$N$104,$X68)&lt;&gt;"対象外")),"／手数料を差し引けない取引か確かめる",""))&amp;IF(COUNTIF($B$5:$B$204,$B68)&gt;1,"／通知Noが重複","")&amp;IF(AND(ISNUMBER($D68),ISNUMBER($F68),$F68&lt;$D68),"／支払予定日が発行日より前",""),2,300))</f>
        <v/>
      </c>
      <c r="W68" s="67" t="n"/>
      <c r="X68" s="31">
        <f>IF(OR($B68="",$C68=""),"",IFERROR(MATCH($C68,'支払先'!$B$5:$B$104,0),""))</f>
        <v/>
      </c>
      <c r="Y68" s="31">
        <f>IF($B68="","",SUMIFS('支払明細'!$I$5:$I$1004,'支払明細'!$A$5:$A$1004,$B68,'支払明細'!$G$5:$G$1004,"10%（標準）",'支払明細'!$H$5:$H$1004,"&lt;&gt;対象外"))</f>
        <v/>
      </c>
      <c r="Z68" s="31">
        <f>IF($B68="","",SUMIFS('支払明細'!$I$5:$I$1004,'支払明細'!$A$5:$A$1004,$B68,'支払明細'!$G$5:$G$1004,"8%（軽減）",'支払明細'!$H$5:$H$1004,"&lt;&gt;対象外"))</f>
        <v/>
      </c>
      <c r="AA68" s="31">
        <f>IF($B68="","",SUMIFS('支払明細'!$I$5:$I$1004,'支払明細'!$A$5:$A$1004,$B68,'支払明細'!$G$5:$G$1004,"対象外",'支払明細'!$H$5:$H$1004,"&lt;&gt;対象外"))</f>
        <v/>
      </c>
      <c r="AB68" s="31">
        <f>IF($B68="","",COUNTIFS('支払明細'!$A$5:$A$1004,$B68,'支払明細'!$M$5:$M$1004,"超える"))</f>
        <v/>
      </c>
      <c r="AC68" s="31">
        <f>IF($B68="","",COUNTIFS('支払明細'!$A$5:$A$1004,$B68,'支払明細'!$G$5:$G$1004,""))</f>
        <v/>
      </c>
    </row>
    <row r="69" ht="18" customHeight="1">
      <c r="A69" s="17" t="n">
        <v>65</v>
      </c>
      <c r="B69" s="18" t="n"/>
      <c r="C69" s="18" t="n"/>
      <c r="D69" s="24" t="n"/>
      <c r="E69" s="19" t="n"/>
      <c r="F69" s="24" t="n"/>
      <c r="G69" s="28">
        <f>IF(AND($B69&lt;&gt;"",ISNUMBER($D69)),$D69+N('設定'!$B$13),"")</f>
        <v/>
      </c>
      <c r="H69" s="18" t="n"/>
      <c r="I69" s="19" t="n"/>
      <c r="J69" s="27">
        <f>IF($B69="","",IF($C69="","（支払先コードが空）",IF($X69="","※支払先にないコード",INDEX('支払先'!$C$5:$C$104,$X69)&amp;"")))</f>
        <v/>
      </c>
      <c r="K69" s="30">
        <f>IF($B69="","",COUNTIF('支払明細'!$A$5:$A$1004,$B69))</f>
        <v/>
      </c>
      <c r="L69" s="26">
        <f>IF($B69="","",SUMIFS('支払明細'!$I$5:$I$1004,'支払明細'!$A$5:$A$1004,$B69,'支払明細'!$G$5:$G$1004,"10%（標準）"))</f>
        <v/>
      </c>
      <c r="M69" s="26">
        <f>IF($B69="","",SUMIFS('支払明細'!$I$5:$I$1004,'支払明細'!$A$5:$A$1004,$B69,'支払明細'!$G$5:$G$1004,"8%（軽減）"))</f>
        <v/>
      </c>
      <c r="N69" s="26">
        <f>IF($B69="","",SUMIFS('支払明細'!$I$5:$I$1004,'支払明細'!$A$5:$A$1004,$B69,'支払明細'!$G$5:$G$1004,"対象外"))</f>
        <v/>
      </c>
      <c r="O69" s="26">
        <f>IF($B69="","",IF('設定'!$B$11="税込",IF('設定'!$B$12="切り捨て",ROUNDDOWN(ROUND($L69*10/110,6),0),IF('設定'!$B$12="切り上げ",ROUNDUP(ROUND($L69*10/110,6),0),ROUND($L69*10/110,0))),IF('設定'!$B$12="切り捨て",ROUNDDOWN(ROUND($L69*10/100,6),0),IF('設定'!$B$12="切り上げ",ROUNDUP(ROUND($L69*10/100,6),0),ROUND($L69*10/100,0)))))</f>
        <v/>
      </c>
      <c r="P69" s="26">
        <f>IF($B69="","",IF('設定'!$B$11="税込",IF('設定'!$B$12="切り捨て",ROUNDDOWN(ROUND($M69*8/108,6),0),IF('設定'!$B$12="切り上げ",ROUNDUP(ROUND($M69*8/108,6),0),ROUND($M69*8/108,0))),IF('設定'!$B$12="切り捨て",ROUNDDOWN(ROUND($M69*8/100,6),0),IF('設定'!$B$12="切り上げ",ROUNDUP(ROUND($M69*8/100,6),0),ROUND($M69*8/100,0)))))</f>
        <v/>
      </c>
      <c r="Q69" s="26">
        <f>IF($B69="","",IF('設定'!$B$11="税込",$L69+$M69+$N69,$L69+$O69+$M69+$P69+$N69))</f>
        <v/>
      </c>
      <c r="R69" s="26">
        <f>IF($B69="","",IF($X69="",0,IF(INDEX('支払先'!$I$5:$I$104,$X69)&lt;&gt;"する",0,IF(INDEX('支払先'!$J$5:$J$104,$X69)="税抜",IF('設定'!$B$11="税込",($Y69-IF('設定'!$B$12="切り捨て",ROUNDDOWN(ROUND($Y69*10/110,6),0),IF('設定'!$B$12="切り上げ",ROUNDUP(ROUND($Y69*10/110,6),0),ROUND($Y69*10/110,0)))+$Z69-IF('設定'!$B$12="切り捨て",ROUNDDOWN(ROUND($Z69*8/108,6),0),IF('設定'!$B$12="切り上げ",ROUNDUP(ROUND($Z69*8/108,6),0),ROUND($Z69*8/108,0)))+$AA69),$Y69+$Z69+$AA69),IF('設定'!$B$11="税込",$Y69+$Z69+$AA69,($Y69+IF('設定'!$B$12="切り捨て",ROUNDDOWN(ROUND($Y69*10/100,6),0),IF('設定'!$B$12="切り上げ",ROUNDUP(ROUND($Y69*10/100,6),0),ROUND($Y69*10/100,0)))+$Z69+IF('設定'!$B$12="切り捨て",ROUNDDOWN(ROUND($Z69*8/100,6),0),IF('設定'!$B$12="切り上げ",ROUNDUP(ROUND($Z69*8/100,6),0),ROUND($Z69*8/100,0)))+$AA69))))))</f>
        <v/>
      </c>
      <c r="S69" s="26">
        <f>IF($B69="","",IF(N($R69)&lt;=0,0,IF($R69&lt;='設定'!$B$18,ROUNDDOWN(ROUND($R69*'設定'!$B$17,6),0),ROUNDDOWN(ROUND(($R69-'設定'!$B$18)*'設定'!$B$19,6),0)+'設定'!$B$20)))</f>
        <v/>
      </c>
      <c r="T69" s="26">
        <f>IF($B69="","",IF($X69="",0,IF(INDEX('支払先'!$K$5:$K$104,$X69)="差し引く",N(INDEX('支払先'!$L$5:$L$104,$X69)),0)))</f>
        <v/>
      </c>
      <c r="U69" s="26">
        <f>IF($B69="","",$Q69-$S69-$T69)</f>
        <v/>
      </c>
      <c r="V69" s="22">
        <f>IF($B69="","",MID(IF($C69="","／支払先コードが空",IF($X69="","／支払先にないコード",""))&amp;IF($K69=0,"／明細がない","")&amp;IF($AC69&gt;0,"／税率が空の明細 "&amp;$AC69&amp;"件（合計に入っていない）","")&amp;IF($X69="","",IF(INDEX('支払先'!$G$5:$G$104,$X69)="","／登録番号なし（仕入明細書にならない）",""))&amp;IF($AB69&gt;0,"／60日（2か月）を超える明細 "&amp;$AB69&amp;"件","")&amp;IF($X69="","",IF(AND(INDEX('支払先'!$K$5:$K$104,$X69)="差し引く",OR(INDEX('支払先'!$M$5:$M$104,$X69)&lt;&gt;"対象外",INDEX('支払先'!$N$5:$N$104,$X69)&lt;&gt;"対象外")),"／手数料を差し引けない取引か確かめる",""))&amp;IF(COUNTIF($B$5:$B$204,$B69)&gt;1,"／通知Noが重複","")&amp;IF(AND(ISNUMBER($D69),ISNUMBER($F69),$F69&lt;$D69),"／支払予定日が発行日より前",""),2,300))</f>
        <v/>
      </c>
      <c r="W69" s="67" t="n"/>
      <c r="X69" s="31">
        <f>IF(OR($B69="",$C69=""),"",IFERROR(MATCH($C69,'支払先'!$B$5:$B$104,0),""))</f>
        <v/>
      </c>
      <c r="Y69" s="31">
        <f>IF($B69="","",SUMIFS('支払明細'!$I$5:$I$1004,'支払明細'!$A$5:$A$1004,$B69,'支払明細'!$G$5:$G$1004,"10%（標準）",'支払明細'!$H$5:$H$1004,"&lt;&gt;対象外"))</f>
        <v/>
      </c>
      <c r="Z69" s="31">
        <f>IF($B69="","",SUMIFS('支払明細'!$I$5:$I$1004,'支払明細'!$A$5:$A$1004,$B69,'支払明細'!$G$5:$G$1004,"8%（軽減）",'支払明細'!$H$5:$H$1004,"&lt;&gt;対象外"))</f>
        <v/>
      </c>
      <c r="AA69" s="31">
        <f>IF($B69="","",SUMIFS('支払明細'!$I$5:$I$1004,'支払明細'!$A$5:$A$1004,$B69,'支払明細'!$G$5:$G$1004,"対象外",'支払明細'!$H$5:$H$1004,"&lt;&gt;対象外"))</f>
        <v/>
      </c>
      <c r="AB69" s="31">
        <f>IF($B69="","",COUNTIFS('支払明細'!$A$5:$A$1004,$B69,'支払明細'!$M$5:$M$1004,"超える"))</f>
        <v/>
      </c>
      <c r="AC69" s="31">
        <f>IF($B69="","",COUNTIFS('支払明細'!$A$5:$A$1004,$B69,'支払明細'!$G$5:$G$1004,""))</f>
        <v/>
      </c>
    </row>
    <row r="70" ht="18" customHeight="1">
      <c r="A70" s="17" t="n">
        <v>66</v>
      </c>
      <c r="B70" s="18" t="n"/>
      <c r="C70" s="18" t="n"/>
      <c r="D70" s="24" t="n"/>
      <c r="E70" s="19" t="n"/>
      <c r="F70" s="24" t="n"/>
      <c r="G70" s="28">
        <f>IF(AND($B70&lt;&gt;"",ISNUMBER($D70)),$D70+N('設定'!$B$13),"")</f>
        <v/>
      </c>
      <c r="H70" s="18" t="n"/>
      <c r="I70" s="19" t="n"/>
      <c r="J70" s="27">
        <f>IF($B70="","",IF($C70="","（支払先コードが空）",IF($X70="","※支払先にないコード",INDEX('支払先'!$C$5:$C$104,$X70)&amp;"")))</f>
        <v/>
      </c>
      <c r="K70" s="30">
        <f>IF($B70="","",COUNTIF('支払明細'!$A$5:$A$1004,$B70))</f>
        <v/>
      </c>
      <c r="L70" s="26">
        <f>IF($B70="","",SUMIFS('支払明細'!$I$5:$I$1004,'支払明細'!$A$5:$A$1004,$B70,'支払明細'!$G$5:$G$1004,"10%（標準）"))</f>
        <v/>
      </c>
      <c r="M70" s="26">
        <f>IF($B70="","",SUMIFS('支払明細'!$I$5:$I$1004,'支払明細'!$A$5:$A$1004,$B70,'支払明細'!$G$5:$G$1004,"8%（軽減）"))</f>
        <v/>
      </c>
      <c r="N70" s="26">
        <f>IF($B70="","",SUMIFS('支払明細'!$I$5:$I$1004,'支払明細'!$A$5:$A$1004,$B70,'支払明細'!$G$5:$G$1004,"対象外"))</f>
        <v/>
      </c>
      <c r="O70" s="26">
        <f>IF($B70="","",IF('設定'!$B$11="税込",IF('設定'!$B$12="切り捨て",ROUNDDOWN(ROUND($L70*10/110,6),0),IF('設定'!$B$12="切り上げ",ROUNDUP(ROUND($L70*10/110,6),0),ROUND($L70*10/110,0))),IF('設定'!$B$12="切り捨て",ROUNDDOWN(ROUND($L70*10/100,6),0),IF('設定'!$B$12="切り上げ",ROUNDUP(ROUND($L70*10/100,6),0),ROUND($L70*10/100,0)))))</f>
        <v/>
      </c>
      <c r="P70" s="26">
        <f>IF($B70="","",IF('設定'!$B$11="税込",IF('設定'!$B$12="切り捨て",ROUNDDOWN(ROUND($M70*8/108,6),0),IF('設定'!$B$12="切り上げ",ROUNDUP(ROUND($M70*8/108,6),0),ROUND($M70*8/108,0))),IF('設定'!$B$12="切り捨て",ROUNDDOWN(ROUND($M70*8/100,6),0),IF('設定'!$B$12="切り上げ",ROUNDUP(ROUND($M70*8/100,6),0),ROUND($M70*8/100,0)))))</f>
        <v/>
      </c>
      <c r="Q70" s="26">
        <f>IF($B70="","",IF('設定'!$B$11="税込",$L70+$M70+$N70,$L70+$O70+$M70+$P70+$N70))</f>
        <v/>
      </c>
      <c r="R70" s="26">
        <f>IF($B70="","",IF($X70="",0,IF(INDEX('支払先'!$I$5:$I$104,$X70)&lt;&gt;"する",0,IF(INDEX('支払先'!$J$5:$J$104,$X70)="税抜",IF('設定'!$B$11="税込",($Y70-IF('設定'!$B$12="切り捨て",ROUNDDOWN(ROUND($Y70*10/110,6),0),IF('設定'!$B$12="切り上げ",ROUNDUP(ROUND($Y70*10/110,6),0),ROUND($Y70*10/110,0)))+$Z70-IF('設定'!$B$12="切り捨て",ROUNDDOWN(ROUND($Z70*8/108,6),0),IF('設定'!$B$12="切り上げ",ROUNDUP(ROUND($Z70*8/108,6),0),ROUND($Z70*8/108,0)))+$AA70),$Y70+$Z70+$AA70),IF('設定'!$B$11="税込",$Y70+$Z70+$AA70,($Y70+IF('設定'!$B$12="切り捨て",ROUNDDOWN(ROUND($Y70*10/100,6),0),IF('設定'!$B$12="切り上げ",ROUNDUP(ROUND($Y70*10/100,6),0),ROUND($Y70*10/100,0)))+$Z70+IF('設定'!$B$12="切り捨て",ROUNDDOWN(ROUND($Z70*8/100,6),0),IF('設定'!$B$12="切り上げ",ROUNDUP(ROUND($Z70*8/100,6),0),ROUND($Z70*8/100,0)))+$AA70))))))</f>
        <v/>
      </c>
      <c r="S70" s="26">
        <f>IF($B70="","",IF(N($R70)&lt;=0,0,IF($R70&lt;='設定'!$B$18,ROUNDDOWN(ROUND($R70*'設定'!$B$17,6),0),ROUNDDOWN(ROUND(($R70-'設定'!$B$18)*'設定'!$B$19,6),0)+'設定'!$B$20)))</f>
        <v/>
      </c>
      <c r="T70" s="26">
        <f>IF($B70="","",IF($X70="",0,IF(INDEX('支払先'!$K$5:$K$104,$X70)="差し引く",N(INDEX('支払先'!$L$5:$L$104,$X70)),0)))</f>
        <v/>
      </c>
      <c r="U70" s="26">
        <f>IF($B70="","",$Q70-$S70-$T70)</f>
        <v/>
      </c>
      <c r="V70" s="22">
        <f>IF($B70="","",MID(IF($C70="","／支払先コードが空",IF($X70="","／支払先にないコード",""))&amp;IF($K70=0,"／明細がない","")&amp;IF($AC70&gt;0,"／税率が空の明細 "&amp;$AC70&amp;"件（合計に入っていない）","")&amp;IF($X70="","",IF(INDEX('支払先'!$G$5:$G$104,$X70)="","／登録番号なし（仕入明細書にならない）",""))&amp;IF($AB70&gt;0,"／60日（2か月）を超える明細 "&amp;$AB70&amp;"件","")&amp;IF($X70="","",IF(AND(INDEX('支払先'!$K$5:$K$104,$X70)="差し引く",OR(INDEX('支払先'!$M$5:$M$104,$X70)&lt;&gt;"対象外",INDEX('支払先'!$N$5:$N$104,$X70)&lt;&gt;"対象外")),"／手数料を差し引けない取引か確かめる",""))&amp;IF(COUNTIF($B$5:$B$204,$B70)&gt;1,"／通知Noが重複","")&amp;IF(AND(ISNUMBER($D70),ISNUMBER($F70),$F70&lt;$D70),"／支払予定日が発行日より前",""),2,300))</f>
        <v/>
      </c>
      <c r="W70" s="67" t="n"/>
      <c r="X70" s="31">
        <f>IF(OR($B70="",$C70=""),"",IFERROR(MATCH($C70,'支払先'!$B$5:$B$104,0),""))</f>
        <v/>
      </c>
      <c r="Y70" s="31">
        <f>IF($B70="","",SUMIFS('支払明細'!$I$5:$I$1004,'支払明細'!$A$5:$A$1004,$B70,'支払明細'!$G$5:$G$1004,"10%（標準）",'支払明細'!$H$5:$H$1004,"&lt;&gt;対象外"))</f>
        <v/>
      </c>
      <c r="Z70" s="31">
        <f>IF($B70="","",SUMIFS('支払明細'!$I$5:$I$1004,'支払明細'!$A$5:$A$1004,$B70,'支払明細'!$G$5:$G$1004,"8%（軽減）",'支払明細'!$H$5:$H$1004,"&lt;&gt;対象外"))</f>
        <v/>
      </c>
      <c r="AA70" s="31">
        <f>IF($B70="","",SUMIFS('支払明細'!$I$5:$I$1004,'支払明細'!$A$5:$A$1004,$B70,'支払明細'!$G$5:$G$1004,"対象外",'支払明細'!$H$5:$H$1004,"&lt;&gt;対象外"))</f>
        <v/>
      </c>
      <c r="AB70" s="31">
        <f>IF($B70="","",COUNTIFS('支払明細'!$A$5:$A$1004,$B70,'支払明細'!$M$5:$M$1004,"超える"))</f>
        <v/>
      </c>
      <c r="AC70" s="31">
        <f>IF($B70="","",COUNTIFS('支払明細'!$A$5:$A$1004,$B70,'支払明細'!$G$5:$G$1004,""))</f>
        <v/>
      </c>
    </row>
    <row r="71" ht="18" customHeight="1">
      <c r="A71" s="17" t="n">
        <v>67</v>
      </c>
      <c r="B71" s="18" t="n"/>
      <c r="C71" s="18" t="n"/>
      <c r="D71" s="24" t="n"/>
      <c r="E71" s="19" t="n"/>
      <c r="F71" s="24" t="n"/>
      <c r="G71" s="28">
        <f>IF(AND($B71&lt;&gt;"",ISNUMBER($D71)),$D71+N('設定'!$B$13),"")</f>
        <v/>
      </c>
      <c r="H71" s="18" t="n"/>
      <c r="I71" s="19" t="n"/>
      <c r="J71" s="27">
        <f>IF($B71="","",IF($C71="","（支払先コードが空）",IF($X71="","※支払先にないコード",INDEX('支払先'!$C$5:$C$104,$X71)&amp;"")))</f>
        <v/>
      </c>
      <c r="K71" s="30">
        <f>IF($B71="","",COUNTIF('支払明細'!$A$5:$A$1004,$B71))</f>
        <v/>
      </c>
      <c r="L71" s="26">
        <f>IF($B71="","",SUMIFS('支払明細'!$I$5:$I$1004,'支払明細'!$A$5:$A$1004,$B71,'支払明細'!$G$5:$G$1004,"10%（標準）"))</f>
        <v/>
      </c>
      <c r="M71" s="26">
        <f>IF($B71="","",SUMIFS('支払明細'!$I$5:$I$1004,'支払明細'!$A$5:$A$1004,$B71,'支払明細'!$G$5:$G$1004,"8%（軽減）"))</f>
        <v/>
      </c>
      <c r="N71" s="26">
        <f>IF($B71="","",SUMIFS('支払明細'!$I$5:$I$1004,'支払明細'!$A$5:$A$1004,$B71,'支払明細'!$G$5:$G$1004,"対象外"))</f>
        <v/>
      </c>
      <c r="O71" s="26">
        <f>IF($B71="","",IF('設定'!$B$11="税込",IF('設定'!$B$12="切り捨て",ROUNDDOWN(ROUND($L71*10/110,6),0),IF('設定'!$B$12="切り上げ",ROUNDUP(ROUND($L71*10/110,6),0),ROUND($L71*10/110,0))),IF('設定'!$B$12="切り捨て",ROUNDDOWN(ROUND($L71*10/100,6),0),IF('設定'!$B$12="切り上げ",ROUNDUP(ROUND($L71*10/100,6),0),ROUND($L71*10/100,0)))))</f>
        <v/>
      </c>
      <c r="P71" s="26">
        <f>IF($B71="","",IF('設定'!$B$11="税込",IF('設定'!$B$12="切り捨て",ROUNDDOWN(ROUND($M71*8/108,6),0),IF('設定'!$B$12="切り上げ",ROUNDUP(ROUND($M71*8/108,6),0),ROUND($M71*8/108,0))),IF('設定'!$B$12="切り捨て",ROUNDDOWN(ROUND($M71*8/100,6),0),IF('設定'!$B$12="切り上げ",ROUNDUP(ROUND($M71*8/100,6),0),ROUND($M71*8/100,0)))))</f>
        <v/>
      </c>
      <c r="Q71" s="26">
        <f>IF($B71="","",IF('設定'!$B$11="税込",$L71+$M71+$N71,$L71+$O71+$M71+$P71+$N71))</f>
        <v/>
      </c>
      <c r="R71" s="26">
        <f>IF($B71="","",IF($X71="",0,IF(INDEX('支払先'!$I$5:$I$104,$X71)&lt;&gt;"する",0,IF(INDEX('支払先'!$J$5:$J$104,$X71)="税抜",IF('設定'!$B$11="税込",($Y71-IF('設定'!$B$12="切り捨て",ROUNDDOWN(ROUND($Y71*10/110,6),0),IF('設定'!$B$12="切り上げ",ROUNDUP(ROUND($Y71*10/110,6),0),ROUND($Y71*10/110,0)))+$Z71-IF('設定'!$B$12="切り捨て",ROUNDDOWN(ROUND($Z71*8/108,6),0),IF('設定'!$B$12="切り上げ",ROUNDUP(ROUND($Z71*8/108,6),0),ROUND($Z71*8/108,0)))+$AA71),$Y71+$Z71+$AA71),IF('設定'!$B$11="税込",$Y71+$Z71+$AA71,($Y71+IF('設定'!$B$12="切り捨て",ROUNDDOWN(ROUND($Y71*10/100,6),0),IF('設定'!$B$12="切り上げ",ROUNDUP(ROUND($Y71*10/100,6),0),ROUND($Y71*10/100,0)))+$Z71+IF('設定'!$B$12="切り捨て",ROUNDDOWN(ROUND($Z71*8/100,6),0),IF('設定'!$B$12="切り上げ",ROUNDUP(ROUND($Z71*8/100,6),0),ROUND($Z71*8/100,0)))+$AA71))))))</f>
        <v/>
      </c>
      <c r="S71" s="26">
        <f>IF($B71="","",IF(N($R71)&lt;=0,0,IF($R71&lt;='設定'!$B$18,ROUNDDOWN(ROUND($R71*'設定'!$B$17,6),0),ROUNDDOWN(ROUND(($R71-'設定'!$B$18)*'設定'!$B$19,6),0)+'設定'!$B$20)))</f>
        <v/>
      </c>
      <c r="T71" s="26">
        <f>IF($B71="","",IF($X71="",0,IF(INDEX('支払先'!$K$5:$K$104,$X71)="差し引く",N(INDEX('支払先'!$L$5:$L$104,$X71)),0)))</f>
        <v/>
      </c>
      <c r="U71" s="26">
        <f>IF($B71="","",$Q71-$S71-$T71)</f>
        <v/>
      </c>
      <c r="V71" s="22">
        <f>IF($B71="","",MID(IF($C71="","／支払先コードが空",IF($X71="","／支払先にないコード",""))&amp;IF($K71=0,"／明細がない","")&amp;IF($AC71&gt;0,"／税率が空の明細 "&amp;$AC71&amp;"件（合計に入っていない）","")&amp;IF($X71="","",IF(INDEX('支払先'!$G$5:$G$104,$X71)="","／登録番号なし（仕入明細書にならない）",""))&amp;IF($AB71&gt;0,"／60日（2か月）を超える明細 "&amp;$AB71&amp;"件","")&amp;IF($X71="","",IF(AND(INDEX('支払先'!$K$5:$K$104,$X71)="差し引く",OR(INDEX('支払先'!$M$5:$M$104,$X71)&lt;&gt;"対象外",INDEX('支払先'!$N$5:$N$104,$X71)&lt;&gt;"対象外")),"／手数料を差し引けない取引か確かめる",""))&amp;IF(COUNTIF($B$5:$B$204,$B71)&gt;1,"／通知Noが重複","")&amp;IF(AND(ISNUMBER($D71),ISNUMBER($F71),$F71&lt;$D71),"／支払予定日が発行日より前",""),2,300))</f>
        <v/>
      </c>
      <c r="W71" s="67" t="n"/>
      <c r="X71" s="31">
        <f>IF(OR($B71="",$C71=""),"",IFERROR(MATCH($C71,'支払先'!$B$5:$B$104,0),""))</f>
        <v/>
      </c>
      <c r="Y71" s="31">
        <f>IF($B71="","",SUMIFS('支払明細'!$I$5:$I$1004,'支払明細'!$A$5:$A$1004,$B71,'支払明細'!$G$5:$G$1004,"10%（標準）",'支払明細'!$H$5:$H$1004,"&lt;&gt;対象外"))</f>
        <v/>
      </c>
      <c r="Z71" s="31">
        <f>IF($B71="","",SUMIFS('支払明細'!$I$5:$I$1004,'支払明細'!$A$5:$A$1004,$B71,'支払明細'!$G$5:$G$1004,"8%（軽減）",'支払明細'!$H$5:$H$1004,"&lt;&gt;対象外"))</f>
        <v/>
      </c>
      <c r="AA71" s="31">
        <f>IF($B71="","",SUMIFS('支払明細'!$I$5:$I$1004,'支払明細'!$A$5:$A$1004,$B71,'支払明細'!$G$5:$G$1004,"対象外",'支払明細'!$H$5:$H$1004,"&lt;&gt;対象外"))</f>
        <v/>
      </c>
      <c r="AB71" s="31">
        <f>IF($B71="","",COUNTIFS('支払明細'!$A$5:$A$1004,$B71,'支払明細'!$M$5:$M$1004,"超える"))</f>
        <v/>
      </c>
      <c r="AC71" s="31">
        <f>IF($B71="","",COUNTIFS('支払明細'!$A$5:$A$1004,$B71,'支払明細'!$G$5:$G$1004,""))</f>
        <v/>
      </c>
    </row>
    <row r="72" ht="18" customHeight="1">
      <c r="A72" s="17" t="n">
        <v>68</v>
      </c>
      <c r="B72" s="18" t="n"/>
      <c r="C72" s="18" t="n"/>
      <c r="D72" s="24" t="n"/>
      <c r="E72" s="19" t="n"/>
      <c r="F72" s="24" t="n"/>
      <c r="G72" s="28">
        <f>IF(AND($B72&lt;&gt;"",ISNUMBER($D72)),$D72+N('設定'!$B$13),"")</f>
        <v/>
      </c>
      <c r="H72" s="18" t="n"/>
      <c r="I72" s="19" t="n"/>
      <c r="J72" s="27">
        <f>IF($B72="","",IF($C72="","（支払先コードが空）",IF($X72="","※支払先にないコード",INDEX('支払先'!$C$5:$C$104,$X72)&amp;"")))</f>
        <v/>
      </c>
      <c r="K72" s="30">
        <f>IF($B72="","",COUNTIF('支払明細'!$A$5:$A$1004,$B72))</f>
        <v/>
      </c>
      <c r="L72" s="26">
        <f>IF($B72="","",SUMIFS('支払明細'!$I$5:$I$1004,'支払明細'!$A$5:$A$1004,$B72,'支払明細'!$G$5:$G$1004,"10%（標準）"))</f>
        <v/>
      </c>
      <c r="M72" s="26">
        <f>IF($B72="","",SUMIFS('支払明細'!$I$5:$I$1004,'支払明細'!$A$5:$A$1004,$B72,'支払明細'!$G$5:$G$1004,"8%（軽減）"))</f>
        <v/>
      </c>
      <c r="N72" s="26">
        <f>IF($B72="","",SUMIFS('支払明細'!$I$5:$I$1004,'支払明細'!$A$5:$A$1004,$B72,'支払明細'!$G$5:$G$1004,"対象外"))</f>
        <v/>
      </c>
      <c r="O72" s="26">
        <f>IF($B72="","",IF('設定'!$B$11="税込",IF('設定'!$B$12="切り捨て",ROUNDDOWN(ROUND($L72*10/110,6),0),IF('設定'!$B$12="切り上げ",ROUNDUP(ROUND($L72*10/110,6),0),ROUND($L72*10/110,0))),IF('設定'!$B$12="切り捨て",ROUNDDOWN(ROUND($L72*10/100,6),0),IF('設定'!$B$12="切り上げ",ROUNDUP(ROUND($L72*10/100,6),0),ROUND($L72*10/100,0)))))</f>
        <v/>
      </c>
      <c r="P72" s="26">
        <f>IF($B72="","",IF('設定'!$B$11="税込",IF('設定'!$B$12="切り捨て",ROUNDDOWN(ROUND($M72*8/108,6),0),IF('設定'!$B$12="切り上げ",ROUNDUP(ROUND($M72*8/108,6),0),ROUND($M72*8/108,0))),IF('設定'!$B$12="切り捨て",ROUNDDOWN(ROUND($M72*8/100,6),0),IF('設定'!$B$12="切り上げ",ROUNDUP(ROUND($M72*8/100,6),0),ROUND($M72*8/100,0)))))</f>
        <v/>
      </c>
      <c r="Q72" s="26">
        <f>IF($B72="","",IF('設定'!$B$11="税込",$L72+$M72+$N72,$L72+$O72+$M72+$P72+$N72))</f>
        <v/>
      </c>
      <c r="R72" s="26">
        <f>IF($B72="","",IF($X72="",0,IF(INDEX('支払先'!$I$5:$I$104,$X72)&lt;&gt;"する",0,IF(INDEX('支払先'!$J$5:$J$104,$X72)="税抜",IF('設定'!$B$11="税込",($Y72-IF('設定'!$B$12="切り捨て",ROUNDDOWN(ROUND($Y72*10/110,6),0),IF('設定'!$B$12="切り上げ",ROUNDUP(ROUND($Y72*10/110,6),0),ROUND($Y72*10/110,0)))+$Z72-IF('設定'!$B$12="切り捨て",ROUNDDOWN(ROUND($Z72*8/108,6),0),IF('設定'!$B$12="切り上げ",ROUNDUP(ROUND($Z72*8/108,6),0),ROUND($Z72*8/108,0)))+$AA72),$Y72+$Z72+$AA72),IF('設定'!$B$11="税込",$Y72+$Z72+$AA72,($Y72+IF('設定'!$B$12="切り捨て",ROUNDDOWN(ROUND($Y72*10/100,6),0),IF('設定'!$B$12="切り上げ",ROUNDUP(ROUND($Y72*10/100,6),0),ROUND($Y72*10/100,0)))+$Z72+IF('設定'!$B$12="切り捨て",ROUNDDOWN(ROUND($Z72*8/100,6),0),IF('設定'!$B$12="切り上げ",ROUNDUP(ROUND($Z72*8/100,6),0),ROUND($Z72*8/100,0)))+$AA72))))))</f>
        <v/>
      </c>
      <c r="S72" s="26">
        <f>IF($B72="","",IF(N($R72)&lt;=0,0,IF($R72&lt;='設定'!$B$18,ROUNDDOWN(ROUND($R72*'設定'!$B$17,6),0),ROUNDDOWN(ROUND(($R72-'設定'!$B$18)*'設定'!$B$19,6),0)+'設定'!$B$20)))</f>
        <v/>
      </c>
      <c r="T72" s="26">
        <f>IF($B72="","",IF($X72="",0,IF(INDEX('支払先'!$K$5:$K$104,$X72)="差し引く",N(INDEX('支払先'!$L$5:$L$104,$X72)),0)))</f>
        <v/>
      </c>
      <c r="U72" s="26">
        <f>IF($B72="","",$Q72-$S72-$T72)</f>
        <v/>
      </c>
      <c r="V72" s="22">
        <f>IF($B72="","",MID(IF($C72="","／支払先コードが空",IF($X72="","／支払先にないコード",""))&amp;IF($K72=0,"／明細がない","")&amp;IF($AC72&gt;0,"／税率が空の明細 "&amp;$AC72&amp;"件（合計に入っていない）","")&amp;IF($X72="","",IF(INDEX('支払先'!$G$5:$G$104,$X72)="","／登録番号なし（仕入明細書にならない）",""))&amp;IF($AB72&gt;0,"／60日（2か月）を超える明細 "&amp;$AB72&amp;"件","")&amp;IF($X72="","",IF(AND(INDEX('支払先'!$K$5:$K$104,$X72)="差し引く",OR(INDEX('支払先'!$M$5:$M$104,$X72)&lt;&gt;"対象外",INDEX('支払先'!$N$5:$N$104,$X72)&lt;&gt;"対象外")),"／手数料を差し引けない取引か確かめる",""))&amp;IF(COUNTIF($B$5:$B$204,$B72)&gt;1,"／通知Noが重複","")&amp;IF(AND(ISNUMBER($D72),ISNUMBER($F72),$F72&lt;$D72),"／支払予定日が発行日より前",""),2,300))</f>
        <v/>
      </c>
      <c r="W72" s="67" t="n"/>
      <c r="X72" s="31">
        <f>IF(OR($B72="",$C72=""),"",IFERROR(MATCH($C72,'支払先'!$B$5:$B$104,0),""))</f>
        <v/>
      </c>
      <c r="Y72" s="31">
        <f>IF($B72="","",SUMIFS('支払明細'!$I$5:$I$1004,'支払明細'!$A$5:$A$1004,$B72,'支払明細'!$G$5:$G$1004,"10%（標準）",'支払明細'!$H$5:$H$1004,"&lt;&gt;対象外"))</f>
        <v/>
      </c>
      <c r="Z72" s="31">
        <f>IF($B72="","",SUMIFS('支払明細'!$I$5:$I$1004,'支払明細'!$A$5:$A$1004,$B72,'支払明細'!$G$5:$G$1004,"8%（軽減）",'支払明細'!$H$5:$H$1004,"&lt;&gt;対象外"))</f>
        <v/>
      </c>
      <c r="AA72" s="31">
        <f>IF($B72="","",SUMIFS('支払明細'!$I$5:$I$1004,'支払明細'!$A$5:$A$1004,$B72,'支払明細'!$G$5:$G$1004,"対象外",'支払明細'!$H$5:$H$1004,"&lt;&gt;対象外"))</f>
        <v/>
      </c>
      <c r="AB72" s="31">
        <f>IF($B72="","",COUNTIFS('支払明細'!$A$5:$A$1004,$B72,'支払明細'!$M$5:$M$1004,"超える"))</f>
        <v/>
      </c>
      <c r="AC72" s="31">
        <f>IF($B72="","",COUNTIFS('支払明細'!$A$5:$A$1004,$B72,'支払明細'!$G$5:$G$1004,""))</f>
        <v/>
      </c>
    </row>
    <row r="73" ht="18" customHeight="1">
      <c r="A73" s="17" t="n">
        <v>69</v>
      </c>
      <c r="B73" s="18" t="n"/>
      <c r="C73" s="18" t="n"/>
      <c r="D73" s="24" t="n"/>
      <c r="E73" s="19" t="n"/>
      <c r="F73" s="24" t="n"/>
      <c r="G73" s="28">
        <f>IF(AND($B73&lt;&gt;"",ISNUMBER($D73)),$D73+N('設定'!$B$13),"")</f>
        <v/>
      </c>
      <c r="H73" s="18" t="n"/>
      <c r="I73" s="19" t="n"/>
      <c r="J73" s="27">
        <f>IF($B73="","",IF($C73="","（支払先コードが空）",IF($X73="","※支払先にないコード",INDEX('支払先'!$C$5:$C$104,$X73)&amp;"")))</f>
        <v/>
      </c>
      <c r="K73" s="30">
        <f>IF($B73="","",COUNTIF('支払明細'!$A$5:$A$1004,$B73))</f>
        <v/>
      </c>
      <c r="L73" s="26">
        <f>IF($B73="","",SUMIFS('支払明細'!$I$5:$I$1004,'支払明細'!$A$5:$A$1004,$B73,'支払明細'!$G$5:$G$1004,"10%（標準）"))</f>
        <v/>
      </c>
      <c r="M73" s="26">
        <f>IF($B73="","",SUMIFS('支払明細'!$I$5:$I$1004,'支払明細'!$A$5:$A$1004,$B73,'支払明細'!$G$5:$G$1004,"8%（軽減）"))</f>
        <v/>
      </c>
      <c r="N73" s="26">
        <f>IF($B73="","",SUMIFS('支払明細'!$I$5:$I$1004,'支払明細'!$A$5:$A$1004,$B73,'支払明細'!$G$5:$G$1004,"対象外"))</f>
        <v/>
      </c>
      <c r="O73" s="26">
        <f>IF($B73="","",IF('設定'!$B$11="税込",IF('設定'!$B$12="切り捨て",ROUNDDOWN(ROUND($L73*10/110,6),0),IF('設定'!$B$12="切り上げ",ROUNDUP(ROUND($L73*10/110,6),0),ROUND($L73*10/110,0))),IF('設定'!$B$12="切り捨て",ROUNDDOWN(ROUND($L73*10/100,6),0),IF('設定'!$B$12="切り上げ",ROUNDUP(ROUND($L73*10/100,6),0),ROUND($L73*10/100,0)))))</f>
        <v/>
      </c>
      <c r="P73" s="26">
        <f>IF($B73="","",IF('設定'!$B$11="税込",IF('設定'!$B$12="切り捨て",ROUNDDOWN(ROUND($M73*8/108,6),0),IF('設定'!$B$12="切り上げ",ROUNDUP(ROUND($M73*8/108,6),0),ROUND($M73*8/108,0))),IF('設定'!$B$12="切り捨て",ROUNDDOWN(ROUND($M73*8/100,6),0),IF('設定'!$B$12="切り上げ",ROUNDUP(ROUND($M73*8/100,6),0),ROUND($M73*8/100,0)))))</f>
        <v/>
      </c>
      <c r="Q73" s="26">
        <f>IF($B73="","",IF('設定'!$B$11="税込",$L73+$M73+$N73,$L73+$O73+$M73+$P73+$N73))</f>
        <v/>
      </c>
      <c r="R73" s="26">
        <f>IF($B73="","",IF($X73="",0,IF(INDEX('支払先'!$I$5:$I$104,$X73)&lt;&gt;"する",0,IF(INDEX('支払先'!$J$5:$J$104,$X73)="税抜",IF('設定'!$B$11="税込",($Y73-IF('設定'!$B$12="切り捨て",ROUNDDOWN(ROUND($Y73*10/110,6),0),IF('設定'!$B$12="切り上げ",ROUNDUP(ROUND($Y73*10/110,6),0),ROUND($Y73*10/110,0)))+$Z73-IF('設定'!$B$12="切り捨て",ROUNDDOWN(ROUND($Z73*8/108,6),0),IF('設定'!$B$12="切り上げ",ROUNDUP(ROUND($Z73*8/108,6),0),ROUND($Z73*8/108,0)))+$AA73),$Y73+$Z73+$AA73),IF('設定'!$B$11="税込",$Y73+$Z73+$AA73,($Y73+IF('設定'!$B$12="切り捨て",ROUNDDOWN(ROUND($Y73*10/100,6),0),IF('設定'!$B$12="切り上げ",ROUNDUP(ROUND($Y73*10/100,6),0),ROUND($Y73*10/100,0)))+$Z73+IF('設定'!$B$12="切り捨て",ROUNDDOWN(ROUND($Z73*8/100,6),0),IF('設定'!$B$12="切り上げ",ROUNDUP(ROUND($Z73*8/100,6),0),ROUND($Z73*8/100,0)))+$AA73))))))</f>
        <v/>
      </c>
      <c r="S73" s="26">
        <f>IF($B73="","",IF(N($R73)&lt;=0,0,IF($R73&lt;='設定'!$B$18,ROUNDDOWN(ROUND($R73*'設定'!$B$17,6),0),ROUNDDOWN(ROUND(($R73-'設定'!$B$18)*'設定'!$B$19,6),0)+'設定'!$B$20)))</f>
        <v/>
      </c>
      <c r="T73" s="26">
        <f>IF($B73="","",IF($X73="",0,IF(INDEX('支払先'!$K$5:$K$104,$X73)="差し引く",N(INDEX('支払先'!$L$5:$L$104,$X73)),0)))</f>
        <v/>
      </c>
      <c r="U73" s="26">
        <f>IF($B73="","",$Q73-$S73-$T73)</f>
        <v/>
      </c>
      <c r="V73" s="22">
        <f>IF($B73="","",MID(IF($C73="","／支払先コードが空",IF($X73="","／支払先にないコード",""))&amp;IF($K73=0,"／明細がない","")&amp;IF($AC73&gt;0,"／税率が空の明細 "&amp;$AC73&amp;"件（合計に入っていない）","")&amp;IF($X73="","",IF(INDEX('支払先'!$G$5:$G$104,$X73)="","／登録番号なし（仕入明細書にならない）",""))&amp;IF($AB73&gt;0,"／60日（2か月）を超える明細 "&amp;$AB73&amp;"件","")&amp;IF($X73="","",IF(AND(INDEX('支払先'!$K$5:$K$104,$X73)="差し引く",OR(INDEX('支払先'!$M$5:$M$104,$X73)&lt;&gt;"対象外",INDEX('支払先'!$N$5:$N$104,$X73)&lt;&gt;"対象外")),"／手数料を差し引けない取引か確かめる",""))&amp;IF(COUNTIF($B$5:$B$204,$B73)&gt;1,"／通知Noが重複","")&amp;IF(AND(ISNUMBER($D73),ISNUMBER($F73),$F73&lt;$D73),"／支払予定日が発行日より前",""),2,300))</f>
        <v/>
      </c>
      <c r="W73" s="67" t="n"/>
      <c r="X73" s="31">
        <f>IF(OR($B73="",$C73=""),"",IFERROR(MATCH($C73,'支払先'!$B$5:$B$104,0),""))</f>
        <v/>
      </c>
      <c r="Y73" s="31">
        <f>IF($B73="","",SUMIFS('支払明細'!$I$5:$I$1004,'支払明細'!$A$5:$A$1004,$B73,'支払明細'!$G$5:$G$1004,"10%（標準）",'支払明細'!$H$5:$H$1004,"&lt;&gt;対象外"))</f>
        <v/>
      </c>
      <c r="Z73" s="31">
        <f>IF($B73="","",SUMIFS('支払明細'!$I$5:$I$1004,'支払明細'!$A$5:$A$1004,$B73,'支払明細'!$G$5:$G$1004,"8%（軽減）",'支払明細'!$H$5:$H$1004,"&lt;&gt;対象外"))</f>
        <v/>
      </c>
      <c r="AA73" s="31">
        <f>IF($B73="","",SUMIFS('支払明細'!$I$5:$I$1004,'支払明細'!$A$5:$A$1004,$B73,'支払明細'!$G$5:$G$1004,"対象外",'支払明細'!$H$5:$H$1004,"&lt;&gt;対象外"))</f>
        <v/>
      </c>
      <c r="AB73" s="31">
        <f>IF($B73="","",COUNTIFS('支払明細'!$A$5:$A$1004,$B73,'支払明細'!$M$5:$M$1004,"超える"))</f>
        <v/>
      </c>
      <c r="AC73" s="31">
        <f>IF($B73="","",COUNTIFS('支払明細'!$A$5:$A$1004,$B73,'支払明細'!$G$5:$G$1004,""))</f>
        <v/>
      </c>
    </row>
    <row r="74" ht="18" customHeight="1">
      <c r="A74" s="17" t="n">
        <v>70</v>
      </c>
      <c r="B74" s="18" t="n"/>
      <c r="C74" s="18" t="n"/>
      <c r="D74" s="24" t="n"/>
      <c r="E74" s="19" t="n"/>
      <c r="F74" s="24" t="n"/>
      <c r="G74" s="28">
        <f>IF(AND($B74&lt;&gt;"",ISNUMBER($D74)),$D74+N('設定'!$B$13),"")</f>
        <v/>
      </c>
      <c r="H74" s="18" t="n"/>
      <c r="I74" s="19" t="n"/>
      <c r="J74" s="27">
        <f>IF($B74="","",IF($C74="","（支払先コードが空）",IF($X74="","※支払先にないコード",INDEX('支払先'!$C$5:$C$104,$X74)&amp;"")))</f>
        <v/>
      </c>
      <c r="K74" s="30">
        <f>IF($B74="","",COUNTIF('支払明細'!$A$5:$A$1004,$B74))</f>
        <v/>
      </c>
      <c r="L74" s="26">
        <f>IF($B74="","",SUMIFS('支払明細'!$I$5:$I$1004,'支払明細'!$A$5:$A$1004,$B74,'支払明細'!$G$5:$G$1004,"10%（標準）"))</f>
        <v/>
      </c>
      <c r="M74" s="26">
        <f>IF($B74="","",SUMIFS('支払明細'!$I$5:$I$1004,'支払明細'!$A$5:$A$1004,$B74,'支払明細'!$G$5:$G$1004,"8%（軽減）"))</f>
        <v/>
      </c>
      <c r="N74" s="26">
        <f>IF($B74="","",SUMIFS('支払明細'!$I$5:$I$1004,'支払明細'!$A$5:$A$1004,$B74,'支払明細'!$G$5:$G$1004,"対象外"))</f>
        <v/>
      </c>
      <c r="O74" s="26">
        <f>IF($B74="","",IF('設定'!$B$11="税込",IF('設定'!$B$12="切り捨て",ROUNDDOWN(ROUND($L74*10/110,6),0),IF('設定'!$B$12="切り上げ",ROUNDUP(ROUND($L74*10/110,6),0),ROUND($L74*10/110,0))),IF('設定'!$B$12="切り捨て",ROUNDDOWN(ROUND($L74*10/100,6),0),IF('設定'!$B$12="切り上げ",ROUNDUP(ROUND($L74*10/100,6),0),ROUND($L74*10/100,0)))))</f>
        <v/>
      </c>
      <c r="P74" s="26">
        <f>IF($B74="","",IF('設定'!$B$11="税込",IF('設定'!$B$12="切り捨て",ROUNDDOWN(ROUND($M74*8/108,6),0),IF('設定'!$B$12="切り上げ",ROUNDUP(ROUND($M74*8/108,6),0),ROUND($M74*8/108,0))),IF('設定'!$B$12="切り捨て",ROUNDDOWN(ROUND($M74*8/100,6),0),IF('設定'!$B$12="切り上げ",ROUNDUP(ROUND($M74*8/100,6),0),ROUND($M74*8/100,0)))))</f>
        <v/>
      </c>
      <c r="Q74" s="26">
        <f>IF($B74="","",IF('設定'!$B$11="税込",$L74+$M74+$N74,$L74+$O74+$M74+$P74+$N74))</f>
        <v/>
      </c>
      <c r="R74" s="26">
        <f>IF($B74="","",IF($X74="",0,IF(INDEX('支払先'!$I$5:$I$104,$X74)&lt;&gt;"する",0,IF(INDEX('支払先'!$J$5:$J$104,$X74)="税抜",IF('設定'!$B$11="税込",($Y74-IF('設定'!$B$12="切り捨て",ROUNDDOWN(ROUND($Y74*10/110,6),0),IF('設定'!$B$12="切り上げ",ROUNDUP(ROUND($Y74*10/110,6),0),ROUND($Y74*10/110,0)))+$Z74-IF('設定'!$B$12="切り捨て",ROUNDDOWN(ROUND($Z74*8/108,6),0),IF('設定'!$B$12="切り上げ",ROUNDUP(ROUND($Z74*8/108,6),0),ROUND($Z74*8/108,0)))+$AA74),$Y74+$Z74+$AA74),IF('設定'!$B$11="税込",$Y74+$Z74+$AA74,($Y74+IF('設定'!$B$12="切り捨て",ROUNDDOWN(ROUND($Y74*10/100,6),0),IF('設定'!$B$12="切り上げ",ROUNDUP(ROUND($Y74*10/100,6),0),ROUND($Y74*10/100,0)))+$Z74+IF('設定'!$B$12="切り捨て",ROUNDDOWN(ROUND($Z74*8/100,6),0),IF('設定'!$B$12="切り上げ",ROUNDUP(ROUND($Z74*8/100,6),0),ROUND($Z74*8/100,0)))+$AA74))))))</f>
        <v/>
      </c>
      <c r="S74" s="26">
        <f>IF($B74="","",IF(N($R74)&lt;=0,0,IF($R74&lt;='設定'!$B$18,ROUNDDOWN(ROUND($R74*'設定'!$B$17,6),0),ROUNDDOWN(ROUND(($R74-'設定'!$B$18)*'設定'!$B$19,6),0)+'設定'!$B$20)))</f>
        <v/>
      </c>
      <c r="T74" s="26">
        <f>IF($B74="","",IF($X74="",0,IF(INDEX('支払先'!$K$5:$K$104,$X74)="差し引く",N(INDEX('支払先'!$L$5:$L$104,$X74)),0)))</f>
        <v/>
      </c>
      <c r="U74" s="26">
        <f>IF($B74="","",$Q74-$S74-$T74)</f>
        <v/>
      </c>
      <c r="V74" s="22">
        <f>IF($B74="","",MID(IF($C74="","／支払先コードが空",IF($X74="","／支払先にないコード",""))&amp;IF($K74=0,"／明細がない","")&amp;IF($AC74&gt;0,"／税率が空の明細 "&amp;$AC74&amp;"件（合計に入っていない）","")&amp;IF($X74="","",IF(INDEX('支払先'!$G$5:$G$104,$X74)="","／登録番号なし（仕入明細書にならない）",""))&amp;IF($AB74&gt;0,"／60日（2か月）を超える明細 "&amp;$AB74&amp;"件","")&amp;IF($X74="","",IF(AND(INDEX('支払先'!$K$5:$K$104,$X74)="差し引く",OR(INDEX('支払先'!$M$5:$M$104,$X74)&lt;&gt;"対象外",INDEX('支払先'!$N$5:$N$104,$X74)&lt;&gt;"対象外")),"／手数料を差し引けない取引か確かめる",""))&amp;IF(COUNTIF($B$5:$B$204,$B74)&gt;1,"／通知Noが重複","")&amp;IF(AND(ISNUMBER($D74),ISNUMBER($F74),$F74&lt;$D74),"／支払予定日が発行日より前",""),2,300))</f>
        <v/>
      </c>
      <c r="W74" s="67" t="n"/>
      <c r="X74" s="31">
        <f>IF(OR($B74="",$C74=""),"",IFERROR(MATCH($C74,'支払先'!$B$5:$B$104,0),""))</f>
        <v/>
      </c>
      <c r="Y74" s="31">
        <f>IF($B74="","",SUMIFS('支払明細'!$I$5:$I$1004,'支払明細'!$A$5:$A$1004,$B74,'支払明細'!$G$5:$G$1004,"10%（標準）",'支払明細'!$H$5:$H$1004,"&lt;&gt;対象外"))</f>
        <v/>
      </c>
      <c r="Z74" s="31">
        <f>IF($B74="","",SUMIFS('支払明細'!$I$5:$I$1004,'支払明細'!$A$5:$A$1004,$B74,'支払明細'!$G$5:$G$1004,"8%（軽減）",'支払明細'!$H$5:$H$1004,"&lt;&gt;対象外"))</f>
        <v/>
      </c>
      <c r="AA74" s="31">
        <f>IF($B74="","",SUMIFS('支払明細'!$I$5:$I$1004,'支払明細'!$A$5:$A$1004,$B74,'支払明細'!$G$5:$G$1004,"対象外",'支払明細'!$H$5:$H$1004,"&lt;&gt;対象外"))</f>
        <v/>
      </c>
      <c r="AB74" s="31">
        <f>IF($B74="","",COUNTIFS('支払明細'!$A$5:$A$1004,$B74,'支払明細'!$M$5:$M$1004,"超える"))</f>
        <v/>
      </c>
      <c r="AC74" s="31">
        <f>IF($B74="","",COUNTIFS('支払明細'!$A$5:$A$1004,$B74,'支払明細'!$G$5:$G$1004,""))</f>
        <v/>
      </c>
    </row>
    <row r="75" ht="18" customHeight="1">
      <c r="A75" s="17" t="n">
        <v>71</v>
      </c>
      <c r="B75" s="18" t="n"/>
      <c r="C75" s="18" t="n"/>
      <c r="D75" s="24" t="n"/>
      <c r="E75" s="19" t="n"/>
      <c r="F75" s="24" t="n"/>
      <c r="G75" s="28">
        <f>IF(AND($B75&lt;&gt;"",ISNUMBER($D75)),$D75+N('設定'!$B$13),"")</f>
        <v/>
      </c>
      <c r="H75" s="18" t="n"/>
      <c r="I75" s="19" t="n"/>
      <c r="J75" s="27">
        <f>IF($B75="","",IF($C75="","（支払先コードが空）",IF($X75="","※支払先にないコード",INDEX('支払先'!$C$5:$C$104,$X75)&amp;"")))</f>
        <v/>
      </c>
      <c r="K75" s="30">
        <f>IF($B75="","",COUNTIF('支払明細'!$A$5:$A$1004,$B75))</f>
        <v/>
      </c>
      <c r="L75" s="26">
        <f>IF($B75="","",SUMIFS('支払明細'!$I$5:$I$1004,'支払明細'!$A$5:$A$1004,$B75,'支払明細'!$G$5:$G$1004,"10%（標準）"))</f>
        <v/>
      </c>
      <c r="M75" s="26">
        <f>IF($B75="","",SUMIFS('支払明細'!$I$5:$I$1004,'支払明細'!$A$5:$A$1004,$B75,'支払明細'!$G$5:$G$1004,"8%（軽減）"))</f>
        <v/>
      </c>
      <c r="N75" s="26">
        <f>IF($B75="","",SUMIFS('支払明細'!$I$5:$I$1004,'支払明細'!$A$5:$A$1004,$B75,'支払明細'!$G$5:$G$1004,"対象外"))</f>
        <v/>
      </c>
      <c r="O75" s="26">
        <f>IF($B75="","",IF('設定'!$B$11="税込",IF('設定'!$B$12="切り捨て",ROUNDDOWN(ROUND($L75*10/110,6),0),IF('設定'!$B$12="切り上げ",ROUNDUP(ROUND($L75*10/110,6),0),ROUND($L75*10/110,0))),IF('設定'!$B$12="切り捨て",ROUNDDOWN(ROUND($L75*10/100,6),0),IF('設定'!$B$12="切り上げ",ROUNDUP(ROUND($L75*10/100,6),0),ROUND($L75*10/100,0)))))</f>
        <v/>
      </c>
      <c r="P75" s="26">
        <f>IF($B75="","",IF('設定'!$B$11="税込",IF('設定'!$B$12="切り捨て",ROUNDDOWN(ROUND($M75*8/108,6),0),IF('設定'!$B$12="切り上げ",ROUNDUP(ROUND($M75*8/108,6),0),ROUND($M75*8/108,0))),IF('設定'!$B$12="切り捨て",ROUNDDOWN(ROUND($M75*8/100,6),0),IF('設定'!$B$12="切り上げ",ROUNDUP(ROUND($M75*8/100,6),0),ROUND($M75*8/100,0)))))</f>
        <v/>
      </c>
      <c r="Q75" s="26">
        <f>IF($B75="","",IF('設定'!$B$11="税込",$L75+$M75+$N75,$L75+$O75+$M75+$P75+$N75))</f>
        <v/>
      </c>
      <c r="R75" s="26">
        <f>IF($B75="","",IF($X75="",0,IF(INDEX('支払先'!$I$5:$I$104,$X75)&lt;&gt;"する",0,IF(INDEX('支払先'!$J$5:$J$104,$X75)="税抜",IF('設定'!$B$11="税込",($Y75-IF('設定'!$B$12="切り捨て",ROUNDDOWN(ROUND($Y75*10/110,6),0),IF('設定'!$B$12="切り上げ",ROUNDUP(ROUND($Y75*10/110,6),0),ROUND($Y75*10/110,0)))+$Z75-IF('設定'!$B$12="切り捨て",ROUNDDOWN(ROUND($Z75*8/108,6),0),IF('設定'!$B$12="切り上げ",ROUNDUP(ROUND($Z75*8/108,6),0),ROUND($Z75*8/108,0)))+$AA75),$Y75+$Z75+$AA75),IF('設定'!$B$11="税込",$Y75+$Z75+$AA75,($Y75+IF('設定'!$B$12="切り捨て",ROUNDDOWN(ROUND($Y75*10/100,6),0),IF('設定'!$B$12="切り上げ",ROUNDUP(ROUND($Y75*10/100,6),0),ROUND($Y75*10/100,0)))+$Z75+IF('設定'!$B$12="切り捨て",ROUNDDOWN(ROUND($Z75*8/100,6),0),IF('設定'!$B$12="切り上げ",ROUNDUP(ROUND($Z75*8/100,6),0),ROUND($Z75*8/100,0)))+$AA75))))))</f>
        <v/>
      </c>
      <c r="S75" s="26">
        <f>IF($B75="","",IF(N($R75)&lt;=0,0,IF($R75&lt;='設定'!$B$18,ROUNDDOWN(ROUND($R75*'設定'!$B$17,6),0),ROUNDDOWN(ROUND(($R75-'設定'!$B$18)*'設定'!$B$19,6),0)+'設定'!$B$20)))</f>
        <v/>
      </c>
      <c r="T75" s="26">
        <f>IF($B75="","",IF($X75="",0,IF(INDEX('支払先'!$K$5:$K$104,$X75)="差し引く",N(INDEX('支払先'!$L$5:$L$104,$X75)),0)))</f>
        <v/>
      </c>
      <c r="U75" s="26">
        <f>IF($B75="","",$Q75-$S75-$T75)</f>
        <v/>
      </c>
      <c r="V75" s="22">
        <f>IF($B75="","",MID(IF($C75="","／支払先コードが空",IF($X75="","／支払先にないコード",""))&amp;IF($K75=0,"／明細がない","")&amp;IF($AC75&gt;0,"／税率が空の明細 "&amp;$AC75&amp;"件（合計に入っていない）","")&amp;IF($X75="","",IF(INDEX('支払先'!$G$5:$G$104,$X75)="","／登録番号なし（仕入明細書にならない）",""))&amp;IF($AB75&gt;0,"／60日（2か月）を超える明細 "&amp;$AB75&amp;"件","")&amp;IF($X75="","",IF(AND(INDEX('支払先'!$K$5:$K$104,$X75)="差し引く",OR(INDEX('支払先'!$M$5:$M$104,$X75)&lt;&gt;"対象外",INDEX('支払先'!$N$5:$N$104,$X75)&lt;&gt;"対象外")),"／手数料を差し引けない取引か確かめる",""))&amp;IF(COUNTIF($B$5:$B$204,$B75)&gt;1,"／通知Noが重複","")&amp;IF(AND(ISNUMBER($D75),ISNUMBER($F75),$F75&lt;$D75),"／支払予定日が発行日より前",""),2,300))</f>
        <v/>
      </c>
      <c r="W75" s="67" t="n"/>
      <c r="X75" s="31">
        <f>IF(OR($B75="",$C75=""),"",IFERROR(MATCH($C75,'支払先'!$B$5:$B$104,0),""))</f>
        <v/>
      </c>
      <c r="Y75" s="31">
        <f>IF($B75="","",SUMIFS('支払明細'!$I$5:$I$1004,'支払明細'!$A$5:$A$1004,$B75,'支払明細'!$G$5:$G$1004,"10%（標準）",'支払明細'!$H$5:$H$1004,"&lt;&gt;対象外"))</f>
        <v/>
      </c>
      <c r="Z75" s="31">
        <f>IF($B75="","",SUMIFS('支払明細'!$I$5:$I$1004,'支払明細'!$A$5:$A$1004,$B75,'支払明細'!$G$5:$G$1004,"8%（軽減）",'支払明細'!$H$5:$H$1004,"&lt;&gt;対象外"))</f>
        <v/>
      </c>
      <c r="AA75" s="31">
        <f>IF($B75="","",SUMIFS('支払明細'!$I$5:$I$1004,'支払明細'!$A$5:$A$1004,$B75,'支払明細'!$G$5:$G$1004,"対象外",'支払明細'!$H$5:$H$1004,"&lt;&gt;対象外"))</f>
        <v/>
      </c>
      <c r="AB75" s="31">
        <f>IF($B75="","",COUNTIFS('支払明細'!$A$5:$A$1004,$B75,'支払明細'!$M$5:$M$1004,"超える"))</f>
        <v/>
      </c>
      <c r="AC75" s="31">
        <f>IF($B75="","",COUNTIFS('支払明細'!$A$5:$A$1004,$B75,'支払明細'!$G$5:$G$1004,""))</f>
        <v/>
      </c>
    </row>
    <row r="76" ht="18" customHeight="1">
      <c r="A76" s="17" t="n">
        <v>72</v>
      </c>
      <c r="B76" s="18" t="n"/>
      <c r="C76" s="18" t="n"/>
      <c r="D76" s="24" t="n"/>
      <c r="E76" s="19" t="n"/>
      <c r="F76" s="24" t="n"/>
      <c r="G76" s="28">
        <f>IF(AND($B76&lt;&gt;"",ISNUMBER($D76)),$D76+N('設定'!$B$13),"")</f>
        <v/>
      </c>
      <c r="H76" s="18" t="n"/>
      <c r="I76" s="19" t="n"/>
      <c r="J76" s="27">
        <f>IF($B76="","",IF($C76="","（支払先コードが空）",IF($X76="","※支払先にないコード",INDEX('支払先'!$C$5:$C$104,$X76)&amp;"")))</f>
        <v/>
      </c>
      <c r="K76" s="30">
        <f>IF($B76="","",COUNTIF('支払明細'!$A$5:$A$1004,$B76))</f>
        <v/>
      </c>
      <c r="L76" s="26">
        <f>IF($B76="","",SUMIFS('支払明細'!$I$5:$I$1004,'支払明細'!$A$5:$A$1004,$B76,'支払明細'!$G$5:$G$1004,"10%（標準）"))</f>
        <v/>
      </c>
      <c r="M76" s="26">
        <f>IF($B76="","",SUMIFS('支払明細'!$I$5:$I$1004,'支払明細'!$A$5:$A$1004,$B76,'支払明細'!$G$5:$G$1004,"8%（軽減）"))</f>
        <v/>
      </c>
      <c r="N76" s="26">
        <f>IF($B76="","",SUMIFS('支払明細'!$I$5:$I$1004,'支払明細'!$A$5:$A$1004,$B76,'支払明細'!$G$5:$G$1004,"対象外"))</f>
        <v/>
      </c>
      <c r="O76" s="26">
        <f>IF($B76="","",IF('設定'!$B$11="税込",IF('設定'!$B$12="切り捨て",ROUNDDOWN(ROUND($L76*10/110,6),0),IF('設定'!$B$12="切り上げ",ROUNDUP(ROUND($L76*10/110,6),0),ROUND($L76*10/110,0))),IF('設定'!$B$12="切り捨て",ROUNDDOWN(ROUND($L76*10/100,6),0),IF('設定'!$B$12="切り上げ",ROUNDUP(ROUND($L76*10/100,6),0),ROUND($L76*10/100,0)))))</f>
        <v/>
      </c>
      <c r="P76" s="26">
        <f>IF($B76="","",IF('設定'!$B$11="税込",IF('設定'!$B$12="切り捨て",ROUNDDOWN(ROUND($M76*8/108,6),0),IF('設定'!$B$12="切り上げ",ROUNDUP(ROUND($M76*8/108,6),0),ROUND($M76*8/108,0))),IF('設定'!$B$12="切り捨て",ROUNDDOWN(ROUND($M76*8/100,6),0),IF('設定'!$B$12="切り上げ",ROUNDUP(ROUND($M76*8/100,6),0),ROUND($M76*8/100,0)))))</f>
        <v/>
      </c>
      <c r="Q76" s="26">
        <f>IF($B76="","",IF('設定'!$B$11="税込",$L76+$M76+$N76,$L76+$O76+$M76+$P76+$N76))</f>
        <v/>
      </c>
      <c r="R76" s="26">
        <f>IF($B76="","",IF($X76="",0,IF(INDEX('支払先'!$I$5:$I$104,$X76)&lt;&gt;"する",0,IF(INDEX('支払先'!$J$5:$J$104,$X76)="税抜",IF('設定'!$B$11="税込",($Y76-IF('設定'!$B$12="切り捨て",ROUNDDOWN(ROUND($Y76*10/110,6),0),IF('設定'!$B$12="切り上げ",ROUNDUP(ROUND($Y76*10/110,6),0),ROUND($Y76*10/110,0)))+$Z76-IF('設定'!$B$12="切り捨て",ROUNDDOWN(ROUND($Z76*8/108,6),0),IF('設定'!$B$12="切り上げ",ROUNDUP(ROUND($Z76*8/108,6),0),ROUND($Z76*8/108,0)))+$AA76),$Y76+$Z76+$AA76),IF('設定'!$B$11="税込",$Y76+$Z76+$AA76,($Y76+IF('設定'!$B$12="切り捨て",ROUNDDOWN(ROUND($Y76*10/100,6),0),IF('設定'!$B$12="切り上げ",ROUNDUP(ROUND($Y76*10/100,6),0),ROUND($Y76*10/100,0)))+$Z76+IF('設定'!$B$12="切り捨て",ROUNDDOWN(ROUND($Z76*8/100,6),0),IF('設定'!$B$12="切り上げ",ROUNDUP(ROUND($Z76*8/100,6),0),ROUND($Z76*8/100,0)))+$AA76))))))</f>
        <v/>
      </c>
      <c r="S76" s="26">
        <f>IF($B76="","",IF(N($R76)&lt;=0,0,IF($R76&lt;='設定'!$B$18,ROUNDDOWN(ROUND($R76*'設定'!$B$17,6),0),ROUNDDOWN(ROUND(($R76-'設定'!$B$18)*'設定'!$B$19,6),0)+'設定'!$B$20)))</f>
        <v/>
      </c>
      <c r="T76" s="26">
        <f>IF($B76="","",IF($X76="",0,IF(INDEX('支払先'!$K$5:$K$104,$X76)="差し引く",N(INDEX('支払先'!$L$5:$L$104,$X76)),0)))</f>
        <v/>
      </c>
      <c r="U76" s="26">
        <f>IF($B76="","",$Q76-$S76-$T76)</f>
        <v/>
      </c>
      <c r="V76" s="22">
        <f>IF($B76="","",MID(IF($C76="","／支払先コードが空",IF($X76="","／支払先にないコード",""))&amp;IF($K76=0,"／明細がない","")&amp;IF($AC76&gt;0,"／税率が空の明細 "&amp;$AC76&amp;"件（合計に入っていない）","")&amp;IF($X76="","",IF(INDEX('支払先'!$G$5:$G$104,$X76)="","／登録番号なし（仕入明細書にならない）",""))&amp;IF($AB76&gt;0,"／60日（2か月）を超える明細 "&amp;$AB76&amp;"件","")&amp;IF($X76="","",IF(AND(INDEX('支払先'!$K$5:$K$104,$X76)="差し引く",OR(INDEX('支払先'!$M$5:$M$104,$X76)&lt;&gt;"対象外",INDEX('支払先'!$N$5:$N$104,$X76)&lt;&gt;"対象外")),"／手数料を差し引けない取引か確かめる",""))&amp;IF(COUNTIF($B$5:$B$204,$B76)&gt;1,"／通知Noが重複","")&amp;IF(AND(ISNUMBER($D76),ISNUMBER($F76),$F76&lt;$D76),"／支払予定日が発行日より前",""),2,300))</f>
        <v/>
      </c>
      <c r="W76" s="67" t="n"/>
      <c r="X76" s="31">
        <f>IF(OR($B76="",$C76=""),"",IFERROR(MATCH($C76,'支払先'!$B$5:$B$104,0),""))</f>
        <v/>
      </c>
      <c r="Y76" s="31">
        <f>IF($B76="","",SUMIFS('支払明細'!$I$5:$I$1004,'支払明細'!$A$5:$A$1004,$B76,'支払明細'!$G$5:$G$1004,"10%（標準）",'支払明細'!$H$5:$H$1004,"&lt;&gt;対象外"))</f>
        <v/>
      </c>
      <c r="Z76" s="31">
        <f>IF($B76="","",SUMIFS('支払明細'!$I$5:$I$1004,'支払明細'!$A$5:$A$1004,$B76,'支払明細'!$G$5:$G$1004,"8%（軽減）",'支払明細'!$H$5:$H$1004,"&lt;&gt;対象外"))</f>
        <v/>
      </c>
      <c r="AA76" s="31">
        <f>IF($B76="","",SUMIFS('支払明細'!$I$5:$I$1004,'支払明細'!$A$5:$A$1004,$B76,'支払明細'!$G$5:$G$1004,"対象外",'支払明細'!$H$5:$H$1004,"&lt;&gt;対象外"))</f>
        <v/>
      </c>
      <c r="AB76" s="31">
        <f>IF($B76="","",COUNTIFS('支払明細'!$A$5:$A$1004,$B76,'支払明細'!$M$5:$M$1004,"超える"))</f>
        <v/>
      </c>
      <c r="AC76" s="31">
        <f>IF($B76="","",COUNTIFS('支払明細'!$A$5:$A$1004,$B76,'支払明細'!$G$5:$G$1004,""))</f>
        <v/>
      </c>
    </row>
    <row r="77" ht="18" customHeight="1">
      <c r="A77" s="17" t="n">
        <v>73</v>
      </c>
      <c r="B77" s="18" t="n"/>
      <c r="C77" s="18" t="n"/>
      <c r="D77" s="24" t="n"/>
      <c r="E77" s="19" t="n"/>
      <c r="F77" s="24" t="n"/>
      <c r="G77" s="28">
        <f>IF(AND($B77&lt;&gt;"",ISNUMBER($D77)),$D77+N('設定'!$B$13),"")</f>
        <v/>
      </c>
      <c r="H77" s="18" t="n"/>
      <c r="I77" s="19" t="n"/>
      <c r="J77" s="27">
        <f>IF($B77="","",IF($C77="","（支払先コードが空）",IF($X77="","※支払先にないコード",INDEX('支払先'!$C$5:$C$104,$X77)&amp;"")))</f>
        <v/>
      </c>
      <c r="K77" s="30">
        <f>IF($B77="","",COUNTIF('支払明細'!$A$5:$A$1004,$B77))</f>
        <v/>
      </c>
      <c r="L77" s="26">
        <f>IF($B77="","",SUMIFS('支払明細'!$I$5:$I$1004,'支払明細'!$A$5:$A$1004,$B77,'支払明細'!$G$5:$G$1004,"10%（標準）"))</f>
        <v/>
      </c>
      <c r="M77" s="26">
        <f>IF($B77="","",SUMIFS('支払明細'!$I$5:$I$1004,'支払明細'!$A$5:$A$1004,$B77,'支払明細'!$G$5:$G$1004,"8%（軽減）"))</f>
        <v/>
      </c>
      <c r="N77" s="26">
        <f>IF($B77="","",SUMIFS('支払明細'!$I$5:$I$1004,'支払明細'!$A$5:$A$1004,$B77,'支払明細'!$G$5:$G$1004,"対象外"))</f>
        <v/>
      </c>
      <c r="O77" s="26">
        <f>IF($B77="","",IF('設定'!$B$11="税込",IF('設定'!$B$12="切り捨て",ROUNDDOWN(ROUND($L77*10/110,6),0),IF('設定'!$B$12="切り上げ",ROUNDUP(ROUND($L77*10/110,6),0),ROUND($L77*10/110,0))),IF('設定'!$B$12="切り捨て",ROUNDDOWN(ROUND($L77*10/100,6),0),IF('設定'!$B$12="切り上げ",ROUNDUP(ROUND($L77*10/100,6),0),ROUND($L77*10/100,0)))))</f>
        <v/>
      </c>
      <c r="P77" s="26">
        <f>IF($B77="","",IF('設定'!$B$11="税込",IF('設定'!$B$12="切り捨て",ROUNDDOWN(ROUND($M77*8/108,6),0),IF('設定'!$B$12="切り上げ",ROUNDUP(ROUND($M77*8/108,6),0),ROUND($M77*8/108,0))),IF('設定'!$B$12="切り捨て",ROUNDDOWN(ROUND($M77*8/100,6),0),IF('設定'!$B$12="切り上げ",ROUNDUP(ROUND($M77*8/100,6),0),ROUND($M77*8/100,0)))))</f>
        <v/>
      </c>
      <c r="Q77" s="26">
        <f>IF($B77="","",IF('設定'!$B$11="税込",$L77+$M77+$N77,$L77+$O77+$M77+$P77+$N77))</f>
        <v/>
      </c>
      <c r="R77" s="26">
        <f>IF($B77="","",IF($X77="",0,IF(INDEX('支払先'!$I$5:$I$104,$X77)&lt;&gt;"する",0,IF(INDEX('支払先'!$J$5:$J$104,$X77)="税抜",IF('設定'!$B$11="税込",($Y77-IF('設定'!$B$12="切り捨て",ROUNDDOWN(ROUND($Y77*10/110,6),0),IF('設定'!$B$12="切り上げ",ROUNDUP(ROUND($Y77*10/110,6),0),ROUND($Y77*10/110,0)))+$Z77-IF('設定'!$B$12="切り捨て",ROUNDDOWN(ROUND($Z77*8/108,6),0),IF('設定'!$B$12="切り上げ",ROUNDUP(ROUND($Z77*8/108,6),0),ROUND($Z77*8/108,0)))+$AA77),$Y77+$Z77+$AA77),IF('設定'!$B$11="税込",$Y77+$Z77+$AA77,($Y77+IF('設定'!$B$12="切り捨て",ROUNDDOWN(ROUND($Y77*10/100,6),0),IF('設定'!$B$12="切り上げ",ROUNDUP(ROUND($Y77*10/100,6),0),ROUND($Y77*10/100,0)))+$Z77+IF('設定'!$B$12="切り捨て",ROUNDDOWN(ROUND($Z77*8/100,6),0),IF('設定'!$B$12="切り上げ",ROUNDUP(ROUND($Z77*8/100,6),0),ROUND($Z77*8/100,0)))+$AA77))))))</f>
        <v/>
      </c>
      <c r="S77" s="26">
        <f>IF($B77="","",IF(N($R77)&lt;=0,0,IF($R77&lt;='設定'!$B$18,ROUNDDOWN(ROUND($R77*'設定'!$B$17,6),0),ROUNDDOWN(ROUND(($R77-'設定'!$B$18)*'設定'!$B$19,6),0)+'設定'!$B$20)))</f>
        <v/>
      </c>
      <c r="T77" s="26">
        <f>IF($B77="","",IF($X77="",0,IF(INDEX('支払先'!$K$5:$K$104,$X77)="差し引く",N(INDEX('支払先'!$L$5:$L$104,$X77)),0)))</f>
        <v/>
      </c>
      <c r="U77" s="26">
        <f>IF($B77="","",$Q77-$S77-$T77)</f>
        <v/>
      </c>
      <c r="V77" s="22">
        <f>IF($B77="","",MID(IF($C77="","／支払先コードが空",IF($X77="","／支払先にないコード",""))&amp;IF($K77=0,"／明細がない","")&amp;IF($AC77&gt;0,"／税率が空の明細 "&amp;$AC77&amp;"件（合計に入っていない）","")&amp;IF($X77="","",IF(INDEX('支払先'!$G$5:$G$104,$X77)="","／登録番号なし（仕入明細書にならない）",""))&amp;IF($AB77&gt;0,"／60日（2か月）を超える明細 "&amp;$AB77&amp;"件","")&amp;IF($X77="","",IF(AND(INDEX('支払先'!$K$5:$K$104,$X77)="差し引く",OR(INDEX('支払先'!$M$5:$M$104,$X77)&lt;&gt;"対象外",INDEX('支払先'!$N$5:$N$104,$X77)&lt;&gt;"対象外")),"／手数料を差し引けない取引か確かめる",""))&amp;IF(COUNTIF($B$5:$B$204,$B77)&gt;1,"／通知Noが重複","")&amp;IF(AND(ISNUMBER($D77),ISNUMBER($F77),$F77&lt;$D77),"／支払予定日が発行日より前",""),2,300))</f>
        <v/>
      </c>
      <c r="W77" s="67" t="n"/>
      <c r="X77" s="31">
        <f>IF(OR($B77="",$C77=""),"",IFERROR(MATCH($C77,'支払先'!$B$5:$B$104,0),""))</f>
        <v/>
      </c>
      <c r="Y77" s="31">
        <f>IF($B77="","",SUMIFS('支払明細'!$I$5:$I$1004,'支払明細'!$A$5:$A$1004,$B77,'支払明細'!$G$5:$G$1004,"10%（標準）",'支払明細'!$H$5:$H$1004,"&lt;&gt;対象外"))</f>
        <v/>
      </c>
      <c r="Z77" s="31">
        <f>IF($B77="","",SUMIFS('支払明細'!$I$5:$I$1004,'支払明細'!$A$5:$A$1004,$B77,'支払明細'!$G$5:$G$1004,"8%（軽減）",'支払明細'!$H$5:$H$1004,"&lt;&gt;対象外"))</f>
        <v/>
      </c>
      <c r="AA77" s="31">
        <f>IF($B77="","",SUMIFS('支払明細'!$I$5:$I$1004,'支払明細'!$A$5:$A$1004,$B77,'支払明細'!$G$5:$G$1004,"対象外",'支払明細'!$H$5:$H$1004,"&lt;&gt;対象外"))</f>
        <v/>
      </c>
      <c r="AB77" s="31">
        <f>IF($B77="","",COUNTIFS('支払明細'!$A$5:$A$1004,$B77,'支払明細'!$M$5:$M$1004,"超える"))</f>
        <v/>
      </c>
      <c r="AC77" s="31">
        <f>IF($B77="","",COUNTIFS('支払明細'!$A$5:$A$1004,$B77,'支払明細'!$G$5:$G$1004,""))</f>
        <v/>
      </c>
    </row>
    <row r="78" ht="18" customHeight="1">
      <c r="A78" s="17" t="n">
        <v>74</v>
      </c>
      <c r="B78" s="18" t="n"/>
      <c r="C78" s="18" t="n"/>
      <c r="D78" s="24" t="n"/>
      <c r="E78" s="19" t="n"/>
      <c r="F78" s="24" t="n"/>
      <c r="G78" s="28">
        <f>IF(AND($B78&lt;&gt;"",ISNUMBER($D78)),$D78+N('設定'!$B$13),"")</f>
        <v/>
      </c>
      <c r="H78" s="18" t="n"/>
      <c r="I78" s="19" t="n"/>
      <c r="J78" s="27">
        <f>IF($B78="","",IF($C78="","（支払先コードが空）",IF($X78="","※支払先にないコード",INDEX('支払先'!$C$5:$C$104,$X78)&amp;"")))</f>
        <v/>
      </c>
      <c r="K78" s="30">
        <f>IF($B78="","",COUNTIF('支払明細'!$A$5:$A$1004,$B78))</f>
        <v/>
      </c>
      <c r="L78" s="26">
        <f>IF($B78="","",SUMIFS('支払明細'!$I$5:$I$1004,'支払明細'!$A$5:$A$1004,$B78,'支払明細'!$G$5:$G$1004,"10%（標準）"))</f>
        <v/>
      </c>
      <c r="M78" s="26">
        <f>IF($B78="","",SUMIFS('支払明細'!$I$5:$I$1004,'支払明細'!$A$5:$A$1004,$B78,'支払明細'!$G$5:$G$1004,"8%（軽減）"))</f>
        <v/>
      </c>
      <c r="N78" s="26">
        <f>IF($B78="","",SUMIFS('支払明細'!$I$5:$I$1004,'支払明細'!$A$5:$A$1004,$B78,'支払明細'!$G$5:$G$1004,"対象外"))</f>
        <v/>
      </c>
      <c r="O78" s="26">
        <f>IF($B78="","",IF('設定'!$B$11="税込",IF('設定'!$B$12="切り捨て",ROUNDDOWN(ROUND($L78*10/110,6),0),IF('設定'!$B$12="切り上げ",ROUNDUP(ROUND($L78*10/110,6),0),ROUND($L78*10/110,0))),IF('設定'!$B$12="切り捨て",ROUNDDOWN(ROUND($L78*10/100,6),0),IF('設定'!$B$12="切り上げ",ROUNDUP(ROUND($L78*10/100,6),0),ROUND($L78*10/100,0)))))</f>
        <v/>
      </c>
      <c r="P78" s="26">
        <f>IF($B78="","",IF('設定'!$B$11="税込",IF('設定'!$B$12="切り捨て",ROUNDDOWN(ROUND($M78*8/108,6),0),IF('設定'!$B$12="切り上げ",ROUNDUP(ROUND($M78*8/108,6),0),ROUND($M78*8/108,0))),IF('設定'!$B$12="切り捨て",ROUNDDOWN(ROUND($M78*8/100,6),0),IF('設定'!$B$12="切り上げ",ROUNDUP(ROUND($M78*8/100,6),0),ROUND($M78*8/100,0)))))</f>
        <v/>
      </c>
      <c r="Q78" s="26">
        <f>IF($B78="","",IF('設定'!$B$11="税込",$L78+$M78+$N78,$L78+$O78+$M78+$P78+$N78))</f>
        <v/>
      </c>
      <c r="R78" s="26">
        <f>IF($B78="","",IF($X78="",0,IF(INDEX('支払先'!$I$5:$I$104,$X78)&lt;&gt;"する",0,IF(INDEX('支払先'!$J$5:$J$104,$X78)="税抜",IF('設定'!$B$11="税込",($Y78-IF('設定'!$B$12="切り捨て",ROUNDDOWN(ROUND($Y78*10/110,6),0),IF('設定'!$B$12="切り上げ",ROUNDUP(ROUND($Y78*10/110,6),0),ROUND($Y78*10/110,0)))+$Z78-IF('設定'!$B$12="切り捨て",ROUNDDOWN(ROUND($Z78*8/108,6),0),IF('設定'!$B$12="切り上げ",ROUNDUP(ROUND($Z78*8/108,6),0),ROUND($Z78*8/108,0)))+$AA78),$Y78+$Z78+$AA78),IF('設定'!$B$11="税込",$Y78+$Z78+$AA78,($Y78+IF('設定'!$B$12="切り捨て",ROUNDDOWN(ROUND($Y78*10/100,6),0),IF('設定'!$B$12="切り上げ",ROUNDUP(ROUND($Y78*10/100,6),0),ROUND($Y78*10/100,0)))+$Z78+IF('設定'!$B$12="切り捨て",ROUNDDOWN(ROUND($Z78*8/100,6),0),IF('設定'!$B$12="切り上げ",ROUNDUP(ROUND($Z78*8/100,6),0),ROUND($Z78*8/100,0)))+$AA78))))))</f>
        <v/>
      </c>
      <c r="S78" s="26">
        <f>IF($B78="","",IF(N($R78)&lt;=0,0,IF($R78&lt;='設定'!$B$18,ROUNDDOWN(ROUND($R78*'設定'!$B$17,6),0),ROUNDDOWN(ROUND(($R78-'設定'!$B$18)*'設定'!$B$19,6),0)+'設定'!$B$20)))</f>
        <v/>
      </c>
      <c r="T78" s="26">
        <f>IF($B78="","",IF($X78="",0,IF(INDEX('支払先'!$K$5:$K$104,$X78)="差し引く",N(INDEX('支払先'!$L$5:$L$104,$X78)),0)))</f>
        <v/>
      </c>
      <c r="U78" s="26">
        <f>IF($B78="","",$Q78-$S78-$T78)</f>
        <v/>
      </c>
      <c r="V78" s="22">
        <f>IF($B78="","",MID(IF($C78="","／支払先コードが空",IF($X78="","／支払先にないコード",""))&amp;IF($K78=0,"／明細がない","")&amp;IF($AC78&gt;0,"／税率が空の明細 "&amp;$AC78&amp;"件（合計に入っていない）","")&amp;IF($X78="","",IF(INDEX('支払先'!$G$5:$G$104,$X78)="","／登録番号なし（仕入明細書にならない）",""))&amp;IF($AB78&gt;0,"／60日（2か月）を超える明細 "&amp;$AB78&amp;"件","")&amp;IF($X78="","",IF(AND(INDEX('支払先'!$K$5:$K$104,$X78)="差し引く",OR(INDEX('支払先'!$M$5:$M$104,$X78)&lt;&gt;"対象外",INDEX('支払先'!$N$5:$N$104,$X78)&lt;&gt;"対象外")),"／手数料を差し引けない取引か確かめる",""))&amp;IF(COUNTIF($B$5:$B$204,$B78)&gt;1,"／通知Noが重複","")&amp;IF(AND(ISNUMBER($D78),ISNUMBER($F78),$F78&lt;$D78),"／支払予定日が発行日より前",""),2,300))</f>
        <v/>
      </c>
      <c r="W78" s="67" t="n"/>
      <c r="X78" s="31">
        <f>IF(OR($B78="",$C78=""),"",IFERROR(MATCH($C78,'支払先'!$B$5:$B$104,0),""))</f>
        <v/>
      </c>
      <c r="Y78" s="31">
        <f>IF($B78="","",SUMIFS('支払明細'!$I$5:$I$1004,'支払明細'!$A$5:$A$1004,$B78,'支払明細'!$G$5:$G$1004,"10%（標準）",'支払明細'!$H$5:$H$1004,"&lt;&gt;対象外"))</f>
        <v/>
      </c>
      <c r="Z78" s="31">
        <f>IF($B78="","",SUMIFS('支払明細'!$I$5:$I$1004,'支払明細'!$A$5:$A$1004,$B78,'支払明細'!$G$5:$G$1004,"8%（軽減）",'支払明細'!$H$5:$H$1004,"&lt;&gt;対象外"))</f>
        <v/>
      </c>
      <c r="AA78" s="31">
        <f>IF($B78="","",SUMIFS('支払明細'!$I$5:$I$1004,'支払明細'!$A$5:$A$1004,$B78,'支払明細'!$G$5:$G$1004,"対象外",'支払明細'!$H$5:$H$1004,"&lt;&gt;対象外"))</f>
        <v/>
      </c>
      <c r="AB78" s="31">
        <f>IF($B78="","",COUNTIFS('支払明細'!$A$5:$A$1004,$B78,'支払明細'!$M$5:$M$1004,"超える"))</f>
        <v/>
      </c>
      <c r="AC78" s="31">
        <f>IF($B78="","",COUNTIFS('支払明細'!$A$5:$A$1004,$B78,'支払明細'!$G$5:$G$1004,""))</f>
        <v/>
      </c>
    </row>
    <row r="79" ht="18" customHeight="1">
      <c r="A79" s="17" t="n">
        <v>75</v>
      </c>
      <c r="B79" s="18" t="n"/>
      <c r="C79" s="18" t="n"/>
      <c r="D79" s="24" t="n"/>
      <c r="E79" s="19" t="n"/>
      <c r="F79" s="24" t="n"/>
      <c r="G79" s="28">
        <f>IF(AND($B79&lt;&gt;"",ISNUMBER($D79)),$D79+N('設定'!$B$13),"")</f>
        <v/>
      </c>
      <c r="H79" s="18" t="n"/>
      <c r="I79" s="19" t="n"/>
      <c r="J79" s="27">
        <f>IF($B79="","",IF($C79="","（支払先コードが空）",IF($X79="","※支払先にないコード",INDEX('支払先'!$C$5:$C$104,$X79)&amp;"")))</f>
        <v/>
      </c>
      <c r="K79" s="30">
        <f>IF($B79="","",COUNTIF('支払明細'!$A$5:$A$1004,$B79))</f>
        <v/>
      </c>
      <c r="L79" s="26">
        <f>IF($B79="","",SUMIFS('支払明細'!$I$5:$I$1004,'支払明細'!$A$5:$A$1004,$B79,'支払明細'!$G$5:$G$1004,"10%（標準）"))</f>
        <v/>
      </c>
      <c r="M79" s="26">
        <f>IF($B79="","",SUMIFS('支払明細'!$I$5:$I$1004,'支払明細'!$A$5:$A$1004,$B79,'支払明細'!$G$5:$G$1004,"8%（軽減）"))</f>
        <v/>
      </c>
      <c r="N79" s="26">
        <f>IF($B79="","",SUMIFS('支払明細'!$I$5:$I$1004,'支払明細'!$A$5:$A$1004,$B79,'支払明細'!$G$5:$G$1004,"対象外"))</f>
        <v/>
      </c>
      <c r="O79" s="26">
        <f>IF($B79="","",IF('設定'!$B$11="税込",IF('設定'!$B$12="切り捨て",ROUNDDOWN(ROUND($L79*10/110,6),0),IF('設定'!$B$12="切り上げ",ROUNDUP(ROUND($L79*10/110,6),0),ROUND($L79*10/110,0))),IF('設定'!$B$12="切り捨て",ROUNDDOWN(ROUND($L79*10/100,6),0),IF('設定'!$B$12="切り上げ",ROUNDUP(ROUND($L79*10/100,6),0),ROUND($L79*10/100,0)))))</f>
        <v/>
      </c>
      <c r="P79" s="26">
        <f>IF($B79="","",IF('設定'!$B$11="税込",IF('設定'!$B$12="切り捨て",ROUNDDOWN(ROUND($M79*8/108,6),0),IF('設定'!$B$12="切り上げ",ROUNDUP(ROUND($M79*8/108,6),0),ROUND($M79*8/108,0))),IF('設定'!$B$12="切り捨て",ROUNDDOWN(ROUND($M79*8/100,6),0),IF('設定'!$B$12="切り上げ",ROUNDUP(ROUND($M79*8/100,6),0),ROUND($M79*8/100,0)))))</f>
        <v/>
      </c>
      <c r="Q79" s="26">
        <f>IF($B79="","",IF('設定'!$B$11="税込",$L79+$M79+$N79,$L79+$O79+$M79+$P79+$N79))</f>
        <v/>
      </c>
      <c r="R79" s="26">
        <f>IF($B79="","",IF($X79="",0,IF(INDEX('支払先'!$I$5:$I$104,$X79)&lt;&gt;"する",0,IF(INDEX('支払先'!$J$5:$J$104,$X79)="税抜",IF('設定'!$B$11="税込",($Y79-IF('設定'!$B$12="切り捨て",ROUNDDOWN(ROUND($Y79*10/110,6),0),IF('設定'!$B$12="切り上げ",ROUNDUP(ROUND($Y79*10/110,6),0),ROUND($Y79*10/110,0)))+$Z79-IF('設定'!$B$12="切り捨て",ROUNDDOWN(ROUND($Z79*8/108,6),0),IF('設定'!$B$12="切り上げ",ROUNDUP(ROUND($Z79*8/108,6),0),ROUND($Z79*8/108,0)))+$AA79),$Y79+$Z79+$AA79),IF('設定'!$B$11="税込",$Y79+$Z79+$AA79,($Y79+IF('設定'!$B$12="切り捨て",ROUNDDOWN(ROUND($Y79*10/100,6),0),IF('設定'!$B$12="切り上げ",ROUNDUP(ROUND($Y79*10/100,6),0),ROUND($Y79*10/100,0)))+$Z79+IF('設定'!$B$12="切り捨て",ROUNDDOWN(ROUND($Z79*8/100,6),0),IF('設定'!$B$12="切り上げ",ROUNDUP(ROUND($Z79*8/100,6),0),ROUND($Z79*8/100,0)))+$AA79))))))</f>
        <v/>
      </c>
      <c r="S79" s="26">
        <f>IF($B79="","",IF(N($R79)&lt;=0,0,IF($R79&lt;='設定'!$B$18,ROUNDDOWN(ROUND($R79*'設定'!$B$17,6),0),ROUNDDOWN(ROUND(($R79-'設定'!$B$18)*'設定'!$B$19,6),0)+'設定'!$B$20)))</f>
        <v/>
      </c>
      <c r="T79" s="26">
        <f>IF($B79="","",IF($X79="",0,IF(INDEX('支払先'!$K$5:$K$104,$X79)="差し引く",N(INDEX('支払先'!$L$5:$L$104,$X79)),0)))</f>
        <v/>
      </c>
      <c r="U79" s="26">
        <f>IF($B79="","",$Q79-$S79-$T79)</f>
        <v/>
      </c>
      <c r="V79" s="22">
        <f>IF($B79="","",MID(IF($C79="","／支払先コードが空",IF($X79="","／支払先にないコード",""))&amp;IF($K79=0,"／明細がない","")&amp;IF($AC79&gt;0,"／税率が空の明細 "&amp;$AC79&amp;"件（合計に入っていない）","")&amp;IF($X79="","",IF(INDEX('支払先'!$G$5:$G$104,$X79)="","／登録番号なし（仕入明細書にならない）",""))&amp;IF($AB79&gt;0,"／60日（2か月）を超える明細 "&amp;$AB79&amp;"件","")&amp;IF($X79="","",IF(AND(INDEX('支払先'!$K$5:$K$104,$X79)="差し引く",OR(INDEX('支払先'!$M$5:$M$104,$X79)&lt;&gt;"対象外",INDEX('支払先'!$N$5:$N$104,$X79)&lt;&gt;"対象外")),"／手数料を差し引けない取引か確かめる",""))&amp;IF(COUNTIF($B$5:$B$204,$B79)&gt;1,"／通知Noが重複","")&amp;IF(AND(ISNUMBER($D79),ISNUMBER($F79),$F79&lt;$D79),"／支払予定日が発行日より前",""),2,300))</f>
        <v/>
      </c>
      <c r="W79" s="67" t="n"/>
      <c r="X79" s="31">
        <f>IF(OR($B79="",$C79=""),"",IFERROR(MATCH($C79,'支払先'!$B$5:$B$104,0),""))</f>
        <v/>
      </c>
      <c r="Y79" s="31">
        <f>IF($B79="","",SUMIFS('支払明細'!$I$5:$I$1004,'支払明細'!$A$5:$A$1004,$B79,'支払明細'!$G$5:$G$1004,"10%（標準）",'支払明細'!$H$5:$H$1004,"&lt;&gt;対象外"))</f>
        <v/>
      </c>
      <c r="Z79" s="31">
        <f>IF($B79="","",SUMIFS('支払明細'!$I$5:$I$1004,'支払明細'!$A$5:$A$1004,$B79,'支払明細'!$G$5:$G$1004,"8%（軽減）",'支払明細'!$H$5:$H$1004,"&lt;&gt;対象外"))</f>
        <v/>
      </c>
      <c r="AA79" s="31">
        <f>IF($B79="","",SUMIFS('支払明細'!$I$5:$I$1004,'支払明細'!$A$5:$A$1004,$B79,'支払明細'!$G$5:$G$1004,"対象外",'支払明細'!$H$5:$H$1004,"&lt;&gt;対象外"))</f>
        <v/>
      </c>
      <c r="AB79" s="31">
        <f>IF($B79="","",COUNTIFS('支払明細'!$A$5:$A$1004,$B79,'支払明細'!$M$5:$M$1004,"超える"))</f>
        <v/>
      </c>
      <c r="AC79" s="31">
        <f>IF($B79="","",COUNTIFS('支払明細'!$A$5:$A$1004,$B79,'支払明細'!$G$5:$G$1004,""))</f>
        <v/>
      </c>
    </row>
    <row r="80" ht="18" customHeight="1">
      <c r="A80" s="17" t="n">
        <v>76</v>
      </c>
      <c r="B80" s="18" t="n"/>
      <c r="C80" s="18" t="n"/>
      <c r="D80" s="24" t="n"/>
      <c r="E80" s="19" t="n"/>
      <c r="F80" s="24" t="n"/>
      <c r="G80" s="28">
        <f>IF(AND($B80&lt;&gt;"",ISNUMBER($D80)),$D80+N('設定'!$B$13),"")</f>
        <v/>
      </c>
      <c r="H80" s="18" t="n"/>
      <c r="I80" s="19" t="n"/>
      <c r="J80" s="27">
        <f>IF($B80="","",IF($C80="","（支払先コードが空）",IF($X80="","※支払先にないコード",INDEX('支払先'!$C$5:$C$104,$X80)&amp;"")))</f>
        <v/>
      </c>
      <c r="K80" s="30">
        <f>IF($B80="","",COUNTIF('支払明細'!$A$5:$A$1004,$B80))</f>
        <v/>
      </c>
      <c r="L80" s="26">
        <f>IF($B80="","",SUMIFS('支払明細'!$I$5:$I$1004,'支払明細'!$A$5:$A$1004,$B80,'支払明細'!$G$5:$G$1004,"10%（標準）"))</f>
        <v/>
      </c>
      <c r="M80" s="26">
        <f>IF($B80="","",SUMIFS('支払明細'!$I$5:$I$1004,'支払明細'!$A$5:$A$1004,$B80,'支払明細'!$G$5:$G$1004,"8%（軽減）"))</f>
        <v/>
      </c>
      <c r="N80" s="26">
        <f>IF($B80="","",SUMIFS('支払明細'!$I$5:$I$1004,'支払明細'!$A$5:$A$1004,$B80,'支払明細'!$G$5:$G$1004,"対象外"))</f>
        <v/>
      </c>
      <c r="O80" s="26">
        <f>IF($B80="","",IF('設定'!$B$11="税込",IF('設定'!$B$12="切り捨て",ROUNDDOWN(ROUND($L80*10/110,6),0),IF('設定'!$B$12="切り上げ",ROUNDUP(ROUND($L80*10/110,6),0),ROUND($L80*10/110,0))),IF('設定'!$B$12="切り捨て",ROUNDDOWN(ROUND($L80*10/100,6),0),IF('設定'!$B$12="切り上げ",ROUNDUP(ROUND($L80*10/100,6),0),ROUND($L80*10/100,0)))))</f>
        <v/>
      </c>
      <c r="P80" s="26">
        <f>IF($B80="","",IF('設定'!$B$11="税込",IF('設定'!$B$12="切り捨て",ROUNDDOWN(ROUND($M80*8/108,6),0),IF('設定'!$B$12="切り上げ",ROUNDUP(ROUND($M80*8/108,6),0),ROUND($M80*8/108,0))),IF('設定'!$B$12="切り捨て",ROUNDDOWN(ROUND($M80*8/100,6),0),IF('設定'!$B$12="切り上げ",ROUNDUP(ROUND($M80*8/100,6),0),ROUND($M80*8/100,0)))))</f>
        <v/>
      </c>
      <c r="Q80" s="26">
        <f>IF($B80="","",IF('設定'!$B$11="税込",$L80+$M80+$N80,$L80+$O80+$M80+$P80+$N80))</f>
        <v/>
      </c>
      <c r="R80" s="26">
        <f>IF($B80="","",IF($X80="",0,IF(INDEX('支払先'!$I$5:$I$104,$X80)&lt;&gt;"する",0,IF(INDEX('支払先'!$J$5:$J$104,$X80)="税抜",IF('設定'!$B$11="税込",($Y80-IF('設定'!$B$12="切り捨て",ROUNDDOWN(ROUND($Y80*10/110,6),0),IF('設定'!$B$12="切り上げ",ROUNDUP(ROUND($Y80*10/110,6),0),ROUND($Y80*10/110,0)))+$Z80-IF('設定'!$B$12="切り捨て",ROUNDDOWN(ROUND($Z80*8/108,6),0),IF('設定'!$B$12="切り上げ",ROUNDUP(ROUND($Z80*8/108,6),0),ROUND($Z80*8/108,0)))+$AA80),$Y80+$Z80+$AA80),IF('設定'!$B$11="税込",$Y80+$Z80+$AA80,($Y80+IF('設定'!$B$12="切り捨て",ROUNDDOWN(ROUND($Y80*10/100,6),0),IF('設定'!$B$12="切り上げ",ROUNDUP(ROUND($Y80*10/100,6),0),ROUND($Y80*10/100,0)))+$Z80+IF('設定'!$B$12="切り捨て",ROUNDDOWN(ROUND($Z80*8/100,6),0),IF('設定'!$B$12="切り上げ",ROUNDUP(ROUND($Z80*8/100,6),0),ROUND($Z80*8/100,0)))+$AA80))))))</f>
        <v/>
      </c>
      <c r="S80" s="26">
        <f>IF($B80="","",IF(N($R80)&lt;=0,0,IF($R80&lt;='設定'!$B$18,ROUNDDOWN(ROUND($R80*'設定'!$B$17,6),0),ROUNDDOWN(ROUND(($R80-'設定'!$B$18)*'設定'!$B$19,6),0)+'設定'!$B$20)))</f>
        <v/>
      </c>
      <c r="T80" s="26">
        <f>IF($B80="","",IF($X80="",0,IF(INDEX('支払先'!$K$5:$K$104,$X80)="差し引く",N(INDEX('支払先'!$L$5:$L$104,$X80)),0)))</f>
        <v/>
      </c>
      <c r="U80" s="26">
        <f>IF($B80="","",$Q80-$S80-$T80)</f>
        <v/>
      </c>
      <c r="V80" s="22">
        <f>IF($B80="","",MID(IF($C80="","／支払先コードが空",IF($X80="","／支払先にないコード",""))&amp;IF($K80=0,"／明細がない","")&amp;IF($AC80&gt;0,"／税率が空の明細 "&amp;$AC80&amp;"件（合計に入っていない）","")&amp;IF($X80="","",IF(INDEX('支払先'!$G$5:$G$104,$X80)="","／登録番号なし（仕入明細書にならない）",""))&amp;IF($AB80&gt;0,"／60日（2か月）を超える明細 "&amp;$AB80&amp;"件","")&amp;IF($X80="","",IF(AND(INDEX('支払先'!$K$5:$K$104,$X80)="差し引く",OR(INDEX('支払先'!$M$5:$M$104,$X80)&lt;&gt;"対象外",INDEX('支払先'!$N$5:$N$104,$X80)&lt;&gt;"対象外")),"／手数料を差し引けない取引か確かめる",""))&amp;IF(COUNTIF($B$5:$B$204,$B80)&gt;1,"／通知Noが重複","")&amp;IF(AND(ISNUMBER($D80),ISNUMBER($F80),$F80&lt;$D80),"／支払予定日が発行日より前",""),2,300))</f>
        <v/>
      </c>
      <c r="W80" s="67" t="n"/>
      <c r="X80" s="31">
        <f>IF(OR($B80="",$C80=""),"",IFERROR(MATCH($C80,'支払先'!$B$5:$B$104,0),""))</f>
        <v/>
      </c>
      <c r="Y80" s="31">
        <f>IF($B80="","",SUMIFS('支払明細'!$I$5:$I$1004,'支払明細'!$A$5:$A$1004,$B80,'支払明細'!$G$5:$G$1004,"10%（標準）",'支払明細'!$H$5:$H$1004,"&lt;&gt;対象外"))</f>
        <v/>
      </c>
      <c r="Z80" s="31">
        <f>IF($B80="","",SUMIFS('支払明細'!$I$5:$I$1004,'支払明細'!$A$5:$A$1004,$B80,'支払明細'!$G$5:$G$1004,"8%（軽減）",'支払明細'!$H$5:$H$1004,"&lt;&gt;対象外"))</f>
        <v/>
      </c>
      <c r="AA80" s="31">
        <f>IF($B80="","",SUMIFS('支払明細'!$I$5:$I$1004,'支払明細'!$A$5:$A$1004,$B80,'支払明細'!$G$5:$G$1004,"対象外",'支払明細'!$H$5:$H$1004,"&lt;&gt;対象外"))</f>
        <v/>
      </c>
      <c r="AB80" s="31">
        <f>IF($B80="","",COUNTIFS('支払明細'!$A$5:$A$1004,$B80,'支払明細'!$M$5:$M$1004,"超える"))</f>
        <v/>
      </c>
      <c r="AC80" s="31">
        <f>IF($B80="","",COUNTIFS('支払明細'!$A$5:$A$1004,$B80,'支払明細'!$G$5:$G$1004,""))</f>
        <v/>
      </c>
    </row>
    <row r="81" ht="18" customHeight="1">
      <c r="A81" s="17" t="n">
        <v>77</v>
      </c>
      <c r="B81" s="18" t="n"/>
      <c r="C81" s="18" t="n"/>
      <c r="D81" s="24" t="n"/>
      <c r="E81" s="19" t="n"/>
      <c r="F81" s="24" t="n"/>
      <c r="G81" s="28">
        <f>IF(AND($B81&lt;&gt;"",ISNUMBER($D81)),$D81+N('設定'!$B$13),"")</f>
        <v/>
      </c>
      <c r="H81" s="18" t="n"/>
      <c r="I81" s="19" t="n"/>
      <c r="J81" s="27">
        <f>IF($B81="","",IF($C81="","（支払先コードが空）",IF($X81="","※支払先にないコード",INDEX('支払先'!$C$5:$C$104,$X81)&amp;"")))</f>
        <v/>
      </c>
      <c r="K81" s="30">
        <f>IF($B81="","",COUNTIF('支払明細'!$A$5:$A$1004,$B81))</f>
        <v/>
      </c>
      <c r="L81" s="26">
        <f>IF($B81="","",SUMIFS('支払明細'!$I$5:$I$1004,'支払明細'!$A$5:$A$1004,$B81,'支払明細'!$G$5:$G$1004,"10%（標準）"))</f>
        <v/>
      </c>
      <c r="M81" s="26">
        <f>IF($B81="","",SUMIFS('支払明細'!$I$5:$I$1004,'支払明細'!$A$5:$A$1004,$B81,'支払明細'!$G$5:$G$1004,"8%（軽減）"))</f>
        <v/>
      </c>
      <c r="N81" s="26">
        <f>IF($B81="","",SUMIFS('支払明細'!$I$5:$I$1004,'支払明細'!$A$5:$A$1004,$B81,'支払明細'!$G$5:$G$1004,"対象外"))</f>
        <v/>
      </c>
      <c r="O81" s="26">
        <f>IF($B81="","",IF('設定'!$B$11="税込",IF('設定'!$B$12="切り捨て",ROUNDDOWN(ROUND($L81*10/110,6),0),IF('設定'!$B$12="切り上げ",ROUNDUP(ROUND($L81*10/110,6),0),ROUND($L81*10/110,0))),IF('設定'!$B$12="切り捨て",ROUNDDOWN(ROUND($L81*10/100,6),0),IF('設定'!$B$12="切り上げ",ROUNDUP(ROUND($L81*10/100,6),0),ROUND($L81*10/100,0)))))</f>
        <v/>
      </c>
      <c r="P81" s="26">
        <f>IF($B81="","",IF('設定'!$B$11="税込",IF('設定'!$B$12="切り捨て",ROUNDDOWN(ROUND($M81*8/108,6),0),IF('設定'!$B$12="切り上げ",ROUNDUP(ROUND($M81*8/108,6),0),ROUND($M81*8/108,0))),IF('設定'!$B$12="切り捨て",ROUNDDOWN(ROUND($M81*8/100,6),0),IF('設定'!$B$12="切り上げ",ROUNDUP(ROUND($M81*8/100,6),0),ROUND($M81*8/100,0)))))</f>
        <v/>
      </c>
      <c r="Q81" s="26">
        <f>IF($B81="","",IF('設定'!$B$11="税込",$L81+$M81+$N81,$L81+$O81+$M81+$P81+$N81))</f>
        <v/>
      </c>
      <c r="R81" s="26">
        <f>IF($B81="","",IF($X81="",0,IF(INDEX('支払先'!$I$5:$I$104,$X81)&lt;&gt;"する",0,IF(INDEX('支払先'!$J$5:$J$104,$X81)="税抜",IF('設定'!$B$11="税込",($Y81-IF('設定'!$B$12="切り捨て",ROUNDDOWN(ROUND($Y81*10/110,6),0),IF('設定'!$B$12="切り上げ",ROUNDUP(ROUND($Y81*10/110,6),0),ROUND($Y81*10/110,0)))+$Z81-IF('設定'!$B$12="切り捨て",ROUNDDOWN(ROUND($Z81*8/108,6),0),IF('設定'!$B$12="切り上げ",ROUNDUP(ROUND($Z81*8/108,6),0),ROUND($Z81*8/108,0)))+$AA81),$Y81+$Z81+$AA81),IF('設定'!$B$11="税込",$Y81+$Z81+$AA81,($Y81+IF('設定'!$B$12="切り捨て",ROUNDDOWN(ROUND($Y81*10/100,6),0),IF('設定'!$B$12="切り上げ",ROUNDUP(ROUND($Y81*10/100,6),0),ROUND($Y81*10/100,0)))+$Z81+IF('設定'!$B$12="切り捨て",ROUNDDOWN(ROUND($Z81*8/100,6),0),IF('設定'!$B$12="切り上げ",ROUNDUP(ROUND($Z81*8/100,6),0),ROUND($Z81*8/100,0)))+$AA81))))))</f>
        <v/>
      </c>
      <c r="S81" s="26">
        <f>IF($B81="","",IF(N($R81)&lt;=0,0,IF($R81&lt;='設定'!$B$18,ROUNDDOWN(ROUND($R81*'設定'!$B$17,6),0),ROUNDDOWN(ROUND(($R81-'設定'!$B$18)*'設定'!$B$19,6),0)+'設定'!$B$20)))</f>
        <v/>
      </c>
      <c r="T81" s="26">
        <f>IF($B81="","",IF($X81="",0,IF(INDEX('支払先'!$K$5:$K$104,$X81)="差し引く",N(INDEX('支払先'!$L$5:$L$104,$X81)),0)))</f>
        <v/>
      </c>
      <c r="U81" s="26">
        <f>IF($B81="","",$Q81-$S81-$T81)</f>
        <v/>
      </c>
      <c r="V81" s="22">
        <f>IF($B81="","",MID(IF($C81="","／支払先コードが空",IF($X81="","／支払先にないコード",""))&amp;IF($K81=0,"／明細がない","")&amp;IF($AC81&gt;0,"／税率が空の明細 "&amp;$AC81&amp;"件（合計に入っていない）","")&amp;IF($X81="","",IF(INDEX('支払先'!$G$5:$G$104,$X81)="","／登録番号なし（仕入明細書にならない）",""))&amp;IF($AB81&gt;0,"／60日（2か月）を超える明細 "&amp;$AB81&amp;"件","")&amp;IF($X81="","",IF(AND(INDEX('支払先'!$K$5:$K$104,$X81)="差し引く",OR(INDEX('支払先'!$M$5:$M$104,$X81)&lt;&gt;"対象外",INDEX('支払先'!$N$5:$N$104,$X81)&lt;&gt;"対象外")),"／手数料を差し引けない取引か確かめる",""))&amp;IF(COUNTIF($B$5:$B$204,$B81)&gt;1,"／通知Noが重複","")&amp;IF(AND(ISNUMBER($D81),ISNUMBER($F81),$F81&lt;$D81),"／支払予定日が発行日より前",""),2,300))</f>
        <v/>
      </c>
      <c r="W81" s="67" t="n"/>
      <c r="X81" s="31">
        <f>IF(OR($B81="",$C81=""),"",IFERROR(MATCH($C81,'支払先'!$B$5:$B$104,0),""))</f>
        <v/>
      </c>
      <c r="Y81" s="31">
        <f>IF($B81="","",SUMIFS('支払明細'!$I$5:$I$1004,'支払明細'!$A$5:$A$1004,$B81,'支払明細'!$G$5:$G$1004,"10%（標準）",'支払明細'!$H$5:$H$1004,"&lt;&gt;対象外"))</f>
        <v/>
      </c>
      <c r="Z81" s="31">
        <f>IF($B81="","",SUMIFS('支払明細'!$I$5:$I$1004,'支払明細'!$A$5:$A$1004,$B81,'支払明細'!$G$5:$G$1004,"8%（軽減）",'支払明細'!$H$5:$H$1004,"&lt;&gt;対象外"))</f>
        <v/>
      </c>
      <c r="AA81" s="31">
        <f>IF($B81="","",SUMIFS('支払明細'!$I$5:$I$1004,'支払明細'!$A$5:$A$1004,$B81,'支払明細'!$G$5:$G$1004,"対象外",'支払明細'!$H$5:$H$1004,"&lt;&gt;対象外"))</f>
        <v/>
      </c>
      <c r="AB81" s="31">
        <f>IF($B81="","",COUNTIFS('支払明細'!$A$5:$A$1004,$B81,'支払明細'!$M$5:$M$1004,"超える"))</f>
        <v/>
      </c>
      <c r="AC81" s="31">
        <f>IF($B81="","",COUNTIFS('支払明細'!$A$5:$A$1004,$B81,'支払明細'!$G$5:$G$1004,""))</f>
        <v/>
      </c>
    </row>
    <row r="82" ht="18" customHeight="1">
      <c r="A82" s="17" t="n">
        <v>78</v>
      </c>
      <c r="B82" s="18" t="n"/>
      <c r="C82" s="18" t="n"/>
      <c r="D82" s="24" t="n"/>
      <c r="E82" s="19" t="n"/>
      <c r="F82" s="24" t="n"/>
      <c r="G82" s="28">
        <f>IF(AND($B82&lt;&gt;"",ISNUMBER($D82)),$D82+N('設定'!$B$13),"")</f>
        <v/>
      </c>
      <c r="H82" s="18" t="n"/>
      <c r="I82" s="19" t="n"/>
      <c r="J82" s="27">
        <f>IF($B82="","",IF($C82="","（支払先コードが空）",IF($X82="","※支払先にないコード",INDEX('支払先'!$C$5:$C$104,$X82)&amp;"")))</f>
        <v/>
      </c>
      <c r="K82" s="30">
        <f>IF($B82="","",COUNTIF('支払明細'!$A$5:$A$1004,$B82))</f>
        <v/>
      </c>
      <c r="L82" s="26">
        <f>IF($B82="","",SUMIFS('支払明細'!$I$5:$I$1004,'支払明細'!$A$5:$A$1004,$B82,'支払明細'!$G$5:$G$1004,"10%（標準）"))</f>
        <v/>
      </c>
      <c r="M82" s="26">
        <f>IF($B82="","",SUMIFS('支払明細'!$I$5:$I$1004,'支払明細'!$A$5:$A$1004,$B82,'支払明細'!$G$5:$G$1004,"8%（軽減）"))</f>
        <v/>
      </c>
      <c r="N82" s="26">
        <f>IF($B82="","",SUMIFS('支払明細'!$I$5:$I$1004,'支払明細'!$A$5:$A$1004,$B82,'支払明細'!$G$5:$G$1004,"対象外"))</f>
        <v/>
      </c>
      <c r="O82" s="26">
        <f>IF($B82="","",IF('設定'!$B$11="税込",IF('設定'!$B$12="切り捨て",ROUNDDOWN(ROUND($L82*10/110,6),0),IF('設定'!$B$12="切り上げ",ROUNDUP(ROUND($L82*10/110,6),0),ROUND($L82*10/110,0))),IF('設定'!$B$12="切り捨て",ROUNDDOWN(ROUND($L82*10/100,6),0),IF('設定'!$B$12="切り上げ",ROUNDUP(ROUND($L82*10/100,6),0),ROUND($L82*10/100,0)))))</f>
        <v/>
      </c>
      <c r="P82" s="26">
        <f>IF($B82="","",IF('設定'!$B$11="税込",IF('設定'!$B$12="切り捨て",ROUNDDOWN(ROUND($M82*8/108,6),0),IF('設定'!$B$12="切り上げ",ROUNDUP(ROUND($M82*8/108,6),0),ROUND($M82*8/108,0))),IF('設定'!$B$12="切り捨て",ROUNDDOWN(ROUND($M82*8/100,6),0),IF('設定'!$B$12="切り上げ",ROUNDUP(ROUND($M82*8/100,6),0),ROUND($M82*8/100,0)))))</f>
        <v/>
      </c>
      <c r="Q82" s="26">
        <f>IF($B82="","",IF('設定'!$B$11="税込",$L82+$M82+$N82,$L82+$O82+$M82+$P82+$N82))</f>
        <v/>
      </c>
      <c r="R82" s="26">
        <f>IF($B82="","",IF($X82="",0,IF(INDEX('支払先'!$I$5:$I$104,$X82)&lt;&gt;"する",0,IF(INDEX('支払先'!$J$5:$J$104,$X82)="税抜",IF('設定'!$B$11="税込",($Y82-IF('設定'!$B$12="切り捨て",ROUNDDOWN(ROUND($Y82*10/110,6),0),IF('設定'!$B$12="切り上げ",ROUNDUP(ROUND($Y82*10/110,6),0),ROUND($Y82*10/110,0)))+$Z82-IF('設定'!$B$12="切り捨て",ROUNDDOWN(ROUND($Z82*8/108,6),0),IF('設定'!$B$12="切り上げ",ROUNDUP(ROUND($Z82*8/108,6),0),ROUND($Z82*8/108,0)))+$AA82),$Y82+$Z82+$AA82),IF('設定'!$B$11="税込",$Y82+$Z82+$AA82,($Y82+IF('設定'!$B$12="切り捨て",ROUNDDOWN(ROUND($Y82*10/100,6),0),IF('設定'!$B$12="切り上げ",ROUNDUP(ROUND($Y82*10/100,6),0),ROUND($Y82*10/100,0)))+$Z82+IF('設定'!$B$12="切り捨て",ROUNDDOWN(ROUND($Z82*8/100,6),0),IF('設定'!$B$12="切り上げ",ROUNDUP(ROUND($Z82*8/100,6),0),ROUND($Z82*8/100,0)))+$AA82))))))</f>
        <v/>
      </c>
      <c r="S82" s="26">
        <f>IF($B82="","",IF(N($R82)&lt;=0,0,IF($R82&lt;='設定'!$B$18,ROUNDDOWN(ROUND($R82*'設定'!$B$17,6),0),ROUNDDOWN(ROUND(($R82-'設定'!$B$18)*'設定'!$B$19,6),0)+'設定'!$B$20)))</f>
        <v/>
      </c>
      <c r="T82" s="26">
        <f>IF($B82="","",IF($X82="",0,IF(INDEX('支払先'!$K$5:$K$104,$X82)="差し引く",N(INDEX('支払先'!$L$5:$L$104,$X82)),0)))</f>
        <v/>
      </c>
      <c r="U82" s="26">
        <f>IF($B82="","",$Q82-$S82-$T82)</f>
        <v/>
      </c>
      <c r="V82" s="22">
        <f>IF($B82="","",MID(IF($C82="","／支払先コードが空",IF($X82="","／支払先にないコード",""))&amp;IF($K82=0,"／明細がない","")&amp;IF($AC82&gt;0,"／税率が空の明細 "&amp;$AC82&amp;"件（合計に入っていない）","")&amp;IF($X82="","",IF(INDEX('支払先'!$G$5:$G$104,$X82)="","／登録番号なし（仕入明細書にならない）",""))&amp;IF($AB82&gt;0,"／60日（2か月）を超える明細 "&amp;$AB82&amp;"件","")&amp;IF($X82="","",IF(AND(INDEX('支払先'!$K$5:$K$104,$X82)="差し引く",OR(INDEX('支払先'!$M$5:$M$104,$X82)&lt;&gt;"対象外",INDEX('支払先'!$N$5:$N$104,$X82)&lt;&gt;"対象外")),"／手数料を差し引けない取引か確かめる",""))&amp;IF(COUNTIF($B$5:$B$204,$B82)&gt;1,"／通知Noが重複","")&amp;IF(AND(ISNUMBER($D82),ISNUMBER($F82),$F82&lt;$D82),"／支払予定日が発行日より前",""),2,300))</f>
        <v/>
      </c>
      <c r="W82" s="67" t="n"/>
      <c r="X82" s="31">
        <f>IF(OR($B82="",$C82=""),"",IFERROR(MATCH($C82,'支払先'!$B$5:$B$104,0),""))</f>
        <v/>
      </c>
      <c r="Y82" s="31">
        <f>IF($B82="","",SUMIFS('支払明細'!$I$5:$I$1004,'支払明細'!$A$5:$A$1004,$B82,'支払明細'!$G$5:$G$1004,"10%（標準）",'支払明細'!$H$5:$H$1004,"&lt;&gt;対象外"))</f>
        <v/>
      </c>
      <c r="Z82" s="31">
        <f>IF($B82="","",SUMIFS('支払明細'!$I$5:$I$1004,'支払明細'!$A$5:$A$1004,$B82,'支払明細'!$G$5:$G$1004,"8%（軽減）",'支払明細'!$H$5:$H$1004,"&lt;&gt;対象外"))</f>
        <v/>
      </c>
      <c r="AA82" s="31">
        <f>IF($B82="","",SUMIFS('支払明細'!$I$5:$I$1004,'支払明細'!$A$5:$A$1004,$B82,'支払明細'!$G$5:$G$1004,"対象外",'支払明細'!$H$5:$H$1004,"&lt;&gt;対象外"))</f>
        <v/>
      </c>
      <c r="AB82" s="31">
        <f>IF($B82="","",COUNTIFS('支払明細'!$A$5:$A$1004,$B82,'支払明細'!$M$5:$M$1004,"超える"))</f>
        <v/>
      </c>
      <c r="AC82" s="31">
        <f>IF($B82="","",COUNTIFS('支払明細'!$A$5:$A$1004,$B82,'支払明細'!$G$5:$G$1004,""))</f>
        <v/>
      </c>
    </row>
    <row r="83" ht="18" customHeight="1">
      <c r="A83" s="17" t="n">
        <v>79</v>
      </c>
      <c r="B83" s="18" t="n"/>
      <c r="C83" s="18" t="n"/>
      <c r="D83" s="24" t="n"/>
      <c r="E83" s="19" t="n"/>
      <c r="F83" s="24" t="n"/>
      <c r="G83" s="28">
        <f>IF(AND($B83&lt;&gt;"",ISNUMBER($D83)),$D83+N('設定'!$B$13),"")</f>
        <v/>
      </c>
      <c r="H83" s="18" t="n"/>
      <c r="I83" s="19" t="n"/>
      <c r="J83" s="27">
        <f>IF($B83="","",IF($C83="","（支払先コードが空）",IF($X83="","※支払先にないコード",INDEX('支払先'!$C$5:$C$104,$X83)&amp;"")))</f>
        <v/>
      </c>
      <c r="K83" s="30">
        <f>IF($B83="","",COUNTIF('支払明細'!$A$5:$A$1004,$B83))</f>
        <v/>
      </c>
      <c r="L83" s="26">
        <f>IF($B83="","",SUMIFS('支払明細'!$I$5:$I$1004,'支払明細'!$A$5:$A$1004,$B83,'支払明細'!$G$5:$G$1004,"10%（標準）"))</f>
        <v/>
      </c>
      <c r="M83" s="26">
        <f>IF($B83="","",SUMIFS('支払明細'!$I$5:$I$1004,'支払明細'!$A$5:$A$1004,$B83,'支払明細'!$G$5:$G$1004,"8%（軽減）"))</f>
        <v/>
      </c>
      <c r="N83" s="26">
        <f>IF($B83="","",SUMIFS('支払明細'!$I$5:$I$1004,'支払明細'!$A$5:$A$1004,$B83,'支払明細'!$G$5:$G$1004,"対象外"))</f>
        <v/>
      </c>
      <c r="O83" s="26">
        <f>IF($B83="","",IF('設定'!$B$11="税込",IF('設定'!$B$12="切り捨て",ROUNDDOWN(ROUND($L83*10/110,6),0),IF('設定'!$B$12="切り上げ",ROUNDUP(ROUND($L83*10/110,6),0),ROUND($L83*10/110,0))),IF('設定'!$B$12="切り捨て",ROUNDDOWN(ROUND($L83*10/100,6),0),IF('設定'!$B$12="切り上げ",ROUNDUP(ROUND($L83*10/100,6),0),ROUND($L83*10/100,0)))))</f>
        <v/>
      </c>
      <c r="P83" s="26">
        <f>IF($B83="","",IF('設定'!$B$11="税込",IF('設定'!$B$12="切り捨て",ROUNDDOWN(ROUND($M83*8/108,6),0),IF('設定'!$B$12="切り上げ",ROUNDUP(ROUND($M83*8/108,6),0),ROUND($M83*8/108,0))),IF('設定'!$B$12="切り捨て",ROUNDDOWN(ROUND($M83*8/100,6),0),IF('設定'!$B$12="切り上げ",ROUNDUP(ROUND($M83*8/100,6),0),ROUND($M83*8/100,0)))))</f>
        <v/>
      </c>
      <c r="Q83" s="26">
        <f>IF($B83="","",IF('設定'!$B$11="税込",$L83+$M83+$N83,$L83+$O83+$M83+$P83+$N83))</f>
        <v/>
      </c>
      <c r="R83" s="26">
        <f>IF($B83="","",IF($X83="",0,IF(INDEX('支払先'!$I$5:$I$104,$X83)&lt;&gt;"する",0,IF(INDEX('支払先'!$J$5:$J$104,$X83)="税抜",IF('設定'!$B$11="税込",($Y83-IF('設定'!$B$12="切り捨て",ROUNDDOWN(ROUND($Y83*10/110,6),0),IF('設定'!$B$12="切り上げ",ROUNDUP(ROUND($Y83*10/110,6),0),ROUND($Y83*10/110,0)))+$Z83-IF('設定'!$B$12="切り捨て",ROUNDDOWN(ROUND($Z83*8/108,6),0),IF('設定'!$B$12="切り上げ",ROUNDUP(ROUND($Z83*8/108,6),0),ROUND($Z83*8/108,0)))+$AA83),$Y83+$Z83+$AA83),IF('設定'!$B$11="税込",$Y83+$Z83+$AA83,($Y83+IF('設定'!$B$12="切り捨て",ROUNDDOWN(ROUND($Y83*10/100,6),0),IF('設定'!$B$12="切り上げ",ROUNDUP(ROUND($Y83*10/100,6),0),ROUND($Y83*10/100,0)))+$Z83+IF('設定'!$B$12="切り捨て",ROUNDDOWN(ROUND($Z83*8/100,6),0),IF('設定'!$B$12="切り上げ",ROUNDUP(ROUND($Z83*8/100,6),0),ROUND($Z83*8/100,0)))+$AA83))))))</f>
        <v/>
      </c>
      <c r="S83" s="26">
        <f>IF($B83="","",IF(N($R83)&lt;=0,0,IF($R83&lt;='設定'!$B$18,ROUNDDOWN(ROUND($R83*'設定'!$B$17,6),0),ROUNDDOWN(ROUND(($R83-'設定'!$B$18)*'設定'!$B$19,6),0)+'設定'!$B$20)))</f>
        <v/>
      </c>
      <c r="T83" s="26">
        <f>IF($B83="","",IF($X83="",0,IF(INDEX('支払先'!$K$5:$K$104,$X83)="差し引く",N(INDEX('支払先'!$L$5:$L$104,$X83)),0)))</f>
        <v/>
      </c>
      <c r="U83" s="26">
        <f>IF($B83="","",$Q83-$S83-$T83)</f>
        <v/>
      </c>
      <c r="V83" s="22">
        <f>IF($B83="","",MID(IF($C83="","／支払先コードが空",IF($X83="","／支払先にないコード",""))&amp;IF($K83=0,"／明細がない","")&amp;IF($AC83&gt;0,"／税率が空の明細 "&amp;$AC83&amp;"件（合計に入っていない）","")&amp;IF($X83="","",IF(INDEX('支払先'!$G$5:$G$104,$X83)="","／登録番号なし（仕入明細書にならない）",""))&amp;IF($AB83&gt;0,"／60日（2か月）を超える明細 "&amp;$AB83&amp;"件","")&amp;IF($X83="","",IF(AND(INDEX('支払先'!$K$5:$K$104,$X83)="差し引く",OR(INDEX('支払先'!$M$5:$M$104,$X83)&lt;&gt;"対象外",INDEX('支払先'!$N$5:$N$104,$X83)&lt;&gt;"対象外")),"／手数料を差し引けない取引か確かめる",""))&amp;IF(COUNTIF($B$5:$B$204,$B83)&gt;1,"／通知Noが重複","")&amp;IF(AND(ISNUMBER($D83),ISNUMBER($F83),$F83&lt;$D83),"／支払予定日が発行日より前",""),2,300))</f>
        <v/>
      </c>
      <c r="W83" s="67" t="n"/>
      <c r="X83" s="31">
        <f>IF(OR($B83="",$C83=""),"",IFERROR(MATCH($C83,'支払先'!$B$5:$B$104,0),""))</f>
        <v/>
      </c>
      <c r="Y83" s="31">
        <f>IF($B83="","",SUMIFS('支払明細'!$I$5:$I$1004,'支払明細'!$A$5:$A$1004,$B83,'支払明細'!$G$5:$G$1004,"10%（標準）",'支払明細'!$H$5:$H$1004,"&lt;&gt;対象外"))</f>
        <v/>
      </c>
      <c r="Z83" s="31">
        <f>IF($B83="","",SUMIFS('支払明細'!$I$5:$I$1004,'支払明細'!$A$5:$A$1004,$B83,'支払明細'!$G$5:$G$1004,"8%（軽減）",'支払明細'!$H$5:$H$1004,"&lt;&gt;対象外"))</f>
        <v/>
      </c>
      <c r="AA83" s="31">
        <f>IF($B83="","",SUMIFS('支払明細'!$I$5:$I$1004,'支払明細'!$A$5:$A$1004,$B83,'支払明細'!$G$5:$G$1004,"対象外",'支払明細'!$H$5:$H$1004,"&lt;&gt;対象外"))</f>
        <v/>
      </c>
      <c r="AB83" s="31">
        <f>IF($B83="","",COUNTIFS('支払明細'!$A$5:$A$1004,$B83,'支払明細'!$M$5:$M$1004,"超える"))</f>
        <v/>
      </c>
      <c r="AC83" s="31">
        <f>IF($B83="","",COUNTIFS('支払明細'!$A$5:$A$1004,$B83,'支払明細'!$G$5:$G$1004,""))</f>
        <v/>
      </c>
    </row>
    <row r="84" ht="18" customHeight="1">
      <c r="A84" s="17" t="n">
        <v>80</v>
      </c>
      <c r="B84" s="18" t="n"/>
      <c r="C84" s="18" t="n"/>
      <c r="D84" s="24" t="n"/>
      <c r="E84" s="19" t="n"/>
      <c r="F84" s="24" t="n"/>
      <c r="G84" s="28">
        <f>IF(AND($B84&lt;&gt;"",ISNUMBER($D84)),$D84+N('設定'!$B$13),"")</f>
        <v/>
      </c>
      <c r="H84" s="18" t="n"/>
      <c r="I84" s="19" t="n"/>
      <c r="J84" s="27">
        <f>IF($B84="","",IF($C84="","（支払先コードが空）",IF($X84="","※支払先にないコード",INDEX('支払先'!$C$5:$C$104,$X84)&amp;"")))</f>
        <v/>
      </c>
      <c r="K84" s="30">
        <f>IF($B84="","",COUNTIF('支払明細'!$A$5:$A$1004,$B84))</f>
        <v/>
      </c>
      <c r="L84" s="26">
        <f>IF($B84="","",SUMIFS('支払明細'!$I$5:$I$1004,'支払明細'!$A$5:$A$1004,$B84,'支払明細'!$G$5:$G$1004,"10%（標準）"))</f>
        <v/>
      </c>
      <c r="M84" s="26">
        <f>IF($B84="","",SUMIFS('支払明細'!$I$5:$I$1004,'支払明細'!$A$5:$A$1004,$B84,'支払明細'!$G$5:$G$1004,"8%（軽減）"))</f>
        <v/>
      </c>
      <c r="N84" s="26">
        <f>IF($B84="","",SUMIFS('支払明細'!$I$5:$I$1004,'支払明細'!$A$5:$A$1004,$B84,'支払明細'!$G$5:$G$1004,"対象外"))</f>
        <v/>
      </c>
      <c r="O84" s="26">
        <f>IF($B84="","",IF('設定'!$B$11="税込",IF('設定'!$B$12="切り捨て",ROUNDDOWN(ROUND($L84*10/110,6),0),IF('設定'!$B$12="切り上げ",ROUNDUP(ROUND($L84*10/110,6),0),ROUND($L84*10/110,0))),IF('設定'!$B$12="切り捨て",ROUNDDOWN(ROUND($L84*10/100,6),0),IF('設定'!$B$12="切り上げ",ROUNDUP(ROUND($L84*10/100,6),0),ROUND($L84*10/100,0)))))</f>
        <v/>
      </c>
      <c r="P84" s="26">
        <f>IF($B84="","",IF('設定'!$B$11="税込",IF('設定'!$B$12="切り捨て",ROUNDDOWN(ROUND($M84*8/108,6),0),IF('設定'!$B$12="切り上げ",ROUNDUP(ROUND($M84*8/108,6),0),ROUND($M84*8/108,0))),IF('設定'!$B$12="切り捨て",ROUNDDOWN(ROUND($M84*8/100,6),0),IF('設定'!$B$12="切り上げ",ROUNDUP(ROUND($M84*8/100,6),0),ROUND($M84*8/100,0)))))</f>
        <v/>
      </c>
      <c r="Q84" s="26">
        <f>IF($B84="","",IF('設定'!$B$11="税込",$L84+$M84+$N84,$L84+$O84+$M84+$P84+$N84))</f>
        <v/>
      </c>
      <c r="R84" s="26">
        <f>IF($B84="","",IF($X84="",0,IF(INDEX('支払先'!$I$5:$I$104,$X84)&lt;&gt;"する",0,IF(INDEX('支払先'!$J$5:$J$104,$X84)="税抜",IF('設定'!$B$11="税込",($Y84-IF('設定'!$B$12="切り捨て",ROUNDDOWN(ROUND($Y84*10/110,6),0),IF('設定'!$B$12="切り上げ",ROUNDUP(ROUND($Y84*10/110,6),0),ROUND($Y84*10/110,0)))+$Z84-IF('設定'!$B$12="切り捨て",ROUNDDOWN(ROUND($Z84*8/108,6),0),IF('設定'!$B$12="切り上げ",ROUNDUP(ROUND($Z84*8/108,6),0),ROUND($Z84*8/108,0)))+$AA84),$Y84+$Z84+$AA84),IF('設定'!$B$11="税込",$Y84+$Z84+$AA84,($Y84+IF('設定'!$B$12="切り捨て",ROUNDDOWN(ROUND($Y84*10/100,6),0),IF('設定'!$B$12="切り上げ",ROUNDUP(ROUND($Y84*10/100,6),0),ROUND($Y84*10/100,0)))+$Z84+IF('設定'!$B$12="切り捨て",ROUNDDOWN(ROUND($Z84*8/100,6),0),IF('設定'!$B$12="切り上げ",ROUNDUP(ROUND($Z84*8/100,6),0),ROUND($Z84*8/100,0)))+$AA84))))))</f>
        <v/>
      </c>
      <c r="S84" s="26">
        <f>IF($B84="","",IF(N($R84)&lt;=0,0,IF($R84&lt;='設定'!$B$18,ROUNDDOWN(ROUND($R84*'設定'!$B$17,6),0),ROUNDDOWN(ROUND(($R84-'設定'!$B$18)*'設定'!$B$19,6),0)+'設定'!$B$20)))</f>
        <v/>
      </c>
      <c r="T84" s="26">
        <f>IF($B84="","",IF($X84="",0,IF(INDEX('支払先'!$K$5:$K$104,$X84)="差し引く",N(INDEX('支払先'!$L$5:$L$104,$X84)),0)))</f>
        <v/>
      </c>
      <c r="U84" s="26">
        <f>IF($B84="","",$Q84-$S84-$T84)</f>
        <v/>
      </c>
      <c r="V84" s="22">
        <f>IF($B84="","",MID(IF($C84="","／支払先コードが空",IF($X84="","／支払先にないコード",""))&amp;IF($K84=0,"／明細がない","")&amp;IF($AC84&gt;0,"／税率が空の明細 "&amp;$AC84&amp;"件（合計に入っていない）","")&amp;IF($X84="","",IF(INDEX('支払先'!$G$5:$G$104,$X84)="","／登録番号なし（仕入明細書にならない）",""))&amp;IF($AB84&gt;0,"／60日（2か月）を超える明細 "&amp;$AB84&amp;"件","")&amp;IF($X84="","",IF(AND(INDEX('支払先'!$K$5:$K$104,$X84)="差し引く",OR(INDEX('支払先'!$M$5:$M$104,$X84)&lt;&gt;"対象外",INDEX('支払先'!$N$5:$N$104,$X84)&lt;&gt;"対象外")),"／手数料を差し引けない取引か確かめる",""))&amp;IF(COUNTIF($B$5:$B$204,$B84)&gt;1,"／通知Noが重複","")&amp;IF(AND(ISNUMBER($D84),ISNUMBER($F84),$F84&lt;$D84),"／支払予定日が発行日より前",""),2,300))</f>
        <v/>
      </c>
      <c r="W84" s="67" t="n"/>
      <c r="X84" s="31">
        <f>IF(OR($B84="",$C84=""),"",IFERROR(MATCH($C84,'支払先'!$B$5:$B$104,0),""))</f>
        <v/>
      </c>
      <c r="Y84" s="31">
        <f>IF($B84="","",SUMIFS('支払明細'!$I$5:$I$1004,'支払明細'!$A$5:$A$1004,$B84,'支払明細'!$G$5:$G$1004,"10%（標準）",'支払明細'!$H$5:$H$1004,"&lt;&gt;対象外"))</f>
        <v/>
      </c>
      <c r="Z84" s="31">
        <f>IF($B84="","",SUMIFS('支払明細'!$I$5:$I$1004,'支払明細'!$A$5:$A$1004,$B84,'支払明細'!$G$5:$G$1004,"8%（軽減）",'支払明細'!$H$5:$H$1004,"&lt;&gt;対象外"))</f>
        <v/>
      </c>
      <c r="AA84" s="31">
        <f>IF($B84="","",SUMIFS('支払明細'!$I$5:$I$1004,'支払明細'!$A$5:$A$1004,$B84,'支払明細'!$G$5:$G$1004,"対象外",'支払明細'!$H$5:$H$1004,"&lt;&gt;対象外"))</f>
        <v/>
      </c>
      <c r="AB84" s="31">
        <f>IF($B84="","",COUNTIFS('支払明細'!$A$5:$A$1004,$B84,'支払明細'!$M$5:$M$1004,"超える"))</f>
        <v/>
      </c>
      <c r="AC84" s="31">
        <f>IF($B84="","",COUNTIFS('支払明細'!$A$5:$A$1004,$B84,'支払明細'!$G$5:$G$1004,""))</f>
        <v/>
      </c>
    </row>
    <row r="85" ht="18" customHeight="1">
      <c r="A85" s="17" t="n">
        <v>81</v>
      </c>
      <c r="B85" s="18" t="n"/>
      <c r="C85" s="18" t="n"/>
      <c r="D85" s="24" t="n"/>
      <c r="E85" s="19" t="n"/>
      <c r="F85" s="24" t="n"/>
      <c r="G85" s="28">
        <f>IF(AND($B85&lt;&gt;"",ISNUMBER($D85)),$D85+N('設定'!$B$13),"")</f>
        <v/>
      </c>
      <c r="H85" s="18" t="n"/>
      <c r="I85" s="19" t="n"/>
      <c r="J85" s="27">
        <f>IF($B85="","",IF($C85="","（支払先コードが空）",IF($X85="","※支払先にないコード",INDEX('支払先'!$C$5:$C$104,$X85)&amp;"")))</f>
        <v/>
      </c>
      <c r="K85" s="30">
        <f>IF($B85="","",COUNTIF('支払明細'!$A$5:$A$1004,$B85))</f>
        <v/>
      </c>
      <c r="L85" s="26">
        <f>IF($B85="","",SUMIFS('支払明細'!$I$5:$I$1004,'支払明細'!$A$5:$A$1004,$B85,'支払明細'!$G$5:$G$1004,"10%（標準）"))</f>
        <v/>
      </c>
      <c r="M85" s="26">
        <f>IF($B85="","",SUMIFS('支払明細'!$I$5:$I$1004,'支払明細'!$A$5:$A$1004,$B85,'支払明細'!$G$5:$G$1004,"8%（軽減）"))</f>
        <v/>
      </c>
      <c r="N85" s="26">
        <f>IF($B85="","",SUMIFS('支払明細'!$I$5:$I$1004,'支払明細'!$A$5:$A$1004,$B85,'支払明細'!$G$5:$G$1004,"対象外"))</f>
        <v/>
      </c>
      <c r="O85" s="26">
        <f>IF($B85="","",IF('設定'!$B$11="税込",IF('設定'!$B$12="切り捨て",ROUNDDOWN(ROUND($L85*10/110,6),0),IF('設定'!$B$12="切り上げ",ROUNDUP(ROUND($L85*10/110,6),0),ROUND($L85*10/110,0))),IF('設定'!$B$12="切り捨て",ROUNDDOWN(ROUND($L85*10/100,6),0),IF('設定'!$B$12="切り上げ",ROUNDUP(ROUND($L85*10/100,6),0),ROUND($L85*10/100,0)))))</f>
        <v/>
      </c>
      <c r="P85" s="26">
        <f>IF($B85="","",IF('設定'!$B$11="税込",IF('設定'!$B$12="切り捨て",ROUNDDOWN(ROUND($M85*8/108,6),0),IF('設定'!$B$12="切り上げ",ROUNDUP(ROUND($M85*8/108,6),0),ROUND($M85*8/108,0))),IF('設定'!$B$12="切り捨て",ROUNDDOWN(ROUND($M85*8/100,6),0),IF('設定'!$B$12="切り上げ",ROUNDUP(ROUND($M85*8/100,6),0),ROUND($M85*8/100,0)))))</f>
        <v/>
      </c>
      <c r="Q85" s="26">
        <f>IF($B85="","",IF('設定'!$B$11="税込",$L85+$M85+$N85,$L85+$O85+$M85+$P85+$N85))</f>
        <v/>
      </c>
      <c r="R85" s="26">
        <f>IF($B85="","",IF($X85="",0,IF(INDEX('支払先'!$I$5:$I$104,$X85)&lt;&gt;"する",0,IF(INDEX('支払先'!$J$5:$J$104,$X85)="税抜",IF('設定'!$B$11="税込",($Y85-IF('設定'!$B$12="切り捨て",ROUNDDOWN(ROUND($Y85*10/110,6),0),IF('設定'!$B$12="切り上げ",ROUNDUP(ROUND($Y85*10/110,6),0),ROUND($Y85*10/110,0)))+$Z85-IF('設定'!$B$12="切り捨て",ROUNDDOWN(ROUND($Z85*8/108,6),0),IF('設定'!$B$12="切り上げ",ROUNDUP(ROUND($Z85*8/108,6),0),ROUND($Z85*8/108,0)))+$AA85),$Y85+$Z85+$AA85),IF('設定'!$B$11="税込",$Y85+$Z85+$AA85,($Y85+IF('設定'!$B$12="切り捨て",ROUNDDOWN(ROUND($Y85*10/100,6),0),IF('設定'!$B$12="切り上げ",ROUNDUP(ROUND($Y85*10/100,6),0),ROUND($Y85*10/100,0)))+$Z85+IF('設定'!$B$12="切り捨て",ROUNDDOWN(ROUND($Z85*8/100,6),0),IF('設定'!$B$12="切り上げ",ROUNDUP(ROUND($Z85*8/100,6),0),ROUND($Z85*8/100,0)))+$AA85))))))</f>
        <v/>
      </c>
      <c r="S85" s="26">
        <f>IF($B85="","",IF(N($R85)&lt;=0,0,IF($R85&lt;='設定'!$B$18,ROUNDDOWN(ROUND($R85*'設定'!$B$17,6),0),ROUNDDOWN(ROUND(($R85-'設定'!$B$18)*'設定'!$B$19,6),0)+'設定'!$B$20)))</f>
        <v/>
      </c>
      <c r="T85" s="26">
        <f>IF($B85="","",IF($X85="",0,IF(INDEX('支払先'!$K$5:$K$104,$X85)="差し引く",N(INDEX('支払先'!$L$5:$L$104,$X85)),0)))</f>
        <v/>
      </c>
      <c r="U85" s="26">
        <f>IF($B85="","",$Q85-$S85-$T85)</f>
        <v/>
      </c>
      <c r="V85" s="22">
        <f>IF($B85="","",MID(IF($C85="","／支払先コードが空",IF($X85="","／支払先にないコード",""))&amp;IF($K85=0,"／明細がない","")&amp;IF($AC85&gt;0,"／税率が空の明細 "&amp;$AC85&amp;"件（合計に入っていない）","")&amp;IF($X85="","",IF(INDEX('支払先'!$G$5:$G$104,$X85)="","／登録番号なし（仕入明細書にならない）",""))&amp;IF($AB85&gt;0,"／60日（2か月）を超える明細 "&amp;$AB85&amp;"件","")&amp;IF($X85="","",IF(AND(INDEX('支払先'!$K$5:$K$104,$X85)="差し引く",OR(INDEX('支払先'!$M$5:$M$104,$X85)&lt;&gt;"対象外",INDEX('支払先'!$N$5:$N$104,$X85)&lt;&gt;"対象外")),"／手数料を差し引けない取引か確かめる",""))&amp;IF(COUNTIF($B$5:$B$204,$B85)&gt;1,"／通知Noが重複","")&amp;IF(AND(ISNUMBER($D85),ISNUMBER($F85),$F85&lt;$D85),"／支払予定日が発行日より前",""),2,300))</f>
        <v/>
      </c>
      <c r="W85" s="67" t="n"/>
      <c r="X85" s="31">
        <f>IF(OR($B85="",$C85=""),"",IFERROR(MATCH($C85,'支払先'!$B$5:$B$104,0),""))</f>
        <v/>
      </c>
      <c r="Y85" s="31">
        <f>IF($B85="","",SUMIFS('支払明細'!$I$5:$I$1004,'支払明細'!$A$5:$A$1004,$B85,'支払明細'!$G$5:$G$1004,"10%（標準）",'支払明細'!$H$5:$H$1004,"&lt;&gt;対象外"))</f>
        <v/>
      </c>
      <c r="Z85" s="31">
        <f>IF($B85="","",SUMIFS('支払明細'!$I$5:$I$1004,'支払明細'!$A$5:$A$1004,$B85,'支払明細'!$G$5:$G$1004,"8%（軽減）",'支払明細'!$H$5:$H$1004,"&lt;&gt;対象外"))</f>
        <v/>
      </c>
      <c r="AA85" s="31">
        <f>IF($B85="","",SUMIFS('支払明細'!$I$5:$I$1004,'支払明細'!$A$5:$A$1004,$B85,'支払明細'!$G$5:$G$1004,"対象外",'支払明細'!$H$5:$H$1004,"&lt;&gt;対象外"))</f>
        <v/>
      </c>
      <c r="AB85" s="31">
        <f>IF($B85="","",COUNTIFS('支払明細'!$A$5:$A$1004,$B85,'支払明細'!$M$5:$M$1004,"超える"))</f>
        <v/>
      </c>
      <c r="AC85" s="31">
        <f>IF($B85="","",COUNTIFS('支払明細'!$A$5:$A$1004,$B85,'支払明細'!$G$5:$G$1004,""))</f>
        <v/>
      </c>
    </row>
    <row r="86" ht="18" customHeight="1">
      <c r="A86" s="17" t="n">
        <v>82</v>
      </c>
      <c r="B86" s="18" t="n"/>
      <c r="C86" s="18" t="n"/>
      <c r="D86" s="24" t="n"/>
      <c r="E86" s="19" t="n"/>
      <c r="F86" s="24" t="n"/>
      <c r="G86" s="28">
        <f>IF(AND($B86&lt;&gt;"",ISNUMBER($D86)),$D86+N('設定'!$B$13),"")</f>
        <v/>
      </c>
      <c r="H86" s="18" t="n"/>
      <c r="I86" s="19" t="n"/>
      <c r="J86" s="27">
        <f>IF($B86="","",IF($C86="","（支払先コードが空）",IF($X86="","※支払先にないコード",INDEX('支払先'!$C$5:$C$104,$X86)&amp;"")))</f>
        <v/>
      </c>
      <c r="K86" s="30">
        <f>IF($B86="","",COUNTIF('支払明細'!$A$5:$A$1004,$B86))</f>
        <v/>
      </c>
      <c r="L86" s="26">
        <f>IF($B86="","",SUMIFS('支払明細'!$I$5:$I$1004,'支払明細'!$A$5:$A$1004,$B86,'支払明細'!$G$5:$G$1004,"10%（標準）"))</f>
        <v/>
      </c>
      <c r="M86" s="26">
        <f>IF($B86="","",SUMIFS('支払明細'!$I$5:$I$1004,'支払明細'!$A$5:$A$1004,$B86,'支払明細'!$G$5:$G$1004,"8%（軽減）"))</f>
        <v/>
      </c>
      <c r="N86" s="26">
        <f>IF($B86="","",SUMIFS('支払明細'!$I$5:$I$1004,'支払明細'!$A$5:$A$1004,$B86,'支払明細'!$G$5:$G$1004,"対象外"))</f>
        <v/>
      </c>
      <c r="O86" s="26">
        <f>IF($B86="","",IF('設定'!$B$11="税込",IF('設定'!$B$12="切り捨て",ROUNDDOWN(ROUND($L86*10/110,6),0),IF('設定'!$B$12="切り上げ",ROUNDUP(ROUND($L86*10/110,6),0),ROUND($L86*10/110,0))),IF('設定'!$B$12="切り捨て",ROUNDDOWN(ROUND($L86*10/100,6),0),IF('設定'!$B$12="切り上げ",ROUNDUP(ROUND($L86*10/100,6),0),ROUND($L86*10/100,0)))))</f>
        <v/>
      </c>
      <c r="P86" s="26">
        <f>IF($B86="","",IF('設定'!$B$11="税込",IF('設定'!$B$12="切り捨て",ROUNDDOWN(ROUND($M86*8/108,6),0),IF('設定'!$B$12="切り上げ",ROUNDUP(ROUND($M86*8/108,6),0),ROUND($M86*8/108,0))),IF('設定'!$B$12="切り捨て",ROUNDDOWN(ROUND($M86*8/100,6),0),IF('設定'!$B$12="切り上げ",ROUNDUP(ROUND($M86*8/100,6),0),ROUND($M86*8/100,0)))))</f>
        <v/>
      </c>
      <c r="Q86" s="26">
        <f>IF($B86="","",IF('設定'!$B$11="税込",$L86+$M86+$N86,$L86+$O86+$M86+$P86+$N86))</f>
        <v/>
      </c>
      <c r="R86" s="26">
        <f>IF($B86="","",IF($X86="",0,IF(INDEX('支払先'!$I$5:$I$104,$X86)&lt;&gt;"する",0,IF(INDEX('支払先'!$J$5:$J$104,$X86)="税抜",IF('設定'!$B$11="税込",($Y86-IF('設定'!$B$12="切り捨て",ROUNDDOWN(ROUND($Y86*10/110,6),0),IF('設定'!$B$12="切り上げ",ROUNDUP(ROUND($Y86*10/110,6),0),ROUND($Y86*10/110,0)))+$Z86-IF('設定'!$B$12="切り捨て",ROUNDDOWN(ROUND($Z86*8/108,6),0),IF('設定'!$B$12="切り上げ",ROUNDUP(ROUND($Z86*8/108,6),0),ROUND($Z86*8/108,0)))+$AA86),$Y86+$Z86+$AA86),IF('設定'!$B$11="税込",$Y86+$Z86+$AA86,($Y86+IF('設定'!$B$12="切り捨て",ROUNDDOWN(ROUND($Y86*10/100,6),0),IF('設定'!$B$12="切り上げ",ROUNDUP(ROUND($Y86*10/100,6),0),ROUND($Y86*10/100,0)))+$Z86+IF('設定'!$B$12="切り捨て",ROUNDDOWN(ROUND($Z86*8/100,6),0),IF('設定'!$B$12="切り上げ",ROUNDUP(ROUND($Z86*8/100,6),0),ROUND($Z86*8/100,0)))+$AA86))))))</f>
        <v/>
      </c>
      <c r="S86" s="26">
        <f>IF($B86="","",IF(N($R86)&lt;=0,0,IF($R86&lt;='設定'!$B$18,ROUNDDOWN(ROUND($R86*'設定'!$B$17,6),0),ROUNDDOWN(ROUND(($R86-'設定'!$B$18)*'設定'!$B$19,6),0)+'設定'!$B$20)))</f>
        <v/>
      </c>
      <c r="T86" s="26">
        <f>IF($B86="","",IF($X86="",0,IF(INDEX('支払先'!$K$5:$K$104,$X86)="差し引く",N(INDEX('支払先'!$L$5:$L$104,$X86)),0)))</f>
        <v/>
      </c>
      <c r="U86" s="26">
        <f>IF($B86="","",$Q86-$S86-$T86)</f>
        <v/>
      </c>
      <c r="V86" s="22">
        <f>IF($B86="","",MID(IF($C86="","／支払先コードが空",IF($X86="","／支払先にないコード",""))&amp;IF($K86=0,"／明細がない","")&amp;IF($AC86&gt;0,"／税率が空の明細 "&amp;$AC86&amp;"件（合計に入っていない）","")&amp;IF($X86="","",IF(INDEX('支払先'!$G$5:$G$104,$X86)="","／登録番号なし（仕入明細書にならない）",""))&amp;IF($AB86&gt;0,"／60日（2か月）を超える明細 "&amp;$AB86&amp;"件","")&amp;IF($X86="","",IF(AND(INDEX('支払先'!$K$5:$K$104,$X86)="差し引く",OR(INDEX('支払先'!$M$5:$M$104,$X86)&lt;&gt;"対象外",INDEX('支払先'!$N$5:$N$104,$X86)&lt;&gt;"対象外")),"／手数料を差し引けない取引か確かめる",""))&amp;IF(COUNTIF($B$5:$B$204,$B86)&gt;1,"／通知Noが重複","")&amp;IF(AND(ISNUMBER($D86),ISNUMBER($F86),$F86&lt;$D86),"／支払予定日が発行日より前",""),2,300))</f>
        <v/>
      </c>
      <c r="W86" s="67" t="n"/>
      <c r="X86" s="31">
        <f>IF(OR($B86="",$C86=""),"",IFERROR(MATCH($C86,'支払先'!$B$5:$B$104,0),""))</f>
        <v/>
      </c>
      <c r="Y86" s="31">
        <f>IF($B86="","",SUMIFS('支払明細'!$I$5:$I$1004,'支払明細'!$A$5:$A$1004,$B86,'支払明細'!$G$5:$G$1004,"10%（標準）",'支払明細'!$H$5:$H$1004,"&lt;&gt;対象外"))</f>
        <v/>
      </c>
      <c r="Z86" s="31">
        <f>IF($B86="","",SUMIFS('支払明細'!$I$5:$I$1004,'支払明細'!$A$5:$A$1004,$B86,'支払明細'!$G$5:$G$1004,"8%（軽減）",'支払明細'!$H$5:$H$1004,"&lt;&gt;対象外"))</f>
        <v/>
      </c>
      <c r="AA86" s="31">
        <f>IF($B86="","",SUMIFS('支払明細'!$I$5:$I$1004,'支払明細'!$A$5:$A$1004,$B86,'支払明細'!$G$5:$G$1004,"対象外",'支払明細'!$H$5:$H$1004,"&lt;&gt;対象外"))</f>
        <v/>
      </c>
      <c r="AB86" s="31">
        <f>IF($B86="","",COUNTIFS('支払明細'!$A$5:$A$1004,$B86,'支払明細'!$M$5:$M$1004,"超える"))</f>
        <v/>
      </c>
      <c r="AC86" s="31">
        <f>IF($B86="","",COUNTIFS('支払明細'!$A$5:$A$1004,$B86,'支払明細'!$G$5:$G$1004,""))</f>
        <v/>
      </c>
    </row>
    <row r="87" ht="18" customHeight="1">
      <c r="A87" s="17" t="n">
        <v>83</v>
      </c>
      <c r="B87" s="18" t="n"/>
      <c r="C87" s="18" t="n"/>
      <c r="D87" s="24" t="n"/>
      <c r="E87" s="19" t="n"/>
      <c r="F87" s="24" t="n"/>
      <c r="G87" s="28">
        <f>IF(AND($B87&lt;&gt;"",ISNUMBER($D87)),$D87+N('設定'!$B$13),"")</f>
        <v/>
      </c>
      <c r="H87" s="18" t="n"/>
      <c r="I87" s="19" t="n"/>
      <c r="J87" s="27">
        <f>IF($B87="","",IF($C87="","（支払先コードが空）",IF($X87="","※支払先にないコード",INDEX('支払先'!$C$5:$C$104,$X87)&amp;"")))</f>
        <v/>
      </c>
      <c r="K87" s="30">
        <f>IF($B87="","",COUNTIF('支払明細'!$A$5:$A$1004,$B87))</f>
        <v/>
      </c>
      <c r="L87" s="26">
        <f>IF($B87="","",SUMIFS('支払明細'!$I$5:$I$1004,'支払明細'!$A$5:$A$1004,$B87,'支払明細'!$G$5:$G$1004,"10%（標準）"))</f>
        <v/>
      </c>
      <c r="M87" s="26">
        <f>IF($B87="","",SUMIFS('支払明細'!$I$5:$I$1004,'支払明細'!$A$5:$A$1004,$B87,'支払明細'!$G$5:$G$1004,"8%（軽減）"))</f>
        <v/>
      </c>
      <c r="N87" s="26">
        <f>IF($B87="","",SUMIFS('支払明細'!$I$5:$I$1004,'支払明細'!$A$5:$A$1004,$B87,'支払明細'!$G$5:$G$1004,"対象外"))</f>
        <v/>
      </c>
      <c r="O87" s="26">
        <f>IF($B87="","",IF('設定'!$B$11="税込",IF('設定'!$B$12="切り捨て",ROUNDDOWN(ROUND($L87*10/110,6),0),IF('設定'!$B$12="切り上げ",ROUNDUP(ROUND($L87*10/110,6),0),ROUND($L87*10/110,0))),IF('設定'!$B$12="切り捨て",ROUNDDOWN(ROUND($L87*10/100,6),0),IF('設定'!$B$12="切り上げ",ROUNDUP(ROUND($L87*10/100,6),0),ROUND($L87*10/100,0)))))</f>
        <v/>
      </c>
      <c r="P87" s="26">
        <f>IF($B87="","",IF('設定'!$B$11="税込",IF('設定'!$B$12="切り捨て",ROUNDDOWN(ROUND($M87*8/108,6),0),IF('設定'!$B$12="切り上げ",ROUNDUP(ROUND($M87*8/108,6),0),ROUND($M87*8/108,0))),IF('設定'!$B$12="切り捨て",ROUNDDOWN(ROUND($M87*8/100,6),0),IF('設定'!$B$12="切り上げ",ROUNDUP(ROUND($M87*8/100,6),0),ROUND($M87*8/100,0)))))</f>
        <v/>
      </c>
      <c r="Q87" s="26">
        <f>IF($B87="","",IF('設定'!$B$11="税込",$L87+$M87+$N87,$L87+$O87+$M87+$P87+$N87))</f>
        <v/>
      </c>
      <c r="R87" s="26">
        <f>IF($B87="","",IF($X87="",0,IF(INDEX('支払先'!$I$5:$I$104,$X87)&lt;&gt;"する",0,IF(INDEX('支払先'!$J$5:$J$104,$X87)="税抜",IF('設定'!$B$11="税込",($Y87-IF('設定'!$B$12="切り捨て",ROUNDDOWN(ROUND($Y87*10/110,6),0),IF('設定'!$B$12="切り上げ",ROUNDUP(ROUND($Y87*10/110,6),0),ROUND($Y87*10/110,0)))+$Z87-IF('設定'!$B$12="切り捨て",ROUNDDOWN(ROUND($Z87*8/108,6),0),IF('設定'!$B$12="切り上げ",ROUNDUP(ROUND($Z87*8/108,6),0),ROUND($Z87*8/108,0)))+$AA87),$Y87+$Z87+$AA87),IF('設定'!$B$11="税込",$Y87+$Z87+$AA87,($Y87+IF('設定'!$B$12="切り捨て",ROUNDDOWN(ROUND($Y87*10/100,6),0),IF('設定'!$B$12="切り上げ",ROUNDUP(ROUND($Y87*10/100,6),0),ROUND($Y87*10/100,0)))+$Z87+IF('設定'!$B$12="切り捨て",ROUNDDOWN(ROUND($Z87*8/100,6),0),IF('設定'!$B$12="切り上げ",ROUNDUP(ROUND($Z87*8/100,6),0),ROUND($Z87*8/100,0)))+$AA87))))))</f>
        <v/>
      </c>
      <c r="S87" s="26">
        <f>IF($B87="","",IF(N($R87)&lt;=0,0,IF($R87&lt;='設定'!$B$18,ROUNDDOWN(ROUND($R87*'設定'!$B$17,6),0),ROUNDDOWN(ROUND(($R87-'設定'!$B$18)*'設定'!$B$19,6),0)+'設定'!$B$20)))</f>
        <v/>
      </c>
      <c r="T87" s="26">
        <f>IF($B87="","",IF($X87="",0,IF(INDEX('支払先'!$K$5:$K$104,$X87)="差し引く",N(INDEX('支払先'!$L$5:$L$104,$X87)),0)))</f>
        <v/>
      </c>
      <c r="U87" s="26">
        <f>IF($B87="","",$Q87-$S87-$T87)</f>
        <v/>
      </c>
      <c r="V87" s="22">
        <f>IF($B87="","",MID(IF($C87="","／支払先コードが空",IF($X87="","／支払先にないコード",""))&amp;IF($K87=0,"／明細がない","")&amp;IF($AC87&gt;0,"／税率が空の明細 "&amp;$AC87&amp;"件（合計に入っていない）","")&amp;IF($X87="","",IF(INDEX('支払先'!$G$5:$G$104,$X87)="","／登録番号なし（仕入明細書にならない）",""))&amp;IF($AB87&gt;0,"／60日（2か月）を超える明細 "&amp;$AB87&amp;"件","")&amp;IF($X87="","",IF(AND(INDEX('支払先'!$K$5:$K$104,$X87)="差し引く",OR(INDEX('支払先'!$M$5:$M$104,$X87)&lt;&gt;"対象外",INDEX('支払先'!$N$5:$N$104,$X87)&lt;&gt;"対象外")),"／手数料を差し引けない取引か確かめる",""))&amp;IF(COUNTIF($B$5:$B$204,$B87)&gt;1,"／通知Noが重複","")&amp;IF(AND(ISNUMBER($D87),ISNUMBER($F87),$F87&lt;$D87),"／支払予定日が発行日より前",""),2,300))</f>
        <v/>
      </c>
      <c r="W87" s="67" t="n"/>
      <c r="X87" s="31">
        <f>IF(OR($B87="",$C87=""),"",IFERROR(MATCH($C87,'支払先'!$B$5:$B$104,0),""))</f>
        <v/>
      </c>
      <c r="Y87" s="31">
        <f>IF($B87="","",SUMIFS('支払明細'!$I$5:$I$1004,'支払明細'!$A$5:$A$1004,$B87,'支払明細'!$G$5:$G$1004,"10%（標準）",'支払明細'!$H$5:$H$1004,"&lt;&gt;対象外"))</f>
        <v/>
      </c>
      <c r="Z87" s="31">
        <f>IF($B87="","",SUMIFS('支払明細'!$I$5:$I$1004,'支払明細'!$A$5:$A$1004,$B87,'支払明細'!$G$5:$G$1004,"8%（軽減）",'支払明細'!$H$5:$H$1004,"&lt;&gt;対象外"))</f>
        <v/>
      </c>
      <c r="AA87" s="31">
        <f>IF($B87="","",SUMIFS('支払明細'!$I$5:$I$1004,'支払明細'!$A$5:$A$1004,$B87,'支払明細'!$G$5:$G$1004,"対象外",'支払明細'!$H$5:$H$1004,"&lt;&gt;対象外"))</f>
        <v/>
      </c>
      <c r="AB87" s="31">
        <f>IF($B87="","",COUNTIFS('支払明細'!$A$5:$A$1004,$B87,'支払明細'!$M$5:$M$1004,"超える"))</f>
        <v/>
      </c>
      <c r="AC87" s="31">
        <f>IF($B87="","",COUNTIFS('支払明細'!$A$5:$A$1004,$B87,'支払明細'!$G$5:$G$1004,""))</f>
        <v/>
      </c>
    </row>
    <row r="88" ht="18" customHeight="1">
      <c r="A88" s="17" t="n">
        <v>84</v>
      </c>
      <c r="B88" s="18" t="n"/>
      <c r="C88" s="18" t="n"/>
      <c r="D88" s="24" t="n"/>
      <c r="E88" s="19" t="n"/>
      <c r="F88" s="24" t="n"/>
      <c r="G88" s="28">
        <f>IF(AND($B88&lt;&gt;"",ISNUMBER($D88)),$D88+N('設定'!$B$13),"")</f>
        <v/>
      </c>
      <c r="H88" s="18" t="n"/>
      <c r="I88" s="19" t="n"/>
      <c r="J88" s="27">
        <f>IF($B88="","",IF($C88="","（支払先コードが空）",IF($X88="","※支払先にないコード",INDEX('支払先'!$C$5:$C$104,$X88)&amp;"")))</f>
        <v/>
      </c>
      <c r="K88" s="30">
        <f>IF($B88="","",COUNTIF('支払明細'!$A$5:$A$1004,$B88))</f>
        <v/>
      </c>
      <c r="L88" s="26">
        <f>IF($B88="","",SUMIFS('支払明細'!$I$5:$I$1004,'支払明細'!$A$5:$A$1004,$B88,'支払明細'!$G$5:$G$1004,"10%（標準）"))</f>
        <v/>
      </c>
      <c r="M88" s="26">
        <f>IF($B88="","",SUMIFS('支払明細'!$I$5:$I$1004,'支払明細'!$A$5:$A$1004,$B88,'支払明細'!$G$5:$G$1004,"8%（軽減）"))</f>
        <v/>
      </c>
      <c r="N88" s="26">
        <f>IF($B88="","",SUMIFS('支払明細'!$I$5:$I$1004,'支払明細'!$A$5:$A$1004,$B88,'支払明細'!$G$5:$G$1004,"対象外"))</f>
        <v/>
      </c>
      <c r="O88" s="26">
        <f>IF($B88="","",IF('設定'!$B$11="税込",IF('設定'!$B$12="切り捨て",ROUNDDOWN(ROUND($L88*10/110,6),0),IF('設定'!$B$12="切り上げ",ROUNDUP(ROUND($L88*10/110,6),0),ROUND($L88*10/110,0))),IF('設定'!$B$12="切り捨て",ROUNDDOWN(ROUND($L88*10/100,6),0),IF('設定'!$B$12="切り上げ",ROUNDUP(ROUND($L88*10/100,6),0),ROUND($L88*10/100,0)))))</f>
        <v/>
      </c>
      <c r="P88" s="26">
        <f>IF($B88="","",IF('設定'!$B$11="税込",IF('設定'!$B$12="切り捨て",ROUNDDOWN(ROUND($M88*8/108,6),0),IF('設定'!$B$12="切り上げ",ROUNDUP(ROUND($M88*8/108,6),0),ROUND($M88*8/108,0))),IF('設定'!$B$12="切り捨て",ROUNDDOWN(ROUND($M88*8/100,6),0),IF('設定'!$B$12="切り上げ",ROUNDUP(ROUND($M88*8/100,6),0),ROUND($M88*8/100,0)))))</f>
        <v/>
      </c>
      <c r="Q88" s="26">
        <f>IF($B88="","",IF('設定'!$B$11="税込",$L88+$M88+$N88,$L88+$O88+$M88+$P88+$N88))</f>
        <v/>
      </c>
      <c r="R88" s="26">
        <f>IF($B88="","",IF($X88="",0,IF(INDEX('支払先'!$I$5:$I$104,$X88)&lt;&gt;"する",0,IF(INDEX('支払先'!$J$5:$J$104,$X88)="税抜",IF('設定'!$B$11="税込",($Y88-IF('設定'!$B$12="切り捨て",ROUNDDOWN(ROUND($Y88*10/110,6),0),IF('設定'!$B$12="切り上げ",ROUNDUP(ROUND($Y88*10/110,6),0),ROUND($Y88*10/110,0)))+$Z88-IF('設定'!$B$12="切り捨て",ROUNDDOWN(ROUND($Z88*8/108,6),0),IF('設定'!$B$12="切り上げ",ROUNDUP(ROUND($Z88*8/108,6),0),ROUND($Z88*8/108,0)))+$AA88),$Y88+$Z88+$AA88),IF('設定'!$B$11="税込",$Y88+$Z88+$AA88,($Y88+IF('設定'!$B$12="切り捨て",ROUNDDOWN(ROUND($Y88*10/100,6),0),IF('設定'!$B$12="切り上げ",ROUNDUP(ROUND($Y88*10/100,6),0),ROUND($Y88*10/100,0)))+$Z88+IF('設定'!$B$12="切り捨て",ROUNDDOWN(ROUND($Z88*8/100,6),0),IF('設定'!$B$12="切り上げ",ROUNDUP(ROUND($Z88*8/100,6),0),ROUND($Z88*8/100,0)))+$AA88))))))</f>
        <v/>
      </c>
      <c r="S88" s="26">
        <f>IF($B88="","",IF(N($R88)&lt;=0,0,IF($R88&lt;='設定'!$B$18,ROUNDDOWN(ROUND($R88*'設定'!$B$17,6),0),ROUNDDOWN(ROUND(($R88-'設定'!$B$18)*'設定'!$B$19,6),0)+'設定'!$B$20)))</f>
        <v/>
      </c>
      <c r="T88" s="26">
        <f>IF($B88="","",IF($X88="",0,IF(INDEX('支払先'!$K$5:$K$104,$X88)="差し引く",N(INDEX('支払先'!$L$5:$L$104,$X88)),0)))</f>
        <v/>
      </c>
      <c r="U88" s="26">
        <f>IF($B88="","",$Q88-$S88-$T88)</f>
        <v/>
      </c>
      <c r="V88" s="22">
        <f>IF($B88="","",MID(IF($C88="","／支払先コードが空",IF($X88="","／支払先にないコード",""))&amp;IF($K88=0,"／明細がない","")&amp;IF($AC88&gt;0,"／税率が空の明細 "&amp;$AC88&amp;"件（合計に入っていない）","")&amp;IF($X88="","",IF(INDEX('支払先'!$G$5:$G$104,$X88)="","／登録番号なし（仕入明細書にならない）",""))&amp;IF($AB88&gt;0,"／60日（2か月）を超える明細 "&amp;$AB88&amp;"件","")&amp;IF($X88="","",IF(AND(INDEX('支払先'!$K$5:$K$104,$X88)="差し引く",OR(INDEX('支払先'!$M$5:$M$104,$X88)&lt;&gt;"対象外",INDEX('支払先'!$N$5:$N$104,$X88)&lt;&gt;"対象外")),"／手数料を差し引けない取引か確かめる",""))&amp;IF(COUNTIF($B$5:$B$204,$B88)&gt;1,"／通知Noが重複","")&amp;IF(AND(ISNUMBER($D88),ISNUMBER($F88),$F88&lt;$D88),"／支払予定日が発行日より前",""),2,300))</f>
        <v/>
      </c>
      <c r="W88" s="67" t="n"/>
      <c r="X88" s="31">
        <f>IF(OR($B88="",$C88=""),"",IFERROR(MATCH($C88,'支払先'!$B$5:$B$104,0),""))</f>
        <v/>
      </c>
      <c r="Y88" s="31">
        <f>IF($B88="","",SUMIFS('支払明細'!$I$5:$I$1004,'支払明細'!$A$5:$A$1004,$B88,'支払明細'!$G$5:$G$1004,"10%（標準）",'支払明細'!$H$5:$H$1004,"&lt;&gt;対象外"))</f>
        <v/>
      </c>
      <c r="Z88" s="31">
        <f>IF($B88="","",SUMIFS('支払明細'!$I$5:$I$1004,'支払明細'!$A$5:$A$1004,$B88,'支払明細'!$G$5:$G$1004,"8%（軽減）",'支払明細'!$H$5:$H$1004,"&lt;&gt;対象外"))</f>
        <v/>
      </c>
      <c r="AA88" s="31">
        <f>IF($B88="","",SUMIFS('支払明細'!$I$5:$I$1004,'支払明細'!$A$5:$A$1004,$B88,'支払明細'!$G$5:$G$1004,"対象外",'支払明細'!$H$5:$H$1004,"&lt;&gt;対象外"))</f>
        <v/>
      </c>
      <c r="AB88" s="31">
        <f>IF($B88="","",COUNTIFS('支払明細'!$A$5:$A$1004,$B88,'支払明細'!$M$5:$M$1004,"超える"))</f>
        <v/>
      </c>
      <c r="AC88" s="31">
        <f>IF($B88="","",COUNTIFS('支払明細'!$A$5:$A$1004,$B88,'支払明細'!$G$5:$G$1004,""))</f>
        <v/>
      </c>
    </row>
    <row r="89" ht="18" customHeight="1">
      <c r="A89" s="17" t="n">
        <v>85</v>
      </c>
      <c r="B89" s="18" t="n"/>
      <c r="C89" s="18" t="n"/>
      <c r="D89" s="24" t="n"/>
      <c r="E89" s="19" t="n"/>
      <c r="F89" s="24" t="n"/>
      <c r="G89" s="28">
        <f>IF(AND($B89&lt;&gt;"",ISNUMBER($D89)),$D89+N('設定'!$B$13),"")</f>
        <v/>
      </c>
      <c r="H89" s="18" t="n"/>
      <c r="I89" s="19" t="n"/>
      <c r="J89" s="27">
        <f>IF($B89="","",IF($C89="","（支払先コードが空）",IF($X89="","※支払先にないコード",INDEX('支払先'!$C$5:$C$104,$X89)&amp;"")))</f>
        <v/>
      </c>
      <c r="K89" s="30">
        <f>IF($B89="","",COUNTIF('支払明細'!$A$5:$A$1004,$B89))</f>
        <v/>
      </c>
      <c r="L89" s="26">
        <f>IF($B89="","",SUMIFS('支払明細'!$I$5:$I$1004,'支払明細'!$A$5:$A$1004,$B89,'支払明細'!$G$5:$G$1004,"10%（標準）"))</f>
        <v/>
      </c>
      <c r="M89" s="26">
        <f>IF($B89="","",SUMIFS('支払明細'!$I$5:$I$1004,'支払明細'!$A$5:$A$1004,$B89,'支払明細'!$G$5:$G$1004,"8%（軽減）"))</f>
        <v/>
      </c>
      <c r="N89" s="26">
        <f>IF($B89="","",SUMIFS('支払明細'!$I$5:$I$1004,'支払明細'!$A$5:$A$1004,$B89,'支払明細'!$G$5:$G$1004,"対象外"))</f>
        <v/>
      </c>
      <c r="O89" s="26">
        <f>IF($B89="","",IF('設定'!$B$11="税込",IF('設定'!$B$12="切り捨て",ROUNDDOWN(ROUND($L89*10/110,6),0),IF('設定'!$B$12="切り上げ",ROUNDUP(ROUND($L89*10/110,6),0),ROUND($L89*10/110,0))),IF('設定'!$B$12="切り捨て",ROUNDDOWN(ROUND($L89*10/100,6),0),IF('設定'!$B$12="切り上げ",ROUNDUP(ROUND($L89*10/100,6),0),ROUND($L89*10/100,0)))))</f>
        <v/>
      </c>
      <c r="P89" s="26">
        <f>IF($B89="","",IF('設定'!$B$11="税込",IF('設定'!$B$12="切り捨て",ROUNDDOWN(ROUND($M89*8/108,6),0),IF('設定'!$B$12="切り上げ",ROUNDUP(ROUND($M89*8/108,6),0),ROUND($M89*8/108,0))),IF('設定'!$B$12="切り捨て",ROUNDDOWN(ROUND($M89*8/100,6),0),IF('設定'!$B$12="切り上げ",ROUNDUP(ROUND($M89*8/100,6),0),ROUND($M89*8/100,0)))))</f>
        <v/>
      </c>
      <c r="Q89" s="26">
        <f>IF($B89="","",IF('設定'!$B$11="税込",$L89+$M89+$N89,$L89+$O89+$M89+$P89+$N89))</f>
        <v/>
      </c>
      <c r="R89" s="26">
        <f>IF($B89="","",IF($X89="",0,IF(INDEX('支払先'!$I$5:$I$104,$X89)&lt;&gt;"する",0,IF(INDEX('支払先'!$J$5:$J$104,$X89)="税抜",IF('設定'!$B$11="税込",($Y89-IF('設定'!$B$12="切り捨て",ROUNDDOWN(ROUND($Y89*10/110,6),0),IF('設定'!$B$12="切り上げ",ROUNDUP(ROUND($Y89*10/110,6),0),ROUND($Y89*10/110,0)))+$Z89-IF('設定'!$B$12="切り捨て",ROUNDDOWN(ROUND($Z89*8/108,6),0),IF('設定'!$B$12="切り上げ",ROUNDUP(ROUND($Z89*8/108,6),0),ROUND($Z89*8/108,0)))+$AA89),$Y89+$Z89+$AA89),IF('設定'!$B$11="税込",$Y89+$Z89+$AA89,($Y89+IF('設定'!$B$12="切り捨て",ROUNDDOWN(ROUND($Y89*10/100,6),0),IF('設定'!$B$12="切り上げ",ROUNDUP(ROUND($Y89*10/100,6),0),ROUND($Y89*10/100,0)))+$Z89+IF('設定'!$B$12="切り捨て",ROUNDDOWN(ROUND($Z89*8/100,6),0),IF('設定'!$B$12="切り上げ",ROUNDUP(ROUND($Z89*8/100,6),0),ROUND($Z89*8/100,0)))+$AA89))))))</f>
        <v/>
      </c>
      <c r="S89" s="26">
        <f>IF($B89="","",IF(N($R89)&lt;=0,0,IF($R89&lt;='設定'!$B$18,ROUNDDOWN(ROUND($R89*'設定'!$B$17,6),0),ROUNDDOWN(ROUND(($R89-'設定'!$B$18)*'設定'!$B$19,6),0)+'設定'!$B$20)))</f>
        <v/>
      </c>
      <c r="T89" s="26">
        <f>IF($B89="","",IF($X89="",0,IF(INDEX('支払先'!$K$5:$K$104,$X89)="差し引く",N(INDEX('支払先'!$L$5:$L$104,$X89)),0)))</f>
        <v/>
      </c>
      <c r="U89" s="26">
        <f>IF($B89="","",$Q89-$S89-$T89)</f>
        <v/>
      </c>
      <c r="V89" s="22">
        <f>IF($B89="","",MID(IF($C89="","／支払先コードが空",IF($X89="","／支払先にないコード",""))&amp;IF($K89=0,"／明細がない","")&amp;IF($AC89&gt;0,"／税率が空の明細 "&amp;$AC89&amp;"件（合計に入っていない）","")&amp;IF($X89="","",IF(INDEX('支払先'!$G$5:$G$104,$X89)="","／登録番号なし（仕入明細書にならない）",""))&amp;IF($AB89&gt;0,"／60日（2か月）を超える明細 "&amp;$AB89&amp;"件","")&amp;IF($X89="","",IF(AND(INDEX('支払先'!$K$5:$K$104,$X89)="差し引く",OR(INDEX('支払先'!$M$5:$M$104,$X89)&lt;&gt;"対象外",INDEX('支払先'!$N$5:$N$104,$X89)&lt;&gt;"対象外")),"／手数料を差し引けない取引か確かめる",""))&amp;IF(COUNTIF($B$5:$B$204,$B89)&gt;1,"／通知Noが重複","")&amp;IF(AND(ISNUMBER($D89),ISNUMBER($F89),$F89&lt;$D89),"／支払予定日が発行日より前",""),2,300))</f>
        <v/>
      </c>
      <c r="W89" s="67" t="n"/>
      <c r="X89" s="31">
        <f>IF(OR($B89="",$C89=""),"",IFERROR(MATCH($C89,'支払先'!$B$5:$B$104,0),""))</f>
        <v/>
      </c>
      <c r="Y89" s="31">
        <f>IF($B89="","",SUMIFS('支払明細'!$I$5:$I$1004,'支払明細'!$A$5:$A$1004,$B89,'支払明細'!$G$5:$G$1004,"10%（標準）",'支払明細'!$H$5:$H$1004,"&lt;&gt;対象外"))</f>
        <v/>
      </c>
      <c r="Z89" s="31">
        <f>IF($B89="","",SUMIFS('支払明細'!$I$5:$I$1004,'支払明細'!$A$5:$A$1004,$B89,'支払明細'!$G$5:$G$1004,"8%（軽減）",'支払明細'!$H$5:$H$1004,"&lt;&gt;対象外"))</f>
        <v/>
      </c>
      <c r="AA89" s="31">
        <f>IF($B89="","",SUMIFS('支払明細'!$I$5:$I$1004,'支払明細'!$A$5:$A$1004,$B89,'支払明細'!$G$5:$G$1004,"対象外",'支払明細'!$H$5:$H$1004,"&lt;&gt;対象外"))</f>
        <v/>
      </c>
      <c r="AB89" s="31">
        <f>IF($B89="","",COUNTIFS('支払明細'!$A$5:$A$1004,$B89,'支払明細'!$M$5:$M$1004,"超える"))</f>
        <v/>
      </c>
      <c r="AC89" s="31">
        <f>IF($B89="","",COUNTIFS('支払明細'!$A$5:$A$1004,$B89,'支払明細'!$G$5:$G$1004,""))</f>
        <v/>
      </c>
    </row>
    <row r="90" ht="18" customHeight="1">
      <c r="A90" s="17" t="n">
        <v>86</v>
      </c>
      <c r="B90" s="18" t="n"/>
      <c r="C90" s="18" t="n"/>
      <c r="D90" s="24" t="n"/>
      <c r="E90" s="19" t="n"/>
      <c r="F90" s="24" t="n"/>
      <c r="G90" s="28">
        <f>IF(AND($B90&lt;&gt;"",ISNUMBER($D90)),$D90+N('設定'!$B$13),"")</f>
        <v/>
      </c>
      <c r="H90" s="18" t="n"/>
      <c r="I90" s="19" t="n"/>
      <c r="J90" s="27">
        <f>IF($B90="","",IF($C90="","（支払先コードが空）",IF($X90="","※支払先にないコード",INDEX('支払先'!$C$5:$C$104,$X90)&amp;"")))</f>
        <v/>
      </c>
      <c r="K90" s="30">
        <f>IF($B90="","",COUNTIF('支払明細'!$A$5:$A$1004,$B90))</f>
        <v/>
      </c>
      <c r="L90" s="26">
        <f>IF($B90="","",SUMIFS('支払明細'!$I$5:$I$1004,'支払明細'!$A$5:$A$1004,$B90,'支払明細'!$G$5:$G$1004,"10%（標準）"))</f>
        <v/>
      </c>
      <c r="M90" s="26">
        <f>IF($B90="","",SUMIFS('支払明細'!$I$5:$I$1004,'支払明細'!$A$5:$A$1004,$B90,'支払明細'!$G$5:$G$1004,"8%（軽減）"))</f>
        <v/>
      </c>
      <c r="N90" s="26">
        <f>IF($B90="","",SUMIFS('支払明細'!$I$5:$I$1004,'支払明細'!$A$5:$A$1004,$B90,'支払明細'!$G$5:$G$1004,"対象外"))</f>
        <v/>
      </c>
      <c r="O90" s="26">
        <f>IF($B90="","",IF('設定'!$B$11="税込",IF('設定'!$B$12="切り捨て",ROUNDDOWN(ROUND($L90*10/110,6),0),IF('設定'!$B$12="切り上げ",ROUNDUP(ROUND($L90*10/110,6),0),ROUND($L90*10/110,0))),IF('設定'!$B$12="切り捨て",ROUNDDOWN(ROUND($L90*10/100,6),0),IF('設定'!$B$12="切り上げ",ROUNDUP(ROUND($L90*10/100,6),0),ROUND($L90*10/100,0)))))</f>
        <v/>
      </c>
      <c r="P90" s="26">
        <f>IF($B90="","",IF('設定'!$B$11="税込",IF('設定'!$B$12="切り捨て",ROUNDDOWN(ROUND($M90*8/108,6),0),IF('設定'!$B$12="切り上げ",ROUNDUP(ROUND($M90*8/108,6),0),ROUND($M90*8/108,0))),IF('設定'!$B$12="切り捨て",ROUNDDOWN(ROUND($M90*8/100,6),0),IF('設定'!$B$12="切り上げ",ROUNDUP(ROUND($M90*8/100,6),0),ROUND($M90*8/100,0)))))</f>
        <v/>
      </c>
      <c r="Q90" s="26">
        <f>IF($B90="","",IF('設定'!$B$11="税込",$L90+$M90+$N90,$L90+$O90+$M90+$P90+$N90))</f>
        <v/>
      </c>
      <c r="R90" s="26">
        <f>IF($B90="","",IF($X90="",0,IF(INDEX('支払先'!$I$5:$I$104,$X90)&lt;&gt;"する",0,IF(INDEX('支払先'!$J$5:$J$104,$X90)="税抜",IF('設定'!$B$11="税込",($Y90-IF('設定'!$B$12="切り捨て",ROUNDDOWN(ROUND($Y90*10/110,6),0),IF('設定'!$B$12="切り上げ",ROUNDUP(ROUND($Y90*10/110,6),0),ROUND($Y90*10/110,0)))+$Z90-IF('設定'!$B$12="切り捨て",ROUNDDOWN(ROUND($Z90*8/108,6),0),IF('設定'!$B$12="切り上げ",ROUNDUP(ROUND($Z90*8/108,6),0),ROUND($Z90*8/108,0)))+$AA90),$Y90+$Z90+$AA90),IF('設定'!$B$11="税込",$Y90+$Z90+$AA90,($Y90+IF('設定'!$B$12="切り捨て",ROUNDDOWN(ROUND($Y90*10/100,6),0),IF('設定'!$B$12="切り上げ",ROUNDUP(ROUND($Y90*10/100,6),0),ROUND($Y90*10/100,0)))+$Z90+IF('設定'!$B$12="切り捨て",ROUNDDOWN(ROUND($Z90*8/100,6),0),IF('設定'!$B$12="切り上げ",ROUNDUP(ROUND($Z90*8/100,6),0),ROUND($Z90*8/100,0)))+$AA90))))))</f>
        <v/>
      </c>
      <c r="S90" s="26">
        <f>IF($B90="","",IF(N($R90)&lt;=0,0,IF($R90&lt;='設定'!$B$18,ROUNDDOWN(ROUND($R90*'設定'!$B$17,6),0),ROUNDDOWN(ROUND(($R90-'設定'!$B$18)*'設定'!$B$19,6),0)+'設定'!$B$20)))</f>
        <v/>
      </c>
      <c r="T90" s="26">
        <f>IF($B90="","",IF($X90="",0,IF(INDEX('支払先'!$K$5:$K$104,$X90)="差し引く",N(INDEX('支払先'!$L$5:$L$104,$X90)),0)))</f>
        <v/>
      </c>
      <c r="U90" s="26">
        <f>IF($B90="","",$Q90-$S90-$T90)</f>
        <v/>
      </c>
      <c r="V90" s="22">
        <f>IF($B90="","",MID(IF($C90="","／支払先コードが空",IF($X90="","／支払先にないコード",""))&amp;IF($K90=0,"／明細がない","")&amp;IF($AC90&gt;0,"／税率が空の明細 "&amp;$AC90&amp;"件（合計に入っていない）","")&amp;IF($X90="","",IF(INDEX('支払先'!$G$5:$G$104,$X90)="","／登録番号なし（仕入明細書にならない）",""))&amp;IF($AB90&gt;0,"／60日（2か月）を超える明細 "&amp;$AB90&amp;"件","")&amp;IF($X90="","",IF(AND(INDEX('支払先'!$K$5:$K$104,$X90)="差し引く",OR(INDEX('支払先'!$M$5:$M$104,$X90)&lt;&gt;"対象外",INDEX('支払先'!$N$5:$N$104,$X90)&lt;&gt;"対象外")),"／手数料を差し引けない取引か確かめる",""))&amp;IF(COUNTIF($B$5:$B$204,$B90)&gt;1,"／通知Noが重複","")&amp;IF(AND(ISNUMBER($D90),ISNUMBER($F90),$F90&lt;$D90),"／支払予定日が発行日より前",""),2,300))</f>
        <v/>
      </c>
      <c r="W90" s="67" t="n"/>
      <c r="X90" s="31">
        <f>IF(OR($B90="",$C90=""),"",IFERROR(MATCH($C90,'支払先'!$B$5:$B$104,0),""))</f>
        <v/>
      </c>
      <c r="Y90" s="31">
        <f>IF($B90="","",SUMIFS('支払明細'!$I$5:$I$1004,'支払明細'!$A$5:$A$1004,$B90,'支払明細'!$G$5:$G$1004,"10%（標準）",'支払明細'!$H$5:$H$1004,"&lt;&gt;対象外"))</f>
        <v/>
      </c>
      <c r="Z90" s="31">
        <f>IF($B90="","",SUMIFS('支払明細'!$I$5:$I$1004,'支払明細'!$A$5:$A$1004,$B90,'支払明細'!$G$5:$G$1004,"8%（軽減）",'支払明細'!$H$5:$H$1004,"&lt;&gt;対象外"))</f>
        <v/>
      </c>
      <c r="AA90" s="31">
        <f>IF($B90="","",SUMIFS('支払明細'!$I$5:$I$1004,'支払明細'!$A$5:$A$1004,$B90,'支払明細'!$G$5:$G$1004,"対象外",'支払明細'!$H$5:$H$1004,"&lt;&gt;対象外"))</f>
        <v/>
      </c>
      <c r="AB90" s="31">
        <f>IF($B90="","",COUNTIFS('支払明細'!$A$5:$A$1004,$B90,'支払明細'!$M$5:$M$1004,"超える"))</f>
        <v/>
      </c>
      <c r="AC90" s="31">
        <f>IF($B90="","",COUNTIFS('支払明細'!$A$5:$A$1004,$B90,'支払明細'!$G$5:$G$1004,""))</f>
        <v/>
      </c>
    </row>
    <row r="91" ht="18" customHeight="1">
      <c r="A91" s="17" t="n">
        <v>87</v>
      </c>
      <c r="B91" s="18" t="n"/>
      <c r="C91" s="18" t="n"/>
      <c r="D91" s="24" t="n"/>
      <c r="E91" s="19" t="n"/>
      <c r="F91" s="24" t="n"/>
      <c r="G91" s="28">
        <f>IF(AND($B91&lt;&gt;"",ISNUMBER($D91)),$D91+N('設定'!$B$13),"")</f>
        <v/>
      </c>
      <c r="H91" s="18" t="n"/>
      <c r="I91" s="19" t="n"/>
      <c r="J91" s="27">
        <f>IF($B91="","",IF($C91="","（支払先コードが空）",IF($X91="","※支払先にないコード",INDEX('支払先'!$C$5:$C$104,$X91)&amp;"")))</f>
        <v/>
      </c>
      <c r="K91" s="30">
        <f>IF($B91="","",COUNTIF('支払明細'!$A$5:$A$1004,$B91))</f>
        <v/>
      </c>
      <c r="L91" s="26">
        <f>IF($B91="","",SUMIFS('支払明細'!$I$5:$I$1004,'支払明細'!$A$5:$A$1004,$B91,'支払明細'!$G$5:$G$1004,"10%（標準）"))</f>
        <v/>
      </c>
      <c r="M91" s="26">
        <f>IF($B91="","",SUMIFS('支払明細'!$I$5:$I$1004,'支払明細'!$A$5:$A$1004,$B91,'支払明細'!$G$5:$G$1004,"8%（軽減）"))</f>
        <v/>
      </c>
      <c r="N91" s="26">
        <f>IF($B91="","",SUMIFS('支払明細'!$I$5:$I$1004,'支払明細'!$A$5:$A$1004,$B91,'支払明細'!$G$5:$G$1004,"対象外"))</f>
        <v/>
      </c>
      <c r="O91" s="26">
        <f>IF($B91="","",IF('設定'!$B$11="税込",IF('設定'!$B$12="切り捨て",ROUNDDOWN(ROUND($L91*10/110,6),0),IF('設定'!$B$12="切り上げ",ROUNDUP(ROUND($L91*10/110,6),0),ROUND($L91*10/110,0))),IF('設定'!$B$12="切り捨て",ROUNDDOWN(ROUND($L91*10/100,6),0),IF('設定'!$B$12="切り上げ",ROUNDUP(ROUND($L91*10/100,6),0),ROUND($L91*10/100,0)))))</f>
        <v/>
      </c>
      <c r="P91" s="26">
        <f>IF($B91="","",IF('設定'!$B$11="税込",IF('設定'!$B$12="切り捨て",ROUNDDOWN(ROUND($M91*8/108,6),0),IF('設定'!$B$12="切り上げ",ROUNDUP(ROUND($M91*8/108,6),0),ROUND($M91*8/108,0))),IF('設定'!$B$12="切り捨て",ROUNDDOWN(ROUND($M91*8/100,6),0),IF('設定'!$B$12="切り上げ",ROUNDUP(ROUND($M91*8/100,6),0),ROUND($M91*8/100,0)))))</f>
        <v/>
      </c>
      <c r="Q91" s="26">
        <f>IF($B91="","",IF('設定'!$B$11="税込",$L91+$M91+$N91,$L91+$O91+$M91+$P91+$N91))</f>
        <v/>
      </c>
      <c r="R91" s="26">
        <f>IF($B91="","",IF($X91="",0,IF(INDEX('支払先'!$I$5:$I$104,$X91)&lt;&gt;"する",0,IF(INDEX('支払先'!$J$5:$J$104,$X91)="税抜",IF('設定'!$B$11="税込",($Y91-IF('設定'!$B$12="切り捨て",ROUNDDOWN(ROUND($Y91*10/110,6),0),IF('設定'!$B$12="切り上げ",ROUNDUP(ROUND($Y91*10/110,6),0),ROUND($Y91*10/110,0)))+$Z91-IF('設定'!$B$12="切り捨て",ROUNDDOWN(ROUND($Z91*8/108,6),0),IF('設定'!$B$12="切り上げ",ROUNDUP(ROUND($Z91*8/108,6),0),ROUND($Z91*8/108,0)))+$AA91),$Y91+$Z91+$AA91),IF('設定'!$B$11="税込",$Y91+$Z91+$AA91,($Y91+IF('設定'!$B$12="切り捨て",ROUNDDOWN(ROUND($Y91*10/100,6),0),IF('設定'!$B$12="切り上げ",ROUNDUP(ROUND($Y91*10/100,6),0),ROUND($Y91*10/100,0)))+$Z91+IF('設定'!$B$12="切り捨て",ROUNDDOWN(ROUND($Z91*8/100,6),0),IF('設定'!$B$12="切り上げ",ROUNDUP(ROUND($Z91*8/100,6),0),ROUND($Z91*8/100,0)))+$AA91))))))</f>
        <v/>
      </c>
      <c r="S91" s="26">
        <f>IF($B91="","",IF(N($R91)&lt;=0,0,IF($R91&lt;='設定'!$B$18,ROUNDDOWN(ROUND($R91*'設定'!$B$17,6),0),ROUNDDOWN(ROUND(($R91-'設定'!$B$18)*'設定'!$B$19,6),0)+'設定'!$B$20)))</f>
        <v/>
      </c>
      <c r="T91" s="26">
        <f>IF($B91="","",IF($X91="",0,IF(INDEX('支払先'!$K$5:$K$104,$X91)="差し引く",N(INDEX('支払先'!$L$5:$L$104,$X91)),0)))</f>
        <v/>
      </c>
      <c r="U91" s="26">
        <f>IF($B91="","",$Q91-$S91-$T91)</f>
        <v/>
      </c>
      <c r="V91" s="22">
        <f>IF($B91="","",MID(IF($C91="","／支払先コードが空",IF($X91="","／支払先にないコード",""))&amp;IF($K91=0,"／明細がない","")&amp;IF($AC91&gt;0,"／税率が空の明細 "&amp;$AC91&amp;"件（合計に入っていない）","")&amp;IF($X91="","",IF(INDEX('支払先'!$G$5:$G$104,$X91)="","／登録番号なし（仕入明細書にならない）",""))&amp;IF($AB91&gt;0,"／60日（2か月）を超える明細 "&amp;$AB91&amp;"件","")&amp;IF($X91="","",IF(AND(INDEX('支払先'!$K$5:$K$104,$X91)="差し引く",OR(INDEX('支払先'!$M$5:$M$104,$X91)&lt;&gt;"対象外",INDEX('支払先'!$N$5:$N$104,$X91)&lt;&gt;"対象外")),"／手数料を差し引けない取引か確かめる",""))&amp;IF(COUNTIF($B$5:$B$204,$B91)&gt;1,"／通知Noが重複","")&amp;IF(AND(ISNUMBER($D91),ISNUMBER($F91),$F91&lt;$D91),"／支払予定日が発行日より前",""),2,300))</f>
        <v/>
      </c>
      <c r="W91" s="67" t="n"/>
      <c r="X91" s="31">
        <f>IF(OR($B91="",$C91=""),"",IFERROR(MATCH($C91,'支払先'!$B$5:$B$104,0),""))</f>
        <v/>
      </c>
      <c r="Y91" s="31">
        <f>IF($B91="","",SUMIFS('支払明細'!$I$5:$I$1004,'支払明細'!$A$5:$A$1004,$B91,'支払明細'!$G$5:$G$1004,"10%（標準）",'支払明細'!$H$5:$H$1004,"&lt;&gt;対象外"))</f>
        <v/>
      </c>
      <c r="Z91" s="31">
        <f>IF($B91="","",SUMIFS('支払明細'!$I$5:$I$1004,'支払明細'!$A$5:$A$1004,$B91,'支払明細'!$G$5:$G$1004,"8%（軽減）",'支払明細'!$H$5:$H$1004,"&lt;&gt;対象外"))</f>
        <v/>
      </c>
      <c r="AA91" s="31">
        <f>IF($B91="","",SUMIFS('支払明細'!$I$5:$I$1004,'支払明細'!$A$5:$A$1004,$B91,'支払明細'!$G$5:$G$1004,"対象外",'支払明細'!$H$5:$H$1004,"&lt;&gt;対象外"))</f>
        <v/>
      </c>
      <c r="AB91" s="31">
        <f>IF($B91="","",COUNTIFS('支払明細'!$A$5:$A$1004,$B91,'支払明細'!$M$5:$M$1004,"超える"))</f>
        <v/>
      </c>
      <c r="AC91" s="31">
        <f>IF($B91="","",COUNTIFS('支払明細'!$A$5:$A$1004,$B91,'支払明細'!$G$5:$G$1004,""))</f>
        <v/>
      </c>
    </row>
    <row r="92" ht="18" customHeight="1">
      <c r="A92" s="17" t="n">
        <v>88</v>
      </c>
      <c r="B92" s="18" t="n"/>
      <c r="C92" s="18" t="n"/>
      <c r="D92" s="24" t="n"/>
      <c r="E92" s="19" t="n"/>
      <c r="F92" s="24" t="n"/>
      <c r="G92" s="28">
        <f>IF(AND($B92&lt;&gt;"",ISNUMBER($D92)),$D92+N('設定'!$B$13),"")</f>
        <v/>
      </c>
      <c r="H92" s="18" t="n"/>
      <c r="I92" s="19" t="n"/>
      <c r="J92" s="27">
        <f>IF($B92="","",IF($C92="","（支払先コードが空）",IF($X92="","※支払先にないコード",INDEX('支払先'!$C$5:$C$104,$X92)&amp;"")))</f>
        <v/>
      </c>
      <c r="K92" s="30">
        <f>IF($B92="","",COUNTIF('支払明細'!$A$5:$A$1004,$B92))</f>
        <v/>
      </c>
      <c r="L92" s="26">
        <f>IF($B92="","",SUMIFS('支払明細'!$I$5:$I$1004,'支払明細'!$A$5:$A$1004,$B92,'支払明細'!$G$5:$G$1004,"10%（標準）"))</f>
        <v/>
      </c>
      <c r="M92" s="26">
        <f>IF($B92="","",SUMIFS('支払明細'!$I$5:$I$1004,'支払明細'!$A$5:$A$1004,$B92,'支払明細'!$G$5:$G$1004,"8%（軽減）"))</f>
        <v/>
      </c>
      <c r="N92" s="26">
        <f>IF($B92="","",SUMIFS('支払明細'!$I$5:$I$1004,'支払明細'!$A$5:$A$1004,$B92,'支払明細'!$G$5:$G$1004,"対象外"))</f>
        <v/>
      </c>
      <c r="O92" s="26">
        <f>IF($B92="","",IF('設定'!$B$11="税込",IF('設定'!$B$12="切り捨て",ROUNDDOWN(ROUND($L92*10/110,6),0),IF('設定'!$B$12="切り上げ",ROUNDUP(ROUND($L92*10/110,6),0),ROUND($L92*10/110,0))),IF('設定'!$B$12="切り捨て",ROUNDDOWN(ROUND($L92*10/100,6),0),IF('設定'!$B$12="切り上げ",ROUNDUP(ROUND($L92*10/100,6),0),ROUND($L92*10/100,0)))))</f>
        <v/>
      </c>
      <c r="P92" s="26">
        <f>IF($B92="","",IF('設定'!$B$11="税込",IF('設定'!$B$12="切り捨て",ROUNDDOWN(ROUND($M92*8/108,6),0),IF('設定'!$B$12="切り上げ",ROUNDUP(ROUND($M92*8/108,6),0),ROUND($M92*8/108,0))),IF('設定'!$B$12="切り捨て",ROUNDDOWN(ROUND($M92*8/100,6),0),IF('設定'!$B$12="切り上げ",ROUNDUP(ROUND($M92*8/100,6),0),ROUND($M92*8/100,0)))))</f>
        <v/>
      </c>
      <c r="Q92" s="26">
        <f>IF($B92="","",IF('設定'!$B$11="税込",$L92+$M92+$N92,$L92+$O92+$M92+$P92+$N92))</f>
        <v/>
      </c>
      <c r="R92" s="26">
        <f>IF($B92="","",IF($X92="",0,IF(INDEX('支払先'!$I$5:$I$104,$X92)&lt;&gt;"する",0,IF(INDEX('支払先'!$J$5:$J$104,$X92)="税抜",IF('設定'!$B$11="税込",($Y92-IF('設定'!$B$12="切り捨て",ROUNDDOWN(ROUND($Y92*10/110,6),0),IF('設定'!$B$12="切り上げ",ROUNDUP(ROUND($Y92*10/110,6),0),ROUND($Y92*10/110,0)))+$Z92-IF('設定'!$B$12="切り捨て",ROUNDDOWN(ROUND($Z92*8/108,6),0),IF('設定'!$B$12="切り上げ",ROUNDUP(ROUND($Z92*8/108,6),0),ROUND($Z92*8/108,0)))+$AA92),$Y92+$Z92+$AA92),IF('設定'!$B$11="税込",$Y92+$Z92+$AA92,($Y92+IF('設定'!$B$12="切り捨て",ROUNDDOWN(ROUND($Y92*10/100,6),0),IF('設定'!$B$12="切り上げ",ROUNDUP(ROUND($Y92*10/100,6),0),ROUND($Y92*10/100,0)))+$Z92+IF('設定'!$B$12="切り捨て",ROUNDDOWN(ROUND($Z92*8/100,6),0),IF('設定'!$B$12="切り上げ",ROUNDUP(ROUND($Z92*8/100,6),0),ROUND($Z92*8/100,0)))+$AA92))))))</f>
        <v/>
      </c>
      <c r="S92" s="26">
        <f>IF($B92="","",IF(N($R92)&lt;=0,0,IF($R92&lt;='設定'!$B$18,ROUNDDOWN(ROUND($R92*'設定'!$B$17,6),0),ROUNDDOWN(ROUND(($R92-'設定'!$B$18)*'設定'!$B$19,6),0)+'設定'!$B$20)))</f>
        <v/>
      </c>
      <c r="T92" s="26">
        <f>IF($B92="","",IF($X92="",0,IF(INDEX('支払先'!$K$5:$K$104,$X92)="差し引く",N(INDEX('支払先'!$L$5:$L$104,$X92)),0)))</f>
        <v/>
      </c>
      <c r="U92" s="26">
        <f>IF($B92="","",$Q92-$S92-$T92)</f>
        <v/>
      </c>
      <c r="V92" s="22">
        <f>IF($B92="","",MID(IF($C92="","／支払先コードが空",IF($X92="","／支払先にないコード",""))&amp;IF($K92=0,"／明細がない","")&amp;IF($AC92&gt;0,"／税率が空の明細 "&amp;$AC92&amp;"件（合計に入っていない）","")&amp;IF($X92="","",IF(INDEX('支払先'!$G$5:$G$104,$X92)="","／登録番号なし（仕入明細書にならない）",""))&amp;IF($AB92&gt;0,"／60日（2か月）を超える明細 "&amp;$AB92&amp;"件","")&amp;IF($X92="","",IF(AND(INDEX('支払先'!$K$5:$K$104,$X92)="差し引く",OR(INDEX('支払先'!$M$5:$M$104,$X92)&lt;&gt;"対象外",INDEX('支払先'!$N$5:$N$104,$X92)&lt;&gt;"対象外")),"／手数料を差し引けない取引か確かめる",""))&amp;IF(COUNTIF($B$5:$B$204,$B92)&gt;1,"／通知Noが重複","")&amp;IF(AND(ISNUMBER($D92),ISNUMBER($F92),$F92&lt;$D92),"／支払予定日が発行日より前",""),2,300))</f>
        <v/>
      </c>
      <c r="W92" s="67" t="n"/>
      <c r="X92" s="31">
        <f>IF(OR($B92="",$C92=""),"",IFERROR(MATCH($C92,'支払先'!$B$5:$B$104,0),""))</f>
        <v/>
      </c>
      <c r="Y92" s="31">
        <f>IF($B92="","",SUMIFS('支払明細'!$I$5:$I$1004,'支払明細'!$A$5:$A$1004,$B92,'支払明細'!$G$5:$G$1004,"10%（標準）",'支払明細'!$H$5:$H$1004,"&lt;&gt;対象外"))</f>
        <v/>
      </c>
      <c r="Z92" s="31">
        <f>IF($B92="","",SUMIFS('支払明細'!$I$5:$I$1004,'支払明細'!$A$5:$A$1004,$B92,'支払明細'!$G$5:$G$1004,"8%（軽減）",'支払明細'!$H$5:$H$1004,"&lt;&gt;対象外"))</f>
        <v/>
      </c>
      <c r="AA92" s="31">
        <f>IF($B92="","",SUMIFS('支払明細'!$I$5:$I$1004,'支払明細'!$A$5:$A$1004,$B92,'支払明細'!$G$5:$G$1004,"対象外",'支払明細'!$H$5:$H$1004,"&lt;&gt;対象外"))</f>
        <v/>
      </c>
      <c r="AB92" s="31">
        <f>IF($B92="","",COUNTIFS('支払明細'!$A$5:$A$1004,$B92,'支払明細'!$M$5:$M$1004,"超える"))</f>
        <v/>
      </c>
      <c r="AC92" s="31">
        <f>IF($B92="","",COUNTIFS('支払明細'!$A$5:$A$1004,$B92,'支払明細'!$G$5:$G$1004,""))</f>
        <v/>
      </c>
    </row>
    <row r="93" ht="18" customHeight="1">
      <c r="A93" s="17" t="n">
        <v>89</v>
      </c>
      <c r="B93" s="18" t="n"/>
      <c r="C93" s="18" t="n"/>
      <c r="D93" s="24" t="n"/>
      <c r="E93" s="19" t="n"/>
      <c r="F93" s="24" t="n"/>
      <c r="G93" s="28">
        <f>IF(AND($B93&lt;&gt;"",ISNUMBER($D93)),$D93+N('設定'!$B$13),"")</f>
        <v/>
      </c>
      <c r="H93" s="18" t="n"/>
      <c r="I93" s="19" t="n"/>
      <c r="J93" s="27">
        <f>IF($B93="","",IF($C93="","（支払先コードが空）",IF($X93="","※支払先にないコード",INDEX('支払先'!$C$5:$C$104,$X93)&amp;"")))</f>
        <v/>
      </c>
      <c r="K93" s="30">
        <f>IF($B93="","",COUNTIF('支払明細'!$A$5:$A$1004,$B93))</f>
        <v/>
      </c>
      <c r="L93" s="26">
        <f>IF($B93="","",SUMIFS('支払明細'!$I$5:$I$1004,'支払明細'!$A$5:$A$1004,$B93,'支払明細'!$G$5:$G$1004,"10%（標準）"))</f>
        <v/>
      </c>
      <c r="M93" s="26">
        <f>IF($B93="","",SUMIFS('支払明細'!$I$5:$I$1004,'支払明細'!$A$5:$A$1004,$B93,'支払明細'!$G$5:$G$1004,"8%（軽減）"))</f>
        <v/>
      </c>
      <c r="N93" s="26">
        <f>IF($B93="","",SUMIFS('支払明細'!$I$5:$I$1004,'支払明細'!$A$5:$A$1004,$B93,'支払明細'!$G$5:$G$1004,"対象外"))</f>
        <v/>
      </c>
      <c r="O93" s="26">
        <f>IF($B93="","",IF('設定'!$B$11="税込",IF('設定'!$B$12="切り捨て",ROUNDDOWN(ROUND($L93*10/110,6),0),IF('設定'!$B$12="切り上げ",ROUNDUP(ROUND($L93*10/110,6),0),ROUND($L93*10/110,0))),IF('設定'!$B$12="切り捨て",ROUNDDOWN(ROUND($L93*10/100,6),0),IF('設定'!$B$12="切り上げ",ROUNDUP(ROUND($L93*10/100,6),0),ROUND($L93*10/100,0)))))</f>
        <v/>
      </c>
      <c r="P93" s="26">
        <f>IF($B93="","",IF('設定'!$B$11="税込",IF('設定'!$B$12="切り捨て",ROUNDDOWN(ROUND($M93*8/108,6),0),IF('設定'!$B$12="切り上げ",ROUNDUP(ROUND($M93*8/108,6),0),ROUND($M93*8/108,0))),IF('設定'!$B$12="切り捨て",ROUNDDOWN(ROUND($M93*8/100,6),0),IF('設定'!$B$12="切り上げ",ROUNDUP(ROUND($M93*8/100,6),0),ROUND($M93*8/100,0)))))</f>
        <v/>
      </c>
      <c r="Q93" s="26">
        <f>IF($B93="","",IF('設定'!$B$11="税込",$L93+$M93+$N93,$L93+$O93+$M93+$P93+$N93))</f>
        <v/>
      </c>
      <c r="R93" s="26">
        <f>IF($B93="","",IF($X93="",0,IF(INDEX('支払先'!$I$5:$I$104,$X93)&lt;&gt;"する",0,IF(INDEX('支払先'!$J$5:$J$104,$X93)="税抜",IF('設定'!$B$11="税込",($Y93-IF('設定'!$B$12="切り捨て",ROUNDDOWN(ROUND($Y93*10/110,6),0),IF('設定'!$B$12="切り上げ",ROUNDUP(ROUND($Y93*10/110,6),0),ROUND($Y93*10/110,0)))+$Z93-IF('設定'!$B$12="切り捨て",ROUNDDOWN(ROUND($Z93*8/108,6),0),IF('設定'!$B$12="切り上げ",ROUNDUP(ROUND($Z93*8/108,6),0),ROUND($Z93*8/108,0)))+$AA93),$Y93+$Z93+$AA93),IF('設定'!$B$11="税込",$Y93+$Z93+$AA93,($Y93+IF('設定'!$B$12="切り捨て",ROUNDDOWN(ROUND($Y93*10/100,6),0),IF('設定'!$B$12="切り上げ",ROUNDUP(ROUND($Y93*10/100,6),0),ROUND($Y93*10/100,0)))+$Z93+IF('設定'!$B$12="切り捨て",ROUNDDOWN(ROUND($Z93*8/100,6),0),IF('設定'!$B$12="切り上げ",ROUNDUP(ROUND($Z93*8/100,6),0),ROUND($Z93*8/100,0)))+$AA93))))))</f>
        <v/>
      </c>
      <c r="S93" s="26">
        <f>IF($B93="","",IF(N($R93)&lt;=0,0,IF($R93&lt;='設定'!$B$18,ROUNDDOWN(ROUND($R93*'設定'!$B$17,6),0),ROUNDDOWN(ROUND(($R93-'設定'!$B$18)*'設定'!$B$19,6),0)+'設定'!$B$20)))</f>
        <v/>
      </c>
      <c r="T93" s="26">
        <f>IF($B93="","",IF($X93="",0,IF(INDEX('支払先'!$K$5:$K$104,$X93)="差し引く",N(INDEX('支払先'!$L$5:$L$104,$X93)),0)))</f>
        <v/>
      </c>
      <c r="U93" s="26">
        <f>IF($B93="","",$Q93-$S93-$T93)</f>
        <v/>
      </c>
      <c r="V93" s="22">
        <f>IF($B93="","",MID(IF($C93="","／支払先コードが空",IF($X93="","／支払先にないコード",""))&amp;IF($K93=0,"／明細がない","")&amp;IF($AC93&gt;0,"／税率が空の明細 "&amp;$AC93&amp;"件（合計に入っていない）","")&amp;IF($X93="","",IF(INDEX('支払先'!$G$5:$G$104,$X93)="","／登録番号なし（仕入明細書にならない）",""))&amp;IF($AB93&gt;0,"／60日（2か月）を超える明細 "&amp;$AB93&amp;"件","")&amp;IF($X93="","",IF(AND(INDEX('支払先'!$K$5:$K$104,$X93)="差し引く",OR(INDEX('支払先'!$M$5:$M$104,$X93)&lt;&gt;"対象外",INDEX('支払先'!$N$5:$N$104,$X93)&lt;&gt;"対象外")),"／手数料を差し引けない取引か確かめる",""))&amp;IF(COUNTIF($B$5:$B$204,$B93)&gt;1,"／通知Noが重複","")&amp;IF(AND(ISNUMBER($D93),ISNUMBER($F93),$F93&lt;$D93),"／支払予定日が発行日より前",""),2,300))</f>
        <v/>
      </c>
      <c r="W93" s="67" t="n"/>
      <c r="X93" s="31">
        <f>IF(OR($B93="",$C93=""),"",IFERROR(MATCH($C93,'支払先'!$B$5:$B$104,0),""))</f>
        <v/>
      </c>
      <c r="Y93" s="31">
        <f>IF($B93="","",SUMIFS('支払明細'!$I$5:$I$1004,'支払明細'!$A$5:$A$1004,$B93,'支払明細'!$G$5:$G$1004,"10%（標準）",'支払明細'!$H$5:$H$1004,"&lt;&gt;対象外"))</f>
        <v/>
      </c>
      <c r="Z93" s="31">
        <f>IF($B93="","",SUMIFS('支払明細'!$I$5:$I$1004,'支払明細'!$A$5:$A$1004,$B93,'支払明細'!$G$5:$G$1004,"8%（軽減）",'支払明細'!$H$5:$H$1004,"&lt;&gt;対象外"))</f>
        <v/>
      </c>
      <c r="AA93" s="31">
        <f>IF($B93="","",SUMIFS('支払明細'!$I$5:$I$1004,'支払明細'!$A$5:$A$1004,$B93,'支払明細'!$G$5:$G$1004,"対象外",'支払明細'!$H$5:$H$1004,"&lt;&gt;対象外"))</f>
        <v/>
      </c>
      <c r="AB93" s="31">
        <f>IF($B93="","",COUNTIFS('支払明細'!$A$5:$A$1004,$B93,'支払明細'!$M$5:$M$1004,"超える"))</f>
        <v/>
      </c>
      <c r="AC93" s="31">
        <f>IF($B93="","",COUNTIFS('支払明細'!$A$5:$A$1004,$B93,'支払明細'!$G$5:$G$1004,""))</f>
        <v/>
      </c>
    </row>
    <row r="94" ht="18" customHeight="1">
      <c r="A94" s="17" t="n">
        <v>90</v>
      </c>
      <c r="B94" s="18" t="n"/>
      <c r="C94" s="18" t="n"/>
      <c r="D94" s="24" t="n"/>
      <c r="E94" s="19" t="n"/>
      <c r="F94" s="24" t="n"/>
      <c r="G94" s="28">
        <f>IF(AND($B94&lt;&gt;"",ISNUMBER($D94)),$D94+N('設定'!$B$13),"")</f>
        <v/>
      </c>
      <c r="H94" s="18" t="n"/>
      <c r="I94" s="19" t="n"/>
      <c r="J94" s="27">
        <f>IF($B94="","",IF($C94="","（支払先コードが空）",IF($X94="","※支払先にないコード",INDEX('支払先'!$C$5:$C$104,$X94)&amp;"")))</f>
        <v/>
      </c>
      <c r="K94" s="30">
        <f>IF($B94="","",COUNTIF('支払明細'!$A$5:$A$1004,$B94))</f>
        <v/>
      </c>
      <c r="L94" s="26">
        <f>IF($B94="","",SUMIFS('支払明細'!$I$5:$I$1004,'支払明細'!$A$5:$A$1004,$B94,'支払明細'!$G$5:$G$1004,"10%（標準）"))</f>
        <v/>
      </c>
      <c r="M94" s="26">
        <f>IF($B94="","",SUMIFS('支払明細'!$I$5:$I$1004,'支払明細'!$A$5:$A$1004,$B94,'支払明細'!$G$5:$G$1004,"8%（軽減）"))</f>
        <v/>
      </c>
      <c r="N94" s="26">
        <f>IF($B94="","",SUMIFS('支払明細'!$I$5:$I$1004,'支払明細'!$A$5:$A$1004,$B94,'支払明細'!$G$5:$G$1004,"対象外"))</f>
        <v/>
      </c>
      <c r="O94" s="26">
        <f>IF($B94="","",IF('設定'!$B$11="税込",IF('設定'!$B$12="切り捨て",ROUNDDOWN(ROUND($L94*10/110,6),0),IF('設定'!$B$12="切り上げ",ROUNDUP(ROUND($L94*10/110,6),0),ROUND($L94*10/110,0))),IF('設定'!$B$12="切り捨て",ROUNDDOWN(ROUND($L94*10/100,6),0),IF('設定'!$B$12="切り上げ",ROUNDUP(ROUND($L94*10/100,6),0),ROUND($L94*10/100,0)))))</f>
        <v/>
      </c>
      <c r="P94" s="26">
        <f>IF($B94="","",IF('設定'!$B$11="税込",IF('設定'!$B$12="切り捨て",ROUNDDOWN(ROUND($M94*8/108,6),0),IF('設定'!$B$12="切り上げ",ROUNDUP(ROUND($M94*8/108,6),0),ROUND($M94*8/108,0))),IF('設定'!$B$12="切り捨て",ROUNDDOWN(ROUND($M94*8/100,6),0),IF('設定'!$B$12="切り上げ",ROUNDUP(ROUND($M94*8/100,6),0),ROUND($M94*8/100,0)))))</f>
        <v/>
      </c>
      <c r="Q94" s="26">
        <f>IF($B94="","",IF('設定'!$B$11="税込",$L94+$M94+$N94,$L94+$O94+$M94+$P94+$N94))</f>
        <v/>
      </c>
      <c r="R94" s="26">
        <f>IF($B94="","",IF($X94="",0,IF(INDEX('支払先'!$I$5:$I$104,$X94)&lt;&gt;"する",0,IF(INDEX('支払先'!$J$5:$J$104,$X94)="税抜",IF('設定'!$B$11="税込",($Y94-IF('設定'!$B$12="切り捨て",ROUNDDOWN(ROUND($Y94*10/110,6),0),IF('設定'!$B$12="切り上げ",ROUNDUP(ROUND($Y94*10/110,6),0),ROUND($Y94*10/110,0)))+$Z94-IF('設定'!$B$12="切り捨て",ROUNDDOWN(ROUND($Z94*8/108,6),0),IF('設定'!$B$12="切り上げ",ROUNDUP(ROUND($Z94*8/108,6),0),ROUND($Z94*8/108,0)))+$AA94),$Y94+$Z94+$AA94),IF('設定'!$B$11="税込",$Y94+$Z94+$AA94,($Y94+IF('設定'!$B$12="切り捨て",ROUNDDOWN(ROUND($Y94*10/100,6),0),IF('設定'!$B$12="切り上げ",ROUNDUP(ROUND($Y94*10/100,6),0),ROUND($Y94*10/100,0)))+$Z94+IF('設定'!$B$12="切り捨て",ROUNDDOWN(ROUND($Z94*8/100,6),0),IF('設定'!$B$12="切り上げ",ROUNDUP(ROUND($Z94*8/100,6),0),ROUND($Z94*8/100,0)))+$AA94))))))</f>
        <v/>
      </c>
      <c r="S94" s="26">
        <f>IF($B94="","",IF(N($R94)&lt;=0,0,IF($R94&lt;='設定'!$B$18,ROUNDDOWN(ROUND($R94*'設定'!$B$17,6),0),ROUNDDOWN(ROUND(($R94-'設定'!$B$18)*'設定'!$B$19,6),0)+'設定'!$B$20)))</f>
        <v/>
      </c>
      <c r="T94" s="26">
        <f>IF($B94="","",IF($X94="",0,IF(INDEX('支払先'!$K$5:$K$104,$X94)="差し引く",N(INDEX('支払先'!$L$5:$L$104,$X94)),0)))</f>
        <v/>
      </c>
      <c r="U94" s="26">
        <f>IF($B94="","",$Q94-$S94-$T94)</f>
        <v/>
      </c>
      <c r="V94" s="22">
        <f>IF($B94="","",MID(IF($C94="","／支払先コードが空",IF($X94="","／支払先にないコード",""))&amp;IF($K94=0,"／明細がない","")&amp;IF($AC94&gt;0,"／税率が空の明細 "&amp;$AC94&amp;"件（合計に入っていない）","")&amp;IF($X94="","",IF(INDEX('支払先'!$G$5:$G$104,$X94)="","／登録番号なし（仕入明細書にならない）",""))&amp;IF($AB94&gt;0,"／60日（2か月）を超える明細 "&amp;$AB94&amp;"件","")&amp;IF($X94="","",IF(AND(INDEX('支払先'!$K$5:$K$104,$X94)="差し引く",OR(INDEX('支払先'!$M$5:$M$104,$X94)&lt;&gt;"対象外",INDEX('支払先'!$N$5:$N$104,$X94)&lt;&gt;"対象外")),"／手数料を差し引けない取引か確かめる",""))&amp;IF(COUNTIF($B$5:$B$204,$B94)&gt;1,"／通知Noが重複","")&amp;IF(AND(ISNUMBER($D94),ISNUMBER($F94),$F94&lt;$D94),"／支払予定日が発行日より前",""),2,300))</f>
        <v/>
      </c>
      <c r="W94" s="67" t="n"/>
      <c r="X94" s="31">
        <f>IF(OR($B94="",$C94=""),"",IFERROR(MATCH($C94,'支払先'!$B$5:$B$104,0),""))</f>
        <v/>
      </c>
      <c r="Y94" s="31">
        <f>IF($B94="","",SUMIFS('支払明細'!$I$5:$I$1004,'支払明細'!$A$5:$A$1004,$B94,'支払明細'!$G$5:$G$1004,"10%（標準）",'支払明細'!$H$5:$H$1004,"&lt;&gt;対象外"))</f>
        <v/>
      </c>
      <c r="Z94" s="31">
        <f>IF($B94="","",SUMIFS('支払明細'!$I$5:$I$1004,'支払明細'!$A$5:$A$1004,$B94,'支払明細'!$G$5:$G$1004,"8%（軽減）",'支払明細'!$H$5:$H$1004,"&lt;&gt;対象外"))</f>
        <v/>
      </c>
      <c r="AA94" s="31">
        <f>IF($B94="","",SUMIFS('支払明細'!$I$5:$I$1004,'支払明細'!$A$5:$A$1004,$B94,'支払明細'!$G$5:$G$1004,"対象外",'支払明細'!$H$5:$H$1004,"&lt;&gt;対象外"))</f>
        <v/>
      </c>
      <c r="AB94" s="31">
        <f>IF($B94="","",COUNTIFS('支払明細'!$A$5:$A$1004,$B94,'支払明細'!$M$5:$M$1004,"超える"))</f>
        <v/>
      </c>
      <c r="AC94" s="31">
        <f>IF($B94="","",COUNTIFS('支払明細'!$A$5:$A$1004,$B94,'支払明細'!$G$5:$G$1004,""))</f>
        <v/>
      </c>
    </row>
    <row r="95" ht="18" customHeight="1">
      <c r="A95" s="17" t="n">
        <v>91</v>
      </c>
      <c r="B95" s="18" t="n"/>
      <c r="C95" s="18" t="n"/>
      <c r="D95" s="24" t="n"/>
      <c r="E95" s="19" t="n"/>
      <c r="F95" s="24" t="n"/>
      <c r="G95" s="28">
        <f>IF(AND($B95&lt;&gt;"",ISNUMBER($D95)),$D95+N('設定'!$B$13),"")</f>
        <v/>
      </c>
      <c r="H95" s="18" t="n"/>
      <c r="I95" s="19" t="n"/>
      <c r="J95" s="27">
        <f>IF($B95="","",IF($C95="","（支払先コードが空）",IF($X95="","※支払先にないコード",INDEX('支払先'!$C$5:$C$104,$X95)&amp;"")))</f>
        <v/>
      </c>
      <c r="K95" s="30">
        <f>IF($B95="","",COUNTIF('支払明細'!$A$5:$A$1004,$B95))</f>
        <v/>
      </c>
      <c r="L95" s="26">
        <f>IF($B95="","",SUMIFS('支払明細'!$I$5:$I$1004,'支払明細'!$A$5:$A$1004,$B95,'支払明細'!$G$5:$G$1004,"10%（標準）"))</f>
        <v/>
      </c>
      <c r="M95" s="26">
        <f>IF($B95="","",SUMIFS('支払明細'!$I$5:$I$1004,'支払明細'!$A$5:$A$1004,$B95,'支払明細'!$G$5:$G$1004,"8%（軽減）"))</f>
        <v/>
      </c>
      <c r="N95" s="26">
        <f>IF($B95="","",SUMIFS('支払明細'!$I$5:$I$1004,'支払明細'!$A$5:$A$1004,$B95,'支払明細'!$G$5:$G$1004,"対象外"))</f>
        <v/>
      </c>
      <c r="O95" s="26">
        <f>IF($B95="","",IF('設定'!$B$11="税込",IF('設定'!$B$12="切り捨て",ROUNDDOWN(ROUND($L95*10/110,6),0),IF('設定'!$B$12="切り上げ",ROUNDUP(ROUND($L95*10/110,6),0),ROUND($L95*10/110,0))),IF('設定'!$B$12="切り捨て",ROUNDDOWN(ROUND($L95*10/100,6),0),IF('設定'!$B$12="切り上げ",ROUNDUP(ROUND($L95*10/100,6),0),ROUND($L95*10/100,0)))))</f>
        <v/>
      </c>
      <c r="P95" s="26">
        <f>IF($B95="","",IF('設定'!$B$11="税込",IF('設定'!$B$12="切り捨て",ROUNDDOWN(ROUND($M95*8/108,6),0),IF('設定'!$B$12="切り上げ",ROUNDUP(ROUND($M95*8/108,6),0),ROUND($M95*8/108,0))),IF('設定'!$B$12="切り捨て",ROUNDDOWN(ROUND($M95*8/100,6),0),IF('設定'!$B$12="切り上げ",ROUNDUP(ROUND($M95*8/100,6),0),ROUND($M95*8/100,0)))))</f>
        <v/>
      </c>
      <c r="Q95" s="26">
        <f>IF($B95="","",IF('設定'!$B$11="税込",$L95+$M95+$N95,$L95+$O95+$M95+$P95+$N95))</f>
        <v/>
      </c>
      <c r="R95" s="26">
        <f>IF($B95="","",IF($X95="",0,IF(INDEX('支払先'!$I$5:$I$104,$X95)&lt;&gt;"する",0,IF(INDEX('支払先'!$J$5:$J$104,$X95)="税抜",IF('設定'!$B$11="税込",($Y95-IF('設定'!$B$12="切り捨て",ROUNDDOWN(ROUND($Y95*10/110,6),0),IF('設定'!$B$12="切り上げ",ROUNDUP(ROUND($Y95*10/110,6),0),ROUND($Y95*10/110,0)))+$Z95-IF('設定'!$B$12="切り捨て",ROUNDDOWN(ROUND($Z95*8/108,6),0),IF('設定'!$B$12="切り上げ",ROUNDUP(ROUND($Z95*8/108,6),0),ROUND($Z95*8/108,0)))+$AA95),$Y95+$Z95+$AA95),IF('設定'!$B$11="税込",$Y95+$Z95+$AA95,($Y95+IF('設定'!$B$12="切り捨て",ROUNDDOWN(ROUND($Y95*10/100,6),0),IF('設定'!$B$12="切り上げ",ROUNDUP(ROUND($Y95*10/100,6),0),ROUND($Y95*10/100,0)))+$Z95+IF('設定'!$B$12="切り捨て",ROUNDDOWN(ROUND($Z95*8/100,6),0),IF('設定'!$B$12="切り上げ",ROUNDUP(ROUND($Z95*8/100,6),0),ROUND($Z95*8/100,0)))+$AA95))))))</f>
        <v/>
      </c>
      <c r="S95" s="26">
        <f>IF($B95="","",IF(N($R95)&lt;=0,0,IF($R95&lt;='設定'!$B$18,ROUNDDOWN(ROUND($R95*'設定'!$B$17,6),0),ROUNDDOWN(ROUND(($R95-'設定'!$B$18)*'設定'!$B$19,6),0)+'設定'!$B$20)))</f>
        <v/>
      </c>
      <c r="T95" s="26">
        <f>IF($B95="","",IF($X95="",0,IF(INDEX('支払先'!$K$5:$K$104,$X95)="差し引く",N(INDEX('支払先'!$L$5:$L$104,$X95)),0)))</f>
        <v/>
      </c>
      <c r="U95" s="26">
        <f>IF($B95="","",$Q95-$S95-$T95)</f>
        <v/>
      </c>
      <c r="V95" s="22">
        <f>IF($B95="","",MID(IF($C95="","／支払先コードが空",IF($X95="","／支払先にないコード",""))&amp;IF($K95=0,"／明細がない","")&amp;IF($AC95&gt;0,"／税率が空の明細 "&amp;$AC95&amp;"件（合計に入っていない）","")&amp;IF($X95="","",IF(INDEX('支払先'!$G$5:$G$104,$X95)="","／登録番号なし（仕入明細書にならない）",""))&amp;IF($AB95&gt;0,"／60日（2か月）を超える明細 "&amp;$AB95&amp;"件","")&amp;IF($X95="","",IF(AND(INDEX('支払先'!$K$5:$K$104,$X95)="差し引く",OR(INDEX('支払先'!$M$5:$M$104,$X95)&lt;&gt;"対象外",INDEX('支払先'!$N$5:$N$104,$X95)&lt;&gt;"対象外")),"／手数料を差し引けない取引か確かめる",""))&amp;IF(COUNTIF($B$5:$B$204,$B95)&gt;1,"／通知Noが重複","")&amp;IF(AND(ISNUMBER($D95),ISNUMBER($F95),$F95&lt;$D95),"／支払予定日が発行日より前",""),2,300))</f>
        <v/>
      </c>
      <c r="W95" s="67" t="n"/>
      <c r="X95" s="31">
        <f>IF(OR($B95="",$C95=""),"",IFERROR(MATCH($C95,'支払先'!$B$5:$B$104,0),""))</f>
        <v/>
      </c>
      <c r="Y95" s="31">
        <f>IF($B95="","",SUMIFS('支払明細'!$I$5:$I$1004,'支払明細'!$A$5:$A$1004,$B95,'支払明細'!$G$5:$G$1004,"10%（標準）",'支払明細'!$H$5:$H$1004,"&lt;&gt;対象外"))</f>
        <v/>
      </c>
      <c r="Z95" s="31">
        <f>IF($B95="","",SUMIFS('支払明細'!$I$5:$I$1004,'支払明細'!$A$5:$A$1004,$B95,'支払明細'!$G$5:$G$1004,"8%（軽減）",'支払明細'!$H$5:$H$1004,"&lt;&gt;対象外"))</f>
        <v/>
      </c>
      <c r="AA95" s="31">
        <f>IF($B95="","",SUMIFS('支払明細'!$I$5:$I$1004,'支払明細'!$A$5:$A$1004,$B95,'支払明細'!$G$5:$G$1004,"対象外",'支払明細'!$H$5:$H$1004,"&lt;&gt;対象外"))</f>
        <v/>
      </c>
      <c r="AB95" s="31">
        <f>IF($B95="","",COUNTIFS('支払明細'!$A$5:$A$1004,$B95,'支払明細'!$M$5:$M$1004,"超える"))</f>
        <v/>
      </c>
      <c r="AC95" s="31">
        <f>IF($B95="","",COUNTIFS('支払明細'!$A$5:$A$1004,$B95,'支払明細'!$G$5:$G$1004,""))</f>
        <v/>
      </c>
    </row>
    <row r="96" ht="18" customHeight="1">
      <c r="A96" s="17" t="n">
        <v>92</v>
      </c>
      <c r="B96" s="18" t="n"/>
      <c r="C96" s="18" t="n"/>
      <c r="D96" s="24" t="n"/>
      <c r="E96" s="19" t="n"/>
      <c r="F96" s="24" t="n"/>
      <c r="G96" s="28">
        <f>IF(AND($B96&lt;&gt;"",ISNUMBER($D96)),$D96+N('設定'!$B$13),"")</f>
        <v/>
      </c>
      <c r="H96" s="18" t="n"/>
      <c r="I96" s="19" t="n"/>
      <c r="J96" s="27">
        <f>IF($B96="","",IF($C96="","（支払先コードが空）",IF($X96="","※支払先にないコード",INDEX('支払先'!$C$5:$C$104,$X96)&amp;"")))</f>
        <v/>
      </c>
      <c r="K96" s="30">
        <f>IF($B96="","",COUNTIF('支払明細'!$A$5:$A$1004,$B96))</f>
        <v/>
      </c>
      <c r="L96" s="26">
        <f>IF($B96="","",SUMIFS('支払明細'!$I$5:$I$1004,'支払明細'!$A$5:$A$1004,$B96,'支払明細'!$G$5:$G$1004,"10%（標準）"))</f>
        <v/>
      </c>
      <c r="M96" s="26">
        <f>IF($B96="","",SUMIFS('支払明細'!$I$5:$I$1004,'支払明細'!$A$5:$A$1004,$B96,'支払明細'!$G$5:$G$1004,"8%（軽減）"))</f>
        <v/>
      </c>
      <c r="N96" s="26">
        <f>IF($B96="","",SUMIFS('支払明細'!$I$5:$I$1004,'支払明細'!$A$5:$A$1004,$B96,'支払明細'!$G$5:$G$1004,"対象外"))</f>
        <v/>
      </c>
      <c r="O96" s="26">
        <f>IF($B96="","",IF('設定'!$B$11="税込",IF('設定'!$B$12="切り捨て",ROUNDDOWN(ROUND($L96*10/110,6),0),IF('設定'!$B$12="切り上げ",ROUNDUP(ROUND($L96*10/110,6),0),ROUND($L96*10/110,0))),IF('設定'!$B$12="切り捨て",ROUNDDOWN(ROUND($L96*10/100,6),0),IF('設定'!$B$12="切り上げ",ROUNDUP(ROUND($L96*10/100,6),0),ROUND($L96*10/100,0)))))</f>
        <v/>
      </c>
      <c r="P96" s="26">
        <f>IF($B96="","",IF('設定'!$B$11="税込",IF('設定'!$B$12="切り捨て",ROUNDDOWN(ROUND($M96*8/108,6),0),IF('設定'!$B$12="切り上げ",ROUNDUP(ROUND($M96*8/108,6),0),ROUND($M96*8/108,0))),IF('設定'!$B$12="切り捨て",ROUNDDOWN(ROUND($M96*8/100,6),0),IF('設定'!$B$12="切り上げ",ROUNDUP(ROUND($M96*8/100,6),0),ROUND($M96*8/100,0)))))</f>
        <v/>
      </c>
      <c r="Q96" s="26">
        <f>IF($B96="","",IF('設定'!$B$11="税込",$L96+$M96+$N96,$L96+$O96+$M96+$P96+$N96))</f>
        <v/>
      </c>
      <c r="R96" s="26">
        <f>IF($B96="","",IF($X96="",0,IF(INDEX('支払先'!$I$5:$I$104,$X96)&lt;&gt;"する",0,IF(INDEX('支払先'!$J$5:$J$104,$X96)="税抜",IF('設定'!$B$11="税込",($Y96-IF('設定'!$B$12="切り捨て",ROUNDDOWN(ROUND($Y96*10/110,6),0),IF('設定'!$B$12="切り上げ",ROUNDUP(ROUND($Y96*10/110,6),0),ROUND($Y96*10/110,0)))+$Z96-IF('設定'!$B$12="切り捨て",ROUNDDOWN(ROUND($Z96*8/108,6),0),IF('設定'!$B$12="切り上げ",ROUNDUP(ROUND($Z96*8/108,6),0),ROUND($Z96*8/108,0)))+$AA96),$Y96+$Z96+$AA96),IF('設定'!$B$11="税込",$Y96+$Z96+$AA96,($Y96+IF('設定'!$B$12="切り捨て",ROUNDDOWN(ROUND($Y96*10/100,6),0),IF('設定'!$B$12="切り上げ",ROUNDUP(ROUND($Y96*10/100,6),0),ROUND($Y96*10/100,0)))+$Z96+IF('設定'!$B$12="切り捨て",ROUNDDOWN(ROUND($Z96*8/100,6),0),IF('設定'!$B$12="切り上げ",ROUNDUP(ROUND($Z96*8/100,6),0),ROUND($Z96*8/100,0)))+$AA96))))))</f>
        <v/>
      </c>
      <c r="S96" s="26">
        <f>IF($B96="","",IF(N($R96)&lt;=0,0,IF($R96&lt;='設定'!$B$18,ROUNDDOWN(ROUND($R96*'設定'!$B$17,6),0),ROUNDDOWN(ROUND(($R96-'設定'!$B$18)*'設定'!$B$19,6),0)+'設定'!$B$20)))</f>
        <v/>
      </c>
      <c r="T96" s="26">
        <f>IF($B96="","",IF($X96="",0,IF(INDEX('支払先'!$K$5:$K$104,$X96)="差し引く",N(INDEX('支払先'!$L$5:$L$104,$X96)),0)))</f>
        <v/>
      </c>
      <c r="U96" s="26">
        <f>IF($B96="","",$Q96-$S96-$T96)</f>
        <v/>
      </c>
      <c r="V96" s="22">
        <f>IF($B96="","",MID(IF($C96="","／支払先コードが空",IF($X96="","／支払先にないコード",""))&amp;IF($K96=0,"／明細がない","")&amp;IF($AC96&gt;0,"／税率が空の明細 "&amp;$AC96&amp;"件（合計に入っていない）","")&amp;IF($X96="","",IF(INDEX('支払先'!$G$5:$G$104,$X96)="","／登録番号なし（仕入明細書にならない）",""))&amp;IF($AB96&gt;0,"／60日（2か月）を超える明細 "&amp;$AB96&amp;"件","")&amp;IF($X96="","",IF(AND(INDEX('支払先'!$K$5:$K$104,$X96)="差し引く",OR(INDEX('支払先'!$M$5:$M$104,$X96)&lt;&gt;"対象外",INDEX('支払先'!$N$5:$N$104,$X96)&lt;&gt;"対象外")),"／手数料を差し引けない取引か確かめる",""))&amp;IF(COUNTIF($B$5:$B$204,$B96)&gt;1,"／通知Noが重複","")&amp;IF(AND(ISNUMBER($D96),ISNUMBER($F96),$F96&lt;$D96),"／支払予定日が発行日より前",""),2,300))</f>
        <v/>
      </c>
      <c r="W96" s="67" t="n"/>
      <c r="X96" s="31">
        <f>IF(OR($B96="",$C96=""),"",IFERROR(MATCH($C96,'支払先'!$B$5:$B$104,0),""))</f>
        <v/>
      </c>
      <c r="Y96" s="31">
        <f>IF($B96="","",SUMIFS('支払明細'!$I$5:$I$1004,'支払明細'!$A$5:$A$1004,$B96,'支払明細'!$G$5:$G$1004,"10%（標準）",'支払明細'!$H$5:$H$1004,"&lt;&gt;対象外"))</f>
        <v/>
      </c>
      <c r="Z96" s="31">
        <f>IF($B96="","",SUMIFS('支払明細'!$I$5:$I$1004,'支払明細'!$A$5:$A$1004,$B96,'支払明細'!$G$5:$G$1004,"8%（軽減）",'支払明細'!$H$5:$H$1004,"&lt;&gt;対象外"))</f>
        <v/>
      </c>
      <c r="AA96" s="31">
        <f>IF($B96="","",SUMIFS('支払明細'!$I$5:$I$1004,'支払明細'!$A$5:$A$1004,$B96,'支払明細'!$G$5:$G$1004,"対象外",'支払明細'!$H$5:$H$1004,"&lt;&gt;対象外"))</f>
        <v/>
      </c>
      <c r="AB96" s="31">
        <f>IF($B96="","",COUNTIFS('支払明細'!$A$5:$A$1004,$B96,'支払明細'!$M$5:$M$1004,"超える"))</f>
        <v/>
      </c>
      <c r="AC96" s="31">
        <f>IF($B96="","",COUNTIFS('支払明細'!$A$5:$A$1004,$B96,'支払明細'!$G$5:$G$1004,""))</f>
        <v/>
      </c>
    </row>
    <row r="97" ht="18" customHeight="1">
      <c r="A97" s="17" t="n">
        <v>93</v>
      </c>
      <c r="B97" s="18" t="n"/>
      <c r="C97" s="18" t="n"/>
      <c r="D97" s="24" t="n"/>
      <c r="E97" s="19" t="n"/>
      <c r="F97" s="24" t="n"/>
      <c r="G97" s="28">
        <f>IF(AND($B97&lt;&gt;"",ISNUMBER($D97)),$D97+N('設定'!$B$13),"")</f>
        <v/>
      </c>
      <c r="H97" s="18" t="n"/>
      <c r="I97" s="19" t="n"/>
      <c r="J97" s="27">
        <f>IF($B97="","",IF($C97="","（支払先コードが空）",IF($X97="","※支払先にないコード",INDEX('支払先'!$C$5:$C$104,$X97)&amp;"")))</f>
        <v/>
      </c>
      <c r="K97" s="30">
        <f>IF($B97="","",COUNTIF('支払明細'!$A$5:$A$1004,$B97))</f>
        <v/>
      </c>
      <c r="L97" s="26">
        <f>IF($B97="","",SUMIFS('支払明細'!$I$5:$I$1004,'支払明細'!$A$5:$A$1004,$B97,'支払明細'!$G$5:$G$1004,"10%（標準）"))</f>
        <v/>
      </c>
      <c r="M97" s="26">
        <f>IF($B97="","",SUMIFS('支払明細'!$I$5:$I$1004,'支払明細'!$A$5:$A$1004,$B97,'支払明細'!$G$5:$G$1004,"8%（軽減）"))</f>
        <v/>
      </c>
      <c r="N97" s="26">
        <f>IF($B97="","",SUMIFS('支払明細'!$I$5:$I$1004,'支払明細'!$A$5:$A$1004,$B97,'支払明細'!$G$5:$G$1004,"対象外"))</f>
        <v/>
      </c>
      <c r="O97" s="26">
        <f>IF($B97="","",IF('設定'!$B$11="税込",IF('設定'!$B$12="切り捨て",ROUNDDOWN(ROUND($L97*10/110,6),0),IF('設定'!$B$12="切り上げ",ROUNDUP(ROUND($L97*10/110,6),0),ROUND($L97*10/110,0))),IF('設定'!$B$12="切り捨て",ROUNDDOWN(ROUND($L97*10/100,6),0),IF('設定'!$B$12="切り上げ",ROUNDUP(ROUND($L97*10/100,6),0),ROUND($L97*10/100,0)))))</f>
        <v/>
      </c>
      <c r="P97" s="26">
        <f>IF($B97="","",IF('設定'!$B$11="税込",IF('設定'!$B$12="切り捨て",ROUNDDOWN(ROUND($M97*8/108,6),0),IF('設定'!$B$12="切り上げ",ROUNDUP(ROUND($M97*8/108,6),0),ROUND($M97*8/108,0))),IF('設定'!$B$12="切り捨て",ROUNDDOWN(ROUND($M97*8/100,6),0),IF('設定'!$B$12="切り上げ",ROUNDUP(ROUND($M97*8/100,6),0),ROUND($M97*8/100,0)))))</f>
        <v/>
      </c>
      <c r="Q97" s="26">
        <f>IF($B97="","",IF('設定'!$B$11="税込",$L97+$M97+$N97,$L97+$O97+$M97+$P97+$N97))</f>
        <v/>
      </c>
      <c r="R97" s="26">
        <f>IF($B97="","",IF($X97="",0,IF(INDEX('支払先'!$I$5:$I$104,$X97)&lt;&gt;"する",0,IF(INDEX('支払先'!$J$5:$J$104,$X97)="税抜",IF('設定'!$B$11="税込",($Y97-IF('設定'!$B$12="切り捨て",ROUNDDOWN(ROUND($Y97*10/110,6),0),IF('設定'!$B$12="切り上げ",ROUNDUP(ROUND($Y97*10/110,6),0),ROUND($Y97*10/110,0)))+$Z97-IF('設定'!$B$12="切り捨て",ROUNDDOWN(ROUND($Z97*8/108,6),0),IF('設定'!$B$12="切り上げ",ROUNDUP(ROUND($Z97*8/108,6),0),ROUND($Z97*8/108,0)))+$AA97),$Y97+$Z97+$AA97),IF('設定'!$B$11="税込",$Y97+$Z97+$AA97,($Y97+IF('設定'!$B$12="切り捨て",ROUNDDOWN(ROUND($Y97*10/100,6),0),IF('設定'!$B$12="切り上げ",ROUNDUP(ROUND($Y97*10/100,6),0),ROUND($Y97*10/100,0)))+$Z97+IF('設定'!$B$12="切り捨て",ROUNDDOWN(ROUND($Z97*8/100,6),0),IF('設定'!$B$12="切り上げ",ROUNDUP(ROUND($Z97*8/100,6),0),ROUND($Z97*8/100,0)))+$AA97))))))</f>
        <v/>
      </c>
      <c r="S97" s="26">
        <f>IF($B97="","",IF(N($R97)&lt;=0,0,IF($R97&lt;='設定'!$B$18,ROUNDDOWN(ROUND($R97*'設定'!$B$17,6),0),ROUNDDOWN(ROUND(($R97-'設定'!$B$18)*'設定'!$B$19,6),0)+'設定'!$B$20)))</f>
        <v/>
      </c>
      <c r="T97" s="26">
        <f>IF($B97="","",IF($X97="",0,IF(INDEX('支払先'!$K$5:$K$104,$X97)="差し引く",N(INDEX('支払先'!$L$5:$L$104,$X97)),0)))</f>
        <v/>
      </c>
      <c r="U97" s="26">
        <f>IF($B97="","",$Q97-$S97-$T97)</f>
        <v/>
      </c>
      <c r="V97" s="22">
        <f>IF($B97="","",MID(IF($C97="","／支払先コードが空",IF($X97="","／支払先にないコード",""))&amp;IF($K97=0,"／明細がない","")&amp;IF($AC97&gt;0,"／税率が空の明細 "&amp;$AC97&amp;"件（合計に入っていない）","")&amp;IF($X97="","",IF(INDEX('支払先'!$G$5:$G$104,$X97)="","／登録番号なし（仕入明細書にならない）",""))&amp;IF($AB97&gt;0,"／60日（2か月）を超える明細 "&amp;$AB97&amp;"件","")&amp;IF($X97="","",IF(AND(INDEX('支払先'!$K$5:$K$104,$X97)="差し引く",OR(INDEX('支払先'!$M$5:$M$104,$X97)&lt;&gt;"対象外",INDEX('支払先'!$N$5:$N$104,$X97)&lt;&gt;"対象外")),"／手数料を差し引けない取引か確かめる",""))&amp;IF(COUNTIF($B$5:$B$204,$B97)&gt;1,"／通知Noが重複","")&amp;IF(AND(ISNUMBER($D97),ISNUMBER($F97),$F97&lt;$D97),"／支払予定日が発行日より前",""),2,300))</f>
        <v/>
      </c>
      <c r="W97" s="67" t="n"/>
      <c r="X97" s="31">
        <f>IF(OR($B97="",$C97=""),"",IFERROR(MATCH($C97,'支払先'!$B$5:$B$104,0),""))</f>
        <v/>
      </c>
      <c r="Y97" s="31">
        <f>IF($B97="","",SUMIFS('支払明細'!$I$5:$I$1004,'支払明細'!$A$5:$A$1004,$B97,'支払明細'!$G$5:$G$1004,"10%（標準）",'支払明細'!$H$5:$H$1004,"&lt;&gt;対象外"))</f>
        <v/>
      </c>
      <c r="Z97" s="31">
        <f>IF($B97="","",SUMIFS('支払明細'!$I$5:$I$1004,'支払明細'!$A$5:$A$1004,$B97,'支払明細'!$G$5:$G$1004,"8%（軽減）",'支払明細'!$H$5:$H$1004,"&lt;&gt;対象外"))</f>
        <v/>
      </c>
      <c r="AA97" s="31">
        <f>IF($B97="","",SUMIFS('支払明細'!$I$5:$I$1004,'支払明細'!$A$5:$A$1004,$B97,'支払明細'!$G$5:$G$1004,"対象外",'支払明細'!$H$5:$H$1004,"&lt;&gt;対象外"))</f>
        <v/>
      </c>
      <c r="AB97" s="31">
        <f>IF($B97="","",COUNTIFS('支払明細'!$A$5:$A$1004,$B97,'支払明細'!$M$5:$M$1004,"超える"))</f>
        <v/>
      </c>
      <c r="AC97" s="31">
        <f>IF($B97="","",COUNTIFS('支払明細'!$A$5:$A$1004,$B97,'支払明細'!$G$5:$G$1004,""))</f>
        <v/>
      </c>
    </row>
    <row r="98" ht="18" customHeight="1">
      <c r="A98" s="17" t="n">
        <v>94</v>
      </c>
      <c r="B98" s="18" t="n"/>
      <c r="C98" s="18" t="n"/>
      <c r="D98" s="24" t="n"/>
      <c r="E98" s="19" t="n"/>
      <c r="F98" s="24" t="n"/>
      <c r="G98" s="28">
        <f>IF(AND($B98&lt;&gt;"",ISNUMBER($D98)),$D98+N('設定'!$B$13),"")</f>
        <v/>
      </c>
      <c r="H98" s="18" t="n"/>
      <c r="I98" s="19" t="n"/>
      <c r="J98" s="27">
        <f>IF($B98="","",IF($C98="","（支払先コードが空）",IF($X98="","※支払先にないコード",INDEX('支払先'!$C$5:$C$104,$X98)&amp;"")))</f>
        <v/>
      </c>
      <c r="K98" s="30">
        <f>IF($B98="","",COUNTIF('支払明細'!$A$5:$A$1004,$B98))</f>
        <v/>
      </c>
      <c r="L98" s="26">
        <f>IF($B98="","",SUMIFS('支払明細'!$I$5:$I$1004,'支払明細'!$A$5:$A$1004,$B98,'支払明細'!$G$5:$G$1004,"10%（標準）"))</f>
        <v/>
      </c>
      <c r="M98" s="26">
        <f>IF($B98="","",SUMIFS('支払明細'!$I$5:$I$1004,'支払明細'!$A$5:$A$1004,$B98,'支払明細'!$G$5:$G$1004,"8%（軽減）"))</f>
        <v/>
      </c>
      <c r="N98" s="26">
        <f>IF($B98="","",SUMIFS('支払明細'!$I$5:$I$1004,'支払明細'!$A$5:$A$1004,$B98,'支払明細'!$G$5:$G$1004,"対象外"))</f>
        <v/>
      </c>
      <c r="O98" s="26">
        <f>IF($B98="","",IF('設定'!$B$11="税込",IF('設定'!$B$12="切り捨て",ROUNDDOWN(ROUND($L98*10/110,6),0),IF('設定'!$B$12="切り上げ",ROUNDUP(ROUND($L98*10/110,6),0),ROUND($L98*10/110,0))),IF('設定'!$B$12="切り捨て",ROUNDDOWN(ROUND($L98*10/100,6),0),IF('設定'!$B$12="切り上げ",ROUNDUP(ROUND($L98*10/100,6),0),ROUND($L98*10/100,0)))))</f>
        <v/>
      </c>
      <c r="P98" s="26">
        <f>IF($B98="","",IF('設定'!$B$11="税込",IF('設定'!$B$12="切り捨て",ROUNDDOWN(ROUND($M98*8/108,6),0),IF('設定'!$B$12="切り上げ",ROUNDUP(ROUND($M98*8/108,6),0),ROUND($M98*8/108,0))),IF('設定'!$B$12="切り捨て",ROUNDDOWN(ROUND($M98*8/100,6),0),IF('設定'!$B$12="切り上げ",ROUNDUP(ROUND($M98*8/100,6),0),ROUND($M98*8/100,0)))))</f>
        <v/>
      </c>
      <c r="Q98" s="26">
        <f>IF($B98="","",IF('設定'!$B$11="税込",$L98+$M98+$N98,$L98+$O98+$M98+$P98+$N98))</f>
        <v/>
      </c>
      <c r="R98" s="26">
        <f>IF($B98="","",IF($X98="",0,IF(INDEX('支払先'!$I$5:$I$104,$X98)&lt;&gt;"する",0,IF(INDEX('支払先'!$J$5:$J$104,$X98)="税抜",IF('設定'!$B$11="税込",($Y98-IF('設定'!$B$12="切り捨て",ROUNDDOWN(ROUND($Y98*10/110,6),0),IF('設定'!$B$12="切り上げ",ROUNDUP(ROUND($Y98*10/110,6),0),ROUND($Y98*10/110,0)))+$Z98-IF('設定'!$B$12="切り捨て",ROUNDDOWN(ROUND($Z98*8/108,6),0),IF('設定'!$B$12="切り上げ",ROUNDUP(ROUND($Z98*8/108,6),0),ROUND($Z98*8/108,0)))+$AA98),$Y98+$Z98+$AA98),IF('設定'!$B$11="税込",$Y98+$Z98+$AA98,($Y98+IF('設定'!$B$12="切り捨て",ROUNDDOWN(ROUND($Y98*10/100,6),0),IF('設定'!$B$12="切り上げ",ROUNDUP(ROUND($Y98*10/100,6),0),ROUND($Y98*10/100,0)))+$Z98+IF('設定'!$B$12="切り捨て",ROUNDDOWN(ROUND($Z98*8/100,6),0),IF('設定'!$B$12="切り上げ",ROUNDUP(ROUND($Z98*8/100,6),0),ROUND($Z98*8/100,0)))+$AA98))))))</f>
        <v/>
      </c>
      <c r="S98" s="26">
        <f>IF($B98="","",IF(N($R98)&lt;=0,0,IF($R98&lt;='設定'!$B$18,ROUNDDOWN(ROUND($R98*'設定'!$B$17,6),0),ROUNDDOWN(ROUND(($R98-'設定'!$B$18)*'設定'!$B$19,6),0)+'設定'!$B$20)))</f>
        <v/>
      </c>
      <c r="T98" s="26">
        <f>IF($B98="","",IF($X98="",0,IF(INDEX('支払先'!$K$5:$K$104,$X98)="差し引く",N(INDEX('支払先'!$L$5:$L$104,$X98)),0)))</f>
        <v/>
      </c>
      <c r="U98" s="26">
        <f>IF($B98="","",$Q98-$S98-$T98)</f>
        <v/>
      </c>
      <c r="V98" s="22">
        <f>IF($B98="","",MID(IF($C98="","／支払先コードが空",IF($X98="","／支払先にないコード",""))&amp;IF($K98=0,"／明細がない","")&amp;IF($AC98&gt;0,"／税率が空の明細 "&amp;$AC98&amp;"件（合計に入っていない）","")&amp;IF($X98="","",IF(INDEX('支払先'!$G$5:$G$104,$X98)="","／登録番号なし（仕入明細書にならない）",""))&amp;IF($AB98&gt;0,"／60日（2か月）を超える明細 "&amp;$AB98&amp;"件","")&amp;IF($X98="","",IF(AND(INDEX('支払先'!$K$5:$K$104,$X98)="差し引く",OR(INDEX('支払先'!$M$5:$M$104,$X98)&lt;&gt;"対象外",INDEX('支払先'!$N$5:$N$104,$X98)&lt;&gt;"対象外")),"／手数料を差し引けない取引か確かめる",""))&amp;IF(COUNTIF($B$5:$B$204,$B98)&gt;1,"／通知Noが重複","")&amp;IF(AND(ISNUMBER($D98),ISNUMBER($F98),$F98&lt;$D98),"／支払予定日が発行日より前",""),2,300))</f>
        <v/>
      </c>
      <c r="W98" s="67" t="n"/>
      <c r="X98" s="31">
        <f>IF(OR($B98="",$C98=""),"",IFERROR(MATCH($C98,'支払先'!$B$5:$B$104,0),""))</f>
        <v/>
      </c>
      <c r="Y98" s="31">
        <f>IF($B98="","",SUMIFS('支払明細'!$I$5:$I$1004,'支払明細'!$A$5:$A$1004,$B98,'支払明細'!$G$5:$G$1004,"10%（標準）",'支払明細'!$H$5:$H$1004,"&lt;&gt;対象外"))</f>
        <v/>
      </c>
      <c r="Z98" s="31">
        <f>IF($B98="","",SUMIFS('支払明細'!$I$5:$I$1004,'支払明細'!$A$5:$A$1004,$B98,'支払明細'!$G$5:$G$1004,"8%（軽減）",'支払明細'!$H$5:$H$1004,"&lt;&gt;対象外"))</f>
        <v/>
      </c>
      <c r="AA98" s="31">
        <f>IF($B98="","",SUMIFS('支払明細'!$I$5:$I$1004,'支払明細'!$A$5:$A$1004,$B98,'支払明細'!$G$5:$G$1004,"対象外",'支払明細'!$H$5:$H$1004,"&lt;&gt;対象外"))</f>
        <v/>
      </c>
      <c r="AB98" s="31">
        <f>IF($B98="","",COUNTIFS('支払明細'!$A$5:$A$1004,$B98,'支払明細'!$M$5:$M$1004,"超える"))</f>
        <v/>
      </c>
      <c r="AC98" s="31">
        <f>IF($B98="","",COUNTIFS('支払明細'!$A$5:$A$1004,$B98,'支払明細'!$G$5:$G$1004,""))</f>
        <v/>
      </c>
    </row>
    <row r="99" ht="18" customHeight="1">
      <c r="A99" s="17" t="n">
        <v>95</v>
      </c>
      <c r="B99" s="18" t="n"/>
      <c r="C99" s="18" t="n"/>
      <c r="D99" s="24" t="n"/>
      <c r="E99" s="19" t="n"/>
      <c r="F99" s="24" t="n"/>
      <c r="G99" s="28">
        <f>IF(AND($B99&lt;&gt;"",ISNUMBER($D99)),$D99+N('設定'!$B$13),"")</f>
        <v/>
      </c>
      <c r="H99" s="18" t="n"/>
      <c r="I99" s="19" t="n"/>
      <c r="J99" s="27">
        <f>IF($B99="","",IF($C99="","（支払先コードが空）",IF($X99="","※支払先にないコード",INDEX('支払先'!$C$5:$C$104,$X99)&amp;"")))</f>
        <v/>
      </c>
      <c r="K99" s="30">
        <f>IF($B99="","",COUNTIF('支払明細'!$A$5:$A$1004,$B99))</f>
        <v/>
      </c>
      <c r="L99" s="26">
        <f>IF($B99="","",SUMIFS('支払明細'!$I$5:$I$1004,'支払明細'!$A$5:$A$1004,$B99,'支払明細'!$G$5:$G$1004,"10%（標準）"))</f>
        <v/>
      </c>
      <c r="M99" s="26">
        <f>IF($B99="","",SUMIFS('支払明細'!$I$5:$I$1004,'支払明細'!$A$5:$A$1004,$B99,'支払明細'!$G$5:$G$1004,"8%（軽減）"))</f>
        <v/>
      </c>
      <c r="N99" s="26">
        <f>IF($B99="","",SUMIFS('支払明細'!$I$5:$I$1004,'支払明細'!$A$5:$A$1004,$B99,'支払明細'!$G$5:$G$1004,"対象外"))</f>
        <v/>
      </c>
      <c r="O99" s="26">
        <f>IF($B99="","",IF('設定'!$B$11="税込",IF('設定'!$B$12="切り捨て",ROUNDDOWN(ROUND($L99*10/110,6),0),IF('設定'!$B$12="切り上げ",ROUNDUP(ROUND($L99*10/110,6),0),ROUND($L99*10/110,0))),IF('設定'!$B$12="切り捨て",ROUNDDOWN(ROUND($L99*10/100,6),0),IF('設定'!$B$12="切り上げ",ROUNDUP(ROUND($L99*10/100,6),0),ROUND($L99*10/100,0)))))</f>
        <v/>
      </c>
      <c r="P99" s="26">
        <f>IF($B99="","",IF('設定'!$B$11="税込",IF('設定'!$B$12="切り捨て",ROUNDDOWN(ROUND($M99*8/108,6),0),IF('設定'!$B$12="切り上げ",ROUNDUP(ROUND($M99*8/108,6),0),ROUND($M99*8/108,0))),IF('設定'!$B$12="切り捨て",ROUNDDOWN(ROUND($M99*8/100,6),0),IF('設定'!$B$12="切り上げ",ROUNDUP(ROUND($M99*8/100,6),0),ROUND($M99*8/100,0)))))</f>
        <v/>
      </c>
      <c r="Q99" s="26">
        <f>IF($B99="","",IF('設定'!$B$11="税込",$L99+$M99+$N99,$L99+$O99+$M99+$P99+$N99))</f>
        <v/>
      </c>
      <c r="R99" s="26">
        <f>IF($B99="","",IF($X99="",0,IF(INDEX('支払先'!$I$5:$I$104,$X99)&lt;&gt;"する",0,IF(INDEX('支払先'!$J$5:$J$104,$X99)="税抜",IF('設定'!$B$11="税込",($Y99-IF('設定'!$B$12="切り捨て",ROUNDDOWN(ROUND($Y99*10/110,6),0),IF('設定'!$B$12="切り上げ",ROUNDUP(ROUND($Y99*10/110,6),0),ROUND($Y99*10/110,0)))+$Z99-IF('設定'!$B$12="切り捨て",ROUNDDOWN(ROUND($Z99*8/108,6),0),IF('設定'!$B$12="切り上げ",ROUNDUP(ROUND($Z99*8/108,6),0),ROUND($Z99*8/108,0)))+$AA99),$Y99+$Z99+$AA99),IF('設定'!$B$11="税込",$Y99+$Z99+$AA99,($Y99+IF('設定'!$B$12="切り捨て",ROUNDDOWN(ROUND($Y99*10/100,6),0),IF('設定'!$B$12="切り上げ",ROUNDUP(ROUND($Y99*10/100,6),0),ROUND($Y99*10/100,0)))+$Z99+IF('設定'!$B$12="切り捨て",ROUNDDOWN(ROUND($Z99*8/100,6),0),IF('設定'!$B$12="切り上げ",ROUNDUP(ROUND($Z99*8/100,6),0),ROUND($Z99*8/100,0)))+$AA99))))))</f>
        <v/>
      </c>
      <c r="S99" s="26">
        <f>IF($B99="","",IF(N($R99)&lt;=0,0,IF($R99&lt;='設定'!$B$18,ROUNDDOWN(ROUND($R99*'設定'!$B$17,6),0),ROUNDDOWN(ROUND(($R99-'設定'!$B$18)*'設定'!$B$19,6),0)+'設定'!$B$20)))</f>
        <v/>
      </c>
      <c r="T99" s="26">
        <f>IF($B99="","",IF($X99="",0,IF(INDEX('支払先'!$K$5:$K$104,$X99)="差し引く",N(INDEX('支払先'!$L$5:$L$104,$X99)),0)))</f>
        <v/>
      </c>
      <c r="U99" s="26">
        <f>IF($B99="","",$Q99-$S99-$T99)</f>
        <v/>
      </c>
      <c r="V99" s="22">
        <f>IF($B99="","",MID(IF($C99="","／支払先コードが空",IF($X99="","／支払先にないコード",""))&amp;IF($K99=0,"／明細がない","")&amp;IF($AC99&gt;0,"／税率が空の明細 "&amp;$AC99&amp;"件（合計に入っていない）","")&amp;IF($X99="","",IF(INDEX('支払先'!$G$5:$G$104,$X99)="","／登録番号なし（仕入明細書にならない）",""))&amp;IF($AB99&gt;0,"／60日（2か月）を超える明細 "&amp;$AB99&amp;"件","")&amp;IF($X99="","",IF(AND(INDEX('支払先'!$K$5:$K$104,$X99)="差し引く",OR(INDEX('支払先'!$M$5:$M$104,$X99)&lt;&gt;"対象外",INDEX('支払先'!$N$5:$N$104,$X99)&lt;&gt;"対象外")),"／手数料を差し引けない取引か確かめる",""))&amp;IF(COUNTIF($B$5:$B$204,$B99)&gt;1,"／通知Noが重複","")&amp;IF(AND(ISNUMBER($D99),ISNUMBER($F99),$F99&lt;$D99),"／支払予定日が発行日より前",""),2,300))</f>
        <v/>
      </c>
      <c r="W99" s="67" t="n"/>
      <c r="X99" s="31">
        <f>IF(OR($B99="",$C99=""),"",IFERROR(MATCH($C99,'支払先'!$B$5:$B$104,0),""))</f>
        <v/>
      </c>
      <c r="Y99" s="31">
        <f>IF($B99="","",SUMIFS('支払明細'!$I$5:$I$1004,'支払明細'!$A$5:$A$1004,$B99,'支払明細'!$G$5:$G$1004,"10%（標準）",'支払明細'!$H$5:$H$1004,"&lt;&gt;対象外"))</f>
        <v/>
      </c>
      <c r="Z99" s="31">
        <f>IF($B99="","",SUMIFS('支払明細'!$I$5:$I$1004,'支払明細'!$A$5:$A$1004,$B99,'支払明細'!$G$5:$G$1004,"8%（軽減）",'支払明細'!$H$5:$H$1004,"&lt;&gt;対象外"))</f>
        <v/>
      </c>
      <c r="AA99" s="31">
        <f>IF($B99="","",SUMIFS('支払明細'!$I$5:$I$1004,'支払明細'!$A$5:$A$1004,$B99,'支払明細'!$G$5:$G$1004,"対象外",'支払明細'!$H$5:$H$1004,"&lt;&gt;対象外"))</f>
        <v/>
      </c>
      <c r="AB99" s="31">
        <f>IF($B99="","",COUNTIFS('支払明細'!$A$5:$A$1004,$B99,'支払明細'!$M$5:$M$1004,"超える"))</f>
        <v/>
      </c>
      <c r="AC99" s="31">
        <f>IF($B99="","",COUNTIFS('支払明細'!$A$5:$A$1004,$B99,'支払明細'!$G$5:$G$1004,""))</f>
        <v/>
      </c>
    </row>
    <row r="100" ht="18" customHeight="1">
      <c r="A100" s="17" t="n">
        <v>96</v>
      </c>
      <c r="B100" s="18" t="n"/>
      <c r="C100" s="18" t="n"/>
      <c r="D100" s="24" t="n"/>
      <c r="E100" s="19" t="n"/>
      <c r="F100" s="24" t="n"/>
      <c r="G100" s="28">
        <f>IF(AND($B100&lt;&gt;"",ISNUMBER($D100)),$D100+N('設定'!$B$13),"")</f>
        <v/>
      </c>
      <c r="H100" s="18" t="n"/>
      <c r="I100" s="19" t="n"/>
      <c r="J100" s="27">
        <f>IF($B100="","",IF($C100="","（支払先コードが空）",IF($X100="","※支払先にないコード",INDEX('支払先'!$C$5:$C$104,$X100)&amp;"")))</f>
        <v/>
      </c>
      <c r="K100" s="30">
        <f>IF($B100="","",COUNTIF('支払明細'!$A$5:$A$1004,$B100))</f>
        <v/>
      </c>
      <c r="L100" s="26">
        <f>IF($B100="","",SUMIFS('支払明細'!$I$5:$I$1004,'支払明細'!$A$5:$A$1004,$B100,'支払明細'!$G$5:$G$1004,"10%（標準）"))</f>
        <v/>
      </c>
      <c r="M100" s="26">
        <f>IF($B100="","",SUMIFS('支払明細'!$I$5:$I$1004,'支払明細'!$A$5:$A$1004,$B100,'支払明細'!$G$5:$G$1004,"8%（軽減）"))</f>
        <v/>
      </c>
      <c r="N100" s="26">
        <f>IF($B100="","",SUMIFS('支払明細'!$I$5:$I$1004,'支払明細'!$A$5:$A$1004,$B100,'支払明細'!$G$5:$G$1004,"対象外"))</f>
        <v/>
      </c>
      <c r="O100" s="26">
        <f>IF($B100="","",IF('設定'!$B$11="税込",IF('設定'!$B$12="切り捨て",ROUNDDOWN(ROUND($L100*10/110,6),0),IF('設定'!$B$12="切り上げ",ROUNDUP(ROUND($L100*10/110,6),0),ROUND($L100*10/110,0))),IF('設定'!$B$12="切り捨て",ROUNDDOWN(ROUND($L100*10/100,6),0),IF('設定'!$B$12="切り上げ",ROUNDUP(ROUND($L100*10/100,6),0),ROUND($L100*10/100,0)))))</f>
        <v/>
      </c>
      <c r="P100" s="26">
        <f>IF($B100="","",IF('設定'!$B$11="税込",IF('設定'!$B$12="切り捨て",ROUNDDOWN(ROUND($M100*8/108,6),0),IF('設定'!$B$12="切り上げ",ROUNDUP(ROUND($M100*8/108,6),0),ROUND($M100*8/108,0))),IF('設定'!$B$12="切り捨て",ROUNDDOWN(ROUND($M100*8/100,6),0),IF('設定'!$B$12="切り上げ",ROUNDUP(ROUND($M100*8/100,6),0),ROUND($M100*8/100,0)))))</f>
        <v/>
      </c>
      <c r="Q100" s="26">
        <f>IF($B100="","",IF('設定'!$B$11="税込",$L100+$M100+$N100,$L100+$O100+$M100+$P100+$N100))</f>
        <v/>
      </c>
      <c r="R100" s="26">
        <f>IF($B100="","",IF($X100="",0,IF(INDEX('支払先'!$I$5:$I$104,$X100)&lt;&gt;"する",0,IF(INDEX('支払先'!$J$5:$J$104,$X100)="税抜",IF('設定'!$B$11="税込",($Y100-IF('設定'!$B$12="切り捨て",ROUNDDOWN(ROUND($Y100*10/110,6),0),IF('設定'!$B$12="切り上げ",ROUNDUP(ROUND($Y100*10/110,6),0),ROUND($Y100*10/110,0)))+$Z100-IF('設定'!$B$12="切り捨て",ROUNDDOWN(ROUND($Z100*8/108,6),0),IF('設定'!$B$12="切り上げ",ROUNDUP(ROUND($Z100*8/108,6),0),ROUND($Z100*8/108,0)))+$AA100),$Y100+$Z100+$AA100),IF('設定'!$B$11="税込",$Y100+$Z100+$AA100,($Y100+IF('設定'!$B$12="切り捨て",ROUNDDOWN(ROUND($Y100*10/100,6),0),IF('設定'!$B$12="切り上げ",ROUNDUP(ROUND($Y100*10/100,6),0),ROUND($Y100*10/100,0)))+$Z100+IF('設定'!$B$12="切り捨て",ROUNDDOWN(ROUND($Z100*8/100,6),0),IF('設定'!$B$12="切り上げ",ROUNDUP(ROUND($Z100*8/100,6),0),ROUND($Z100*8/100,0)))+$AA100))))))</f>
        <v/>
      </c>
      <c r="S100" s="26">
        <f>IF($B100="","",IF(N($R100)&lt;=0,0,IF($R100&lt;='設定'!$B$18,ROUNDDOWN(ROUND($R100*'設定'!$B$17,6),0),ROUNDDOWN(ROUND(($R100-'設定'!$B$18)*'設定'!$B$19,6),0)+'設定'!$B$20)))</f>
        <v/>
      </c>
      <c r="T100" s="26">
        <f>IF($B100="","",IF($X100="",0,IF(INDEX('支払先'!$K$5:$K$104,$X100)="差し引く",N(INDEX('支払先'!$L$5:$L$104,$X100)),0)))</f>
        <v/>
      </c>
      <c r="U100" s="26">
        <f>IF($B100="","",$Q100-$S100-$T100)</f>
        <v/>
      </c>
      <c r="V100" s="22">
        <f>IF($B100="","",MID(IF($C100="","／支払先コードが空",IF($X100="","／支払先にないコード",""))&amp;IF($K100=0,"／明細がない","")&amp;IF($AC100&gt;0,"／税率が空の明細 "&amp;$AC100&amp;"件（合計に入っていない）","")&amp;IF($X100="","",IF(INDEX('支払先'!$G$5:$G$104,$X100)="","／登録番号なし（仕入明細書にならない）",""))&amp;IF($AB100&gt;0,"／60日（2か月）を超える明細 "&amp;$AB100&amp;"件","")&amp;IF($X100="","",IF(AND(INDEX('支払先'!$K$5:$K$104,$X100)="差し引く",OR(INDEX('支払先'!$M$5:$M$104,$X100)&lt;&gt;"対象外",INDEX('支払先'!$N$5:$N$104,$X100)&lt;&gt;"対象外")),"／手数料を差し引けない取引か確かめる",""))&amp;IF(COUNTIF($B$5:$B$204,$B100)&gt;1,"／通知Noが重複","")&amp;IF(AND(ISNUMBER($D100),ISNUMBER($F100),$F100&lt;$D100),"／支払予定日が発行日より前",""),2,300))</f>
        <v/>
      </c>
      <c r="W100" s="67" t="n"/>
      <c r="X100" s="31">
        <f>IF(OR($B100="",$C100=""),"",IFERROR(MATCH($C100,'支払先'!$B$5:$B$104,0),""))</f>
        <v/>
      </c>
      <c r="Y100" s="31">
        <f>IF($B100="","",SUMIFS('支払明細'!$I$5:$I$1004,'支払明細'!$A$5:$A$1004,$B100,'支払明細'!$G$5:$G$1004,"10%（標準）",'支払明細'!$H$5:$H$1004,"&lt;&gt;対象外"))</f>
        <v/>
      </c>
      <c r="Z100" s="31">
        <f>IF($B100="","",SUMIFS('支払明細'!$I$5:$I$1004,'支払明細'!$A$5:$A$1004,$B100,'支払明細'!$G$5:$G$1004,"8%（軽減）",'支払明細'!$H$5:$H$1004,"&lt;&gt;対象外"))</f>
        <v/>
      </c>
      <c r="AA100" s="31">
        <f>IF($B100="","",SUMIFS('支払明細'!$I$5:$I$1004,'支払明細'!$A$5:$A$1004,$B100,'支払明細'!$G$5:$G$1004,"対象外",'支払明細'!$H$5:$H$1004,"&lt;&gt;対象外"))</f>
        <v/>
      </c>
      <c r="AB100" s="31">
        <f>IF($B100="","",COUNTIFS('支払明細'!$A$5:$A$1004,$B100,'支払明細'!$M$5:$M$1004,"超える"))</f>
        <v/>
      </c>
      <c r="AC100" s="31">
        <f>IF($B100="","",COUNTIFS('支払明細'!$A$5:$A$1004,$B100,'支払明細'!$G$5:$G$1004,""))</f>
        <v/>
      </c>
    </row>
    <row r="101" ht="18" customHeight="1">
      <c r="A101" s="17" t="n">
        <v>97</v>
      </c>
      <c r="B101" s="18" t="n"/>
      <c r="C101" s="18" t="n"/>
      <c r="D101" s="24" t="n"/>
      <c r="E101" s="19" t="n"/>
      <c r="F101" s="24" t="n"/>
      <c r="G101" s="28">
        <f>IF(AND($B101&lt;&gt;"",ISNUMBER($D101)),$D101+N('設定'!$B$13),"")</f>
        <v/>
      </c>
      <c r="H101" s="18" t="n"/>
      <c r="I101" s="19" t="n"/>
      <c r="J101" s="27">
        <f>IF($B101="","",IF($C101="","（支払先コードが空）",IF($X101="","※支払先にないコード",INDEX('支払先'!$C$5:$C$104,$X101)&amp;"")))</f>
        <v/>
      </c>
      <c r="K101" s="30">
        <f>IF($B101="","",COUNTIF('支払明細'!$A$5:$A$1004,$B101))</f>
        <v/>
      </c>
      <c r="L101" s="26">
        <f>IF($B101="","",SUMIFS('支払明細'!$I$5:$I$1004,'支払明細'!$A$5:$A$1004,$B101,'支払明細'!$G$5:$G$1004,"10%（標準）"))</f>
        <v/>
      </c>
      <c r="M101" s="26">
        <f>IF($B101="","",SUMIFS('支払明細'!$I$5:$I$1004,'支払明細'!$A$5:$A$1004,$B101,'支払明細'!$G$5:$G$1004,"8%（軽減）"))</f>
        <v/>
      </c>
      <c r="N101" s="26">
        <f>IF($B101="","",SUMIFS('支払明細'!$I$5:$I$1004,'支払明細'!$A$5:$A$1004,$B101,'支払明細'!$G$5:$G$1004,"対象外"))</f>
        <v/>
      </c>
      <c r="O101" s="26">
        <f>IF($B101="","",IF('設定'!$B$11="税込",IF('設定'!$B$12="切り捨て",ROUNDDOWN(ROUND($L101*10/110,6),0),IF('設定'!$B$12="切り上げ",ROUNDUP(ROUND($L101*10/110,6),0),ROUND($L101*10/110,0))),IF('設定'!$B$12="切り捨て",ROUNDDOWN(ROUND($L101*10/100,6),0),IF('設定'!$B$12="切り上げ",ROUNDUP(ROUND($L101*10/100,6),0),ROUND($L101*10/100,0)))))</f>
        <v/>
      </c>
      <c r="P101" s="26">
        <f>IF($B101="","",IF('設定'!$B$11="税込",IF('設定'!$B$12="切り捨て",ROUNDDOWN(ROUND($M101*8/108,6),0),IF('設定'!$B$12="切り上げ",ROUNDUP(ROUND($M101*8/108,6),0),ROUND($M101*8/108,0))),IF('設定'!$B$12="切り捨て",ROUNDDOWN(ROUND($M101*8/100,6),0),IF('設定'!$B$12="切り上げ",ROUNDUP(ROUND($M101*8/100,6),0),ROUND($M101*8/100,0)))))</f>
        <v/>
      </c>
      <c r="Q101" s="26">
        <f>IF($B101="","",IF('設定'!$B$11="税込",$L101+$M101+$N101,$L101+$O101+$M101+$P101+$N101))</f>
        <v/>
      </c>
      <c r="R101" s="26">
        <f>IF($B101="","",IF($X101="",0,IF(INDEX('支払先'!$I$5:$I$104,$X101)&lt;&gt;"する",0,IF(INDEX('支払先'!$J$5:$J$104,$X101)="税抜",IF('設定'!$B$11="税込",($Y101-IF('設定'!$B$12="切り捨て",ROUNDDOWN(ROUND($Y101*10/110,6),0),IF('設定'!$B$12="切り上げ",ROUNDUP(ROUND($Y101*10/110,6),0),ROUND($Y101*10/110,0)))+$Z101-IF('設定'!$B$12="切り捨て",ROUNDDOWN(ROUND($Z101*8/108,6),0),IF('設定'!$B$12="切り上げ",ROUNDUP(ROUND($Z101*8/108,6),0),ROUND($Z101*8/108,0)))+$AA101),$Y101+$Z101+$AA101),IF('設定'!$B$11="税込",$Y101+$Z101+$AA101,($Y101+IF('設定'!$B$12="切り捨て",ROUNDDOWN(ROUND($Y101*10/100,6),0),IF('設定'!$B$12="切り上げ",ROUNDUP(ROUND($Y101*10/100,6),0),ROUND($Y101*10/100,0)))+$Z101+IF('設定'!$B$12="切り捨て",ROUNDDOWN(ROUND($Z101*8/100,6),0),IF('設定'!$B$12="切り上げ",ROUNDUP(ROUND($Z101*8/100,6),0),ROUND($Z101*8/100,0)))+$AA101))))))</f>
        <v/>
      </c>
      <c r="S101" s="26">
        <f>IF($B101="","",IF(N($R101)&lt;=0,0,IF($R101&lt;='設定'!$B$18,ROUNDDOWN(ROUND($R101*'設定'!$B$17,6),0),ROUNDDOWN(ROUND(($R101-'設定'!$B$18)*'設定'!$B$19,6),0)+'設定'!$B$20)))</f>
        <v/>
      </c>
      <c r="T101" s="26">
        <f>IF($B101="","",IF($X101="",0,IF(INDEX('支払先'!$K$5:$K$104,$X101)="差し引く",N(INDEX('支払先'!$L$5:$L$104,$X101)),0)))</f>
        <v/>
      </c>
      <c r="U101" s="26">
        <f>IF($B101="","",$Q101-$S101-$T101)</f>
        <v/>
      </c>
      <c r="V101" s="22">
        <f>IF($B101="","",MID(IF($C101="","／支払先コードが空",IF($X101="","／支払先にないコード",""))&amp;IF($K101=0,"／明細がない","")&amp;IF($AC101&gt;0,"／税率が空の明細 "&amp;$AC101&amp;"件（合計に入っていない）","")&amp;IF($X101="","",IF(INDEX('支払先'!$G$5:$G$104,$X101)="","／登録番号なし（仕入明細書にならない）",""))&amp;IF($AB101&gt;0,"／60日（2か月）を超える明細 "&amp;$AB101&amp;"件","")&amp;IF($X101="","",IF(AND(INDEX('支払先'!$K$5:$K$104,$X101)="差し引く",OR(INDEX('支払先'!$M$5:$M$104,$X101)&lt;&gt;"対象外",INDEX('支払先'!$N$5:$N$104,$X101)&lt;&gt;"対象外")),"／手数料を差し引けない取引か確かめる",""))&amp;IF(COUNTIF($B$5:$B$204,$B101)&gt;1,"／通知Noが重複","")&amp;IF(AND(ISNUMBER($D101),ISNUMBER($F101),$F101&lt;$D101),"／支払予定日が発行日より前",""),2,300))</f>
        <v/>
      </c>
      <c r="W101" s="67" t="n"/>
      <c r="X101" s="31">
        <f>IF(OR($B101="",$C101=""),"",IFERROR(MATCH($C101,'支払先'!$B$5:$B$104,0),""))</f>
        <v/>
      </c>
      <c r="Y101" s="31">
        <f>IF($B101="","",SUMIFS('支払明細'!$I$5:$I$1004,'支払明細'!$A$5:$A$1004,$B101,'支払明細'!$G$5:$G$1004,"10%（標準）",'支払明細'!$H$5:$H$1004,"&lt;&gt;対象外"))</f>
        <v/>
      </c>
      <c r="Z101" s="31">
        <f>IF($B101="","",SUMIFS('支払明細'!$I$5:$I$1004,'支払明細'!$A$5:$A$1004,$B101,'支払明細'!$G$5:$G$1004,"8%（軽減）",'支払明細'!$H$5:$H$1004,"&lt;&gt;対象外"))</f>
        <v/>
      </c>
      <c r="AA101" s="31">
        <f>IF($B101="","",SUMIFS('支払明細'!$I$5:$I$1004,'支払明細'!$A$5:$A$1004,$B101,'支払明細'!$G$5:$G$1004,"対象外",'支払明細'!$H$5:$H$1004,"&lt;&gt;対象外"))</f>
        <v/>
      </c>
      <c r="AB101" s="31">
        <f>IF($B101="","",COUNTIFS('支払明細'!$A$5:$A$1004,$B101,'支払明細'!$M$5:$M$1004,"超える"))</f>
        <v/>
      </c>
      <c r="AC101" s="31">
        <f>IF($B101="","",COUNTIFS('支払明細'!$A$5:$A$1004,$B101,'支払明細'!$G$5:$G$1004,""))</f>
        <v/>
      </c>
    </row>
    <row r="102" ht="18" customHeight="1">
      <c r="A102" s="17" t="n">
        <v>98</v>
      </c>
      <c r="B102" s="18" t="n"/>
      <c r="C102" s="18" t="n"/>
      <c r="D102" s="24" t="n"/>
      <c r="E102" s="19" t="n"/>
      <c r="F102" s="24" t="n"/>
      <c r="G102" s="28">
        <f>IF(AND($B102&lt;&gt;"",ISNUMBER($D102)),$D102+N('設定'!$B$13),"")</f>
        <v/>
      </c>
      <c r="H102" s="18" t="n"/>
      <c r="I102" s="19" t="n"/>
      <c r="J102" s="27">
        <f>IF($B102="","",IF($C102="","（支払先コードが空）",IF($X102="","※支払先にないコード",INDEX('支払先'!$C$5:$C$104,$X102)&amp;"")))</f>
        <v/>
      </c>
      <c r="K102" s="30">
        <f>IF($B102="","",COUNTIF('支払明細'!$A$5:$A$1004,$B102))</f>
        <v/>
      </c>
      <c r="L102" s="26">
        <f>IF($B102="","",SUMIFS('支払明細'!$I$5:$I$1004,'支払明細'!$A$5:$A$1004,$B102,'支払明細'!$G$5:$G$1004,"10%（標準）"))</f>
        <v/>
      </c>
      <c r="M102" s="26">
        <f>IF($B102="","",SUMIFS('支払明細'!$I$5:$I$1004,'支払明細'!$A$5:$A$1004,$B102,'支払明細'!$G$5:$G$1004,"8%（軽減）"))</f>
        <v/>
      </c>
      <c r="N102" s="26">
        <f>IF($B102="","",SUMIFS('支払明細'!$I$5:$I$1004,'支払明細'!$A$5:$A$1004,$B102,'支払明細'!$G$5:$G$1004,"対象外"))</f>
        <v/>
      </c>
      <c r="O102" s="26">
        <f>IF($B102="","",IF('設定'!$B$11="税込",IF('設定'!$B$12="切り捨て",ROUNDDOWN(ROUND($L102*10/110,6),0),IF('設定'!$B$12="切り上げ",ROUNDUP(ROUND($L102*10/110,6),0),ROUND($L102*10/110,0))),IF('設定'!$B$12="切り捨て",ROUNDDOWN(ROUND($L102*10/100,6),0),IF('設定'!$B$12="切り上げ",ROUNDUP(ROUND($L102*10/100,6),0),ROUND($L102*10/100,0)))))</f>
        <v/>
      </c>
      <c r="P102" s="26">
        <f>IF($B102="","",IF('設定'!$B$11="税込",IF('設定'!$B$12="切り捨て",ROUNDDOWN(ROUND($M102*8/108,6),0),IF('設定'!$B$12="切り上げ",ROUNDUP(ROUND($M102*8/108,6),0),ROUND($M102*8/108,0))),IF('設定'!$B$12="切り捨て",ROUNDDOWN(ROUND($M102*8/100,6),0),IF('設定'!$B$12="切り上げ",ROUNDUP(ROUND($M102*8/100,6),0),ROUND($M102*8/100,0)))))</f>
        <v/>
      </c>
      <c r="Q102" s="26">
        <f>IF($B102="","",IF('設定'!$B$11="税込",$L102+$M102+$N102,$L102+$O102+$M102+$P102+$N102))</f>
        <v/>
      </c>
      <c r="R102" s="26">
        <f>IF($B102="","",IF($X102="",0,IF(INDEX('支払先'!$I$5:$I$104,$X102)&lt;&gt;"する",0,IF(INDEX('支払先'!$J$5:$J$104,$X102)="税抜",IF('設定'!$B$11="税込",($Y102-IF('設定'!$B$12="切り捨て",ROUNDDOWN(ROUND($Y102*10/110,6),0),IF('設定'!$B$12="切り上げ",ROUNDUP(ROUND($Y102*10/110,6),0),ROUND($Y102*10/110,0)))+$Z102-IF('設定'!$B$12="切り捨て",ROUNDDOWN(ROUND($Z102*8/108,6),0),IF('設定'!$B$12="切り上げ",ROUNDUP(ROUND($Z102*8/108,6),0),ROUND($Z102*8/108,0)))+$AA102),$Y102+$Z102+$AA102),IF('設定'!$B$11="税込",$Y102+$Z102+$AA102,($Y102+IF('設定'!$B$12="切り捨て",ROUNDDOWN(ROUND($Y102*10/100,6),0),IF('設定'!$B$12="切り上げ",ROUNDUP(ROUND($Y102*10/100,6),0),ROUND($Y102*10/100,0)))+$Z102+IF('設定'!$B$12="切り捨て",ROUNDDOWN(ROUND($Z102*8/100,6),0),IF('設定'!$B$12="切り上げ",ROUNDUP(ROUND($Z102*8/100,6),0),ROUND($Z102*8/100,0)))+$AA102))))))</f>
        <v/>
      </c>
      <c r="S102" s="26">
        <f>IF($B102="","",IF(N($R102)&lt;=0,0,IF($R102&lt;='設定'!$B$18,ROUNDDOWN(ROUND($R102*'設定'!$B$17,6),0),ROUNDDOWN(ROUND(($R102-'設定'!$B$18)*'設定'!$B$19,6),0)+'設定'!$B$20)))</f>
        <v/>
      </c>
      <c r="T102" s="26">
        <f>IF($B102="","",IF($X102="",0,IF(INDEX('支払先'!$K$5:$K$104,$X102)="差し引く",N(INDEX('支払先'!$L$5:$L$104,$X102)),0)))</f>
        <v/>
      </c>
      <c r="U102" s="26">
        <f>IF($B102="","",$Q102-$S102-$T102)</f>
        <v/>
      </c>
      <c r="V102" s="22">
        <f>IF($B102="","",MID(IF($C102="","／支払先コードが空",IF($X102="","／支払先にないコード",""))&amp;IF($K102=0,"／明細がない","")&amp;IF($AC102&gt;0,"／税率が空の明細 "&amp;$AC102&amp;"件（合計に入っていない）","")&amp;IF($X102="","",IF(INDEX('支払先'!$G$5:$G$104,$X102)="","／登録番号なし（仕入明細書にならない）",""))&amp;IF($AB102&gt;0,"／60日（2か月）を超える明細 "&amp;$AB102&amp;"件","")&amp;IF($X102="","",IF(AND(INDEX('支払先'!$K$5:$K$104,$X102)="差し引く",OR(INDEX('支払先'!$M$5:$M$104,$X102)&lt;&gt;"対象外",INDEX('支払先'!$N$5:$N$104,$X102)&lt;&gt;"対象外")),"／手数料を差し引けない取引か確かめる",""))&amp;IF(COUNTIF($B$5:$B$204,$B102)&gt;1,"／通知Noが重複","")&amp;IF(AND(ISNUMBER($D102),ISNUMBER($F102),$F102&lt;$D102),"／支払予定日が発行日より前",""),2,300))</f>
        <v/>
      </c>
      <c r="W102" s="67" t="n"/>
      <c r="X102" s="31">
        <f>IF(OR($B102="",$C102=""),"",IFERROR(MATCH($C102,'支払先'!$B$5:$B$104,0),""))</f>
        <v/>
      </c>
      <c r="Y102" s="31">
        <f>IF($B102="","",SUMIFS('支払明細'!$I$5:$I$1004,'支払明細'!$A$5:$A$1004,$B102,'支払明細'!$G$5:$G$1004,"10%（標準）",'支払明細'!$H$5:$H$1004,"&lt;&gt;対象外"))</f>
        <v/>
      </c>
      <c r="Z102" s="31">
        <f>IF($B102="","",SUMIFS('支払明細'!$I$5:$I$1004,'支払明細'!$A$5:$A$1004,$B102,'支払明細'!$G$5:$G$1004,"8%（軽減）",'支払明細'!$H$5:$H$1004,"&lt;&gt;対象外"))</f>
        <v/>
      </c>
      <c r="AA102" s="31">
        <f>IF($B102="","",SUMIFS('支払明細'!$I$5:$I$1004,'支払明細'!$A$5:$A$1004,$B102,'支払明細'!$G$5:$G$1004,"対象外",'支払明細'!$H$5:$H$1004,"&lt;&gt;対象外"))</f>
        <v/>
      </c>
      <c r="AB102" s="31">
        <f>IF($B102="","",COUNTIFS('支払明細'!$A$5:$A$1004,$B102,'支払明細'!$M$5:$M$1004,"超える"))</f>
        <v/>
      </c>
      <c r="AC102" s="31">
        <f>IF($B102="","",COUNTIFS('支払明細'!$A$5:$A$1004,$B102,'支払明細'!$G$5:$G$1004,""))</f>
        <v/>
      </c>
    </row>
    <row r="103" ht="18" customHeight="1">
      <c r="A103" s="17" t="n">
        <v>99</v>
      </c>
      <c r="B103" s="18" t="n"/>
      <c r="C103" s="18" t="n"/>
      <c r="D103" s="24" t="n"/>
      <c r="E103" s="19" t="n"/>
      <c r="F103" s="24" t="n"/>
      <c r="G103" s="28">
        <f>IF(AND($B103&lt;&gt;"",ISNUMBER($D103)),$D103+N('設定'!$B$13),"")</f>
        <v/>
      </c>
      <c r="H103" s="18" t="n"/>
      <c r="I103" s="19" t="n"/>
      <c r="J103" s="27">
        <f>IF($B103="","",IF($C103="","（支払先コードが空）",IF($X103="","※支払先にないコード",INDEX('支払先'!$C$5:$C$104,$X103)&amp;"")))</f>
        <v/>
      </c>
      <c r="K103" s="30">
        <f>IF($B103="","",COUNTIF('支払明細'!$A$5:$A$1004,$B103))</f>
        <v/>
      </c>
      <c r="L103" s="26">
        <f>IF($B103="","",SUMIFS('支払明細'!$I$5:$I$1004,'支払明細'!$A$5:$A$1004,$B103,'支払明細'!$G$5:$G$1004,"10%（標準）"))</f>
        <v/>
      </c>
      <c r="M103" s="26">
        <f>IF($B103="","",SUMIFS('支払明細'!$I$5:$I$1004,'支払明細'!$A$5:$A$1004,$B103,'支払明細'!$G$5:$G$1004,"8%（軽減）"))</f>
        <v/>
      </c>
      <c r="N103" s="26">
        <f>IF($B103="","",SUMIFS('支払明細'!$I$5:$I$1004,'支払明細'!$A$5:$A$1004,$B103,'支払明細'!$G$5:$G$1004,"対象外"))</f>
        <v/>
      </c>
      <c r="O103" s="26">
        <f>IF($B103="","",IF('設定'!$B$11="税込",IF('設定'!$B$12="切り捨て",ROUNDDOWN(ROUND($L103*10/110,6),0),IF('設定'!$B$12="切り上げ",ROUNDUP(ROUND($L103*10/110,6),0),ROUND($L103*10/110,0))),IF('設定'!$B$12="切り捨て",ROUNDDOWN(ROUND($L103*10/100,6),0),IF('設定'!$B$12="切り上げ",ROUNDUP(ROUND($L103*10/100,6),0),ROUND($L103*10/100,0)))))</f>
        <v/>
      </c>
      <c r="P103" s="26">
        <f>IF($B103="","",IF('設定'!$B$11="税込",IF('設定'!$B$12="切り捨て",ROUNDDOWN(ROUND($M103*8/108,6),0),IF('設定'!$B$12="切り上げ",ROUNDUP(ROUND($M103*8/108,6),0),ROUND($M103*8/108,0))),IF('設定'!$B$12="切り捨て",ROUNDDOWN(ROUND($M103*8/100,6),0),IF('設定'!$B$12="切り上げ",ROUNDUP(ROUND($M103*8/100,6),0),ROUND($M103*8/100,0)))))</f>
        <v/>
      </c>
      <c r="Q103" s="26">
        <f>IF($B103="","",IF('設定'!$B$11="税込",$L103+$M103+$N103,$L103+$O103+$M103+$P103+$N103))</f>
        <v/>
      </c>
      <c r="R103" s="26">
        <f>IF($B103="","",IF($X103="",0,IF(INDEX('支払先'!$I$5:$I$104,$X103)&lt;&gt;"する",0,IF(INDEX('支払先'!$J$5:$J$104,$X103)="税抜",IF('設定'!$B$11="税込",($Y103-IF('設定'!$B$12="切り捨て",ROUNDDOWN(ROUND($Y103*10/110,6),0),IF('設定'!$B$12="切り上げ",ROUNDUP(ROUND($Y103*10/110,6),0),ROUND($Y103*10/110,0)))+$Z103-IF('設定'!$B$12="切り捨て",ROUNDDOWN(ROUND($Z103*8/108,6),0),IF('設定'!$B$12="切り上げ",ROUNDUP(ROUND($Z103*8/108,6),0),ROUND($Z103*8/108,0)))+$AA103),$Y103+$Z103+$AA103),IF('設定'!$B$11="税込",$Y103+$Z103+$AA103,($Y103+IF('設定'!$B$12="切り捨て",ROUNDDOWN(ROUND($Y103*10/100,6),0),IF('設定'!$B$12="切り上げ",ROUNDUP(ROUND($Y103*10/100,6),0),ROUND($Y103*10/100,0)))+$Z103+IF('設定'!$B$12="切り捨て",ROUNDDOWN(ROUND($Z103*8/100,6),0),IF('設定'!$B$12="切り上げ",ROUNDUP(ROUND($Z103*8/100,6),0),ROUND($Z103*8/100,0)))+$AA103))))))</f>
        <v/>
      </c>
      <c r="S103" s="26">
        <f>IF($B103="","",IF(N($R103)&lt;=0,0,IF($R103&lt;='設定'!$B$18,ROUNDDOWN(ROUND($R103*'設定'!$B$17,6),0),ROUNDDOWN(ROUND(($R103-'設定'!$B$18)*'設定'!$B$19,6),0)+'設定'!$B$20)))</f>
        <v/>
      </c>
      <c r="T103" s="26">
        <f>IF($B103="","",IF($X103="",0,IF(INDEX('支払先'!$K$5:$K$104,$X103)="差し引く",N(INDEX('支払先'!$L$5:$L$104,$X103)),0)))</f>
        <v/>
      </c>
      <c r="U103" s="26">
        <f>IF($B103="","",$Q103-$S103-$T103)</f>
        <v/>
      </c>
      <c r="V103" s="22">
        <f>IF($B103="","",MID(IF($C103="","／支払先コードが空",IF($X103="","／支払先にないコード",""))&amp;IF($K103=0,"／明細がない","")&amp;IF($AC103&gt;0,"／税率が空の明細 "&amp;$AC103&amp;"件（合計に入っていない）","")&amp;IF($X103="","",IF(INDEX('支払先'!$G$5:$G$104,$X103)="","／登録番号なし（仕入明細書にならない）",""))&amp;IF($AB103&gt;0,"／60日（2か月）を超える明細 "&amp;$AB103&amp;"件","")&amp;IF($X103="","",IF(AND(INDEX('支払先'!$K$5:$K$104,$X103)="差し引く",OR(INDEX('支払先'!$M$5:$M$104,$X103)&lt;&gt;"対象外",INDEX('支払先'!$N$5:$N$104,$X103)&lt;&gt;"対象外")),"／手数料を差し引けない取引か確かめる",""))&amp;IF(COUNTIF($B$5:$B$204,$B103)&gt;1,"／通知Noが重複","")&amp;IF(AND(ISNUMBER($D103),ISNUMBER($F103),$F103&lt;$D103),"／支払予定日が発行日より前",""),2,300))</f>
        <v/>
      </c>
      <c r="W103" s="67" t="n"/>
      <c r="X103" s="31">
        <f>IF(OR($B103="",$C103=""),"",IFERROR(MATCH($C103,'支払先'!$B$5:$B$104,0),""))</f>
        <v/>
      </c>
      <c r="Y103" s="31">
        <f>IF($B103="","",SUMIFS('支払明細'!$I$5:$I$1004,'支払明細'!$A$5:$A$1004,$B103,'支払明細'!$G$5:$G$1004,"10%（標準）",'支払明細'!$H$5:$H$1004,"&lt;&gt;対象外"))</f>
        <v/>
      </c>
      <c r="Z103" s="31">
        <f>IF($B103="","",SUMIFS('支払明細'!$I$5:$I$1004,'支払明細'!$A$5:$A$1004,$B103,'支払明細'!$G$5:$G$1004,"8%（軽減）",'支払明細'!$H$5:$H$1004,"&lt;&gt;対象外"))</f>
        <v/>
      </c>
      <c r="AA103" s="31">
        <f>IF($B103="","",SUMIFS('支払明細'!$I$5:$I$1004,'支払明細'!$A$5:$A$1004,$B103,'支払明細'!$G$5:$G$1004,"対象外",'支払明細'!$H$5:$H$1004,"&lt;&gt;対象外"))</f>
        <v/>
      </c>
      <c r="AB103" s="31">
        <f>IF($B103="","",COUNTIFS('支払明細'!$A$5:$A$1004,$B103,'支払明細'!$M$5:$M$1004,"超える"))</f>
        <v/>
      </c>
      <c r="AC103" s="31">
        <f>IF($B103="","",COUNTIFS('支払明細'!$A$5:$A$1004,$B103,'支払明細'!$G$5:$G$1004,""))</f>
        <v/>
      </c>
    </row>
    <row r="104" ht="18" customHeight="1">
      <c r="A104" s="17" t="n">
        <v>100</v>
      </c>
      <c r="B104" s="18" t="n"/>
      <c r="C104" s="18" t="n"/>
      <c r="D104" s="24" t="n"/>
      <c r="E104" s="19" t="n"/>
      <c r="F104" s="24" t="n"/>
      <c r="G104" s="28">
        <f>IF(AND($B104&lt;&gt;"",ISNUMBER($D104)),$D104+N('設定'!$B$13),"")</f>
        <v/>
      </c>
      <c r="H104" s="18" t="n"/>
      <c r="I104" s="19" t="n"/>
      <c r="J104" s="27">
        <f>IF($B104="","",IF($C104="","（支払先コードが空）",IF($X104="","※支払先にないコード",INDEX('支払先'!$C$5:$C$104,$X104)&amp;"")))</f>
        <v/>
      </c>
      <c r="K104" s="30">
        <f>IF($B104="","",COUNTIF('支払明細'!$A$5:$A$1004,$B104))</f>
        <v/>
      </c>
      <c r="L104" s="26">
        <f>IF($B104="","",SUMIFS('支払明細'!$I$5:$I$1004,'支払明細'!$A$5:$A$1004,$B104,'支払明細'!$G$5:$G$1004,"10%（標準）"))</f>
        <v/>
      </c>
      <c r="M104" s="26">
        <f>IF($B104="","",SUMIFS('支払明細'!$I$5:$I$1004,'支払明細'!$A$5:$A$1004,$B104,'支払明細'!$G$5:$G$1004,"8%（軽減）"))</f>
        <v/>
      </c>
      <c r="N104" s="26">
        <f>IF($B104="","",SUMIFS('支払明細'!$I$5:$I$1004,'支払明細'!$A$5:$A$1004,$B104,'支払明細'!$G$5:$G$1004,"対象外"))</f>
        <v/>
      </c>
      <c r="O104" s="26">
        <f>IF($B104="","",IF('設定'!$B$11="税込",IF('設定'!$B$12="切り捨て",ROUNDDOWN(ROUND($L104*10/110,6),0),IF('設定'!$B$12="切り上げ",ROUNDUP(ROUND($L104*10/110,6),0),ROUND($L104*10/110,0))),IF('設定'!$B$12="切り捨て",ROUNDDOWN(ROUND($L104*10/100,6),0),IF('設定'!$B$12="切り上げ",ROUNDUP(ROUND($L104*10/100,6),0),ROUND($L104*10/100,0)))))</f>
        <v/>
      </c>
      <c r="P104" s="26">
        <f>IF($B104="","",IF('設定'!$B$11="税込",IF('設定'!$B$12="切り捨て",ROUNDDOWN(ROUND($M104*8/108,6),0),IF('設定'!$B$12="切り上げ",ROUNDUP(ROUND($M104*8/108,6),0),ROUND($M104*8/108,0))),IF('設定'!$B$12="切り捨て",ROUNDDOWN(ROUND($M104*8/100,6),0),IF('設定'!$B$12="切り上げ",ROUNDUP(ROUND($M104*8/100,6),0),ROUND($M104*8/100,0)))))</f>
        <v/>
      </c>
      <c r="Q104" s="26">
        <f>IF($B104="","",IF('設定'!$B$11="税込",$L104+$M104+$N104,$L104+$O104+$M104+$P104+$N104))</f>
        <v/>
      </c>
      <c r="R104" s="26">
        <f>IF($B104="","",IF($X104="",0,IF(INDEX('支払先'!$I$5:$I$104,$X104)&lt;&gt;"する",0,IF(INDEX('支払先'!$J$5:$J$104,$X104)="税抜",IF('設定'!$B$11="税込",($Y104-IF('設定'!$B$12="切り捨て",ROUNDDOWN(ROUND($Y104*10/110,6),0),IF('設定'!$B$12="切り上げ",ROUNDUP(ROUND($Y104*10/110,6),0),ROUND($Y104*10/110,0)))+$Z104-IF('設定'!$B$12="切り捨て",ROUNDDOWN(ROUND($Z104*8/108,6),0),IF('設定'!$B$12="切り上げ",ROUNDUP(ROUND($Z104*8/108,6),0),ROUND($Z104*8/108,0)))+$AA104),$Y104+$Z104+$AA104),IF('設定'!$B$11="税込",$Y104+$Z104+$AA104,($Y104+IF('設定'!$B$12="切り捨て",ROUNDDOWN(ROUND($Y104*10/100,6),0),IF('設定'!$B$12="切り上げ",ROUNDUP(ROUND($Y104*10/100,6),0),ROUND($Y104*10/100,0)))+$Z104+IF('設定'!$B$12="切り捨て",ROUNDDOWN(ROUND($Z104*8/100,6),0),IF('設定'!$B$12="切り上げ",ROUNDUP(ROUND($Z104*8/100,6),0),ROUND($Z104*8/100,0)))+$AA104))))))</f>
        <v/>
      </c>
      <c r="S104" s="26">
        <f>IF($B104="","",IF(N($R104)&lt;=0,0,IF($R104&lt;='設定'!$B$18,ROUNDDOWN(ROUND($R104*'設定'!$B$17,6),0),ROUNDDOWN(ROUND(($R104-'設定'!$B$18)*'設定'!$B$19,6),0)+'設定'!$B$20)))</f>
        <v/>
      </c>
      <c r="T104" s="26">
        <f>IF($B104="","",IF($X104="",0,IF(INDEX('支払先'!$K$5:$K$104,$X104)="差し引く",N(INDEX('支払先'!$L$5:$L$104,$X104)),0)))</f>
        <v/>
      </c>
      <c r="U104" s="26">
        <f>IF($B104="","",$Q104-$S104-$T104)</f>
        <v/>
      </c>
      <c r="V104" s="22">
        <f>IF($B104="","",MID(IF($C104="","／支払先コードが空",IF($X104="","／支払先にないコード",""))&amp;IF($K104=0,"／明細がない","")&amp;IF($AC104&gt;0,"／税率が空の明細 "&amp;$AC104&amp;"件（合計に入っていない）","")&amp;IF($X104="","",IF(INDEX('支払先'!$G$5:$G$104,$X104)="","／登録番号なし（仕入明細書にならない）",""))&amp;IF($AB104&gt;0,"／60日（2か月）を超える明細 "&amp;$AB104&amp;"件","")&amp;IF($X104="","",IF(AND(INDEX('支払先'!$K$5:$K$104,$X104)="差し引く",OR(INDEX('支払先'!$M$5:$M$104,$X104)&lt;&gt;"対象外",INDEX('支払先'!$N$5:$N$104,$X104)&lt;&gt;"対象外")),"／手数料を差し引けない取引か確かめる",""))&amp;IF(COUNTIF($B$5:$B$204,$B104)&gt;1,"／通知Noが重複","")&amp;IF(AND(ISNUMBER($D104),ISNUMBER($F104),$F104&lt;$D104),"／支払予定日が発行日より前",""),2,300))</f>
        <v/>
      </c>
      <c r="W104" s="67" t="n"/>
      <c r="X104" s="31">
        <f>IF(OR($B104="",$C104=""),"",IFERROR(MATCH($C104,'支払先'!$B$5:$B$104,0),""))</f>
        <v/>
      </c>
      <c r="Y104" s="31">
        <f>IF($B104="","",SUMIFS('支払明細'!$I$5:$I$1004,'支払明細'!$A$5:$A$1004,$B104,'支払明細'!$G$5:$G$1004,"10%（標準）",'支払明細'!$H$5:$H$1004,"&lt;&gt;対象外"))</f>
        <v/>
      </c>
      <c r="Z104" s="31">
        <f>IF($B104="","",SUMIFS('支払明細'!$I$5:$I$1004,'支払明細'!$A$5:$A$1004,$B104,'支払明細'!$G$5:$G$1004,"8%（軽減）",'支払明細'!$H$5:$H$1004,"&lt;&gt;対象外"))</f>
        <v/>
      </c>
      <c r="AA104" s="31">
        <f>IF($B104="","",SUMIFS('支払明細'!$I$5:$I$1004,'支払明細'!$A$5:$A$1004,$B104,'支払明細'!$G$5:$G$1004,"対象外",'支払明細'!$H$5:$H$1004,"&lt;&gt;対象外"))</f>
        <v/>
      </c>
      <c r="AB104" s="31">
        <f>IF($B104="","",COUNTIFS('支払明細'!$A$5:$A$1004,$B104,'支払明細'!$M$5:$M$1004,"超える"))</f>
        <v/>
      </c>
      <c r="AC104" s="31">
        <f>IF($B104="","",COUNTIFS('支払明細'!$A$5:$A$1004,$B104,'支払明細'!$G$5:$G$1004,""))</f>
        <v/>
      </c>
    </row>
    <row r="105" ht="18" customHeight="1">
      <c r="A105" s="17" t="n">
        <v>101</v>
      </c>
      <c r="B105" s="18" t="n"/>
      <c r="C105" s="18" t="n"/>
      <c r="D105" s="24" t="n"/>
      <c r="E105" s="19" t="n"/>
      <c r="F105" s="24" t="n"/>
      <c r="G105" s="28">
        <f>IF(AND($B105&lt;&gt;"",ISNUMBER($D105)),$D105+N('設定'!$B$13),"")</f>
        <v/>
      </c>
      <c r="H105" s="18" t="n"/>
      <c r="I105" s="19" t="n"/>
      <c r="J105" s="27">
        <f>IF($B105="","",IF($C105="","（支払先コードが空）",IF($X105="","※支払先にないコード",INDEX('支払先'!$C$5:$C$104,$X105)&amp;"")))</f>
        <v/>
      </c>
      <c r="K105" s="30">
        <f>IF($B105="","",COUNTIF('支払明細'!$A$5:$A$1004,$B105))</f>
        <v/>
      </c>
      <c r="L105" s="26">
        <f>IF($B105="","",SUMIFS('支払明細'!$I$5:$I$1004,'支払明細'!$A$5:$A$1004,$B105,'支払明細'!$G$5:$G$1004,"10%（標準）"))</f>
        <v/>
      </c>
      <c r="M105" s="26">
        <f>IF($B105="","",SUMIFS('支払明細'!$I$5:$I$1004,'支払明細'!$A$5:$A$1004,$B105,'支払明細'!$G$5:$G$1004,"8%（軽減）"))</f>
        <v/>
      </c>
      <c r="N105" s="26">
        <f>IF($B105="","",SUMIFS('支払明細'!$I$5:$I$1004,'支払明細'!$A$5:$A$1004,$B105,'支払明細'!$G$5:$G$1004,"対象外"))</f>
        <v/>
      </c>
      <c r="O105" s="26">
        <f>IF($B105="","",IF('設定'!$B$11="税込",IF('設定'!$B$12="切り捨て",ROUNDDOWN(ROUND($L105*10/110,6),0),IF('設定'!$B$12="切り上げ",ROUNDUP(ROUND($L105*10/110,6),0),ROUND($L105*10/110,0))),IF('設定'!$B$12="切り捨て",ROUNDDOWN(ROUND($L105*10/100,6),0),IF('設定'!$B$12="切り上げ",ROUNDUP(ROUND($L105*10/100,6),0),ROUND($L105*10/100,0)))))</f>
        <v/>
      </c>
      <c r="P105" s="26">
        <f>IF($B105="","",IF('設定'!$B$11="税込",IF('設定'!$B$12="切り捨て",ROUNDDOWN(ROUND($M105*8/108,6),0),IF('設定'!$B$12="切り上げ",ROUNDUP(ROUND($M105*8/108,6),0),ROUND($M105*8/108,0))),IF('設定'!$B$12="切り捨て",ROUNDDOWN(ROUND($M105*8/100,6),0),IF('設定'!$B$12="切り上げ",ROUNDUP(ROUND($M105*8/100,6),0),ROUND($M105*8/100,0)))))</f>
        <v/>
      </c>
      <c r="Q105" s="26">
        <f>IF($B105="","",IF('設定'!$B$11="税込",$L105+$M105+$N105,$L105+$O105+$M105+$P105+$N105))</f>
        <v/>
      </c>
      <c r="R105" s="26">
        <f>IF($B105="","",IF($X105="",0,IF(INDEX('支払先'!$I$5:$I$104,$X105)&lt;&gt;"する",0,IF(INDEX('支払先'!$J$5:$J$104,$X105)="税抜",IF('設定'!$B$11="税込",($Y105-IF('設定'!$B$12="切り捨て",ROUNDDOWN(ROUND($Y105*10/110,6),0),IF('設定'!$B$12="切り上げ",ROUNDUP(ROUND($Y105*10/110,6),0),ROUND($Y105*10/110,0)))+$Z105-IF('設定'!$B$12="切り捨て",ROUNDDOWN(ROUND($Z105*8/108,6),0),IF('設定'!$B$12="切り上げ",ROUNDUP(ROUND($Z105*8/108,6),0),ROUND($Z105*8/108,0)))+$AA105),$Y105+$Z105+$AA105),IF('設定'!$B$11="税込",$Y105+$Z105+$AA105,($Y105+IF('設定'!$B$12="切り捨て",ROUNDDOWN(ROUND($Y105*10/100,6),0),IF('設定'!$B$12="切り上げ",ROUNDUP(ROUND($Y105*10/100,6),0),ROUND($Y105*10/100,0)))+$Z105+IF('設定'!$B$12="切り捨て",ROUNDDOWN(ROUND($Z105*8/100,6),0),IF('設定'!$B$12="切り上げ",ROUNDUP(ROUND($Z105*8/100,6),0),ROUND($Z105*8/100,0)))+$AA105))))))</f>
        <v/>
      </c>
      <c r="S105" s="26">
        <f>IF($B105="","",IF(N($R105)&lt;=0,0,IF($R105&lt;='設定'!$B$18,ROUNDDOWN(ROUND($R105*'設定'!$B$17,6),0),ROUNDDOWN(ROUND(($R105-'設定'!$B$18)*'設定'!$B$19,6),0)+'設定'!$B$20)))</f>
        <v/>
      </c>
      <c r="T105" s="26">
        <f>IF($B105="","",IF($X105="",0,IF(INDEX('支払先'!$K$5:$K$104,$X105)="差し引く",N(INDEX('支払先'!$L$5:$L$104,$X105)),0)))</f>
        <v/>
      </c>
      <c r="U105" s="26">
        <f>IF($B105="","",$Q105-$S105-$T105)</f>
        <v/>
      </c>
      <c r="V105" s="22">
        <f>IF($B105="","",MID(IF($C105="","／支払先コードが空",IF($X105="","／支払先にないコード",""))&amp;IF($K105=0,"／明細がない","")&amp;IF($AC105&gt;0,"／税率が空の明細 "&amp;$AC105&amp;"件（合計に入っていない）","")&amp;IF($X105="","",IF(INDEX('支払先'!$G$5:$G$104,$X105)="","／登録番号なし（仕入明細書にならない）",""))&amp;IF($AB105&gt;0,"／60日（2か月）を超える明細 "&amp;$AB105&amp;"件","")&amp;IF($X105="","",IF(AND(INDEX('支払先'!$K$5:$K$104,$X105)="差し引く",OR(INDEX('支払先'!$M$5:$M$104,$X105)&lt;&gt;"対象外",INDEX('支払先'!$N$5:$N$104,$X105)&lt;&gt;"対象外")),"／手数料を差し引けない取引か確かめる",""))&amp;IF(COUNTIF($B$5:$B$204,$B105)&gt;1,"／通知Noが重複","")&amp;IF(AND(ISNUMBER($D105),ISNUMBER($F105),$F105&lt;$D105),"／支払予定日が発行日より前",""),2,300))</f>
        <v/>
      </c>
      <c r="W105" s="67" t="n"/>
      <c r="X105" s="31">
        <f>IF(OR($B105="",$C105=""),"",IFERROR(MATCH($C105,'支払先'!$B$5:$B$104,0),""))</f>
        <v/>
      </c>
      <c r="Y105" s="31">
        <f>IF($B105="","",SUMIFS('支払明細'!$I$5:$I$1004,'支払明細'!$A$5:$A$1004,$B105,'支払明細'!$G$5:$G$1004,"10%（標準）",'支払明細'!$H$5:$H$1004,"&lt;&gt;対象外"))</f>
        <v/>
      </c>
      <c r="Z105" s="31">
        <f>IF($B105="","",SUMIFS('支払明細'!$I$5:$I$1004,'支払明細'!$A$5:$A$1004,$B105,'支払明細'!$G$5:$G$1004,"8%（軽減）",'支払明細'!$H$5:$H$1004,"&lt;&gt;対象外"))</f>
        <v/>
      </c>
      <c r="AA105" s="31">
        <f>IF($B105="","",SUMIFS('支払明細'!$I$5:$I$1004,'支払明細'!$A$5:$A$1004,$B105,'支払明細'!$G$5:$G$1004,"対象外",'支払明細'!$H$5:$H$1004,"&lt;&gt;対象外"))</f>
        <v/>
      </c>
      <c r="AB105" s="31">
        <f>IF($B105="","",COUNTIFS('支払明細'!$A$5:$A$1004,$B105,'支払明細'!$M$5:$M$1004,"超える"))</f>
        <v/>
      </c>
      <c r="AC105" s="31">
        <f>IF($B105="","",COUNTIFS('支払明細'!$A$5:$A$1004,$B105,'支払明細'!$G$5:$G$1004,""))</f>
        <v/>
      </c>
    </row>
    <row r="106" ht="18" customHeight="1">
      <c r="A106" s="17" t="n">
        <v>102</v>
      </c>
      <c r="B106" s="18" t="n"/>
      <c r="C106" s="18" t="n"/>
      <c r="D106" s="24" t="n"/>
      <c r="E106" s="19" t="n"/>
      <c r="F106" s="24" t="n"/>
      <c r="G106" s="28">
        <f>IF(AND($B106&lt;&gt;"",ISNUMBER($D106)),$D106+N('設定'!$B$13),"")</f>
        <v/>
      </c>
      <c r="H106" s="18" t="n"/>
      <c r="I106" s="19" t="n"/>
      <c r="J106" s="27">
        <f>IF($B106="","",IF($C106="","（支払先コードが空）",IF($X106="","※支払先にないコード",INDEX('支払先'!$C$5:$C$104,$X106)&amp;"")))</f>
        <v/>
      </c>
      <c r="K106" s="30">
        <f>IF($B106="","",COUNTIF('支払明細'!$A$5:$A$1004,$B106))</f>
        <v/>
      </c>
      <c r="L106" s="26">
        <f>IF($B106="","",SUMIFS('支払明細'!$I$5:$I$1004,'支払明細'!$A$5:$A$1004,$B106,'支払明細'!$G$5:$G$1004,"10%（標準）"))</f>
        <v/>
      </c>
      <c r="M106" s="26">
        <f>IF($B106="","",SUMIFS('支払明細'!$I$5:$I$1004,'支払明細'!$A$5:$A$1004,$B106,'支払明細'!$G$5:$G$1004,"8%（軽減）"))</f>
        <v/>
      </c>
      <c r="N106" s="26">
        <f>IF($B106="","",SUMIFS('支払明細'!$I$5:$I$1004,'支払明細'!$A$5:$A$1004,$B106,'支払明細'!$G$5:$G$1004,"対象外"))</f>
        <v/>
      </c>
      <c r="O106" s="26">
        <f>IF($B106="","",IF('設定'!$B$11="税込",IF('設定'!$B$12="切り捨て",ROUNDDOWN(ROUND($L106*10/110,6),0),IF('設定'!$B$12="切り上げ",ROUNDUP(ROUND($L106*10/110,6),0),ROUND($L106*10/110,0))),IF('設定'!$B$12="切り捨て",ROUNDDOWN(ROUND($L106*10/100,6),0),IF('設定'!$B$12="切り上げ",ROUNDUP(ROUND($L106*10/100,6),0),ROUND($L106*10/100,0)))))</f>
        <v/>
      </c>
      <c r="P106" s="26">
        <f>IF($B106="","",IF('設定'!$B$11="税込",IF('設定'!$B$12="切り捨て",ROUNDDOWN(ROUND($M106*8/108,6),0),IF('設定'!$B$12="切り上げ",ROUNDUP(ROUND($M106*8/108,6),0),ROUND($M106*8/108,0))),IF('設定'!$B$12="切り捨て",ROUNDDOWN(ROUND($M106*8/100,6),0),IF('設定'!$B$12="切り上げ",ROUNDUP(ROUND($M106*8/100,6),0),ROUND($M106*8/100,0)))))</f>
        <v/>
      </c>
      <c r="Q106" s="26">
        <f>IF($B106="","",IF('設定'!$B$11="税込",$L106+$M106+$N106,$L106+$O106+$M106+$P106+$N106))</f>
        <v/>
      </c>
      <c r="R106" s="26">
        <f>IF($B106="","",IF($X106="",0,IF(INDEX('支払先'!$I$5:$I$104,$X106)&lt;&gt;"する",0,IF(INDEX('支払先'!$J$5:$J$104,$X106)="税抜",IF('設定'!$B$11="税込",($Y106-IF('設定'!$B$12="切り捨て",ROUNDDOWN(ROUND($Y106*10/110,6),0),IF('設定'!$B$12="切り上げ",ROUNDUP(ROUND($Y106*10/110,6),0),ROUND($Y106*10/110,0)))+$Z106-IF('設定'!$B$12="切り捨て",ROUNDDOWN(ROUND($Z106*8/108,6),0),IF('設定'!$B$12="切り上げ",ROUNDUP(ROUND($Z106*8/108,6),0),ROUND($Z106*8/108,0)))+$AA106),$Y106+$Z106+$AA106),IF('設定'!$B$11="税込",$Y106+$Z106+$AA106,($Y106+IF('設定'!$B$12="切り捨て",ROUNDDOWN(ROUND($Y106*10/100,6),0),IF('設定'!$B$12="切り上げ",ROUNDUP(ROUND($Y106*10/100,6),0),ROUND($Y106*10/100,0)))+$Z106+IF('設定'!$B$12="切り捨て",ROUNDDOWN(ROUND($Z106*8/100,6),0),IF('設定'!$B$12="切り上げ",ROUNDUP(ROUND($Z106*8/100,6),0),ROUND($Z106*8/100,0)))+$AA106))))))</f>
        <v/>
      </c>
      <c r="S106" s="26">
        <f>IF($B106="","",IF(N($R106)&lt;=0,0,IF($R106&lt;='設定'!$B$18,ROUNDDOWN(ROUND($R106*'設定'!$B$17,6),0),ROUNDDOWN(ROUND(($R106-'設定'!$B$18)*'設定'!$B$19,6),0)+'設定'!$B$20)))</f>
        <v/>
      </c>
      <c r="T106" s="26">
        <f>IF($B106="","",IF($X106="",0,IF(INDEX('支払先'!$K$5:$K$104,$X106)="差し引く",N(INDEX('支払先'!$L$5:$L$104,$X106)),0)))</f>
        <v/>
      </c>
      <c r="U106" s="26">
        <f>IF($B106="","",$Q106-$S106-$T106)</f>
        <v/>
      </c>
      <c r="V106" s="22">
        <f>IF($B106="","",MID(IF($C106="","／支払先コードが空",IF($X106="","／支払先にないコード",""))&amp;IF($K106=0,"／明細がない","")&amp;IF($AC106&gt;0,"／税率が空の明細 "&amp;$AC106&amp;"件（合計に入っていない）","")&amp;IF($X106="","",IF(INDEX('支払先'!$G$5:$G$104,$X106)="","／登録番号なし（仕入明細書にならない）",""))&amp;IF($AB106&gt;0,"／60日（2か月）を超える明細 "&amp;$AB106&amp;"件","")&amp;IF($X106="","",IF(AND(INDEX('支払先'!$K$5:$K$104,$X106)="差し引く",OR(INDEX('支払先'!$M$5:$M$104,$X106)&lt;&gt;"対象外",INDEX('支払先'!$N$5:$N$104,$X106)&lt;&gt;"対象外")),"／手数料を差し引けない取引か確かめる",""))&amp;IF(COUNTIF($B$5:$B$204,$B106)&gt;1,"／通知Noが重複","")&amp;IF(AND(ISNUMBER($D106),ISNUMBER($F106),$F106&lt;$D106),"／支払予定日が発行日より前",""),2,300))</f>
        <v/>
      </c>
      <c r="W106" s="67" t="n"/>
      <c r="X106" s="31">
        <f>IF(OR($B106="",$C106=""),"",IFERROR(MATCH($C106,'支払先'!$B$5:$B$104,0),""))</f>
        <v/>
      </c>
      <c r="Y106" s="31">
        <f>IF($B106="","",SUMIFS('支払明細'!$I$5:$I$1004,'支払明細'!$A$5:$A$1004,$B106,'支払明細'!$G$5:$G$1004,"10%（標準）",'支払明細'!$H$5:$H$1004,"&lt;&gt;対象外"))</f>
        <v/>
      </c>
      <c r="Z106" s="31">
        <f>IF($B106="","",SUMIFS('支払明細'!$I$5:$I$1004,'支払明細'!$A$5:$A$1004,$B106,'支払明細'!$G$5:$G$1004,"8%（軽減）",'支払明細'!$H$5:$H$1004,"&lt;&gt;対象外"))</f>
        <v/>
      </c>
      <c r="AA106" s="31">
        <f>IF($B106="","",SUMIFS('支払明細'!$I$5:$I$1004,'支払明細'!$A$5:$A$1004,$B106,'支払明細'!$G$5:$G$1004,"対象外",'支払明細'!$H$5:$H$1004,"&lt;&gt;対象外"))</f>
        <v/>
      </c>
      <c r="AB106" s="31">
        <f>IF($B106="","",COUNTIFS('支払明細'!$A$5:$A$1004,$B106,'支払明細'!$M$5:$M$1004,"超える"))</f>
        <v/>
      </c>
      <c r="AC106" s="31">
        <f>IF($B106="","",COUNTIFS('支払明細'!$A$5:$A$1004,$B106,'支払明細'!$G$5:$G$1004,""))</f>
        <v/>
      </c>
    </row>
    <row r="107" ht="18" customHeight="1">
      <c r="A107" s="17" t="n">
        <v>103</v>
      </c>
      <c r="B107" s="18" t="n"/>
      <c r="C107" s="18" t="n"/>
      <c r="D107" s="24" t="n"/>
      <c r="E107" s="19" t="n"/>
      <c r="F107" s="24" t="n"/>
      <c r="G107" s="28">
        <f>IF(AND($B107&lt;&gt;"",ISNUMBER($D107)),$D107+N('設定'!$B$13),"")</f>
        <v/>
      </c>
      <c r="H107" s="18" t="n"/>
      <c r="I107" s="19" t="n"/>
      <c r="J107" s="27">
        <f>IF($B107="","",IF($C107="","（支払先コードが空）",IF($X107="","※支払先にないコード",INDEX('支払先'!$C$5:$C$104,$X107)&amp;"")))</f>
        <v/>
      </c>
      <c r="K107" s="30">
        <f>IF($B107="","",COUNTIF('支払明細'!$A$5:$A$1004,$B107))</f>
        <v/>
      </c>
      <c r="L107" s="26">
        <f>IF($B107="","",SUMIFS('支払明細'!$I$5:$I$1004,'支払明細'!$A$5:$A$1004,$B107,'支払明細'!$G$5:$G$1004,"10%（標準）"))</f>
        <v/>
      </c>
      <c r="M107" s="26">
        <f>IF($B107="","",SUMIFS('支払明細'!$I$5:$I$1004,'支払明細'!$A$5:$A$1004,$B107,'支払明細'!$G$5:$G$1004,"8%（軽減）"))</f>
        <v/>
      </c>
      <c r="N107" s="26">
        <f>IF($B107="","",SUMIFS('支払明細'!$I$5:$I$1004,'支払明細'!$A$5:$A$1004,$B107,'支払明細'!$G$5:$G$1004,"対象外"))</f>
        <v/>
      </c>
      <c r="O107" s="26">
        <f>IF($B107="","",IF('設定'!$B$11="税込",IF('設定'!$B$12="切り捨て",ROUNDDOWN(ROUND($L107*10/110,6),0),IF('設定'!$B$12="切り上げ",ROUNDUP(ROUND($L107*10/110,6),0),ROUND($L107*10/110,0))),IF('設定'!$B$12="切り捨て",ROUNDDOWN(ROUND($L107*10/100,6),0),IF('設定'!$B$12="切り上げ",ROUNDUP(ROUND($L107*10/100,6),0),ROUND($L107*10/100,0)))))</f>
        <v/>
      </c>
      <c r="P107" s="26">
        <f>IF($B107="","",IF('設定'!$B$11="税込",IF('設定'!$B$12="切り捨て",ROUNDDOWN(ROUND($M107*8/108,6),0),IF('設定'!$B$12="切り上げ",ROUNDUP(ROUND($M107*8/108,6),0),ROUND($M107*8/108,0))),IF('設定'!$B$12="切り捨て",ROUNDDOWN(ROUND($M107*8/100,6),0),IF('設定'!$B$12="切り上げ",ROUNDUP(ROUND($M107*8/100,6),0),ROUND($M107*8/100,0)))))</f>
        <v/>
      </c>
      <c r="Q107" s="26">
        <f>IF($B107="","",IF('設定'!$B$11="税込",$L107+$M107+$N107,$L107+$O107+$M107+$P107+$N107))</f>
        <v/>
      </c>
      <c r="R107" s="26">
        <f>IF($B107="","",IF($X107="",0,IF(INDEX('支払先'!$I$5:$I$104,$X107)&lt;&gt;"する",0,IF(INDEX('支払先'!$J$5:$J$104,$X107)="税抜",IF('設定'!$B$11="税込",($Y107-IF('設定'!$B$12="切り捨て",ROUNDDOWN(ROUND($Y107*10/110,6),0),IF('設定'!$B$12="切り上げ",ROUNDUP(ROUND($Y107*10/110,6),0),ROUND($Y107*10/110,0)))+$Z107-IF('設定'!$B$12="切り捨て",ROUNDDOWN(ROUND($Z107*8/108,6),0),IF('設定'!$B$12="切り上げ",ROUNDUP(ROUND($Z107*8/108,6),0),ROUND($Z107*8/108,0)))+$AA107),$Y107+$Z107+$AA107),IF('設定'!$B$11="税込",$Y107+$Z107+$AA107,($Y107+IF('設定'!$B$12="切り捨て",ROUNDDOWN(ROUND($Y107*10/100,6),0),IF('設定'!$B$12="切り上げ",ROUNDUP(ROUND($Y107*10/100,6),0),ROUND($Y107*10/100,0)))+$Z107+IF('設定'!$B$12="切り捨て",ROUNDDOWN(ROUND($Z107*8/100,6),0),IF('設定'!$B$12="切り上げ",ROUNDUP(ROUND($Z107*8/100,6),0),ROUND($Z107*8/100,0)))+$AA107))))))</f>
        <v/>
      </c>
      <c r="S107" s="26">
        <f>IF($B107="","",IF(N($R107)&lt;=0,0,IF($R107&lt;='設定'!$B$18,ROUNDDOWN(ROUND($R107*'設定'!$B$17,6),0),ROUNDDOWN(ROUND(($R107-'設定'!$B$18)*'設定'!$B$19,6),0)+'設定'!$B$20)))</f>
        <v/>
      </c>
      <c r="T107" s="26">
        <f>IF($B107="","",IF($X107="",0,IF(INDEX('支払先'!$K$5:$K$104,$X107)="差し引く",N(INDEX('支払先'!$L$5:$L$104,$X107)),0)))</f>
        <v/>
      </c>
      <c r="U107" s="26">
        <f>IF($B107="","",$Q107-$S107-$T107)</f>
        <v/>
      </c>
      <c r="V107" s="22">
        <f>IF($B107="","",MID(IF($C107="","／支払先コードが空",IF($X107="","／支払先にないコード",""))&amp;IF($K107=0,"／明細がない","")&amp;IF($AC107&gt;0,"／税率が空の明細 "&amp;$AC107&amp;"件（合計に入っていない）","")&amp;IF($X107="","",IF(INDEX('支払先'!$G$5:$G$104,$X107)="","／登録番号なし（仕入明細書にならない）",""))&amp;IF($AB107&gt;0,"／60日（2か月）を超える明細 "&amp;$AB107&amp;"件","")&amp;IF($X107="","",IF(AND(INDEX('支払先'!$K$5:$K$104,$X107)="差し引く",OR(INDEX('支払先'!$M$5:$M$104,$X107)&lt;&gt;"対象外",INDEX('支払先'!$N$5:$N$104,$X107)&lt;&gt;"対象外")),"／手数料を差し引けない取引か確かめる",""))&amp;IF(COUNTIF($B$5:$B$204,$B107)&gt;1,"／通知Noが重複","")&amp;IF(AND(ISNUMBER($D107),ISNUMBER($F107),$F107&lt;$D107),"／支払予定日が発行日より前",""),2,300))</f>
        <v/>
      </c>
      <c r="W107" s="67" t="n"/>
      <c r="X107" s="31">
        <f>IF(OR($B107="",$C107=""),"",IFERROR(MATCH($C107,'支払先'!$B$5:$B$104,0),""))</f>
        <v/>
      </c>
      <c r="Y107" s="31">
        <f>IF($B107="","",SUMIFS('支払明細'!$I$5:$I$1004,'支払明細'!$A$5:$A$1004,$B107,'支払明細'!$G$5:$G$1004,"10%（標準）",'支払明細'!$H$5:$H$1004,"&lt;&gt;対象外"))</f>
        <v/>
      </c>
      <c r="Z107" s="31">
        <f>IF($B107="","",SUMIFS('支払明細'!$I$5:$I$1004,'支払明細'!$A$5:$A$1004,$B107,'支払明細'!$G$5:$G$1004,"8%（軽減）",'支払明細'!$H$5:$H$1004,"&lt;&gt;対象外"))</f>
        <v/>
      </c>
      <c r="AA107" s="31">
        <f>IF($B107="","",SUMIFS('支払明細'!$I$5:$I$1004,'支払明細'!$A$5:$A$1004,$B107,'支払明細'!$G$5:$G$1004,"対象外",'支払明細'!$H$5:$H$1004,"&lt;&gt;対象外"))</f>
        <v/>
      </c>
      <c r="AB107" s="31">
        <f>IF($B107="","",COUNTIFS('支払明細'!$A$5:$A$1004,$B107,'支払明細'!$M$5:$M$1004,"超える"))</f>
        <v/>
      </c>
      <c r="AC107" s="31">
        <f>IF($B107="","",COUNTIFS('支払明細'!$A$5:$A$1004,$B107,'支払明細'!$G$5:$G$1004,""))</f>
        <v/>
      </c>
    </row>
    <row r="108" ht="18" customHeight="1">
      <c r="A108" s="17" t="n">
        <v>104</v>
      </c>
      <c r="B108" s="18" t="n"/>
      <c r="C108" s="18" t="n"/>
      <c r="D108" s="24" t="n"/>
      <c r="E108" s="19" t="n"/>
      <c r="F108" s="24" t="n"/>
      <c r="G108" s="28">
        <f>IF(AND($B108&lt;&gt;"",ISNUMBER($D108)),$D108+N('設定'!$B$13),"")</f>
        <v/>
      </c>
      <c r="H108" s="18" t="n"/>
      <c r="I108" s="19" t="n"/>
      <c r="J108" s="27">
        <f>IF($B108="","",IF($C108="","（支払先コードが空）",IF($X108="","※支払先にないコード",INDEX('支払先'!$C$5:$C$104,$X108)&amp;"")))</f>
        <v/>
      </c>
      <c r="K108" s="30">
        <f>IF($B108="","",COUNTIF('支払明細'!$A$5:$A$1004,$B108))</f>
        <v/>
      </c>
      <c r="L108" s="26">
        <f>IF($B108="","",SUMIFS('支払明細'!$I$5:$I$1004,'支払明細'!$A$5:$A$1004,$B108,'支払明細'!$G$5:$G$1004,"10%（標準）"))</f>
        <v/>
      </c>
      <c r="M108" s="26">
        <f>IF($B108="","",SUMIFS('支払明細'!$I$5:$I$1004,'支払明細'!$A$5:$A$1004,$B108,'支払明細'!$G$5:$G$1004,"8%（軽減）"))</f>
        <v/>
      </c>
      <c r="N108" s="26">
        <f>IF($B108="","",SUMIFS('支払明細'!$I$5:$I$1004,'支払明細'!$A$5:$A$1004,$B108,'支払明細'!$G$5:$G$1004,"対象外"))</f>
        <v/>
      </c>
      <c r="O108" s="26">
        <f>IF($B108="","",IF('設定'!$B$11="税込",IF('設定'!$B$12="切り捨て",ROUNDDOWN(ROUND($L108*10/110,6),0),IF('設定'!$B$12="切り上げ",ROUNDUP(ROUND($L108*10/110,6),0),ROUND($L108*10/110,0))),IF('設定'!$B$12="切り捨て",ROUNDDOWN(ROUND($L108*10/100,6),0),IF('設定'!$B$12="切り上げ",ROUNDUP(ROUND($L108*10/100,6),0),ROUND($L108*10/100,0)))))</f>
        <v/>
      </c>
      <c r="P108" s="26">
        <f>IF($B108="","",IF('設定'!$B$11="税込",IF('設定'!$B$12="切り捨て",ROUNDDOWN(ROUND($M108*8/108,6),0),IF('設定'!$B$12="切り上げ",ROUNDUP(ROUND($M108*8/108,6),0),ROUND($M108*8/108,0))),IF('設定'!$B$12="切り捨て",ROUNDDOWN(ROUND($M108*8/100,6),0),IF('設定'!$B$12="切り上げ",ROUNDUP(ROUND($M108*8/100,6),0),ROUND($M108*8/100,0)))))</f>
        <v/>
      </c>
      <c r="Q108" s="26">
        <f>IF($B108="","",IF('設定'!$B$11="税込",$L108+$M108+$N108,$L108+$O108+$M108+$P108+$N108))</f>
        <v/>
      </c>
      <c r="R108" s="26">
        <f>IF($B108="","",IF($X108="",0,IF(INDEX('支払先'!$I$5:$I$104,$X108)&lt;&gt;"する",0,IF(INDEX('支払先'!$J$5:$J$104,$X108)="税抜",IF('設定'!$B$11="税込",($Y108-IF('設定'!$B$12="切り捨て",ROUNDDOWN(ROUND($Y108*10/110,6),0),IF('設定'!$B$12="切り上げ",ROUNDUP(ROUND($Y108*10/110,6),0),ROUND($Y108*10/110,0)))+$Z108-IF('設定'!$B$12="切り捨て",ROUNDDOWN(ROUND($Z108*8/108,6),0),IF('設定'!$B$12="切り上げ",ROUNDUP(ROUND($Z108*8/108,6),0),ROUND($Z108*8/108,0)))+$AA108),$Y108+$Z108+$AA108),IF('設定'!$B$11="税込",$Y108+$Z108+$AA108,($Y108+IF('設定'!$B$12="切り捨て",ROUNDDOWN(ROUND($Y108*10/100,6),0),IF('設定'!$B$12="切り上げ",ROUNDUP(ROUND($Y108*10/100,6),0),ROUND($Y108*10/100,0)))+$Z108+IF('設定'!$B$12="切り捨て",ROUNDDOWN(ROUND($Z108*8/100,6),0),IF('設定'!$B$12="切り上げ",ROUNDUP(ROUND($Z108*8/100,6),0),ROUND($Z108*8/100,0)))+$AA108))))))</f>
        <v/>
      </c>
      <c r="S108" s="26">
        <f>IF($B108="","",IF(N($R108)&lt;=0,0,IF($R108&lt;='設定'!$B$18,ROUNDDOWN(ROUND($R108*'設定'!$B$17,6),0),ROUNDDOWN(ROUND(($R108-'設定'!$B$18)*'設定'!$B$19,6),0)+'設定'!$B$20)))</f>
        <v/>
      </c>
      <c r="T108" s="26">
        <f>IF($B108="","",IF($X108="",0,IF(INDEX('支払先'!$K$5:$K$104,$X108)="差し引く",N(INDEX('支払先'!$L$5:$L$104,$X108)),0)))</f>
        <v/>
      </c>
      <c r="U108" s="26">
        <f>IF($B108="","",$Q108-$S108-$T108)</f>
        <v/>
      </c>
      <c r="V108" s="22">
        <f>IF($B108="","",MID(IF($C108="","／支払先コードが空",IF($X108="","／支払先にないコード",""))&amp;IF($K108=0,"／明細がない","")&amp;IF($AC108&gt;0,"／税率が空の明細 "&amp;$AC108&amp;"件（合計に入っていない）","")&amp;IF($X108="","",IF(INDEX('支払先'!$G$5:$G$104,$X108)="","／登録番号なし（仕入明細書にならない）",""))&amp;IF($AB108&gt;0,"／60日（2か月）を超える明細 "&amp;$AB108&amp;"件","")&amp;IF($X108="","",IF(AND(INDEX('支払先'!$K$5:$K$104,$X108)="差し引く",OR(INDEX('支払先'!$M$5:$M$104,$X108)&lt;&gt;"対象外",INDEX('支払先'!$N$5:$N$104,$X108)&lt;&gt;"対象外")),"／手数料を差し引けない取引か確かめる",""))&amp;IF(COUNTIF($B$5:$B$204,$B108)&gt;1,"／通知Noが重複","")&amp;IF(AND(ISNUMBER($D108),ISNUMBER($F108),$F108&lt;$D108),"／支払予定日が発行日より前",""),2,300))</f>
        <v/>
      </c>
      <c r="W108" s="67" t="n"/>
      <c r="X108" s="31">
        <f>IF(OR($B108="",$C108=""),"",IFERROR(MATCH($C108,'支払先'!$B$5:$B$104,0),""))</f>
        <v/>
      </c>
      <c r="Y108" s="31">
        <f>IF($B108="","",SUMIFS('支払明細'!$I$5:$I$1004,'支払明細'!$A$5:$A$1004,$B108,'支払明細'!$G$5:$G$1004,"10%（標準）",'支払明細'!$H$5:$H$1004,"&lt;&gt;対象外"))</f>
        <v/>
      </c>
      <c r="Z108" s="31">
        <f>IF($B108="","",SUMIFS('支払明細'!$I$5:$I$1004,'支払明細'!$A$5:$A$1004,$B108,'支払明細'!$G$5:$G$1004,"8%（軽減）",'支払明細'!$H$5:$H$1004,"&lt;&gt;対象外"))</f>
        <v/>
      </c>
      <c r="AA108" s="31">
        <f>IF($B108="","",SUMIFS('支払明細'!$I$5:$I$1004,'支払明細'!$A$5:$A$1004,$B108,'支払明細'!$G$5:$G$1004,"対象外",'支払明細'!$H$5:$H$1004,"&lt;&gt;対象外"))</f>
        <v/>
      </c>
      <c r="AB108" s="31">
        <f>IF($B108="","",COUNTIFS('支払明細'!$A$5:$A$1004,$B108,'支払明細'!$M$5:$M$1004,"超える"))</f>
        <v/>
      </c>
      <c r="AC108" s="31">
        <f>IF($B108="","",COUNTIFS('支払明細'!$A$5:$A$1004,$B108,'支払明細'!$G$5:$G$1004,""))</f>
        <v/>
      </c>
    </row>
    <row r="109" ht="18" customHeight="1">
      <c r="A109" s="17" t="n">
        <v>105</v>
      </c>
      <c r="B109" s="18" t="n"/>
      <c r="C109" s="18" t="n"/>
      <c r="D109" s="24" t="n"/>
      <c r="E109" s="19" t="n"/>
      <c r="F109" s="24" t="n"/>
      <c r="G109" s="28">
        <f>IF(AND($B109&lt;&gt;"",ISNUMBER($D109)),$D109+N('設定'!$B$13),"")</f>
        <v/>
      </c>
      <c r="H109" s="18" t="n"/>
      <c r="I109" s="19" t="n"/>
      <c r="J109" s="27">
        <f>IF($B109="","",IF($C109="","（支払先コードが空）",IF($X109="","※支払先にないコード",INDEX('支払先'!$C$5:$C$104,$X109)&amp;"")))</f>
        <v/>
      </c>
      <c r="K109" s="30">
        <f>IF($B109="","",COUNTIF('支払明細'!$A$5:$A$1004,$B109))</f>
        <v/>
      </c>
      <c r="L109" s="26">
        <f>IF($B109="","",SUMIFS('支払明細'!$I$5:$I$1004,'支払明細'!$A$5:$A$1004,$B109,'支払明細'!$G$5:$G$1004,"10%（標準）"))</f>
        <v/>
      </c>
      <c r="M109" s="26">
        <f>IF($B109="","",SUMIFS('支払明細'!$I$5:$I$1004,'支払明細'!$A$5:$A$1004,$B109,'支払明細'!$G$5:$G$1004,"8%（軽減）"))</f>
        <v/>
      </c>
      <c r="N109" s="26">
        <f>IF($B109="","",SUMIFS('支払明細'!$I$5:$I$1004,'支払明細'!$A$5:$A$1004,$B109,'支払明細'!$G$5:$G$1004,"対象外"))</f>
        <v/>
      </c>
      <c r="O109" s="26">
        <f>IF($B109="","",IF('設定'!$B$11="税込",IF('設定'!$B$12="切り捨て",ROUNDDOWN(ROUND($L109*10/110,6),0),IF('設定'!$B$12="切り上げ",ROUNDUP(ROUND($L109*10/110,6),0),ROUND($L109*10/110,0))),IF('設定'!$B$12="切り捨て",ROUNDDOWN(ROUND($L109*10/100,6),0),IF('設定'!$B$12="切り上げ",ROUNDUP(ROUND($L109*10/100,6),0),ROUND($L109*10/100,0)))))</f>
        <v/>
      </c>
      <c r="P109" s="26">
        <f>IF($B109="","",IF('設定'!$B$11="税込",IF('設定'!$B$12="切り捨て",ROUNDDOWN(ROUND($M109*8/108,6),0),IF('設定'!$B$12="切り上げ",ROUNDUP(ROUND($M109*8/108,6),0),ROUND($M109*8/108,0))),IF('設定'!$B$12="切り捨て",ROUNDDOWN(ROUND($M109*8/100,6),0),IF('設定'!$B$12="切り上げ",ROUNDUP(ROUND($M109*8/100,6),0),ROUND($M109*8/100,0)))))</f>
        <v/>
      </c>
      <c r="Q109" s="26">
        <f>IF($B109="","",IF('設定'!$B$11="税込",$L109+$M109+$N109,$L109+$O109+$M109+$P109+$N109))</f>
        <v/>
      </c>
      <c r="R109" s="26">
        <f>IF($B109="","",IF($X109="",0,IF(INDEX('支払先'!$I$5:$I$104,$X109)&lt;&gt;"する",0,IF(INDEX('支払先'!$J$5:$J$104,$X109)="税抜",IF('設定'!$B$11="税込",($Y109-IF('設定'!$B$12="切り捨て",ROUNDDOWN(ROUND($Y109*10/110,6),0),IF('設定'!$B$12="切り上げ",ROUNDUP(ROUND($Y109*10/110,6),0),ROUND($Y109*10/110,0)))+$Z109-IF('設定'!$B$12="切り捨て",ROUNDDOWN(ROUND($Z109*8/108,6),0),IF('設定'!$B$12="切り上げ",ROUNDUP(ROUND($Z109*8/108,6),0),ROUND($Z109*8/108,0)))+$AA109),$Y109+$Z109+$AA109),IF('設定'!$B$11="税込",$Y109+$Z109+$AA109,($Y109+IF('設定'!$B$12="切り捨て",ROUNDDOWN(ROUND($Y109*10/100,6),0),IF('設定'!$B$12="切り上げ",ROUNDUP(ROUND($Y109*10/100,6),0),ROUND($Y109*10/100,0)))+$Z109+IF('設定'!$B$12="切り捨て",ROUNDDOWN(ROUND($Z109*8/100,6),0),IF('設定'!$B$12="切り上げ",ROUNDUP(ROUND($Z109*8/100,6),0),ROUND($Z109*8/100,0)))+$AA109))))))</f>
        <v/>
      </c>
      <c r="S109" s="26">
        <f>IF($B109="","",IF(N($R109)&lt;=0,0,IF($R109&lt;='設定'!$B$18,ROUNDDOWN(ROUND($R109*'設定'!$B$17,6),0),ROUNDDOWN(ROUND(($R109-'設定'!$B$18)*'設定'!$B$19,6),0)+'設定'!$B$20)))</f>
        <v/>
      </c>
      <c r="T109" s="26">
        <f>IF($B109="","",IF($X109="",0,IF(INDEX('支払先'!$K$5:$K$104,$X109)="差し引く",N(INDEX('支払先'!$L$5:$L$104,$X109)),0)))</f>
        <v/>
      </c>
      <c r="U109" s="26">
        <f>IF($B109="","",$Q109-$S109-$T109)</f>
        <v/>
      </c>
      <c r="V109" s="22">
        <f>IF($B109="","",MID(IF($C109="","／支払先コードが空",IF($X109="","／支払先にないコード",""))&amp;IF($K109=0,"／明細がない","")&amp;IF($AC109&gt;0,"／税率が空の明細 "&amp;$AC109&amp;"件（合計に入っていない）","")&amp;IF($X109="","",IF(INDEX('支払先'!$G$5:$G$104,$X109)="","／登録番号なし（仕入明細書にならない）",""))&amp;IF($AB109&gt;0,"／60日（2か月）を超える明細 "&amp;$AB109&amp;"件","")&amp;IF($X109="","",IF(AND(INDEX('支払先'!$K$5:$K$104,$X109)="差し引く",OR(INDEX('支払先'!$M$5:$M$104,$X109)&lt;&gt;"対象外",INDEX('支払先'!$N$5:$N$104,$X109)&lt;&gt;"対象外")),"／手数料を差し引けない取引か確かめる",""))&amp;IF(COUNTIF($B$5:$B$204,$B109)&gt;1,"／通知Noが重複","")&amp;IF(AND(ISNUMBER($D109),ISNUMBER($F109),$F109&lt;$D109),"／支払予定日が発行日より前",""),2,300))</f>
        <v/>
      </c>
      <c r="W109" s="67" t="n"/>
      <c r="X109" s="31">
        <f>IF(OR($B109="",$C109=""),"",IFERROR(MATCH($C109,'支払先'!$B$5:$B$104,0),""))</f>
        <v/>
      </c>
      <c r="Y109" s="31">
        <f>IF($B109="","",SUMIFS('支払明細'!$I$5:$I$1004,'支払明細'!$A$5:$A$1004,$B109,'支払明細'!$G$5:$G$1004,"10%（標準）",'支払明細'!$H$5:$H$1004,"&lt;&gt;対象外"))</f>
        <v/>
      </c>
      <c r="Z109" s="31">
        <f>IF($B109="","",SUMIFS('支払明細'!$I$5:$I$1004,'支払明細'!$A$5:$A$1004,$B109,'支払明細'!$G$5:$G$1004,"8%（軽減）",'支払明細'!$H$5:$H$1004,"&lt;&gt;対象外"))</f>
        <v/>
      </c>
      <c r="AA109" s="31">
        <f>IF($B109="","",SUMIFS('支払明細'!$I$5:$I$1004,'支払明細'!$A$5:$A$1004,$B109,'支払明細'!$G$5:$G$1004,"対象外",'支払明細'!$H$5:$H$1004,"&lt;&gt;対象外"))</f>
        <v/>
      </c>
      <c r="AB109" s="31">
        <f>IF($B109="","",COUNTIFS('支払明細'!$A$5:$A$1004,$B109,'支払明細'!$M$5:$M$1004,"超える"))</f>
        <v/>
      </c>
      <c r="AC109" s="31">
        <f>IF($B109="","",COUNTIFS('支払明細'!$A$5:$A$1004,$B109,'支払明細'!$G$5:$G$1004,""))</f>
        <v/>
      </c>
    </row>
    <row r="110" ht="18" customHeight="1">
      <c r="A110" s="17" t="n">
        <v>106</v>
      </c>
      <c r="B110" s="18" t="n"/>
      <c r="C110" s="18" t="n"/>
      <c r="D110" s="24" t="n"/>
      <c r="E110" s="19" t="n"/>
      <c r="F110" s="24" t="n"/>
      <c r="G110" s="28">
        <f>IF(AND($B110&lt;&gt;"",ISNUMBER($D110)),$D110+N('設定'!$B$13),"")</f>
        <v/>
      </c>
      <c r="H110" s="18" t="n"/>
      <c r="I110" s="19" t="n"/>
      <c r="J110" s="27">
        <f>IF($B110="","",IF($C110="","（支払先コードが空）",IF($X110="","※支払先にないコード",INDEX('支払先'!$C$5:$C$104,$X110)&amp;"")))</f>
        <v/>
      </c>
      <c r="K110" s="30">
        <f>IF($B110="","",COUNTIF('支払明細'!$A$5:$A$1004,$B110))</f>
        <v/>
      </c>
      <c r="L110" s="26">
        <f>IF($B110="","",SUMIFS('支払明細'!$I$5:$I$1004,'支払明細'!$A$5:$A$1004,$B110,'支払明細'!$G$5:$G$1004,"10%（標準）"))</f>
        <v/>
      </c>
      <c r="M110" s="26">
        <f>IF($B110="","",SUMIFS('支払明細'!$I$5:$I$1004,'支払明細'!$A$5:$A$1004,$B110,'支払明細'!$G$5:$G$1004,"8%（軽減）"))</f>
        <v/>
      </c>
      <c r="N110" s="26">
        <f>IF($B110="","",SUMIFS('支払明細'!$I$5:$I$1004,'支払明細'!$A$5:$A$1004,$B110,'支払明細'!$G$5:$G$1004,"対象外"))</f>
        <v/>
      </c>
      <c r="O110" s="26">
        <f>IF($B110="","",IF('設定'!$B$11="税込",IF('設定'!$B$12="切り捨て",ROUNDDOWN(ROUND($L110*10/110,6),0),IF('設定'!$B$12="切り上げ",ROUNDUP(ROUND($L110*10/110,6),0),ROUND($L110*10/110,0))),IF('設定'!$B$12="切り捨て",ROUNDDOWN(ROUND($L110*10/100,6),0),IF('設定'!$B$12="切り上げ",ROUNDUP(ROUND($L110*10/100,6),0),ROUND($L110*10/100,0)))))</f>
        <v/>
      </c>
      <c r="P110" s="26">
        <f>IF($B110="","",IF('設定'!$B$11="税込",IF('設定'!$B$12="切り捨て",ROUNDDOWN(ROUND($M110*8/108,6),0),IF('設定'!$B$12="切り上げ",ROUNDUP(ROUND($M110*8/108,6),0),ROUND($M110*8/108,0))),IF('設定'!$B$12="切り捨て",ROUNDDOWN(ROUND($M110*8/100,6),0),IF('設定'!$B$12="切り上げ",ROUNDUP(ROUND($M110*8/100,6),0),ROUND($M110*8/100,0)))))</f>
        <v/>
      </c>
      <c r="Q110" s="26">
        <f>IF($B110="","",IF('設定'!$B$11="税込",$L110+$M110+$N110,$L110+$O110+$M110+$P110+$N110))</f>
        <v/>
      </c>
      <c r="R110" s="26">
        <f>IF($B110="","",IF($X110="",0,IF(INDEX('支払先'!$I$5:$I$104,$X110)&lt;&gt;"する",0,IF(INDEX('支払先'!$J$5:$J$104,$X110)="税抜",IF('設定'!$B$11="税込",($Y110-IF('設定'!$B$12="切り捨て",ROUNDDOWN(ROUND($Y110*10/110,6),0),IF('設定'!$B$12="切り上げ",ROUNDUP(ROUND($Y110*10/110,6),0),ROUND($Y110*10/110,0)))+$Z110-IF('設定'!$B$12="切り捨て",ROUNDDOWN(ROUND($Z110*8/108,6),0),IF('設定'!$B$12="切り上げ",ROUNDUP(ROUND($Z110*8/108,6),0),ROUND($Z110*8/108,0)))+$AA110),$Y110+$Z110+$AA110),IF('設定'!$B$11="税込",$Y110+$Z110+$AA110,($Y110+IF('設定'!$B$12="切り捨て",ROUNDDOWN(ROUND($Y110*10/100,6),0),IF('設定'!$B$12="切り上げ",ROUNDUP(ROUND($Y110*10/100,6),0),ROUND($Y110*10/100,0)))+$Z110+IF('設定'!$B$12="切り捨て",ROUNDDOWN(ROUND($Z110*8/100,6),0),IF('設定'!$B$12="切り上げ",ROUNDUP(ROUND($Z110*8/100,6),0),ROUND($Z110*8/100,0)))+$AA110))))))</f>
        <v/>
      </c>
      <c r="S110" s="26">
        <f>IF($B110="","",IF(N($R110)&lt;=0,0,IF($R110&lt;='設定'!$B$18,ROUNDDOWN(ROUND($R110*'設定'!$B$17,6),0),ROUNDDOWN(ROUND(($R110-'設定'!$B$18)*'設定'!$B$19,6),0)+'設定'!$B$20)))</f>
        <v/>
      </c>
      <c r="T110" s="26">
        <f>IF($B110="","",IF($X110="",0,IF(INDEX('支払先'!$K$5:$K$104,$X110)="差し引く",N(INDEX('支払先'!$L$5:$L$104,$X110)),0)))</f>
        <v/>
      </c>
      <c r="U110" s="26">
        <f>IF($B110="","",$Q110-$S110-$T110)</f>
        <v/>
      </c>
      <c r="V110" s="22">
        <f>IF($B110="","",MID(IF($C110="","／支払先コードが空",IF($X110="","／支払先にないコード",""))&amp;IF($K110=0,"／明細がない","")&amp;IF($AC110&gt;0,"／税率が空の明細 "&amp;$AC110&amp;"件（合計に入っていない）","")&amp;IF($X110="","",IF(INDEX('支払先'!$G$5:$G$104,$X110)="","／登録番号なし（仕入明細書にならない）",""))&amp;IF($AB110&gt;0,"／60日（2か月）を超える明細 "&amp;$AB110&amp;"件","")&amp;IF($X110="","",IF(AND(INDEX('支払先'!$K$5:$K$104,$X110)="差し引く",OR(INDEX('支払先'!$M$5:$M$104,$X110)&lt;&gt;"対象外",INDEX('支払先'!$N$5:$N$104,$X110)&lt;&gt;"対象外")),"／手数料を差し引けない取引か確かめる",""))&amp;IF(COUNTIF($B$5:$B$204,$B110)&gt;1,"／通知Noが重複","")&amp;IF(AND(ISNUMBER($D110),ISNUMBER($F110),$F110&lt;$D110),"／支払予定日が発行日より前",""),2,300))</f>
        <v/>
      </c>
      <c r="W110" s="67" t="n"/>
      <c r="X110" s="31">
        <f>IF(OR($B110="",$C110=""),"",IFERROR(MATCH($C110,'支払先'!$B$5:$B$104,0),""))</f>
        <v/>
      </c>
      <c r="Y110" s="31">
        <f>IF($B110="","",SUMIFS('支払明細'!$I$5:$I$1004,'支払明細'!$A$5:$A$1004,$B110,'支払明細'!$G$5:$G$1004,"10%（標準）",'支払明細'!$H$5:$H$1004,"&lt;&gt;対象外"))</f>
        <v/>
      </c>
      <c r="Z110" s="31">
        <f>IF($B110="","",SUMIFS('支払明細'!$I$5:$I$1004,'支払明細'!$A$5:$A$1004,$B110,'支払明細'!$G$5:$G$1004,"8%（軽減）",'支払明細'!$H$5:$H$1004,"&lt;&gt;対象外"))</f>
        <v/>
      </c>
      <c r="AA110" s="31">
        <f>IF($B110="","",SUMIFS('支払明細'!$I$5:$I$1004,'支払明細'!$A$5:$A$1004,$B110,'支払明細'!$G$5:$G$1004,"対象外",'支払明細'!$H$5:$H$1004,"&lt;&gt;対象外"))</f>
        <v/>
      </c>
      <c r="AB110" s="31">
        <f>IF($B110="","",COUNTIFS('支払明細'!$A$5:$A$1004,$B110,'支払明細'!$M$5:$M$1004,"超える"))</f>
        <v/>
      </c>
      <c r="AC110" s="31">
        <f>IF($B110="","",COUNTIFS('支払明細'!$A$5:$A$1004,$B110,'支払明細'!$G$5:$G$1004,""))</f>
        <v/>
      </c>
    </row>
    <row r="111" ht="18" customHeight="1">
      <c r="A111" s="17" t="n">
        <v>107</v>
      </c>
      <c r="B111" s="18" t="n"/>
      <c r="C111" s="18" t="n"/>
      <c r="D111" s="24" t="n"/>
      <c r="E111" s="19" t="n"/>
      <c r="F111" s="24" t="n"/>
      <c r="G111" s="28">
        <f>IF(AND($B111&lt;&gt;"",ISNUMBER($D111)),$D111+N('設定'!$B$13),"")</f>
        <v/>
      </c>
      <c r="H111" s="18" t="n"/>
      <c r="I111" s="19" t="n"/>
      <c r="J111" s="27">
        <f>IF($B111="","",IF($C111="","（支払先コードが空）",IF($X111="","※支払先にないコード",INDEX('支払先'!$C$5:$C$104,$X111)&amp;"")))</f>
        <v/>
      </c>
      <c r="K111" s="30">
        <f>IF($B111="","",COUNTIF('支払明細'!$A$5:$A$1004,$B111))</f>
        <v/>
      </c>
      <c r="L111" s="26">
        <f>IF($B111="","",SUMIFS('支払明細'!$I$5:$I$1004,'支払明細'!$A$5:$A$1004,$B111,'支払明細'!$G$5:$G$1004,"10%（標準）"))</f>
        <v/>
      </c>
      <c r="M111" s="26">
        <f>IF($B111="","",SUMIFS('支払明細'!$I$5:$I$1004,'支払明細'!$A$5:$A$1004,$B111,'支払明細'!$G$5:$G$1004,"8%（軽減）"))</f>
        <v/>
      </c>
      <c r="N111" s="26">
        <f>IF($B111="","",SUMIFS('支払明細'!$I$5:$I$1004,'支払明細'!$A$5:$A$1004,$B111,'支払明細'!$G$5:$G$1004,"対象外"))</f>
        <v/>
      </c>
      <c r="O111" s="26">
        <f>IF($B111="","",IF('設定'!$B$11="税込",IF('設定'!$B$12="切り捨て",ROUNDDOWN(ROUND($L111*10/110,6),0),IF('設定'!$B$12="切り上げ",ROUNDUP(ROUND($L111*10/110,6),0),ROUND($L111*10/110,0))),IF('設定'!$B$12="切り捨て",ROUNDDOWN(ROUND($L111*10/100,6),0),IF('設定'!$B$12="切り上げ",ROUNDUP(ROUND($L111*10/100,6),0),ROUND($L111*10/100,0)))))</f>
        <v/>
      </c>
      <c r="P111" s="26">
        <f>IF($B111="","",IF('設定'!$B$11="税込",IF('設定'!$B$12="切り捨て",ROUNDDOWN(ROUND($M111*8/108,6),0),IF('設定'!$B$12="切り上げ",ROUNDUP(ROUND($M111*8/108,6),0),ROUND($M111*8/108,0))),IF('設定'!$B$12="切り捨て",ROUNDDOWN(ROUND($M111*8/100,6),0),IF('設定'!$B$12="切り上げ",ROUNDUP(ROUND($M111*8/100,6),0),ROUND($M111*8/100,0)))))</f>
        <v/>
      </c>
      <c r="Q111" s="26">
        <f>IF($B111="","",IF('設定'!$B$11="税込",$L111+$M111+$N111,$L111+$O111+$M111+$P111+$N111))</f>
        <v/>
      </c>
      <c r="R111" s="26">
        <f>IF($B111="","",IF($X111="",0,IF(INDEX('支払先'!$I$5:$I$104,$X111)&lt;&gt;"する",0,IF(INDEX('支払先'!$J$5:$J$104,$X111)="税抜",IF('設定'!$B$11="税込",($Y111-IF('設定'!$B$12="切り捨て",ROUNDDOWN(ROUND($Y111*10/110,6),0),IF('設定'!$B$12="切り上げ",ROUNDUP(ROUND($Y111*10/110,6),0),ROUND($Y111*10/110,0)))+$Z111-IF('設定'!$B$12="切り捨て",ROUNDDOWN(ROUND($Z111*8/108,6),0),IF('設定'!$B$12="切り上げ",ROUNDUP(ROUND($Z111*8/108,6),0),ROUND($Z111*8/108,0)))+$AA111),$Y111+$Z111+$AA111),IF('設定'!$B$11="税込",$Y111+$Z111+$AA111,($Y111+IF('設定'!$B$12="切り捨て",ROUNDDOWN(ROUND($Y111*10/100,6),0),IF('設定'!$B$12="切り上げ",ROUNDUP(ROUND($Y111*10/100,6),0),ROUND($Y111*10/100,0)))+$Z111+IF('設定'!$B$12="切り捨て",ROUNDDOWN(ROUND($Z111*8/100,6),0),IF('設定'!$B$12="切り上げ",ROUNDUP(ROUND($Z111*8/100,6),0),ROUND($Z111*8/100,0)))+$AA111))))))</f>
        <v/>
      </c>
      <c r="S111" s="26">
        <f>IF($B111="","",IF(N($R111)&lt;=0,0,IF($R111&lt;='設定'!$B$18,ROUNDDOWN(ROUND($R111*'設定'!$B$17,6),0),ROUNDDOWN(ROUND(($R111-'設定'!$B$18)*'設定'!$B$19,6),0)+'設定'!$B$20)))</f>
        <v/>
      </c>
      <c r="T111" s="26">
        <f>IF($B111="","",IF($X111="",0,IF(INDEX('支払先'!$K$5:$K$104,$X111)="差し引く",N(INDEX('支払先'!$L$5:$L$104,$X111)),0)))</f>
        <v/>
      </c>
      <c r="U111" s="26">
        <f>IF($B111="","",$Q111-$S111-$T111)</f>
        <v/>
      </c>
      <c r="V111" s="22">
        <f>IF($B111="","",MID(IF($C111="","／支払先コードが空",IF($X111="","／支払先にないコード",""))&amp;IF($K111=0,"／明細がない","")&amp;IF($AC111&gt;0,"／税率が空の明細 "&amp;$AC111&amp;"件（合計に入っていない）","")&amp;IF($X111="","",IF(INDEX('支払先'!$G$5:$G$104,$X111)="","／登録番号なし（仕入明細書にならない）",""))&amp;IF($AB111&gt;0,"／60日（2か月）を超える明細 "&amp;$AB111&amp;"件","")&amp;IF($X111="","",IF(AND(INDEX('支払先'!$K$5:$K$104,$X111)="差し引く",OR(INDEX('支払先'!$M$5:$M$104,$X111)&lt;&gt;"対象外",INDEX('支払先'!$N$5:$N$104,$X111)&lt;&gt;"対象外")),"／手数料を差し引けない取引か確かめる",""))&amp;IF(COUNTIF($B$5:$B$204,$B111)&gt;1,"／通知Noが重複","")&amp;IF(AND(ISNUMBER($D111),ISNUMBER($F111),$F111&lt;$D111),"／支払予定日が発行日より前",""),2,300))</f>
        <v/>
      </c>
      <c r="W111" s="67" t="n"/>
      <c r="X111" s="31">
        <f>IF(OR($B111="",$C111=""),"",IFERROR(MATCH($C111,'支払先'!$B$5:$B$104,0),""))</f>
        <v/>
      </c>
      <c r="Y111" s="31">
        <f>IF($B111="","",SUMIFS('支払明細'!$I$5:$I$1004,'支払明細'!$A$5:$A$1004,$B111,'支払明細'!$G$5:$G$1004,"10%（標準）",'支払明細'!$H$5:$H$1004,"&lt;&gt;対象外"))</f>
        <v/>
      </c>
      <c r="Z111" s="31">
        <f>IF($B111="","",SUMIFS('支払明細'!$I$5:$I$1004,'支払明細'!$A$5:$A$1004,$B111,'支払明細'!$G$5:$G$1004,"8%（軽減）",'支払明細'!$H$5:$H$1004,"&lt;&gt;対象外"))</f>
        <v/>
      </c>
      <c r="AA111" s="31">
        <f>IF($B111="","",SUMIFS('支払明細'!$I$5:$I$1004,'支払明細'!$A$5:$A$1004,$B111,'支払明細'!$G$5:$G$1004,"対象外",'支払明細'!$H$5:$H$1004,"&lt;&gt;対象外"))</f>
        <v/>
      </c>
      <c r="AB111" s="31">
        <f>IF($B111="","",COUNTIFS('支払明細'!$A$5:$A$1004,$B111,'支払明細'!$M$5:$M$1004,"超える"))</f>
        <v/>
      </c>
      <c r="AC111" s="31">
        <f>IF($B111="","",COUNTIFS('支払明細'!$A$5:$A$1004,$B111,'支払明細'!$G$5:$G$1004,""))</f>
        <v/>
      </c>
    </row>
    <row r="112" ht="18" customHeight="1">
      <c r="A112" s="17" t="n">
        <v>108</v>
      </c>
      <c r="B112" s="18" t="n"/>
      <c r="C112" s="18" t="n"/>
      <c r="D112" s="24" t="n"/>
      <c r="E112" s="19" t="n"/>
      <c r="F112" s="24" t="n"/>
      <c r="G112" s="28">
        <f>IF(AND($B112&lt;&gt;"",ISNUMBER($D112)),$D112+N('設定'!$B$13),"")</f>
        <v/>
      </c>
      <c r="H112" s="18" t="n"/>
      <c r="I112" s="19" t="n"/>
      <c r="J112" s="27">
        <f>IF($B112="","",IF($C112="","（支払先コードが空）",IF($X112="","※支払先にないコード",INDEX('支払先'!$C$5:$C$104,$X112)&amp;"")))</f>
        <v/>
      </c>
      <c r="K112" s="30">
        <f>IF($B112="","",COUNTIF('支払明細'!$A$5:$A$1004,$B112))</f>
        <v/>
      </c>
      <c r="L112" s="26">
        <f>IF($B112="","",SUMIFS('支払明細'!$I$5:$I$1004,'支払明細'!$A$5:$A$1004,$B112,'支払明細'!$G$5:$G$1004,"10%（標準）"))</f>
        <v/>
      </c>
      <c r="M112" s="26">
        <f>IF($B112="","",SUMIFS('支払明細'!$I$5:$I$1004,'支払明細'!$A$5:$A$1004,$B112,'支払明細'!$G$5:$G$1004,"8%（軽減）"))</f>
        <v/>
      </c>
      <c r="N112" s="26">
        <f>IF($B112="","",SUMIFS('支払明細'!$I$5:$I$1004,'支払明細'!$A$5:$A$1004,$B112,'支払明細'!$G$5:$G$1004,"対象外"))</f>
        <v/>
      </c>
      <c r="O112" s="26">
        <f>IF($B112="","",IF('設定'!$B$11="税込",IF('設定'!$B$12="切り捨て",ROUNDDOWN(ROUND($L112*10/110,6),0),IF('設定'!$B$12="切り上げ",ROUNDUP(ROUND($L112*10/110,6),0),ROUND($L112*10/110,0))),IF('設定'!$B$12="切り捨て",ROUNDDOWN(ROUND($L112*10/100,6),0),IF('設定'!$B$12="切り上げ",ROUNDUP(ROUND($L112*10/100,6),0),ROUND($L112*10/100,0)))))</f>
        <v/>
      </c>
      <c r="P112" s="26">
        <f>IF($B112="","",IF('設定'!$B$11="税込",IF('設定'!$B$12="切り捨て",ROUNDDOWN(ROUND($M112*8/108,6),0),IF('設定'!$B$12="切り上げ",ROUNDUP(ROUND($M112*8/108,6),0),ROUND($M112*8/108,0))),IF('設定'!$B$12="切り捨て",ROUNDDOWN(ROUND($M112*8/100,6),0),IF('設定'!$B$12="切り上げ",ROUNDUP(ROUND($M112*8/100,6),0),ROUND($M112*8/100,0)))))</f>
        <v/>
      </c>
      <c r="Q112" s="26">
        <f>IF($B112="","",IF('設定'!$B$11="税込",$L112+$M112+$N112,$L112+$O112+$M112+$P112+$N112))</f>
        <v/>
      </c>
      <c r="R112" s="26">
        <f>IF($B112="","",IF($X112="",0,IF(INDEX('支払先'!$I$5:$I$104,$X112)&lt;&gt;"する",0,IF(INDEX('支払先'!$J$5:$J$104,$X112)="税抜",IF('設定'!$B$11="税込",($Y112-IF('設定'!$B$12="切り捨て",ROUNDDOWN(ROUND($Y112*10/110,6),0),IF('設定'!$B$12="切り上げ",ROUNDUP(ROUND($Y112*10/110,6),0),ROUND($Y112*10/110,0)))+$Z112-IF('設定'!$B$12="切り捨て",ROUNDDOWN(ROUND($Z112*8/108,6),0),IF('設定'!$B$12="切り上げ",ROUNDUP(ROUND($Z112*8/108,6),0),ROUND($Z112*8/108,0)))+$AA112),$Y112+$Z112+$AA112),IF('設定'!$B$11="税込",$Y112+$Z112+$AA112,($Y112+IF('設定'!$B$12="切り捨て",ROUNDDOWN(ROUND($Y112*10/100,6),0),IF('設定'!$B$12="切り上げ",ROUNDUP(ROUND($Y112*10/100,6),0),ROUND($Y112*10/100,0)))+$Z112+IF('設定'!$B$12="切り捨て",ROUNDDOWN(ROUND($Z112*8/100,6),0),IF('設定'!$B$12="切り上げ",ROUNDUP(ROUND($Z112*8/100,6),0),ROUND($Z112*8/100,0)))+$AA112))))))</f>
        <v/>
      </c>
      <c r="S112" s="26">
        <f>IF($B112="","",IF(N($R112)&lt;=0,0,IF($R112&lt;='設定'!$B$18,ROUNDDOWN(ROUND($R112*'設定'!$B$17,6),0),ROUNDDOWN(ROUND(($R112-'設定'!$B$18)*'設定'!$B$19,6),0)+'設定'!$B$20)))</f>
        <v/>
      </c>
      <c r="T112" s="26">
        <f>IF($B112="","",IF($X112="",0,IF(INDEX('支払先'!$K$5:$K$104,$X112)="差し引く",N(INDEX('支払先'!$L$5:$L$104,$X112)),0)))</f>
        <v/>
      </c>
      <c r="U112" s="26">
        <f>IF($B112="","",$Q112-$S112-$T112)</f>
        <v/>
      </c>
      <c r="V112" s="22">
        <f>IF($B112="","",MID(IF($C112="","／支払先コードが空",IF($X112="","／支払先にないコード",""))&amp;IF($K112=0,"／明細がない","")&amp;IF($AC112&gt;0,"／税率が空の明細 "&amp;$AC112&amp;"件（合計に入っていない）","")&amp;IF($X112="","",IF(INDEX('支払先'!$G$5:$G$104,$X112)="","／登録番号なし（仕入明細書にならない）",""))&amp;IF($AB112&gt;0,"／60日（2か月）を超える明細 "&amp;$AB112&amp;"件","")&amp;IF($X112="","",IF(AND(INDEX('支払先'!$K$5:$K$104,$X112)="差し引く",OR(INDEX('支払先'!$M$5:$M$104,$X112)&lt;&gt;"対象外",INDEX('支払先'!$N$5:$N$104,$X112)&lt;&gt;"対象外")),"／手数料を差し引けない取引か確かめる",""))&amp;IF(COUNTIF($B$5:$B$204,$B112)&gt;1,"／通知Noが重複","")&amp;IF(AND(ISNUMBER($D112),ISNUMBER($F112),$F112&lt;$D112),"／支払予定日が発行日より前",""),2,300))</f>
        <v/>
      </c>
      <c r="W112" s="67" t="n"/>
      <c r="X112" s="31">
        <f>IF(OR($B112="",$C112=""),"",IFERROR(MATCH($C112,'支払先'!$B$5:$B$104,0),""))</f>
        <v/>
      </c>
      <c r="Y112" s="31">
        <f>IF($B112="","",SUMIFS('支払明細'!$I$5:$I$1004,'支払明細'!$A$5:$A$1004,$B112,'支払明細'!$G$5:$G$1004,"10%（標準）",'支払明細'!$H$5:$H$1004,"&lt;&gt;対象外"))</f>
        <v/>
      </c>
      <c r="Z112" s="31">
        <f>IF($B112="","",SUMIFS('支払明細'!$I$5:$I$1004,'支払明細'!$A$5:$A$1004,$B112,'支払明細'!$G$5:$G$1004,"8%（軽減）",'支払明細'!$H$5:$H$1004,"&lt;&gt;対象外"))</f>
        <v/>
      </c>
      <c r="AA112" s="31">
        <f>IF($B112="","",SUMIFS('支払明細'!$I$5:$I$1004,'支払明細'!$A$5:$A$1004,$B112,'支払明細'!$G$5:$G$1004,"対象外",'支払明細'!$H$5:$H$1004,"&lt;&gt;対象外"))</f>
        <v/>
      </c>
      <c r="AB112" s="31">
        <f>IF($B112="","",COUNTIFS('支払明細'!$A$5:$A$1004,$B112,'支払明細'!$M$5:$M$1004,"超える"))</f>
        <v/>
      </c>
      <c r="AC112" s="31">
        <f>IF($B112="","",COUNTIFS('支払明細'!$A$5:$A$1004,$B112,'支払明細'!$G$5:$G$1004,""))</f>
        <v/>
      </c>
    </row>
    <row r="113" ht="18" customHeight="1">
      <c r="A113" s="17" t="n">
        <v>109</v>
      </c>
      <c r="B113" s="18" t="n"/>
      <c r="C113" s="18" t="n"/>
      <c r="D113" s="24" t="n"/>
      <c r="E113" s="19" t="n"/>
      <c r="F113" s="24" t="n"/>
      <c r="G113" s="28">
        <f>IF(AND($B113&lt;&gt;"",ISNUMBER($D113)),$D113+N('設定'!$B$13),"")</f>
        <v/>
      </c>
      <c r="H113" s="18" t="n"/>
      <c r="I113" s="19" t="n"/>
      <c r="J113" s="27">
        <f>IF($B113="","",IF($C113="","（支払先コードが空）",IF($X113="","※支払先にないコード",INDEX('支払先'!$C$5:$C$104,$X113)&amp;"")))</f>
        <v/>
      </c>
      <c r="K113" s="30">
        <f>IF($B113="","",COUNTIF('支払明細'!$A$5:$A$1004,$B113))</f>
        <v/>
      </c>
      <c r="L113" s="26">
        <f>IF($B113="","",SUMIFS('支払明細'!$I$5:$I$1004,'支払明細'!$A$5:$A$1004,$B113,'支払明細'!$G$5:$G$1004,"10%（標準）"))</f>
        <v/>
      </c>
      <c r="M113" s="26">
        <f>IF($B113="","",SUMIFS('支払明細'!$I$5:$I$1004,'支払明細'!$A$5:$A$1004,$B113,'支払明細'!$G$5:$G$1004,"8%（軽減）"))</f>
        <v/>
      </c>
      <c r="N113" s="26">
        <f>IF($B113="","",SUMIFS('支払明細'!$I$5:$I$1004,'支払明細'!$A$5:$A$1004,$B113,'支払明細'!$G$5:$G$1004,"対象外"))</f>
        <v/>
      </c>
      <c r="O113" s="26">
        <f>IF($B113="","",IF('設定'!$B$11="税込",IF('設定'!$B$12="切り捨て",ROUNDDOWN(ROUND($L113*10/110,6),0),IF('設定'!$B$12="切り上げ",ROUNDUP(ROUND($L113*10/110,6),0),ROUND($L113*10/110,0))),IF('設定'!$B$12="切り捨て",ROUNDDOWN(ROUND($L113*10/100,6),0),IF('設定'!$B$12="切り上げ",ROUNDUP(ROUND($L113*10/100,6),0),ROUND($L113*10/100,0)))))</f>
        <v/>
      </c>
      <c r="P113" s="26">
        <f>IF($B113="","",IF('設定'!$B$11="税込",IF('設定'!$B$12="切り捨て",ROUNDDOWN(ROUND($M113*8/108,6),0),IF('設定'!$B$12="切り上げ",ROUNDUP(ROUND($M113*8/108,6),0),ROUND($M113*8/108,0))),IF('設定'!$B$12="切り捨て",ROUNDDOWN(ROUND($M113*8/100,6),0),IF('設定'!$B$12="切り上げ",ROUNDUP(ROUND($M113*8/100,6),0),ROUND($M113*8/100,0)))))</f>
        <v/>
      </c>
      <c r="Q113" s="26">
        <f>IF($B113="","",IF('設定'!$B$11="税込",$L113+$M113+$N113,$L113+$O113+$M113+$P113+$N113))</f>
        <v/>
      </c>
      <c r="R113" s="26">
        <f>IF($B113="","",IF($X113="",0,IF(INDEX('支払先'!$I$5:$I$104,$X113)&lt;&gt;"する",0,IF(INDEX('支払先'!$J$5:$J$104,$X113)="税抜",IF('設定'!$B$11="税込",($Y113-IF('設定'!$B$12="切り捨て",ROUNDDOWN(ROUND($Y113*10/110,6),0),IF('設定'!$B$12="切り上げ",ROUNDUP(ROUND($Y113*10/110,6),0),ROUND($Y113*10/110,0)))+$Z113-IF('設定'!$B$12="切り捨て",ROUNDDOWN(ROUND($Z113*8/108,6),0),IF('設定'!$B$12="切り上げ",ROUNDUP(ROUND($Z113*8/108,6),0),ROUND($Z113*8/108,0)))+$AA113),$Y113+$Z113+$AA113),IF('設定'!$B$11="税込",$Y113+$Z113+$AA113,($Y113+IF('設定'!$B$12="切り捨て",ROUNDDOWN(ROUND($Y113*10/100,6),0),IF('設定'!$B$12="切り上げ",ROUNDUP(ROUND($Y113*10/100,6),0),ROUND($Y113*10/100,0)))+$Z113+IF('設定'!$B$12="切り捨て",ROUNDDOWN(ROUND($Z113*8/100,6),0),IF('設定'!$B$12="切り上げ",ROUNDUP(ROUND($Z113*8/100,6),0),ROUND($Z113*8/100,0)))+$AA113))))))</f>
        <v/>
      </c>
      <c r="S113" s="26">
        <f>IF($B113="","",IF(N($R113)&lt;=0,0,IF($R113&lt;='設定'!$B$18,ROUNDDOWN(ROUND($R113*'設定'!$B$17,6),0),ROUNDDOWN(ROUND(($R113-'設定'!$B$18)*'設定'!$B$19,6),0)+'設定'!$B$20)))</f>
        <v/>
      </c>
      <c r="T113" s="26">
        <f>IF($B113="","",IF($X113="",0,IF(INDEX('支払先'!$K$5:$K$104,$X113)="差し引く",N(INDEX('支払先'!$L$5:$L$104,$X113)),0)))</f>
        <v/>
      </c>
      <c r="U113" s="26">
        <f>IF($B113="","",$Q113-$S113-$T113)</f>
        <v/>
      </c>
      <c r="V113" s="22">
        <f>IF($B113="","",MID(IF($C113="","／支払先コードが空",IF($X113="","／支払先にないコード",""))&amp;IF($K113=0,"／明細がない","")&amp;IF($AC113&gt;0,"／税率が空の明細 "&amp;$AC113&amp;"件（合計に入っていない）","")&amp;IF($X113="","",IF(INDEX('支払先'!$G$5:$G$104,$X113)="","／登録番号なし（仕入明細書にならない）",""))&amp;IF($AB113&gt;0,"／60日（2か月）を超える明細 "&amp;$AB113&amp;"件","")&amp;IF($X113="","",IF(AND(INDEX('支払先'!$K$5:$K$104,$X113)="差し引く",OR(INDEX('支払先'!$M$5:$M$104,$X113)&lt;&gt;"対象外",INDEX('支払先'!$N$5:$N$104,$X113)&lt;&gt;"対象外")),"／手数料を差し引けない取引か確かめる",""))&amp;IF(COUNTIF($B$5:$B$204,$B113)&gt;1,"／通知Noが重複","")&amp;IF(AND(ISNUMBER($D113),ISNUMBER($F113),$F113&lt;$D113),"／支払予定日が発行日より前",""),2,300))</f>
        <v/>
      </c>
      <c r="W113" s="67" t="n"/>
      <c r="X113" s="31">
        <f>IF(OR($B113="",$C113=""),"",IFERROR(MATCH($C113,'支払先'!$B$5:$B$104,0),""))</f>
        <v/>
      </c>
      <c r="Y113" s="31">
        <f>IF($B113="","",SUMIFS('支払明細'!$I$5:$I$1004,'支払明細'!$A$5:$A$1004,$B113,'支払明細'!$G$5:$G$1004,"10%（標準）",'支払明細'!$H$5:$H$1004,"&lt;&gt;対象外"))</f>
        <v/>
      </c>
      <c r="Z113" s="31">
        <f>IF($B113="","",SUMIFS('支払明細'!$I$5:$I$1004,'支払明細'!$A$5:$A$1004,$B113,'支払明細'!$G$5:$G$1004,"8%（軽減）",'支払明細'!$H$5:$H$1004,"&lt;&gt;対象外"))</f>
        <v/>
      </c>
      <c r="AA113" s="31">
        <f>IF($B113="","",SUMIFS('支払明細'!$I$5:$I$1004,'支払明細'!$A$5:$A$1004,$B113,'支払明細'!$G$5:$G$1004,"対象外",'支払明細'!$H$5:$H$1004,"&lt;&gt;対象外"))</f>
        <v/>
      </c>
      <c r="AB113" s="31">
        <f>IF($B113="","",COUNTIFS('支払明細'!$A$5:$A$1004,$B113,'支払明細'!$M$5:$M$1004,"超える"))</f>
        <v/>
      </c>
      <c r="AC113" s="31">
        <f>IF($B113="","",COUNTIFS('支払明細'!$A$5:$A$1004,$B113,'支払明細'!$G$5:$G$1004,""))</f>
        <v/>
      </c>
    </row>
    <row r="114" ht="18" customHeight="1">
      <c r="A114" s="17" t="n">
        <v>110</v>
      </c>
      <c r="B114" s="18" t="n"/>
      <c r="C114" s="18" t="n"/>
      <c r="D114" s="24" t="n"/>
      <c r="E114" s="19" t="n"/>
      <c r="F114" s="24" t="n"/>
      <c r="G114" s="28">
        <f>IF(AND($B114&lt;&gt;"",ISNUMBER($D114)),$D114+N('設定'!$B$13),"")</f>
        <v/>
      </c>
      <c r="H114" s="18" t="n"/>
      <c r="I114" s="19" t="n"/>
      <c r="J114" s="27">
        <f>IF($B114="","",IF($C114="","（支払先コードが空）",IF($X114="","※支払先にないコード",INDEX('支払先'!$C$5:$C$104,$X114)&amp;"")))</f>
        <v/>
      </c>
      <c r="K114" s="30">
        <f>IF($B114="","",COUNTIF('支払明細'!$A$5:$A$1004,$B114))</f>
        <v/>
      </c>
      <c r="L114" s="26">
        <f>IF($B114="","",SUMIFS('支払明細'!$I$5:$I$1004,'支払明細'!$A$5:$A$1004,$B114,'支払明細'!$G$5:$G$1004,"10%（標準）"))</f>
        <v/>
      </c>
      <c r="M114" s="26">
        <f>IF($B114="","",SUMIFS('支払明細'!$I$5:$I$1004,'支払明細'!$A$5:$A$1004,$B114,'支払明細'!$G$5:$G$1004,"8%（軽減）"))</f>
        <v/>
      </c>
      <c r="N114" s="26">
        <f>IF($B114="","",SUMIFS('支払明細'!$I$5:$I$1004,'支払明細'!$A$5:$A$1004,$B114,'支払明細'!$G$5:$G$1004,"対象外"))</f>
        <v/>
      </c>
      <c r="O114" s="26">
        <f>IF($B114="","",IF('設定'!$B$11="税込",IF('設定'!$B$12="切り捨て",ROUNDDOWN(ROUND($L114*10/110,6),0),IF('設定'!$B$12="切り上げ",ROUNDUP(ROUND($L114*10/110,6),0),ROUND($L114*10/110,0))),IF('設定'!$B$12="切り捨て",ROUNDDOWN(ROUND($L114*10/100,6),0),IF('設定'!$B$12="切り上げ",ROUNDUP(ROUND($L114*10/100,6),0),ROUND($L114*10/100,0)))))</f>
        <v/>
      </c>
      <c r="P114" s="26">
        <f>IF($B114="","",IF('設定'!$B$11="税込",IF('設定'!$B$12="切り捨て",ROUNDDOWN(ROUND($M114*8/108,6),0),IF('設定'!$B$12="切り上げ",ROUNDUP(ROUND($M114*8/108,6),0),ROUND($M114*8/108,0))),IF('設定'!$B$12="切り捨て",ROUNDDOWN(ROUND($M114*8/100,6),0),IF('設定'!$B$12="切り上げ",ROUNDUP(ROUND($M114*8/100,6),0),ROUND($M114*8/100,0)))))</f>
        <v/>
      </c>
      <c r="Q114" s="26">
        <f>IF($B114="","",IF('設定'!$B$11="税込",$L114+$M114+$N114,$L114+$O114+$M114+$P114+$N114))</f>
        <v/>
      </c>
      <c r="R114" s="26">
        <f>IF($B114="","",IF($X114="",0,IF(INDEX('支払先'!$I$5:$I$104,$X114)&lt;&gt;"する",0,IF(INDEX('支払先'!$J$5:$J$104,$X114)="税抜",IF('設定'!$B$11="税込",($Y114-IF('設定'!$B$12="切り捨て",ROUNDDOWN(ROUND($Y114*10/110,6),0),IF('設定'!$B$12="切り上げ",ROUNDUP(ROUND($Y114*10/110,6),0),ROUND($Y114*10/110,0)))+$Z114-IF('設定'!$B$12="切り捨て",ROUNDDOWN(ROUND($Z114*8/108,6),0),IF('設定'!$B$12="切り上げ",ROUNDUP(ROUND($Z114*8/108,6),0),ROUND($Z114*8/108,0)))+$AA114),$Y114+$Z114+$AA114),IF('設定'!$B$11="税込",$Y114+$Z114+$AA114,($Y114+IF('設定'!$B$12="切り捨て",ROUNDDOWN(ROUND($Y114*10/100,6),0),IF('設定'!$B$12="切り上げ",ROUNDUP(ROUND($Y114*10/100,6),0),ROUND($Y114*10/100,0)))+$Z114+IF('設定'!$B$12="切り捨て",ROUNDDOWN(ROUND($Z114*8/100,6),0),IF('設定'!$B$12="切り上げ",ROUNDUP(ROUND($Z114*8/100,6),0),ROUND($Z114*8/100,0)))+$AA114))))))</f>
        <v/>
      </c>
      <c r="S114" s="26">
        <f>IF($B114="","",IF(N($R114)&lt;=0,0,IF($R114&lt;='設定'!$B$18,ROUNDDOWN(ROUND($R114*'設定'!$B$17,6),0),ROUNDDOWN(ROUND(($R114-'設定'!$B$18)*'設定'!$B$19,6),0)+'設定'!$B$20)))</f>
        <v/>
      </c>
      <c r="T114" s="26">
        <f>IF($B114="","",IF($X114="",0,IF(INDEX('支払先'!$K$5:$K$104,$X114)="差し引く",N(INDEX('支払先'!$L$5:$L$104,$X114)),0)))</f>
        <v/>
      </c>
      <c r="U114" s="26">
        <f>IF($B114="","",$Q114-$S114-$T114)</f>
        <v/>
      </c>
      <c r="V114" s="22">
        <f>IF($B114="","",MID(IF($C114="","／支払先コードが空",IF($X114="","／支払先にないコード",""))&amp;IF($K114=0,"／明細がない","")&amp;IF($AC114&gt;0,"／税率が空の明細 "&amp;$AC114&amp;"件（合計に入っていない）","")&amp;IF($X114="","",IF(INDEX('支払先'!$G$5:$G$104,$X114)="","／登録番号なし（仕入明細書にならない）",""))&amp;IF($AB114&gt;0,"／60日（2か月）を超える明細 "&amp;$AB114&amp;"件","")&amp;IF($X114="","",IF(AND(INDEX('支払先'!$K$5:$K$104,$X114)="差し引く",OR(INDEX('支払先'!$M$5:$M$104,$X114)&lt;&gt;"対象外",INDEX('支払先'!$N$5:$N$104,$X114)&lt;&gt;"対象外")),"／手数料を差し引けない取引か確かめる",""))&amp;IF(COUNTIF($B$5:$B$204,$B114)&gt;1,"／通知Noが重複","")&amp;IF(AND(ISNUMBER($D114),ISNUMBER($F114),$F114&lt;$D114),"／支払予定日が発行日より前",""),2,300))</f>
        <v/>
      </c>
      <c r="W114" s="67" t="n"/>
      <c r="X114" s="31">
        <f>IF(OR($B114="",$C114=""),"",IFERROR(MATCH($C114,'支払先'!$B$5:$B$104,0),""))</f>
        <v/>
      </c>
      <c r="Y114" s="31">
        <f>IF($B114="","",SUMIFS('支払明細'!$I$5:$I$1004,'支払明細'!$A$5:$A$1004,$B114,'支払明細'!$G$5:$G$1004,"10%（標準）",'支払明細'!$H$5:$H$1004,"&lt;&gt;対象外"))</f>
        <v/>
      </c>
      <c r="Z114" s="31">
        <f>IF($B114="","",SUMIFS('支払明細'!$I$5:$I$1004,'支払明細'!$A$5:$A$1004,$B114,'支払明細'!$G$5:$G$1004,"8%（軽減）",'支払明細'!$H$5:$H$1004,"&lt;&gt;対象外"))</f>
        <v/>
      </c>
      <c r="AA114" s="31">
        <f>IF($B114="","",SUMIFS('支払明細'!$I$5:$I$1004,'支払明細'!$A$5:$A$1004,$B114,'支払明細'!$G$5:$G$1004,"対象外",'支払明細'!$H$5:$H$1004,"&lt;&gt;対象外"))</f>
        <v/>
      </c>
      <c r="AB114" s="31">
        <f>IF($B114="","",COUNTIFS('支払明細'!$A$5:$A$1004,$B114,'支払明細'!$M$5:$M$1004,"超える"))</f>
        <v/>
      </c>
      <c r="AC114" s="31">
        <f>IF($B114="","",COUNTIFS('支払明細'!$A$5:$A$1004,$B114,'支払明細'!$G$5:$G$1004,""))</f>
        <v/>
      </c>
    </row>
    <row r="115" ht="18" customHeight="1">
      <c r="A115" s="17" t="n">
        <v>111</v>
      </c>
      <c r="B115" s="18" t="n"/>
      <c r="C115" s="18" t="n"/>
      <c r="D115" s="24" t="n"/>
      <c r="E115" s="19" t="n"/>
      <c r="F115" s="24" t="n"/>
      <c r="G115" s="28">
        <f>IF(AND($B115&lt;&gt;"",ISNUMBER($D115)),$D115+N('設定'!$B$13),"")</f>
        <v/>
      </c>
      <c r="H115" s="18" t="n"/>
      <c r="I115" s="19" t="n"/>
      <c r="J115" s="27">
        <f>IF($B115="","",IF($C115="","（支払先コードが空）",IF($X115="","※支払先にないコード",INDEX('支払先'!$C$5:$C$104,$X115)&amp;"")))</f>
        <v/>
      </c>
      <c r="K115" s="30">
        <f>IF($B115="","",COUNTIF('支払明細'!$A$5:$A$1004,$B115))</f>
        <v/>
      </c>
      <c r="L115" s="26">
        <f>IF($B115="","",SUMIFS('支払明細'!$I$5:$I$1004,'支払明細'!$A$5:$A$1004,$B115,'支払明細'!$G$5:$G$1004,"10%（標準）"))</f>
        <v/>
      </c>
      <c r="M115" s="26">
        <f>IF($B115="","",SUMIFS('支払明細'!$I$5:$I$1004,'支払明細'!$A$5:$A$1004,$B115,'支払明細'!$G$5:$G$1004,"8%（軽減）"))</f>
        <v/>
      </c>
      <c r="N115" s="26">
        <f>IF($B115="","",SUMIFS('支払明細'!$I$5:$I$1004,'支払明細'!$A$5:$A$1004,$B115,'支払明細'!$G$5:$G$1004,"対象外"))</f>
        <v/>
      </c>
      <c r="O115" s="26">
        <f>IF($B115="","",IF('設定'!$B$11="税込",IF('設定'!$B$12="切り捨て",ROUNDDOWN(ROUND($L115*10/110,6),0),IF('設定'!$B$12="切り上げ",ROUNDUP(ROUND($L115*10/110,6),0),ROUND($L115*10/110,0))),IF('設定'!$B$12="切り捨て",ROUNDDOWN(ROUND($L115*10/100,6),0),IF('設定'!$B$12="切り上げ",ROUNDUP(ROUND($L115*10/100,6),0),ROUND($L115*10/100,0)))))</f>
        <v/>
      </c>
      <c r="P115" s="26">
        <f>IF($B115="","",IF('設定'!$B$11="税込",IF('設定'!$B$12="切り捨て",ROUNDDOWN(ROUND($M115*8/108,6),0),IF('設定'!$B$12="切り上げ",ROUNDUP(ROUND($M115*8/108,6),0),ROUND($M115*8/108,0))),IF('設定'!$B$12="切り捨て",ROUNDDOWN(ROUND($M115*8/100,6),0),IF('設定'!$B$12="切り上げ",ROUNDUP(ROUND($M115*8/100,6),0),ROUND($M115*8/100,0)))))</f>
        <v/>
      </c>
      <c r="Q115" s="26">
        <f>IF($B115="","",IF('設定'!$B$11="税込",$L115+$M115+$N115,$L115+$O115+$M115+$P115+$N115))</f>
        <v/>
      </c>
      <c r="R115" s="26">
        <f>IF($B115="","",IF($X115="",0,IF(INDEX('支払先'!$I$5:$I$104,$X115)&lt;&gt;"する",0,IF(INDEX('支払先'!$J$5:$J$104,$X115)="税抜",IF('設定'!$B$11="税込",($Y115-IF('設定'!$B$12="切り捨て",ROUNDDOWN(ROUND($Y115*10/110,6),0),IF('設定'!$B$12="切り上げ",ROUNDUP(ROUND($Y115*10/110,6),0),ROUND($Y115*10/110,0)))+$Z115-IF('設定'!$B$12="切り捨て",ROUNDDOWN(ROUND($Z115*8/108,6),0),IF('設定'!$B$12="切り上げ",ROUNDUP(ROUND($Z115*8/108,6),0),ROUND($Z115*8/108,0)))+$AA115),$Y115+$Z115+$AA115),IF('設定'!$B$11="税込",$Y115+$Z115+$AA115,($Y115+IF('設定'!$B$12="切り捨て",ROUNDDOWN(ROUND($Y115*10/100,6),0),IF('設定'!$B$12="切り上げ",ROUNDUP(ROUND($Y115*10/100,6),0),ROUND($Y115*10/100,0)))+$Z115+IF('設定'!$B$12="切り捨て",ROUNDDOWN(ROUND($Z115*8/100,6),0),IF('設定'!$B$12="切り上げ",ROUNDUP(ROUND($Z115*8/100,6),0),ROUND($Z115*8/100,0)))+$AA115))))))</f>
        <v/>
      </c>
      <c r="S115" s="26">
        <f>IF($B115="","",IF(N($R115)&lt;=0,0,IF($R115&lt;='設定'!$B$18,ROUNDDOWN(ROUND($R115*'設定'!$B$17,6),0),ROUNDDOWN(ROUND(($R115-'設定'!$B$18)*'設定'!$B$19,6),0)+'設定'!$B$20)))</f>
        <v/>
      </c>
      <c r="T115" s="26">
        <f>IF($B115="","",IF($X115="",0,IF(INDEX('支払先'!$K$5:$K$104,$X115)="差し引く",N(INDEX('支払先'!$L$5:$L$104,$X115)),0)))</f>
        <v/>
      </c>
      <c r="U115" s="26">
        <f>IF($B115="","",$Q115-$S115-$T115)</f>
        <v/>
      </c>
      <c r="V115" s="22">
        <f>IF($B115="","",MID(IF($C115="","／支払先コードが空",IF($X115="","／支払先にないコード",""))&amp;IF($K115=0,"／明細がない","")&amp;IF($AC115&gt;0,"／税率が空の明細 "&amp;$AC115&amp;"件（合計に入っていない）","")&amp;IF($X115="","",IF(INDEX('支払先'!$G$5:$G$104,$X115)="","／登録番号なし（仕入明細書にならない）",""))&amp;IF($AB115&gt;0,"／60日（2か月）を超える明細 "&amp;$AB115&amp;"件","")&amp;IF($X115="","",IF(AND(INDEX('支払先'!$K$5:$K$104,$X115)="差し引く",OR(INDEX('支払先'!$M$5:$M$104,$X115)&lt;&gt;"対象外",INDEX('支払先'!$N$5:$N$104,$X115)&lt;&gt;"対象外")),"／手数料を差し引けない取引か確かめる",""))&amp;IF(COUNTIF($B$5:$B$204,$B115)&gt;1,"／通知Noが重複","")&amp;IF(AND(ISNUMBER($D115),ISNUMBER($F115),$F115&lt;$D115),"／支払予定日が発行日より前",""),2,300))</f>
        <v/>
      </c>
      <c r="W115" s="67" t="n"/>
      <c r="X115" s="31">
        <f>IF(OR($B115="",$C115=""),"",IFERROR(MATCH($C115,'支払先'!$B$5:$B$104,0),""))</f>
        <v/>
      </c>
      <c r="Y115" s="31">
        <f>IF($B115="","",SUMIFS('支払明細'!$I$5:$I$1004,'支払明細'!$A$5:$A$1004,$B115,'支払明細'!$G$5:$G$1004,"10%（標準）",'支払明細'!$H$5:$H$1004,"&lt;&gt;対象外"))</f>
        <v/>
      </c>
      <c r="Z115" s="31">
        <f>IF($B115="","",SUMIFS('支払明細'!$I$5:$I$1004,'支払明細'!$A$5:$A$1004,$B115,'支払明細'!$G$5:$G$1004,"8%（軽減）",'支払明細'!$H$5:$H$1004,"&lt;&gt;対象外"))</f>
        <v/>
      </c>
      <c r="AA115" s="31">
        <f>IF($B115="","",SUMIFS('支払明細'!$I$5:$I$1004,'支払明細'!$A$5:$A$1004,$B115,'支払明細'!$G$5:$G$1004,"対象外",'支払明細'!$H$5:$H$1004,"&lt;&gt;対象外"))</f>
        <v/>
      </c>
      <c r="AB115" s="31">
        <f>IF($B115="","",COUNTIFS('支払明細'!$A$5:$A$1004,$B115,'支払明細'!$M$5:$M$1004,"超える"))</f>
        <v/>
      </c>
      <c r="AC115" s="31">
        <f>IF($B115="","",COUNTIFS('支払明細'!$A$5:$A$1004,$B115,'支払明細'!$G$5:$G$1004,""))</f>
        <v/>
      </c>
    </row>
    <row r="116" ht="18" customHeight="1">
      <c r="A116" s="17" t="n">
        <v>112</v>
      </c>
      <c r="B116" s="18" t="n"/>
      <c r="C116" s="18" t="n"/>
      <c r="D116" s="24" t="n"/>
      <c r="E116" s="19" t="n"/>
      <c r="F116" s="24" t="n"/>
      <c r="G116" s="28">
        <f>IF(AND($B116&lt;&gt;"",ISNUMBER($D116)),$D116+N('設定'!$B$13),"")</f>
        <v/>
      </c>
      <c r="H116" s="18" t="n"/>
      <c r="I116" s="19" t="n"/>
      <c r="J116" s="27">
        <f>IF($B116="","",IF($C116="","（支払先コードが空）",IF($X116="","※支払先にないコード",INDEX('支払先'!$C$5:$C$104,$X116)&amp;"")))</f>
        <v/>
      </c>
      <c r="K116" s="30">
        <f>IF($B116="","",COUNTIF('支払明細'!$A$5:$A$1004,$B116))</f>
        <v/>
      </c>
      <c r="L116" s="26">
        <f>IF($B116="","",SUMIFS('支払明細'!$I$5:$I$1004,'支払明細'!$A$5:$A$1004,$B116,'支払明細'!$G$5:$G$1004,"10%（標準）"))</f>
        <v/>
      </c>
      <c r="M116" s="26">
        <f>IF($B116="","",SUMIFS('支払明細'!$I$5:$I$1004,'支払明細'!$A$5:$A$1004,$B116,'支払明細'!$G$5:$G$1004,"8%（軽減）"))</f>
        <v/>
      </c>
      <c r="N116" s="26">
        <f>IF($B116="","",SUMIFS('支払明細'!$I$5:$I$1004,'支払明細'!$A$5:$A$1004,$B116,'支払明細'!$G$5:$G$1004,"対象外"))</f>
        <v/>
      </c>
      <c r="O116" s="26">
        <f>IF($B116="","",IF('設定'!$B$11="税込",IF('設定'!$B$12="切り捨て",ROUNDDOWN(ROUND($L116*10/110,6),0),IF('設定'!$B$12="切り上げ",ROUNDUP(ROUND($L116*10/110,6),0),ROUND($L116*10/110,0))),IF('設定'!$B$12="切り捨て",ROUNDDOWN(ROUND($L116*10/100,6),0),IF('設定'!$B$12="切り上げ",ROUNDUP(ROUND($L116*10/100,6),0),ROUND($L116*10/100,0)))))</f>
        <v/>
      </c>
      <c r="P116" s="26">
        <f>IF($B116="","",IF('設定'!$B$11="税込",IF('設定'!$B$12="切り捨て",ROUNDDOWN(ROUND($M116*8/108,6),0),IF('設定'!$B$12="切り上げ",ROUNDUP(ROUND($M116*8/108,6),0),ROUND($M116*8/108,0))),IF('設定'!$B$12="切り捨て",ROUNDDOWN(ROUND($M116*8/100,6),0),IF('設定'!$B$12="切り上げ",ROUNDUP(ROUND($M116*8/100,6),0),ROUND($M116*8/100,0)))))</f>
        <v/>
      </c>
      <c r="Q116" s="26">
        <f>IF($B116="","",IF('設定'!$B$11="税込",$L116+$M116+$N116,$L116+$O116+$M116+$P116+$N116))</f>
        <v/>
      </c>
      <c r="R116" s="26">
        <f>IF($B116="","",IF($X116="",0,IF(INDEX('支払先'!$I$5:$I$104,$X116)&lt;&gt;"する",0,IF(INDEX('支払先'!$J$5:$J$104,$X116)="税抜",IF('設定'!$B$11="税込",($Y116-IF('設定'!$B$12="切り捨て",ROUNDDOWN(ROUND($Y116*10/110,6),0),IF('設定'!$B$12="切り上げ",ROUNDUP(ROUND($Y116*10/110,6),0),ROUND($Y116*10/110,0)))+$Z116-IF('設定'!$B$12="切り捨て",ROUNDDOWN(ROUND($Z116*8/108,6),0),IF('設定'!$B$12="切り上げ",ROUNDUP(ROUND($Z116*8/108,6),0),ROUND($Z116*8/108,0)))+$AA116),$Y116+$Z116+$AA116),IF('設定'!$B$11="税込",$Y116+$Z116+$AA116,($Y116+IF('設定'!$B$12="切り捨て",ROUNDDOWN(ROUND($Y116*10/100,6),0),IF('設定'!$B$12="切り上げ",ROUNDUP(ROUND($Y116*10/100,6),0),ROUND($Y116*10/100,0)))+$Z116+IF('設定'!$B$12="切り捨て",ROUNDDOWN(ROUND($Z116*8/100,6),0),IF('設定'!$B$12="切り上げ",ROUNDUP(ROUND($Z116*8/100,6),0),ROUND($Z116*8/100,0)))+$AA116))))))</f>
        <v/>
      </c>
      <c r="S116" s="26">
        <f>IF($B116="","",IF(N($R116)&lt;=0,0,IF($R116&lt;='設定'!$B$18,ROUNDDOWN(ROUND($R116*'設定'!$B$17,6),0),ROUNDDOWN(ROUND(($R116-'設定'!$B$18)*'設定'!$B$19,6),0)+'設定'!$B$20)))</f>
        <v/>
      </c>
      <c r="T116" s="26">
        <f>IF($B116="","",IF($X116="",0,IF(INDEX('支払先'!$K$5:$K$104,$X116)="差し引く",N(INDEX('支払先'!$L$5:$L$104,$X116)),0)))</f>
        <v/>
      </c>
      <c r="U116" s="26">
        <f>IF($B116="","",$Q116-$S116-$T116)</f>
        <v/>
      </c>
      <c r="V116" s="22">
        <f>IF($B116="","",MID(IF($C116="","／支払先コードが空",IF($X116="","／支払先にないコード",""))&amp;IF($K116=0,"／明細がない","")&amp;IF($AC116&gt;0,"／税率が空の明細 "&amp;$AC116&amp;"件（合計に入っていない）","")&amp;IF($X116="","",IF(INDEX('支払先'!$G$5:$G$104,$X116)="","／登録番号なし（仕入明細書にならない）",""))&amp;IF($AB116&gt;0,"／60日（2か月）を超える明細 "&amp;$AB116&amp;"件","")&amp;IF($X116="","",IF(AND(INDEX('支払先'!$K$5:$K$104,$X116)="差し引く",OR(INDEX('支払先'!$M$5:$M$104,$X116)&lt;&gt;"対象外",INDEX('支払先'!$N$5:$N$104,$X116)&lt;&gt;"対象外")),"／手数料を差し引けない取引か確かめる",""))&amp;IF(COUNTIF($B$5:$B$204,$B116)&gt;1,"／通知Noが重複","")&amp;IF(AND(ISNUMBER($D116),ISNUMBER($F116),$F116&lt;$D116),"／支払予定日が発行日より前",""),2,300))</f>
        <v/>
      </c>
      <c r="W116" s="67" t="n"/>
      <c r="X116" s="31">
        <f>IF(OR($B116="",$C116=""),"",IFERROR(MATCH($C116,'支払先'!$B$5:$B$104,0),""))</f>
        <v/>
      </c>
      <c r="Y116" s="31">
        <f>IF($B116="","",SUMIFS('支払明細'!$I$5:$I$1004,'支払明細'!$A$5:$A$1004,$B116,'支払明細'!$G$5:$G$1004,"10%（標準）",'支払明細'!$H$5:$H$1004,"&lt;&gt;対象外"))</f>
        <v/>
      </c>
      <c r="Z116" s="31">
        <f>IF($B116="","",SUMIFS('支払明細'!$I$5:$I$1004,'支払明細'!$A$5:$A$1004,$B116,'支払明細'!$G$5:$G$1004,"8%（軽減）",'支払明細'!$H$5:$H$1004,"&lt;&gt;対象外"))</f>
        <v/>
      </c>
      <c r="AA116" s="31">
        <f>IF($B116="","",SUMIFS('支払明細'!$I$5:$I$1004,'支払明細'!$A$5:$A$1004,$B116,'支払明細'!$G$5:$G$1004,"対象外",'支払明細'!$H$5:$H$1004,"&lt;&gt;対象外"))</f>
        <v/>
      </c>
      <c r="AB116" s="31">
        <f>IF($B116="","",COUNTIFS('支払明細'!$A$5:$A$1004,$B116,'支払明細'!$M$5:$M$1004,"超える"))</f>
        <v/>
      </c>
      <c r="AC116" s="31">
        <f>IF($B116="","",COUNTIFS('支払明細'!$A$5:$A$1004,$B116,'支払明細'!$G$5:$G$1004,""))</f>
        <v/>
      </c>
    </row>
    <row r="117" ht="18" customHeight="1">
      <c r="A117" s="17" t="n">
        <v>113</v>
      </c>
      <c r="B117" s="18" t="n"/>
      <c r="C117" s="18" t="n"/>
      <c r="D117" s="24" t="n"/>
      <c r="E117" s="19" t="n"/>
      <c r="F117" s="24" t="n"/>
      <c r="G117" s="28">
        <f>IF(AND($B117&lt;&gt;"",ISNUMBER($D117)),$D117+N('設定'!$B$13),"")</f>
        <v/>
      </c>
      <c r="H117" s="18" t="n"/>
      <c r="I117" s="19" t="n"/>
      <c r="J117" s="27">
        <f>IF($B117="","",IF($C117="","（支払先コードが空）",IF($X117="","※支払先にないコード",INDEX('支払先'!$C$5:$C$104,$X117)&amp;"")))</f>
        <v/>
      </c>
      <c r="K117" s="30">
        <f>IF($B117="","",COUNTIF('支払明細'!$A$5:$A$1004,$B117))</f>
        <v/>
      </c>
      <c r="L117" s="26">
        <f>IF($B117="","",SUMIFS('支払明細'!$I$5:$I$1004,'支払明細'!$A$5:$A$1004,$B117,'支払明細'!$G$5:$G$1004,"10%（標準）"))</f>
        <v/>
      </c>
      <c r="M117" s="26">
        <f>IF($B117="","",SUMIFS('支払明細'!$I$5:$I$1004,'支払明細'!$A$5:$A$1004,$B117,'支払明細'!$G$5:$G$1004,"8%（軽減）"))</f>
        <v/>
      </c>
      <c r="N117" s="26">
        <f>IF($B117="","",SUMIFS('支払明細'!$I$5:$I$1004,'支払明細'!$A$5:$A$1004,$B117,'支払明細'!$G$5:$G$1004,"対象外"))</f>
        <v/>
      </c>
      <c r="O117" s="26">
        <f>IF($B117="","",IF('設定'!$B$11="税込",IF('設定'!$B$12="切り捨て",ROUNDDOWN(ROUND($L117*10/110,6),0),IF('設定'!$B$12="切り上げ",ROUNDUP(ROUND($L117*10/110,6),0),ROUND($L117*10/110,0))),IF('設定'!$B$12="切り捨て",ROUNDDOWN(ROUND($L117*10/100,6),0),IF('設定'!$B$12="切り上げ",ROUNDUP(ROUND($L117*10/100,6),0),ROUND($L117*10/100,0)))))</f>
        <v/>
      </c>
      <c r="P117" s="26">
        <f>IF($B117="","",IF('設定'!$B$11="税込",IF('設定'!$B$12="切り捨て",ROUNDDOWN(ROUND($M117*8/108,6),0),IF('設定'!$B$12="切り上げ",ROUNDUP(ROUND($M117*8/108,6),0),ROUND($M117*8/108,0))),IF('設定'!$B$12="切り捨て",ROUNDDOWN(ROUND($M117*8/100,6),0),IF('設定'!$B$12="切り上げ",ROUNDUP(ROUND($M117*8/100,6),0),ROUND($M117*8/100,0)))))</f>
        <v/>
      </c>
      <c r="Q117" s="26">
        <f>IF($B117="","",IF('設定'!$B$11="税込",$L117+$M117+$N117,$L117+$O117+$M117+$P117+$N117))</f>
        <v/>
      </c>
      <c r="R117" s="26">
        <f>IF($B117="","",IF($X117="",0,IF(INDEX('支払先'!$I$5:$I$104,$X117)&lt;&gt;"する",0,IF(INDEX('支払先'!$J$5:$J$104,$X117)="税抜",IF('設定'!$B$11="税込",($Y117-IF('設定'!$B$12="切り捨て",ROUNDDOWN(ROUND($Y117*10/110,6),0),IF('設定'!$B$12="切り上げ",ROUNDUP(ROUND($Y117*10/110,6),0),ROUND($Y117*10/110,0)))+$Z117-IF('設定'!$B$12="切り捨て",ROUNDDOWN(ROUND($Z117*8/108,6),0),IF('設定'!$B$12="切り上げ",ROUNDUP(ROUND($Z117*8/108,6),0),ROUND($Z117*8/108,0)))+$AA117),$Y117+$Z117+$AA117),IF('設定'!$B$11="税込",$Y117+$Z117+$AA117,($Y117+IF('設定'!$B$12="切り捨て",ROUNDDOWN(ROUND($Y117*10/100,6),0),IF('設定'!$B$12="切り上げ",ROUNDUP(ROUND($Y117*10/100,6),0),ROUND($Y117*10/100,0)))+$Z117+IF('設定'!$B$12="切り捨て",ROUNDDOWN(ROUND($Z117*8/100,6),0),IF('設定'!$B$12="切り上げ",ROUNDUP(ROUND($Z117*8/100,6),0),ROUND($Z117*8/100,0)))+$AA117))))))</f>
        <v/>
      </c>
      <c r="S117" s="26">
        <f>IF($B117="","",IF(N($R117)&lt;=0,0,IF($R117&lt;='設定'!$B$18,ROUNDDOWN(ROUND($R117*'設定'!$B$17,6),0),ROUNDDOWN(ROUND(($R117-'設定'!$B$18)*'設定'!$B$19,6),0)+'設定'!$B$20)))</f>
        <v/>
      </c>
      <c r="T117" s="26">
        <f>IF($B117="","",IF($X117="",0,IF(INDEX('支払先'!$K$5:$K$104,$X117)="差し引く",N(INDEX('支払先'!$L$5:$L$104,$X117)),0)))</f>
        <v/>
      </c>
      <c r="U117" s="26">
        <f>IF($B117="","",$Q117-$S117-$T117)</f>
        <v/>
      </c>
      <c r="V117" s="22">
        <f>IF($B117="","",MID(IF($C117="","／支払先コードが空",IF($X117="","／支払先にないコード",""))&amp;IF($K117=0,"／明細がない","")&amp;IF($AC117&gt;0,"／税率が空の明細 "&amp;$AC117&amp;"件（合計に入っていない）","")&amp;IF($X117="","",IF(INDEX('支払先'!$G$5:$G$104,$X117)="","／登録番号なし（仕入明細書にならない）",""))&amp;IF($AB117&gt;0,"／60日（2か月）を超える明細 "&amp;$AB117&amp;"件","")&amp;IF($X117="","",IF(AND(INDEX('支払先'!$K$5:$K$104,$X117)="差し引く",OR(INDEX('支払先'!$M$5:$M$104,$X117)&lt;&gt;"対象外",INDEX('支払先'!$N$5:$N$104,$X117)&lt;&gt;"対象外")),"／手数料を差し引けない取引か確かめる",""))&amp;IF(COUNTIF($B$5:$B$204,$B117)&gt;1,"／通知Noが重複","")&amp;IF(AND(ISNUMBER($D117),ISNUMBER($F117),$F117&lt;$D117),"／支払予定日が発行日より前",""),2,300))</f>
        <v/>
      </c>
      <c r="W117" s="67" t="n"/>
      <c r="X117" s="31">
        <f>IF(OR($B117="",$C117=""),"",IFERROR(MATCH($C117,'支払先'!$B$5:$B$104,0),""))</f>
        <v/>
      </c>
      <c r="Y117" s="31">
        <f>IF($B117="","",SUMIFS('支払明細'!$I$5:$I$1004,'支払明細'!$A$5:$A$1004,$B117,'支払明細'!$G$5:$G$1004,"10%（標準）",'支払明細'!$H$5:$H$1004,"&lt;&gt;対象外"))</f>
        <v/>
      </c>
      <c r="Z117" s="31">
        <f>IF($B117="","",SUMIFS('支払明細'!$I$5:$I$1004,'支払明細'!$A$5:$A$1004,$B117,'支払明細'!$G$5:$G$1004,"8%（軽減）",'支払明細'!$H$5:$H$1004,"&lt;&gt;対象外"))</f>
        <v/>
      </c>
      <c r="AA117" s="31">
        <f>IF($B117="","",SUMIFS('支払明細'!$I$5:$I$1004,'支払明細'!$A$5:$A$1004,$B117,'支払明細'!$G$5:$G$1004,"対象外",'支払明細'!$H$5:$H$1004,"&lt;&gt;対象外"))</f>
        <v/>
      </c>
      <c r="AB117" s="31">
        <f>IF($B117="","",COUNTIFS('支払明細'!$A$5:$A$1004,$B117,'支払明細'!$M$5:$M$1004,"超える"))</f>
        <v/>
      </c>
      <c r="AC117" s="31">
        <f>IF($B117="","",COUNTIFS('支払明細'!$A$5:$A$1004,$B117,'支払明細'!$G$5:$G$1004,""))</f>
        <v/>
      </c>
    </row>
    <row r="118" ht="18" customHeight="1">
      <c r="A118" s="17" t="n">
        <v>114</v>
      </c>
      <c r="B118" s="18" t="n"/>
      <c r="C118" s="18" t="n"/>
      <c r="D118" s="24" t="n"/>
      <c r="E118" s="19" t="n"/>
      <c r="F118" s="24" t="n"/>
      <c r="G118" s="28">
        <f>IF(AND($B118&lt;&gt;"",ISNUMBER($D118)),$D118+N('設定'!$B$13),"")</f>
        <v/>
      </c>
      <c r="H118" s="18" t="n"/>
      <c r="I118" s="19" t="n"/>
      <c r="J118" s="27">
        <f>IF($B118="","",IF($C118="","（支払先コードが空）",IF($X118="","※支払先にないコード",INDEX('支払先'!$C$5:$C$104,$X118)&amp;"")))</f>
        <v/>
      </c>
      <c r="K118" s="30">
        <f>IF($B118="","",COUNTIF('支払明細'!$A$5:$A$1004,$B118))</f>
        <v/>
      </c>
      <c r="L118" s="26">
        <f>IF($B118="","",SUMIFS('支払明細'!$I$5:$I$1004,'支払明細'!$A$5:$A$1004,$B118,'支払明細'!$G$5:$G$1004,"10%（標準）"))</f>
        <v/>
      </c>
      <c r="M118" s="26">
        <f>IF($B118="","",SUMIFS('支払明細'!$I$5:$I$1004,'支払明細'!$A$5:$A$1004,$B118,'支払明細'!$G$5:$G$1004,"8%（軽減）"))</f>
        <v/>
      </c>
      <c r="N118" s="26">
        <f>IF($B118="","",SUMIFS('支払明細'!$I$5:$I$1004,'支払明細'!$A$5:$A$1004,$B118,'支払明細'!$G$5:$G$1004,"対象外"))</f>
        <v/>
      </c>
      <c r="O118" s="26">
        <f>IF($B118="","",IF('設定'!$B$11="税込",IF('設定'!$B$12="切り捨て",ROUNDDOWN(ROUND($L118*10/110,6),0),IF('設定'!$B$12="切り上げ",ROUNDUP(ROUND($L118*10/110,6),0),ROUND($L118*10/110,0))),IF('設定'!$B$12="切り捨て",ROUNDDOWN(ROUND($L118*10/100,6),0),IF('設定'!$B$12="切り上げ",ROUNDUP(ROUND($L118*10/100,6),0),ROUND($L118*10/100,0)))))</f>
        <v/>
      </c>
      <c r="P118" s="26">
        <f>IF($B118="","",IF('設定'!$B$11="税込",IF('設定'!$B$12="切り捨て",ROUNDDOWN(ROUND($M118*8/108,6),0),IF('設定'!$B$12="切り上げ",ROUNDUP(ROUND($M118*8/108,6),0),ROUND($M118*8/108,0))),IF('設定'!$B$12="切り捨て",ROUNDDOWN(ROUND($M118*8/100,6),0),IF('設定'!$B$12="切り上げ",ROUNDUP(ROUND($M118*8/100,6),0),ROUND($M118*8/100,0)))))</f>
        <v/>
      </c>
      <c r="Q118" s="26">
        <f>IF($B118="","",IF('設定'!$B$11="税込",$L118+$M118+$N118,$L118+$O118+$M118+$P118+$N118))</f>
        <v/>
      </c>
      <c r="R118" s="26">
        <f>IF($B118="","",IF($X118="",0,IF(INDEX('支払先'!$I$5:$I$104,$X118)&lt;&gt;"する",0,IF(INDEX('支払先'!$J$5:$J$104,$X118)="税抜",IF('設定'!$B$11="税込",($Y118-IF('設定'!$B$12="切り捨て",ROUNDDOWN(ROUND($Y118*10/110,6),0),IF('設定'!$B$12="切り上げ",ROUNDUP(ROUND($Y118*10/110,6),0),ROUND($Y118*10/110,0)))+$Z118-IF('設定'!$B$12="切り捨て",ROUNDDOWN(ROUND($Z118*8/108,6),0),IF('設定'!$B$12="切り上げ",ROUNDUP(ROUND($Z118*8/108,6),0),ROUND($Z118*8/108,0)))+$AA118),$Y118+$Z118+$AA118),IF('設定'!$B$11="税込",$Y118+$Z118+$AA118,($Y118+IF('設定'!$B$12="切り捨て",ROUNDDOWN(ROUND($Y118*10/100,6),0),IF('設定'!$B$12="切り上げ",ROUNDUP(ROUND($Y118*10/100,6),0),ROUND($Y118*10/100,0)))+$Z118+IF('設定'!$B$12="切り捨て",ROUNDDOWN(ROUND($Z118*8/100,6),0),IF('設定'!$B$12="切り上げ",ROUNDUP(ROUND($Z118*8/100,6),0),ROUND($Z118*8/100,0)))+$AA118))))))</f>
        <v/>
      </c>
      <c r="S118" s="26">
        <f>IF($B118="","",IF(N($R118)&lt;=0,0,IF($R118&lt;='設定'!$B$18,ROUNDDOWN(ROUND($R118*'設定'!$B$17,6),0),ROUNDDOWN(ROUND(($R118-'設定'!$B$18)*'設定'!$B$19,6),0)+'設定'!$B$20)))</f>
        <v/>
      </c>
      <c r="T118" s="26">
        <f>IF($B118="","",IF($X118="",0,IF(INDEX('支払先'!$K$5:$K$104,$X118)="差し引く",N(INDEX('支払先'!$L$5:$L$104,$X118)),0)))</f>
        <v/>
      </c>
      <c r="U118" s="26">
        <f>IF($B118="","",$Q118-$S118-$T118)</f>
        <v/>
      </c>
      <c r="V118" s="22">
        <f>IF($B118="","",MID(IF($C118="","／支払先コードが空",IF($X118="","／支払先にないコード",""))&amp;IF($K118=0,"／明細がない","")&amp;IF($AC118&gt;0,"／税率が空の明細 "&amp;$AC118&amp;"件（合計に入っていない）","")&amp;IF($X118="","",IF(INDEX('支払先'!$G$5:$G$104,$X118)="","／登録番号なし（仕入明細書にならない）",""))&amp;IF($AB118&gt;0,"／60日（2か月）を超える明細 "&amp;$AB118&amp;"件","")&amp;IF($X118="","",IF(AND(INDEX('支払先'!$K$5:$K$104,$X118)="差し引く",OR(INDEX('支払先'!$M$5:$M$104,$X118)&lt;&gt;"対象外",INDEX('支払先'!$N$5:$N$104,$X118)&lt;&gt;"対象外")),"／手数料を差し引けない取引か確かめる",""))&amp;IF(COUNTIF($B$5:$B$204,$B118)&gt;1,"／通知Noが重複","")&amp;IF(AND(ISNUMBER($D118),ISNUMBER($F118),$F118&lt;$D118),"／支払予定日が発行日より前",""),2,300))</f>
        <v/>
      </c>
      <c r="W118" s="67" t="n"/>
      <c r="X118" s="31">
        <f>IF(OR($B118="",$C118=""),"",IFERROR(MATCH($C118,'支払先'!$B$5:$B$104,0),""))</f>
        <v/>
      </c>
      <c r="Y118" s="31">
        <f>IF($B118="","",SUMIFS('支払明細'!$I$5:$I$1004,'支払明細'!$A$5:$A$1004,$B118,'支払明細'!$G$5:$G$1004,"10%（標準）",'支払明細'!$H$5:$H$1004,"&lt;&gt;対象外"))</f>
        <v/>
      </c>
      <c r="Z118" s="31">
        <f>IF($B118="","",SUMIFS('支払明細'!$I$5:$I$1004,'支払明細'!$A$5:$A$1004,$B118,'支払明細'!$G$5:$G$1004,"8%（軽減）",'支払明細'!$H$5:$H$1004,"&lt;&gt;対象外"))</f>
        <v/>
      </c>
      <c r="AA118" s="31">
        <f>IF($B118="","",SUMIFS('支払明細'!$I$5:$I$1004,'支払明細'!$A$5:$A$1004,$B118,'支払明細'!$G$5:$G$1004,"対象外",'支払明細'!$H$5:$H$1004,"&lt;&gt;対象外"))</f>
        <v/>
      </c>
      <c r="AB118" s="31">
        <f>IF($B118="","",COUNTIFS('支払明細'!$A$5:$A$1004,$B118,'支払明細'!$M$5:$M$1004,"超える"))</f>
        <v/>
      </c>
      <c r="AC118" s="31">
        <f>IF($B118="","",COUNTIFS('支払明細'!$A$5:$A$1004,$B118,'支払明細'!$G$5:$G$1004,""))</f>
        <v/>
      </c>
    </row>
    <row r="119" ht="18" customHeight="1">
      <c r="A119" s="17" t="n">
        <v>115</v>
      </c>
      <c r="B119" s="18" t="n"/>
      <c r="C119" s="18" t="n"/>
      <c r="D119" s="24" t="n"/>
      <c r="E119" s="19" t="n"/>
      <c r="F119" s="24" t="n"/>
      <c r="G119" s="28">
        <f>IF(AND($B119&lt;&gt;"",ISNUMBER($D119)),$D119+N('設定'!$B$13),"")</f>
        <v/>
      </c>
      <c r="H119" s="18" t="n"/>
      <c r="I119" s="19" t="n"/>
      <c r="J119" s="27">
        <f>IF($B119="","",IF($C119="","（支払先コードが空）",IF($X119="","※支払先にないコード",INDEX('支払先'!$C$5:$C$104,$X119)&amp;"")))</f>
        <v/>
      </c>
      <c r="K119" s="30">
        <f>IF($B119="","",COUNTIF('支払明細'!$A$5:$A$1004,$B119))</f>
        <v/>
      </c>
      <c r="L119" s="26">
        <f>IF($B119="","",SUMIFS('支払明細'!$I$5:$I$1004,'支払明細'!$A$5:$A$1004,$B119,'支払明細'!$G$5:$G$1004,"10%（標準）"))</f>
        <v/>
      </c>
      <c r="M119" s="26">
        <f>IF($B119="","",SUMIFS('支払明細'!$I$5:$I$1004,'支払明細'!$A$5:$A$1004,$B119,'支払明細'!$G$5:$G$1004,"8%（軽減）"))</f>
        <v/>
      </c>
      <c r="N119" s="26">
        <f>IF($B119="","",SUMIFS('支払明細'!$I$5:$I$1004,'支払明細'!$A$5:$A$1004,$B119,'支払明細'!$G$5:$G$1004,"対象外"))</f>
        <v/>
      </c>
      <c r="O119" s="26">
        <f>IF($B119="","",IF('設定'!$B$11="税込",IF('設定'!$B$12="切り捨て",ROUNDDOWN(ROUND($L119*10/110,6),0),IF('設定'!$B$12="切り上げ",ROUNDUP(ROUND($L119*10/110,6),0),ROUND($L119*10/110,0))),IF('設定'!$B$12="切り捨て",ROUNDDOWN(ROUND($L119*10/100,6),0),IF('設定'!$B$12="切り上げ",ROUNDUP(ROUND($L119*10/100,6),0),ROUND($L119*10/100,0)))))</f>
        <v/>
      </c>
      <c r="P119" s="26">
        <f>IF($B119="","",IF('設定'!$B$11="税込",IF('設定'!$B$12="切り捨て",ROUNDDOWN(ROUND($M119*8/108,6),0),IF('設定'!$B$12="切り上げ",ROUNDUP(ROUND($M119*8/108,6),0),ROUND($M119*8/108,0))),IF('設定'!$B$12="切り捨て",ROUNDDOWN(ROUND($M119*8/100,6),0),IF('設定'!$B$12="切り上げ",ROUNDUP(ROUND($M119*8/100,6),0),ROUND($M119*8/100,0)))))</f>
        <v/>
      </c>
      <c r="Q119" s="26">
        <f>IF($B119="","",IF('設定'!$B$11="税込",$L119+$M119+$N119,$L119+$O119+$M119+$P119+$N119))</f>
        <v/>
      </c>
      <c r="R119" s="26">
        <f>IF($B119="","",IF($X119="",0,IF(INDEX('支払先'!$I$5:$I$104,$X119)&lt;&gt;"する",0,IF(INDEX('支払先'!$J$5:$J$104,$X119)="税抜",IF('設定'!$B$11="税込",($Y119-IF('設定'!$B$12="切り捨て",ROUNDDOWN(ROUND($Y119*10/110,6),0),IF('設定'!$B$12="切り上げ",ROUNDUP(ROUND($Y119*10/110,6),0),ROUND($Y119*10/110,0)))+$Z119-IF('設定'!$B$12="切り捨て",ROUNDDOWN(ROUND($Z119*8/108,6),0),IF('設定'!$B$12="切り上げ",ROUNDUP(ROUND($Z119*8/108,6),0),ROUND($Z119*8/108,0)))+$AA119),$Y119+$Z119+$AA119),IF('設定'!$B$11="税込",$Y119+$Z119+$AA119,($Y119+IF('設定'!$B$12="切り捨て",ROUNDDOWN(ROUND($Y119*10/100,6),0),IF('設定'!$B$12="切り上げ",ROUNDUP(ROUND($Y119*10/100,6),0),ROUND($Y119*10/100,0)))+$Z119+IF('設定'!$B$12="切り捨て",ROUNDDOWN(ROUND($Z119*8/100,6),0),IF('設定'!$B$12="切り上げ",ROUNDUP(ROUND($Z119*8/100,6),0),ROUND($Z119*8/100,0)))+$AA119))))))</f>
        <v/>
      </c>
      <c r="S119" s="26">
        <f>IF($B119="","",IF(N($R119)&lt;=0,0,IF($R119&lt;='設定'!$B$18,ROUNDDOWN(ROUND($R119*'設定'!$B$17,6),0),ROUNDDOWN(ROUND(($R119-'設定'!$B$18)*'設定'!$B$19,6),0)+'設定'!$B$20)))</f>
        <v/>
      </c>
      <c r="T119" s="26">
        <f>IF($B119="","",IF($X119="",0,IF(INDEX('支払先'!$K$5:$K$104,$X119)="差し引く",N(INDEX('支払先'!$L$5:$L$104,$X119)),0)))</f>
        <v/>
      </c>
      <c r="U119" s="26">
        <f>IF($B119="","",$Q119-$S119-$T119)</f>
        <v/>
      </c>
      <c r="V119" s="22">
        <f>IF($B119="","",MID(IF($C119="","／支払先コードが空",IF($X119="","／支払先にないコード",""))&amp;IF($K119=0,"／明細がない","")&amp;IF($AC119&gt;0,"／税率が空の明細 "&amp;$AC119&amp;"件（合計に入っていない）","")&amp;IF($X119="","",IF(INDEX('支払先'!$G$5:$G$104,$X119)="","／登録番号なし（仕入明細書にならない）",""))&amp;IF($AB119&gt;0,"／60日（2か月）を超える明細 "&amp;$AB119&amp;"件","")&amp;IF($X119="","",IF(AND(INDEX('支払先'!$K$5:$K$104,$X119)="差し引く",OR(INDEX('支払先'!$M$5:$M$104,$X119)&lt;&gt;"対象外",INDEX('支払先'!$N$5:$N$104,$X119)&lt;&gt;"対象外")),"／手数料を差し引けない取引か確かめる",""))&amp;IF(COUNTIF($B$5:$B$204,$B119)&gt;1,"／通知Noが重複","")&amp;IF(AND(ISNUMBER($D119),ISNUMBER($F119),$F119&lt;$D119),"／支払予定日が発行日より前",""),2,300))</f>
        <v/>
      </c>
      <c r="W119" s="67" t="n"/>
      <c r="X119" s="31">
        <f>IF(OR($B119="",$C119=""),"",IFERROR(MATCH($C119,'支払先'!$B$5:$B$104,0),""))</f>
        <v/>
      </c>
      <c r="Y119" s="31">
        <f>IF($B119="","",SUMIFS('支払明細'!$I$5:$I$1004,'支払明細'!$A$5:$A$1004,$B119,'支払明細'!$G$5:$G$1004,"10%（標準）",'支払明細'!$H$5:$H$1004,"&lt;&gt;対象外"))</f>
        <v/>
      </c>
      <c r="Z119" s="31">
        <f>IF($B119="","",SUMIFS('支払明細'!$I$5:$I$1004,'支払明細'!$A$5:$A$1004,$B119,'支払明細'!$G$5:$G$1004,"8%（軽減）",'支払明細'!$H$5:$H$1004,"&lt;&gt;対象外"))</f>
        <v/>
      </c>
      <c r="AA119" s="31">
        <f>IF($B119="","",SUMIFS('支払明細'!$I$5:$I$1004,'支払明細'!$A$5:$A$1004,$B119,'支払明細'!$G$5:$G$1004,"対象外",'支払明細'!$H$5:$H$1004,"&lt;&gt;対象外"))</f>
        <v/>
      </c>
      <c r="AB119" s="31">
        <f>IF($B119="","",COUNTIFS('支払明細'!$A$5:$A$1004,$B119,'支払明細'!$M$5:$M$1004,"超える"))</f>
        <v/>
      </c>
      <c r="AC119" s="31">
        <f>IF($B119="","",COUNTIFS('支払明細'!$A$5:$A$1004,$B119,'支払明細'!$G$5:$G$1004,""))</f>
        <v/>
      </c>
    </row>
    <row r="120" ht="18" customHeight="1">
      <c r="A120" s="17" t="n">
        <v>116</v>
      </c>
      <c r="B120" s="18" t="n"/>
      <c r="C120" s="18" t="n"/>
      <c r="D120" s="24" t="n"/>
      <c r="E120" s="19" t="n"/>
      <c r="F120" s="24" t="n"/>
      <c r="G120" s="28">
        <f>IF(AND($B120&lt;&gt;"",ISNUMBER($D120)),$D120+N('設定'!$B$13),"")</f>
        <v/>
      </c>
      <c r="H120" s="18" t="n"/>
      <c r="I120" s="19" t="n"/>
      <c r="J120" s="27">
        <f>IF($B120="","",IF($C120="","（支払先コードが空）",IF($X120="","※支払先にないコード",INDEX('支払先'!$C$5:$C$104,$X120)&amp;"")))</f>
        <v/>
      </c>
      <c r="K120" s="30">
        <f>IF($B120="","",COUNTIF('支払明細'!$A$5:$A$1004,$B120))</f>
        <v/>
      </c>
      <c r="L120" s="26">
        <f>IF($B120="","",SUMIFS('支払明細'!$I$5:$I$1004,'支払明細'!$A$5:$A$1004,$B120,'支払明細'!$G$5:$G$1004,"10%（標準）"))</f>
        <v/>
      </c>
      <c r="M120" s="26">
        <f>IF($B120="","",SUMIFS('支払明細'!$I$5:$I$1004,'支払明細'!$A$5:$A$1004,$B120,'支払明細'!$G$5:$G$1004,"8%（軽減）"))</f>
        <v/>
      </c>
      <c r="N120" s="26">
        <f>IF($B120="","",SUMIFS('支払明細'!$I$5:$I$1004,'支払明細'!$A$5:$A$1004,$B120,'支払明細'!$G$5:$G$1004,"対象外"))</f>
        <v/>
      </c>
      <c r="O120" s="26">
        <f>IF($B120="","",IF('設定'!$B$11="税込",IF('設定'!$B$12="切り捨て",ROUNDDOWN(ROUND($L120*10/110,6),0),IF('設定'!$B$12="切り上げ",ROUNDUP(ROUND($L120*10/110,6),0),ROUND($L120*10/110,0))),IF('設定'!$B$12="切り捨て",ROUNDDOWN(ROUND($L120*10/100,6),0),IF('設定'!$B$12="切り上げ",ROUNDUP(ROUND($L120*10/100,6),0),ROUND($L120*10/100,0)))))</f>
        <v/>
      </c>
      <c r="P120" s="26">
        <f>IF($B120="","",IF('設定'!$B$11="税込",IF('設定'!$B$12="切り捨て",ROUNDDOWN(ROUND($M120*8/108,6),0),IF('設定'!$B$12="切り上げ",ROUNDUP(ROUND($M120*8/108,6),0),ROUND($M120*8/108,0))),IF('設定'!$B$12="切り捨て",ROUNDDOWN(ROUND($M120*8/100,6),0),IF('設定'!$B$12="切り上げ",ROUNDUP(ROUND($M120*8/100,6),0),ROUND($M120*8/100,0)))))</f>
        <v/>
      </c>
      <c r="Q120" s="26">
        <f>IF($B120="","",IF('設定'!$B$11="税込",$L120+$M120+$N120,$L120+$O120+$M120+$P120+$N120))</f>
        <v/>
      </c>
      <c r="R120" s="26">
        <f>IF($B120="","",IF($X120="",0,IF(INDEX('支払先'!$I$5:$I$104,$X120)&lt;&gt;"する",0,IF(INDEX('支払先'!$J$5:$J$104,$X120)="税抜",IF('設定'!$B$11="税込",($Y120-IF('設定'!$B$12="切り捨て",ROUNDDOWN(ROUND($Y120*10/110,6),0),IF('設定'!$B$12="切り上げ",ROUNDUP(ROUND($Y120*10/110,6),0),ROUND($Y120*10/110,0)))+$Z120-IF('設定'!$B$12="切り捨て",ROUNDDOWN(ROUND($Z120*8/108,6),0),IF('設定'!$B$12="切り上げ",ROUNDUP(ROUND($Z120*8/108,6),0),ROUND($Z120*8/108,0)))+$AA120),$Y120+$Z120+$AA120),IF('設定'!$B$11="税込",$Y120+$Z120+$AA120,($Y120+IF('設定'!$B$12="切り捨て",ROUNDDOWN(ROUND($Y120*10/100,6),0),IF('設定'!$B$12="切り上げ",ROUNDUP(ROUND($Y120*10/100,6),0),ROUND($Y120*10/100,0)))+$Z120+IF('設定'!$B$12="切り捨て",ROUNDDOWN(ROUND($Z120*8/100,6),0),IF('設定'!$B$12="切り上げ",ROUNDUP(ROUND($Z120*8/100,6),0),ROUND($Z120*8/100,0)))+$AA120))))))</f>
        <v/>
      </c>
      <c r="S120" s="26">
        <f>IF($B120="","",IF(N($R120)&lt;=0,0,IF($R120&lt;='設定'!$B$18,ROUNDDOWN(ROUND($R120*'設定'!$B$17,6),0),ROUNDDOWN(ROUND(($R120-'設定'!$B$18)*'設定'!$B$19,6),0)+'設定'!$B$20)))</f>
        <v/>
      </c>
      <c r="T120" s="26">
        <f>IF($B120="","",IF($X120="",0,IF(INDEX('支払先'!$K$5:$K$104,$X120)="差し引く",N(INDEX('支払先'!$L$5:$L$104,$X120)),0)))</f>
        <v/>
      </c>
      <c r="U120" s="26">
        <f>IF($B120="","",$Q120-$S120-$T120)</f>
        <v/>
      </c>
      <c r="V120" s="22">
        <f>IF($B120="","",MID(IF($C120="","／支払先コードが空",IF($X120="","／支払先にないコード",""))&amp;IF($K120=0,"／明細がない","")&amp;IF($AC120&gt;0,"／税率が空の明細 "&amp;$AC120&amp;"件（合計に入っていない）","")&amp;IF($X120="","",IF(INDEX('支払先'!$G$5:$G$104,$X120)="","／登録番号なし（仕入明細書にならない）",""))&amp;IF($AB120&gt;0,"／60日（2か月）を超える明細 "&amp;$AB120&amp;"件","")&amp;IF($X120="","",IF(AND(INDEX('支払先'!$K$5:$K$104,$X120)="差し引く",OR(INDEX('支払先'!$M$5:$M$104,$X120)&lt;&gt;"対象外",INDEX('支払先'!$N$5:$N$104,$X120)&lt;&gt;"対象外")),"／手数料を差し引けない取引か確かめる",""))&amp;IF(COUNTIF($B$5:$B$204,$B120)&gt;1,"／通知Noが重複","")&amp;IF(AND(ISNUMBER($D120),ISNUMBER($F120),$F120&lt;$D120),"／支払予定日が発行日より前",""),2,300))</f>
        <v/>
      </c>
      <c r="W120" s="67" t="n"/>
      <c r="X120" s="31">
        <f>IF(OR($B120="",$C120=""),"",IFERROR(MATCH($C120,'支払先'!$B$5:$B$104,0),""))</f>
        <v/>
      </c>
      <c r="Y120" s="31">
        <f>IF($B120="","",SUMIFS('支払明細'!$I$5:$I$1004,'支払明細'!$A$5:$A$1004,$B120,'支払明細'!$G$5:$G$1004,"10%（標準）",'支払明細'!$H$5:$H$1004,"&lt;&gt;対象外"))</f>
        <v/>
      </c>
      <c r="Z120" s="31">
        <f>IF($B120="","",SUMIFS('支払明細'!$I$5:$I$1004,'支払明細'!$A$5:$A$1004,$B120,'支払明細'!$G$5:$G$1004,"8%（軽減）",'支払明細'!$H$5:$H$1004,"&lt;&gt;対象外"))</f>
        <v/>
      </c>
      <c r="AA120" s="31">
        <f>IF($B120="","",SUMIFS('支払明細'!$I$5:$I$1004,'支払明細'!$A$5:$A$1004,$B120,'支払明細'!$G$5:$G$1004,"対象外",'支払明細'!$H$5:$H$1004,"&lt;&gt;対象外"))</f>
        <v/>
      </c>
      <c r="AB120" s="31">
        <f>IF($B120="","",COUNTIFS('支払明細'!$A$5:$A$1004,$B120,'支払明細'!$M$5:$M$1004,"超える"))</f>
        <v/>
      </c>
      <c r="AC120" s="31">
        <f>IF($B120="","",COUNTIFS('支払明細'!$A$5:$A$1004,$B120,'支払明細'!$G$5:$G$1004,""))</f>
        <v/>
      </c>
    </row>
    <row r="121" ht="18" customHeight="1">
      <c r="A121" s="17" t="n">
        <v>117</v>
      </c>
      <c r="B121" s="18" t="n"/>
      <c r="C121" s="18" t="n"/>
      <c r="D121" s="24" t="n"/>
      <c r="E121" s="19" t="n"/>
      <c r="F121" s="24" t="n"/>
      <c r="G121" s="28">
        <f>IF(AND($B121&lt;&gt;"",ISNUMBER($D121)),$D121+N('設定'!$B$13),"")</f>
        <v/>
      </c>
      <c r="H121" s="18" t="n"/>
      <c r="I121" s="19" t="n"/>
      <c r="J121" s="27">
        <f>IF($B121="","",IF($C121="","（支払先コードが空）",IF($X121="","※支払先にないコード",INDEX('支払先'!$C$5:$C$104,$X121)&amp;"")))</f>
        <v/>
      </c>
      <c r="K121" s="30">
        <f>IF($B121="","",COUNTIF('支払明細'!$A$5:$A$1004,$B121))</f>
        <v/>
      </c>
      <c r="L121" s="26">
        <f>IF($B121="","",SUMIFS('支払明細'!$I$5:$I$1004,'支払明細'!$A$5:$A$1004,$B121,'支払明細'!$G$5:$G$1004,"10%（標準）"))</f>
        <v/>
      </c>
      <c r="M121" s="26">
        <f>IF($B121="","",SUMIFS('支払明細'!$I$5:$I$1004,'支払明細'!$A$5:$A$1004,$B121,'支払明細'!$G$5:$G$1004,"8%（軽減）"))</f>
        <v/>
      </c>
      <c r="N121" s="26">
        <f>IF($B121="","",SUMIFS('支払明細'!$I$5:$I$1004,'支払明細'!$A$5:$A$1004,$B121,'支払明細'!$G$5:$G$1004,"対象外"))</f>
        <v/>
      </c>
      <c r="O121" s="26">
        <f>IF($B121="","",IF('設定'!$B$11="税込",IF('設定'!$B$12="切り捨て",ROUNDDOWN(ROUND($L121*10/110,6),0),IF('設定'!$B$12="切り上げ",ROUNDUP(ROUND($L121*10/110,6),0),ROUND($L121*10/110,0))),IF('設定'!$B$12="切り捨て",ROUNDDOWN(ROUND($L121*10/100,6),0),IF('設定'!$B$12="切り上げ",ROUNDUP(ROUND($L121*10/100,6),0),ROUND($L121*10/100,0)))))</f>
        <v/>
      </c>
      <c r="P121" s="26">
        <f>IF($B121="","",IF('設定'!$B$11="税込",IF('設定'!$B$12="切り捨て",ROUNDDOWN(ROUND($M121*8/108,6),0),IF('設定'!$B$12="切り上げ",ROUNDUP(ROUND($M121*8/108,6),0),ROUND($M121*8/108,0))),IF('設定'!$B$12="切り捨て",ROUNDDOWN(ROUND($M121*8/100,6),0),IF('設定'!$B$12="切り上げ",ROUNDUP(ROUND($M121*8/100,6),0),ROUND($M121*8/100,0)))))</f>
        <v/>
      </c>
      <c r="Q121" s="26">
        <f>IF($B121="","",IF('設定'!$B$11="税込",$L121+$M121+$N121,$L121+$O121+$M121+$P121+$N121))</f>
        <v/>
      </c>
      <c r="R121" s="26">
        <f>IF($B121="","",IF($X121="",0,IF(INDEX('支払先'!$I$5:$I$104,$X121)&lt;&gt;"する",0,IF(INDEX('支払先'!$J$5:$J$104,$X121)="税抜",IF('設定'!$B$11="税込",($Y121-IF('設定'!$B$12="切り捨て",ROUNDDOWN(ROUND($Y121*10/110,6),0),IF('設定'!$B$12="切り上げ",ROUNDUP(ROUND($Y121*10/110,6),0),ROUND($Y121*10/110,0)))+$Z121-IF('設定'!$B$12="切り捨て",ROUNDDOWN(ROUND($Z121*8/108,6),0),IF('設定'!$B$12="切り上げ",ROUNDUP(ROUND($Z121*8/108,6),0),ROUND($Z121*8/108,0)))+$AA121),$Y121+$Z121+$AA121),IF('設定'!$B$11="税込",$Y121+$Z121+$AA121,($Y121+IF('設定'!$B$12="切り捨て",ROUNDDOWN(ROUND($Y121*10/100,6),0),IF('設定'!$B$12="切り上げ",ROUNDUP(ROUND($Y121*10/100,6),0),ROUND($Y121*10/100,0)))+$Z121+IF('設定'!$B$12="切り捨て",ROUNDDOWN(ROUND($Z121*8/100,6),0),IF('設定'!$B$12="切り上げ",ROUNDUP(ROUND($Z121*8/100,6),0),ROUND($Z121*8/100,0)))+$AA121))))))</f>
        <v/>
      </c>
      <c r="S121" s="26">
        <f>IF($B121="","",IF(N($R121)&lt;=0,0,IF($R121&lt;='設定'!$B$18,ROUNDDOWN(ROUND($R121*'設定'!$B$17,6),0),ROUNDDOWN(ROUND(($R121-'設定'!$B$18)*'設定'!$B$19,6),0)+'設定'!$B$20)))</f>
        <v/>
      </c>
      <c r="T121" s="26">
        <f>IF($B121="","",IF($X121="",0,IF(INDEX('支払先'!$K$5:$K$104,$X121)="差し引く",N(INDEX('支払先'!$L$5:$L$104,$X121)),0)))</f>
        <v/>
      </c>
      <c r="U121" s="26">
        <f>IF($B121="","",$Q121-$S121-$T121)</f>
        <v/>
      </c>
      <c r="V121" s="22">
        <f>IF($B121="","",MID(IF($C121="","／支払先コードが空",IF($X121="","／支払先にないコード",""))&amp;IF($K121=0,"／明細がない","")&amp;IF($AC121&gt;0,"／税率が空の明細 "&amp;$AC121&amp;"件（合計に入っていない）","")&amp;IF($X121="","",IF(INDEX('支払先'!$G$5:$G$104,$X121)="","／登録番号なし（仕入明細書にならない）",""))&amp;IF($AB121&gt;0,"／60日（2か月）を超える明細 "&amp;$AB121&amp;"件","")&amp;IF($X121="","",IF(AND(INDEX('支払先'!$K$5:$K$104,$X121)="差し引く",OR(INDEX('支払先'!$M$5:$M$104,$X121)&lt;&gt;"対象外",INDEX('支払先'!$N$5:$N$104,$X121)&lt;&gt;"対象外")),"／手数料を差し引けない取引か確かめる",""))&amp;IF(COUNTIF($B$5:$B$204,$B121)&gt;1,"／通知Noが重複","")&amp;IF(AND(ISNUMBER($D121),ISNUMBER($F121),$F121&lt;$D121),"／支払予定日が発行日より前",""),2,300))</f>
        <v/>
      </c>
      <c r="W121" s="67" t="n"/>
      <c r="X121" s="31">
        <f>IF(OR($B121="",$C121=""),"",IFERROR(MATCH($C121,'支払先'!$B$5:$B$104,0),""))</f>
        <v/>
      </c>
      <c r="Y121" s="31">
        <f>IF($B121="","",SUMIFS('支払明細'!$I$5:$I$1004,'支払明細'!$A$5:$A$1004,$B121,'支払明細'!$G$5:$G$1004,"10%（標準）",'支払明細'!$H$5:$H$1004,"&lt;&gt;対象外"))</f>
        <v/>
      </c>
      <c r="Z121" s="31">
        <f>IF($B121="","",SUMIFS('支払明細'!$I$5:$I$1004,'支払明細'!$A$5:$A$1004,$B121,'支払明細'!$G$5:$G$1004,"8%（軽減）",'支払明細'!$H$5:$H$1004,"&lt;&gt;対象外"))</f>
        <v/>
      </c>
      <c r="AA121" s="31">
        <f>IF($B121="","",SUMIFS('支払明細'!$I$5:$I$1004,'支払明細'!$A$5:$A$1004,$B121,'支払明細'!$G$5:$G$1004,"対象外",'支払明細'!$H$5:$H$1004,"&lt;&gt;対象外"))</f>
        <v/>
      </c>
      <c r="AB121" s="31">
        <f>IF($B121="","",COUNTIFS('支払明細'!$A$5:$A$1004,$B121,'支払明細'!$M$5:$M$1004,"超える"))</f>
        <v/>
      </c>
      <c r="AC121" s="31">
        <f>IF($B121="","",COUNTIFS('支払明細'!$A$5:$A$1004,$B121,'支払明細'!$G$5:$G$1004,""))</f>
        <v/>
      </c>
    </row>
    <row r="122" ht="18" customHeight="1">
      <c r="A122" s="17" t="n">
        <v>118</v>
      </c>
      <c r="B122" s="18" t="n"/>
      <c r="C122" s="18" t="n"/>
      <c r="D122" s="24" t="n"/>
      <c r="E122" s="19" t="n"/>
      <c r="F122" s="24" t="n"/>
      <c r="G122" s="28">
        <f>IF(AND($B122&lt;&gt;"",ISNUMBER($D122)),$D122+N('設定'!$B$13),"")</f>
        <v/>
      </c>
      <c r="H122" s="18" t="n"/>
      <c r="I122" s="19" t="n"/>
      <c r="J122" s="27">
        <f>IF($B122="","",IF($C122="","（支払先コードが空）",IF($X122="","※支払先にないコード",INDEX('支払先'!$C$5:$C$104,$X122)&amp;"")))</f>
        <v/>
      </c>
      <c r="K122" s="30">
        <f>IF($B122="","",COUNTIF('支払明細'!$A$5:$A$1004,$B122))</f>
        <v/>
      </c>
      <c r="L122" s="26">
        <f>IF($B122="","",SUMIFS('支払明細'!$I$5:$I$1004,'支払明細'!$A$5:$A$1004,$B122,'支払明細'!$G$5:$G$1004,"10%（標準）"))</f>
        <v/>
      </c>
      <c r="M122" s="26">
        <f>IF($B122="","",SUMIFS('支払明細'!$I$5:$I$1004,'支払明細'!$A$5:$A$1004,$B122,'支払明細'!$G$5:$G$1004,"8%（軽減）"))</f>
        <v/>
      </c>
      <c r="N122" s="26">
        <f>IF($B122="","",SUMIFS('支払明細'!$I$5:$I$1004,'支払明細'!$A$5:$A$1004,$B122,'支払明細'!$G$5:$G$1004,"対象外"))</f>
        <v/>
      </c>
      <c r="O122" s="26">
        <f>IF($B122="","",IF('設定'!$B$11="税込",IF('設定'!$B$12="切り捨て",ROUNDDOWN(ROUND($L122*10/110,6),0),IF('設定'!$B$12="切り上げ",ROUNDUP(ROUND($L122*10/110,6),0),ROUND($L122*10/110,0))),IF('設定'!$B$12="切り捨て",ROUNDDOWN(ROUND($L122*10/100,6),0),IF('設定'!$B$12="切り上げ",ROUNDUP(ROUND($L122*10/100,6),0),ROUND($L122*10/100,0)))))</f>
        <v/>
      </c>
      <c r="P122" s="26">
        <f>IF($B122="","",IF('設定'!$B$11="税込",IF('設定'!$B$12="切り捨て",ROUNDDOWN(ROUND($M122*8/108,6),0),IF('設定'!$B$12="切り上げ",ROUNDUP(ROUND($M122*8/108,6),0),ROUND($M122*8/108,0))),IF('設定'!$B$12="切り捨て",ROUNDDOWN(ROUND($M122*8/100,6),0),IF('設定'!$B$12="切り上げ",ROUNDUP(ROUND($M122*8/100,6),0),ROUND($M122*8/100,0)))))</f>
        <v/>
      </c>
      <c r="Q122" s="26">
        <f>IF($B122="","",IF('設定'!$B$11="税込",$L122+$M122+$N122,$L122+$O122+$M122+$P122+$N122))</f>
        <v/>
      </c>
      <c r="R122" s="26">
        <f>IF($B122="","",IF($X122="",0,IF(INDEX('支払先'!$I$5:$I$104,$X122)&lt;&gt;"する",0,IF(INDEX('支払先'!$J$5:$J$104,$X122)="税抜",IF('設定'!$B$11="税込",($Y122-IF('設定'!$B$12="切り捨て",ROUNDDOWN(ROUND($Y122*10/110,6),0),IF('設定'!$B$12="切り上げ",ROUNDUP(ROUND($Y122*10/110,6),0),ROUND($Y122*10/110,0)))+$Z122-IF('設定'!$B$12="切り捨て",ROUNDDOWN(ROUND($Z122*8/108,6),0),IF('設定'!$B$12="切り上げ",ROUNDUP(ROUND($Z122*8/108,6),0),ROUND($Z122*8/108,0)))+$AA122),$Y122+$Z122+$AA122),IF('設定'!$B$11="税込",$Y122+$Z122+$AA122,($Y122+IF('設定'!$B$12="切り捨て",ROUNDDOWN(ROUND($Y122*10/100,6),0),IF('設定'!$B$12="切り上げ",ROUNDUP(ROUND($Y122*10/100,6),0),ROUND($Y122*10/100,0)))+$Z122+IF('設定'!$B$12="切り捨て",ROUNDDOWN(ROUND($Z122*8/100,6),0),IF('設定'!$B$12="切り上げ",ROUNDUP(ROUND($Z122*8/100,6),0),ROUND($Z122*8/100,0)))+$AA122))))))</f>
        <v/>
      </c>
      <c r="S122" s="26">
        <f>IF($B122="","",IF(N($R122)&lt;=0,0,IF($R122&lt;='設定'!$B$18,ROUNDDOWN(ROUND($R122*'設定'!$B$17,6),0),ROUNDDOWN(ROUND(($R122-'設定'!$B$18)*'設定'!$B$19,6),0)+'設定'!$B$20)))</f>
        <v/>
      </c>
      <c r="T122" s="26">
        <f>IF($B122="","",IF($X122="",0,IF(INDEX('支払先'!$K$5:$K$104,$X122)="差し引く",N(INDEX('支払先'!$L$5:$L$104,$X122)),0)))</f>
        <v/>
      </c>
      <c r="U122" s="26">
        <f>IF($B122="","",$Q122-$S122-$T122)</f>
        <v/>
      </c>
      <c r="V122" s="22">
        <f>IF($B122="","",MID(IF($C122="","／支払先コードが空",IF($X122="","／支払先にないコード",""))&amp;IF($K122=0,"／明細がない","")&amp;IF($AC122&gt;0,"／税率が空の明細 "&amp;$AC122&amp;"件（合計に入っていない）","")&amp;IF($X122="","",IF(INDEX('支払先'!$G$5:$G$104,$X122)="","／登録番号なし（仕入明細書にならない）",""))&amp;IF($AB122&gt;0,"／60日（2か月）を超える明細 "&amp;$AB122&amp;"件","")&amp;IF($X122="","",IF(AND(INDEX('支払先'!$K$5:$K$104,$X122)="差し引く",OR(INDEX('支払先'!$M$5:$M$104,$X122)&lt;&gt;"対象外",INDEX('支払先'!$N$5:$N$104,$X122)&lt;&gt;"対象外")),"／手数料を差し引けない取引か確かめる",""))&amp;IF(COUNTIF($B$5:$B$204,$B122)&gt;1,"／通知Noが重複","")&amp;IF(AND(ISNUMBER($D122),ISNUMBER($F122),$F122&lt;$D122),"／支払予定日が発行日より前",""),2,300))</f>
        <v/>
      </c>
      <c r="W122" s="67" t="n"/>
      <c r="X122" s="31">
        <f>IF(OR($B122="",$C122=""),"",IFERROR(MATCH($C122,'支払先'!$B$5:$B$104,0),""))</f>
        <v/>
      </c>
      <c r="Y122" s="31">
        <f>IF($B122="","",SUMIFS('支払明細'!$I$5:$I$1004,'支払明細'!$A$5:$A$1004,$B122,'支払明細'!$G$5:$G$1004,"10%（標準）",'支払明細'!$H$5:$H$1004,"&lt;&gt;対象外"))</f>
        <v/>
      </c>
      <c r="Z122" s="31">
        <f>IF($B122="","",SUMIFS('支払明細'!$I$5:$I$1004,'支払明細'!$A$5:$A$1004,$B122,'支払明細'!$G$5:$G$1004,"8%（軽減）",'支払明細'!$H$5:$H$1004,"&lt;&gt;対象外"))</f>
        <v/>
      </c>
      <c r="AA122" s="31">
        <f>IF($B122="","",SUMIFS('支払明細'!$I$5:$I$1004,'支払明細'!$A$5:$A$1004,$B122,'支払明細'!$G$5:$G$1004,"対象外",'支払明細'!$H$5:$H$1004,"&lt;&gt;対象外"))</f>
        <v/>
      </c>
      <c r="AB122" s="31">
        <f>IF($B122="","",COUNTIFS('支払明細'!$A$5:$A$1004,$B122,'支払明細'!$M$5:$M$1004,"超える"))</f>
        <v/>
      </c>
      <c r="AC122" s="31">
        <f>IF($B122="","",COUNTIFS('支払明細'!$A$5:$A$1004,$B122,'支払明細'!$G$5:$G$1004,""))</f>
        <v/>
      </c>
    </row>
    <row r="123" ht="18" customHeight="1">
      <c r="A123" s="17" t="n">
        <v>119</v>
      </c>
      <c r="B123" s="18" t="n"/>
      <c r="C123" s="18" t="n"/>
      <c r="D123" s="24" t="n"/>
      <c r="E123" s="19" t="n"/>
      <c r="F123" s="24" t="n"/>
      <c r="G123" s="28">
        <f>IF(AND($B123&lt;&gt;"",ISNUMBER($D123)),$D123+N('設定'!$B$13),"")</f>
        <v/>
      </c>
      <c r="H123" s="18" t="n"/>
      <c r="I123" s="19" t="n"/>
      <c r="J123" s="27">
        <f>IF($B123="","",IF($C123="","（支払先コードが空）",IF($X123="","※支払先にないコード",INDEX('支払先'!$C$5:$C$104,$X123)&amp;"")))</f>
        <v/>
      </c>
      <c r="K123" s="30">
        <f>IF($B123="","",COUNTIF('支払明細'!$A$5:$A$1004,$B123))</f>
        <v/>
      </c>
      <c r="L123" s="26">
        <f>IF($B123="","",SUMIFS('支払明細'!$I$5:$I$1004,'支払明細'!$A$5:$A$1004,$B123,'支払明細'!$G$5:$G$1004,"10%（標準）"))</f>
        <v/>
      </c>
      <c r="M123" s="26">
        <f>IF($B123="","",SUMIFS('支払明細'!$I$5:$I$1004,'支払明細'!$A$5:$A$1004,$B123,'支払明細'!$G$5:$G$1004,"8%（軽減）"))</f>
        <v/>
      </c>
      <c r="N123" s="26">
        <f>IF($B123="","",SUMIFS('支払明細'!$I$5:$I$1004,'支払明細'!$A$5:$A$1004,$B123,'支払明細'!$G$5:$G$1004,"対象外"))</f>
        <v/>
      </c>
      <c r="O123" s="26">
        <f>IF($B123="","",IF('設定'!$B$11="税込",IF('設定'!$B$12="切り捨て",ROUNDDOWN(ROUND($L123*10/110,6),0),IF('設定'!$B$12="切り上げ",ROUNDUP(ROUND($L123*10/110,6),0),ROUND($L123*10/110,0))),IF('設定'!$B$12="切り捨て",ROUNDDOWN(ROUND($L123*10/100,6),0),IF('設定'!$B$12="切り上げ",ROUNDUP(ROUND($L123*10/100,6),0),ROUND($L123*10/100,0)))))</f>
        <v/>
      </c>
      <c r="P123" s="26">
        <f>IF($B123="","",IF('設定'!$B$11="税込",IF('設定'!$B$12="切り捨て",ROUNDDOWN(ROUND($M123*8/108,6),0),IF('設定'!$B$12="切り上げ",ROUNDUP(ROUND($M123*8/108,6),0),ROUND($M123*8/108,0))),IF('設定'!$B$12="切り捨て",ROUNDDOWN(ROUND($M123*8/100,6),0),IF('設定'!$B$12="切り上げ",ROUNDUP(ROUND($M123*8/100,6),0),ROUND($M123*8/100,0)))))</f>
        <v/>
      </c>
      <c r="Q123" s="26">
        <f>IF($B123="","",IF('設定'!$B$11="税込",$L123+$M123+$N123,$L123+$O123+$M123+$P123+$N123))</f>
        <v/>
      </c>
      <c r="R123" s="26">
        <f>IF($B123="","",IF($X123="",0,IF(INDEX('支払先'!$I$5:$I$104,$X123)&lt;&gt;"する",0,IF(INDEX('支払先'!$J$5:$J$104,$X123)="税抜",IF('設定'!$B$11="税込",($Y123-IF('設定'!$B$12="切り捨て",ROUNDDOWN(ROUND($Y123*10/110,6),0),IF('設定'!$B$12="切り上げ",ROUNDUP(ROUND($Y123*10/110,6),0),ROUND($Y123*10/110,0)))+$Z123-IF('設定'!$B$12="切り捨て",ROUNDDOWN(ROUND($Z123*8/108,6),0),IF('設定'!$B$12="切り上げ",ROUNDUP(ROUND($Z123*8/108,6),0),ROUND($Z123*8/108,0)))+$AA123),$Y123+$Z123+$AA123),IF('設定'!$B$11="税込",$Y123+$Z123+$AA123,($Y123+IF('設定'!$B$12="切り捨て",ROUNDDOWN(ROUND($Y123*10/100,6),0),IF('設定'!$B$12="切り上げ",ROUNDUP(ROUND($Y123*10/100,6),0),ROUND($Y123*10/100,0)))+$Z123+IF('設定'!$B$12="切り捨て",ROUNDDOWN(ROUND($Z123*8/100,6),0),IF('設定'!$B$12="切り上げ",ROUNDUP(ROUND($Z123*8/100,6),0),ROUND($Z123*8/100,0)))+$AA123))))))</f>
        <v/>
      </c>
      <c r="S123" s="26">
        <f>IF($B123="","",IF(N($R123)&lt;=0,0,IF($R123&lt;='設定'!$B$18,ROUNDDOWN(ROUND($R123*'設定'!$B$17,6),0),ROUNDDOWN(ROUND(($R123-'設定'!$B$18)*'設定'!$B$19,6),0)+'設定'!$B$20)))</f>
        <v/>
      </c>
      <c r="T123" s="26">
        <f>IF($B123="","",IF($X123="",0,IF(INDEX('支払先'!$K$5:$K$104,$X123)="差し引く",N(INDEX('支払先'!$L$5:$L$104,$X123)),0)))</f>
        <v/>
      </c>
      <c r="U123" s="26">
        <f>IF($B123="","",$Q123-$S123-$T123)</f>
        <v/>
      </c>
      <c r="V123" s="22">
        <f>IF($B123="","",MID(IF($C123="","／支払先コードが空",IF($X123="","／支払先にないコード",""))&amp;IF($K123=0,"／明細がない","")&amp;IF($AC123&gt;0,"／税率が空の明細 "&amp;$AC123&amp;"件（合計に入っていない）","")&amp;IF($X123="","",IF(INDEX('支払先'!$G$5:$G$104,$X123)="","／登録番号なし（仕入明細書にならない）",""))&amp;IF($AB123&gt;0,"／60日（2か月）を超える明細 "&amp;$AB123&amp;"件","")&amp;IF($X123="","",IF(AND(INDEX('支払先'!$K$5:$K$104,$X123)="差し引く",OR(INDEX('支払先'!$M$5:$M$104,$X123)&lt;&gt;"対象外",INDEX('支払先'!$N$5:$N$104,$X123)&lt;&gt;"対象外")),"／手数料を差し引けない取引か確かめる",""))&amp;IF(COUNTIF($B$5:$B$204,$B123)&gt;1,"／通知Noが重複","")&amp;IF(AND(ISNUMBER($D123),ISNUMBER($F123),$F123&lt;$D123),"／支払予定日が発行日より前",""),2,300))</f>
        <v/>
      </c>
      <c r="W123" s="67" t="n"/>
      <c r="X123" s="31">
        <f>IF(OR($B123="",$C123=""),"",IFERROR(MATCH($C123,'支払先'!$B$5:$B$104,0),""))</f>
        <v/>
      </c>
      <c r="Y123" s="31">
        <f>IF($B123="","",SUMIFS('支払明細'!$I$5:$I$1004,'支払明細'!$A$5:$A$1004,$B123,'支払明細'!$G$5:$G$1004,"10%（標準）",'支払明細'!$H$5:$H$1004,"&lt;&gt;対象外"))</f>
        <v/>
      </c>
      <c r="Z123" s="31">
        <f>IF($B123="","",SUMIFS('支払明細'!$I$5:$I$1004,'支払明細'!$A$5:$A$1004,$B123,'支払明細'!$G$5:$G$1004,"8%（軽減）",'支払明細'!$H$5:$H$1004,"&lt;&gt;対象外"))</f>
        <v/>
      </c>
      <c r="AA123" s="31">
        <f>IF($B123="","",SUMIFS('支払明細'!$I$5:$I$1004,'支払明細'!$A$5:$A$1004,$B123,'支払明細'!$G$5:$G$1004,"対象外",'支払明細'!$H$5:$H$1004,"&lt;&gt;対象外"))</f>
        <v/>
      </c>
      <c r="AB123" s="31">
        <f>IF($B123="","",COUNTIFS('支払明細'!$A$5:$A$1004,$B123,'支払明細'!$M$5:$M$1004,"超える"))</f>
        <v/>
      </c>
      <c r="AC123" s="31">
        <f>IF($B123="","",COUNTIFS('支払明細'!$A$5:$A$1004,$B123,'支払明細'!$G$5:$G$1004,""))</f>
        <v/>
      </c>
    </row>
    <row r="124" ht="18" customHeight="1">
      <c r="A124" s="17" t="n">
        <v>120</v>
      </c>
      <c r="B124" s="18" t="n"/>
      <c r="C124" s="18" t="n"/>
      <c r="D124" s="24" t="n"/>
      <c r="E124" s="19" t="n"/>
      <c r="F124" s="24" t="n"/>
      <c r="G124" s="28">
        <f>IF(AND($B124&lt;&gt;"",ISNUMBER($D124)),$D124+N('設定'!$B$13),"")</f>
        <v/>
      </c>
      <c r="H124" s="18" t="n"/>
      <c r="I124" s="19" t="n"/>
      <c r="J124" s="27">
        <f>IF($B124="","",IF($C124="","（支払先コードが空）",IF($X124="","※支払先にないコード",INDEX('支払先'!$C$5:$C$104,$X124)&amp;"")))</f>
        <v/>
      </c>
      <c r="K124" s="30">
        <f>IF($B124="","",COUNTIF('支払明細'!$A$5:$A$1004,$B124))</f>
        <v/>
      </c>
      <c r="L124" s="26">
        <f>IF($B124="","",SUMIFS('支払明細'!$I$5:$I$1004,'支払明細'!$A$5:$A$1004,$B124,'支払明細'!$G$5:$G$1004,"10%（標準）"))</f>
        <v/>
      </c>
      <c r="M124" s="26">
        <f>IF($B124="","",SUMIFS('支払明細'!$I$5:$I$1004,'支払明細'!$A$5:$A$1004,$B124,'支払明細'!$G$5:$G$1004,"8%（軽減）"))</f>
        <v/>
      </c>
      <c r="N124" s="26">
        <f>IF($B124="","",SUMIFS('支払明細'!$I$5:$I$1004,'支払明細'!$A$5:$A$1004,$B124,'支払明細'!$G$5:$G$1004,"対象外"))</f>
        <v/>
      </c>
      <c r="O124" s="26">
        <f>IF($B124="","",IF('設定'!$B$11="税込",IF('設定'!$B$12="切り捨て",ROUNDDOWN(ROUND($L124*10/110,6),0),IF('設定'!$B$12="切り上げ",ROUNDUP(ROUND($L124*10/110,6),0),ROUND($L124*10/110,0))),IF('設定'!$B$12="切り捨て",ROUNDDOWN(ROUND($L124*10/100,6),0),IF('設定'!$B$12="切り上げ",ROUNDUP(ROUND($L124*10/100,6),0),ROUND($L124*10/100,0)))))</f>
        <v/>
      </c>
      <c r="P124" s="26">
        <f>IF($B124="","",IF('設定'!$B$11="税込",IF('設定'!$B$12="切り捨て",ROUNDDOWN(ROUND($M124*8/108,6),0),IF('設定'!$B$12="切り上げ",ROUNDUP(ROUND($M124*8/108,6),0),ROUND($M124*8/108,0))),IF('設定'!$B$12="切り捨て",ROUNDDOWN(ROUND($M124*8/100,6),0),IF('設定'!$B$12="切り上げ",ROUNDUP(ROUND($M124*8/100,6),0),ROUND($M124*8/100,0)))))</f>
        <v/>
      </c>
      <c r="Q124" s="26">
        <f>IF($B124="","",IF('設定'!$B$11="税込",$L124+$M124+$N124,$L124+$O124+$M124+$P124+$N124))</f>
        <v/>
      </c>
      <c r="R124" s="26">
        <f>IF($B124="","",IF($X124="",0,IF(INDEX('支払先'!$I$5:$I$104,$X124)&lt;&gt;"する",0,IF(INDEX('支払先'!$J$5:$J$104,$X124)="税抜",IF('設定'!$B$11="税込",($Y124-IF('設定'!$B$12="切り捨て",ROUNDDOWN(ROUND($Y124*10/110,6),0),IF('設定'!$B$12="切り上げ",ROUNDUP(ROUND($Y124*10/110,6),0),ROUND($Y124*10/110,0)))+$Z124-IF('設定'!$B$12="切り捨て",ROUNDDOWN(ROUND($Z124*8/108,6),0),IF('設定'!$B$12="切り上げ",ROUNDUP(ROUND($Z124*8/108,6),0),ROUND($Z124*8/108,0)))+$AA124),$Y124+$Z124+$AA124),IF('設定'!$B$11="税込",$Y124+$Z124+$AA124,($Y124+IF('設定'!$B$12="切り捨て",ROUNDDOWN(ROUND($Y124*10/100,6),0),IF('設定'!$B$12="切り上げ",ROUNDUP(ROUND($Y124*10/100,6),0),ROUND($Y124*10/100,0)))+$Z124+IF('設定'!$B$12="切り捨て",ROUNDDOWN(ROUND($Z124*8/100,6),0),IF('設定'!$B$12="切り上げ",ROUNDUP(ROUND($Z124*8/100,6),0),ROUND($Z124*8/100,0)))+$AA124))))))</f>
        <v/>
      </c>
      <c r="S124" s="26">
        <f>IF($B124="","",IF(N($R124)&lt;=0,0,IF($R124&lt;='設定'!$B$18,ROUNDDOWN(ROUND($R124*'設定'!$B$17,6),0),ROUNDDOWN(ROUND(($R124-'設定'!$B$18)*'設定'!$B$19,6),0)+'設定'!$B$20)))</f>
        <v/>
      </c>
      <c r="T124" s="26">
        <f>IF($B124="","",IF($X124="",0,IF(INDEX('支払先'!$K$5:$K$104,$X124)="差し引く",N(INDEX('支払先'!$L$5:$L$104,$X124)),0)))</f>
        <v/>
      </c>
      <c r="U124" s="26">
        <f>IF($B124="","",$Q124-$S124-$T124)</f>
        <v/>
      </c>
      <c r="V124" s="22">
        <f>IF($B124="","",MID(IF($C124="","／支払先コードが空",IF($X124="","／支払先にないコード",""))&amp;IF($K124=0,"／明細がない","")&amp;IF($AC124&gt;0,"／税率が空の明細 "&amp;$AC124&amp;"件（合計に入っていない）","")&amp;IF($X124="","",IF(INDEX('支払先'!$G$5:$G$104,$X124)="","／登録番号なし（仕入明細書にならない）",""))&amp;IF($AB124&gt;0,"／60日（2か月）を超える明細 "&amp;$AB124&amp;"件","")&amp;IF($X124="","",IF(AND(INDEX('支払先'!$K$5:$K$104,$X124)="差し引く",OR(INDEX('支払先'!$M$5:$M$104,$X124)&lt;&gt;"対象外",INDEX('支払先'!$N$5:$N$104,$X124)&lt;&gt;"対象外")),"／手数料を差し引けない取引か確かめる",""))&amp;IF(COUNTIF($B$5:$B$204,$B124)&gt;1,"／通知Noが重複","")&amp;IF(AND(ISNUMBER($D124),ISNUMBER($F124),$F124&lt;$D124),"／支払予定日が発行日より前",""),2,300))</f>
        <v/>
      </c>
      <c r="W124" s="67" t="n"/>
      <c r="X124" s="31">
        <f>IF(OR($B124="",$C124=""),"",IFERROR(MATCH($C124,'支払先'!$B$5:$B$104,0),""))</f>
        <v/>
      </c>
      <c r="Y124" s="31">
        <f>IF($B124="","",SUMIFS('支払明細'!$I$5:$I$1004,'支払明細'!$A$5:$A$1004,$B124,'支払明細'!$G$5:$G$1004,"10%（標準）",'支払明細'!$H$5:$H$1004,"&lt;&gt;対象外"))</f>
        <v/>
      </c>
      <c r="Z124" s="31">
        <f>IF($B124="","",SUMIFS('支払明細'!$I$5:$I$1004,'支払明細'!$A$5:$A$1004,$B124,'支払明細'!$G$5:$G$1004,"8%（軽減）",'支払明細'!$H$5:$H$1004,"&lt;&gt;対象外"))</f>
        <v/>
      </c>
      <c r="AA124" s="31">
        <f>IF($B124="","",SUMIFS('支払明細'!$I$5:$I$1004,'支払明細'!$A$5:$A$1004,$B124,'支払明細'!$G$5:$G$1004,"対象外",'支払明細'!$H$5:$H$1004,"&lt;&gt;対象外"))</f>
        <v/>
      </c>
      <c r="AB124" s="31">
        <f>IF($B124="","",COUNTIFS('支払明細'!$A$5:$A$1004,$B124,'支払明細'!$M$5:$M$1004,"超える"))</f>
        <v/>
      </c>
      <c r="AC124" s="31">
        <f>IF($B124="","",COUNTIFS('支払明細'!$A$5:$A$1004,$B124,'支払明細'!$G$5:$G$1004,""))</f>
        <v/>
      </c>
    </row>
    <row r="125" ht="18" customHeight="1">
      <c r="A125" s="17" t="n">
        <v>121</v>
      </c>
      <c r="B125" s="18" t="n"/>
      <c r="C125" s="18" t="n"/>
      <c r="D125" s="24" t="n"/>
      <c r="E125" s="19" t="n"/>
      <c r="F125" s="24" t="n"/>
      <c r="G125" s="28">
        <f>IF(AND($B125&lt;&gt;"",ISNUMBER($D125)),$D125+N('設定'!$B$13),"")</f>
        <v/>
      </c>
      <c r="H125" s="18" t="n"/>
      <c r="I125" s="19" t="n"/>
      <c r="J125" s="27">
        <f>IF($B125="","",IF($C125="","（支払先コードが空）",IF($X125="","※支払先にないコード",INDEX('支払先'!$C$5:$C$104,$X125)&amp;"")))</f>
        <v/>
      </c>
      <c r="K125" s="30">
        <f>IF($B125="","",COUNTIF('支払明細'!$A$5:$A$1004,$B125))</f>
        <v/>
      </c>
      <c r="L125" s="26">
        <f>IF($B125="","",SUMIFS('支払明細'!$I$5:$I$1004,'支払明細'!$A$5:$A$1004,$B125,'支払明細'!$G$5:$G$1004,"10%（標準）"))</f>
        <v/>
      </c>
      <c r="M125" s="26">
        <f>IF($B125="","",SUMIFS('支払明細'!$I$5:$I$1004,'支払明細'!$A$5:$A$1004,$B125,'支払明細'!$G$5:$G$1004,"8%（軽減）"))</f>
        <v/>
      </c>
      <c r="N125" s="26">
        <f>IF($B125="","",SUMIFS('支払明細'!$I$5:$I$1004,'支払明細'!$A$5:$A$1004,$B125,'支払明細'!$G$5:$G$1004,"対象外"))</f>
        <v/>
      </c>
      <c r="O125" s="26">
        <f>IF($B125="","",IF('設定'!$B$11="税込",IF('設定'!$B$12="切り捨て",ROUNDDOWN(ROUND($L125*10/110,6),0),IF('設定'!$B$12="切り上げ",ROUNDUP(ROUND($L125*10/110,6),0),ROUND($L125*10/110,0))),IF('設定'!$B$12="切り捨て",ROUNDDOWN(ROUND($L125*10/100,6),0),IF('設定'!$B$12="切り上げ",ROUNDUP(ROUND($L125*10/100,6),0),ROUND($L125*10/100,0)))))</f>
        <v/>
      </c>
      <c r="P125" s="26">
        <f>IF($B125="","",IF('設定'!$B$11="税込",IF('設定'!$B$12="切り捨て",ROUNDDOWN(ROUND($M125*8/108,6),0),IF('設定'!$B$12="切り上げ",ROUNDUP(ROUND($M125*8/108,6),0),ROUND($M125*8/108,0))),IF('設定'!$B$12="切り捨て",ROUNDDOWN(ROUND($M125*8/100,6),0),IF('設定'!$B$12="切り上げ",ROUNDUP(ROUND($M125*8/100,6),0),ROUND($M125*8/100,0)))))</f>
        <v/>
      </c>
      <c r="Q125" s="26">
        <f>IF($B125="","",IF('設定'!$B$11="税込",$L125+$M125+$N125,$L125+$O125+$M125+$P125+$N125))</f>
        <v/>
      </c>
      <c r="R125" s="26">
        <f>IF($B125="","",IF($X125="",0,IF(INDEX('支払先'!$I$5:$I$104,$X125)&lt;&gt;"する",0,IF(INDEX('支払先'!$J$5:$J$104,$X125)="税抜",IF('設定'!$B$11="税込",($Y125-IF('設定'!$B$12="切り捨て",ROUNDDOWN(ROUND($Y125*10/110,6),0),IF('設定'!$B$12="切り上げ",ROUNDUP(ROUND($Y125*10/110,6),0),ROUND($Y125*10/110,0)))+$Z125-IF('設定'!$B$12="切り捨て",ROUNDDOWN(ROUND($Z125*8/108,6),0),IF('設定'!$B$12="切り上げ",ROUNDUP(ROUND($Z125*8/108,6),0),ROUND($Z125*8/108,0)))+$AA125),$Y125+$Z125+$AA125),IF('設定'!$B$11="税込",$Y125+$Z125+$AA125,($Y125+IF('設定'!$B$12="切り捨て",ROUNDDOWN(ROUND($Y125*10/100,6),0),IF('設定'!$B$12="切り上げ",ROUNDUP(ROUND($Y125*10/100,6),0),ROUND($Y125*10/100,0)))+$Z125+IF('設定'!$B$12="切り捨て",ROUNDDOWN(ROUND($Z125*8/100,6),0),IF('設定'!$B$12="切り上げ",ROUNDUP(ROUND($Z125*8/100,6),0),ROUND($Z125*8/100,0)))+$AA125))))))</f>
        <v/>
      </c>
      <c r="S125" s="26">
        <f>IF($B125="","",IF(N($R125)&lt;=0,0,IF($R125&lt;='設定'!$B$18,ROUNDDOWN(ROUND($R125*'設定'!$B$17,6),0),ROUNDDOWN(ROUND(($R125-'設定'!$B$18)*'設定'!$B$19,6),0)+'設定'!$B$20)))</f>
        <v/>
      </c>
      <c r="T125" s="26">
        <f>IF($B125="","",IF($X125="",0,IF(INDEX('支払先'!$K$5:$K$104,$X125)="差し引く",N(INDEX('支払先'!$L$5:$L$104,$X125)),0)))</f>
        <v/>
      </c>
      <c r="U125" s="26">
        <f>IF($B125="","",$Q125-$S125-$T125)</f>
        <v/>
      </c>
      <c r="V125" s="22">
        <f>IF($B125="","",MID(IF($C125="","／支払先コードが空",IF($X125="","／支払先にないコード",""))&amp;IF($K125=0,"／明細がない","")&amp;IF($AC125&gt;0,"／税率が空の明細 "&amp;$AC125&amp;"件（合計に入っていない）","")&amp;IF($X125="","",IF(INDEX('支払先'!$G$5:$G$104,$X125)="","／登録番号なし（仕入明細書にならない）",""))&amp;IF($AB125&gt;0,"／60日（2か月）を超える明細 "&amp;$AB125&amp;"件","")&amp;IF($X125="","",IF(AND(INDEX('支払先'!$K$5:$K$104,$X125)="差し引く",OR(INDEX('支払先'!$M$5:$M$104,$X125)&lt;&gt;"対象外",INDEX('支払先'!$N$5:$N$104,$X125)&lt;&gt;"対象外")),"／手数料を差し引けない取引か確かめる",""))&amp;IF(COUNTIF($B$5:$B$204,$B125)&gt;1,"／通知Noが重複","")&amp;IF(AND(ISNUMBER($D125),ISNUMBER($F125),$F125&lt;$D125),"／支払予定日が発行日より前",""),2,300))</f>
        <v/>
      </c>
      <c r="W125" s="67" t="n"/>
      <c r="X125" s="31">
        <f>IF(OR($B125="",$C125=""),"",IFERROR(MATCH($C125,'支払先'!$B$5:$B$104,0),""))</f>
        <v/>
      </c>
      <c r="Y125" s="31">
        <f>IF($B125="","",SUMIFS('支払明細'!$I$5:$I$1004,'支払明細'!$A$5:$A$1004,$B125,'支払明細'!$G$5:$G$1004,"10%（標準）",'支払明細'!$H$5:$H$1004,"&lt;&gt;対象外"))</f>
        <v/>
      </c>
      <c r="Z125" s="31">
        <f>IF($B125="","",SUMIFS('支払明細'!$I$5:$I$1004,'支払明細'!$A$5:$A$1004,$B125,'支払明細'!$G$5:$G$1004,"8%（軽減）",'支払明細'!$H$5:$H$1004,"&lt;&gt;対象外"))</f>
        <v/>
      </c>
      <c r="AA125" s="31">
        <f>IF($B125="","",SUMIFS('支払明細'!$I$5:$I$1004,'支払明細'!$A$5:$A$1004,$B125,'支払明細'!$G$5:$G$1004,"対象外",'支払明細'!$H$5:$H$1004,"&lt;&gt;対象外"))</f>
        <v/>
      </c>
      <c r="AB125" s="31">
        <f>IF($B125="","",COUNTIFS('支払明細'!$A$5:$A$1004,$B125,'支払明細'!$M$5:$M$1004,"超える"))</f>
        <v/>
      </c>
      <c r="AC125" s="31">
        <f>IF($B125="","",COUNTIFS('支払明細'!$A$5:$A$1004,$B125,'支払明細'!$G$5:$G$1004,""))</f>
        <v/>
      </c>
    </row>
    <row r="126" ht="18" customHeight="1">
      <c r="A126" s="17" t="n">
        <v>122</v>
      </c>
      <c r="B126" s="18" t="n"/>
      <c r="C126" s="18" t="n"/>
      <c r="D126" s="24" t="n"/>
      <c r="E126" s="19" t="n"/>
      <c r="F126" s="24" t="n"/>
      <c r="G126" s="28">
        <f>IF(AND($B126&lt;&gt;"",ISNUMBER($D126)),$D126+N('設定'!$B$13),"")</f>
        <v/>
      </c>
      <c r="H126" s="18" t="n"/>
      <c r="I126" s="19" t="n"/>
      <c r="J126" s="27">
        <f>IF($B126="","",IF($C126="","（支払先コードが空）",IF($X126="","※支払先にないコード",INDEX('支払先'!$C$5:$C$104,$X126)&amp;"")))</f>
        <v/>
      </c>
      <c r="K126" s="30">
        <f>IF($B126="","",COUNTIF('支払明細'!$A$5:$A$1004,$B126))</f>
        <v/>
      </c>
      <c r="L126" s="26">
        <f>IF($B126="","",SUMIFS('支払明細'!$I$5:$I$1004,'支払明細'!$A$5:$A$1004,$B126,'支払明細'!$G$5:$G$1004,"10%（標準）"))</f>
        <v/>
      </c>
      <c r="M126" s="26">
        <f>IF($B126="","",SUMIFS('支払明細'!$I$5:$I$1004,'支払明細'!$A$5:$A$1004,$B126,'支払明細'!$G$5:$G$1004,"8%（軽減）"))</f>
        <v/>
      </c>
      <c r="N126" s="26">
        <f>IF($B126="","",SUMIFS('支払明細'!$I$5:$I$1004,'支払明細'!$A$5:$A$1004,$B126,'支払明細'!$G$5:$G$1004,"対象外"))</f>
        <v/>
      </c>
      <c r="O126" s="26">
        <f>IF($B126="","",IF('設定'!$B$11="税込",IF('設定'!$B$12="切り捨て",ROUNDDOWN(ROUND($L126*10/110,6),0),IF('設定'!$B$12="切り上げ",ROUNDUP(ROUND($L126*10/110,6),0),ROUND($L126*10/110,0))),IF('設定'!$B$12="切り捨て",ROUNDDOWN(ROUND($L126*10/100,6),0),IF('設定'!$B$12="切り上げ",ROUNDUP(ROUND($L126*10/100,6),0),ROUND($L126*10/100,0)))))</f>
        <v/>
      </c>
      <c r="P126" s="26">
        <f>IF($B126="","",IF('設定'!$B$11="税込",IF('設定'!$B$12="切り捨て",ROUNDDOWN(ROUND($M126*8/108,6),0),IF('設定'!$B$12="切り上げ",ROUNDUP(ROUND($M126*8/108,6),0),ROUND($M126*8/108,0))),IF('設定'!$B$12="切り捨て",ROUNDDOWN(ROUND($M126*8/100,6),0),IF('設定'!$B$12="切り上げ",ROUNDUP(ROUND($M126*8/100,6),0),ROUND($M126*8/100,0)))))</f>
        <v/>
      </c>
      <c r="Q126" s="26">
        <f>IF($B126="","",IF('設定'!$B$11="税込",$L126+$M126+$N126,$L126+$O126+$M126+$P126+$N126))</f>
        <v/>
      </c>
      <c r="R126" s="26">
        <f>IF($B126="","",IF($X126="",0,IF(INDEX('支払先'!$I$5:$I$104,$X126)&lt;&gt;"する",0,IF(INDEX('支払先'!$J$5:$J$104,$X126)="税抜",IF('設定'!$B$11="税込",($Y126-IF('設定'!$B$12="切り捨て",ROUNDDOWN(ROUND($Y126*10/110,6),0),IF('設定'!$B$12="切り上げ",ROUNDUP(ROUND($Y126*10/110,6),0),ROUND($Y126*10/110,0)))+$Z126-IF('設定'!$B$12="切り捨て",ROUNDDOWN(ROUND($Z126*8/108,6),0),IF('設定'!$B$12="切り上げ",ROUNDUP(ROUND($Z126*8/108,6),0),ROUND($Z126*8/108,0)))+$AA126),$Y126+$Z126+$AA126),IF('設定'!$B$11="税込",$Y126+$Z126+$AA126,($Y126+IF('設定'!$B$12="切り捨て",ROUNDDOWN(ROUND($Y126*10/100,6),0),IF('設定'!$B$12="切り上げ",ROUNDUP(ROUND($Y126*10/100,6),0),ROUND($Y126*10/100,0)))+$Z126+IF('設定'!$B$12="切り捨て",ROUNDDOWN(ROUND($Z126*8/100,6),0),IF('設定'!$B$12="切り上げ",ROUNDUP(ROUND($Z126*8/100,6),0),ROUND($Z126*8/100,0)))+$AA126))))))</f>
        <v/>
      </c>
      <c r="S126" s="26">
        <f>IF($B126="","",IF(N($R126)&lt;=0,0,IF($R126&lt;='設定'!$B$18,ROUNDDOWN(ROUND($R126*'設定'!$B$17,6),0),ROUNDDOWN(ROUND(($R126-'設定'!$B$18)*'設定'!$B$19,6),0)+'設定'!$B$20)))</f>
        <v/>
      </c>
      <c r="T126" s="26">
        <f>IF($B126="","",IF($X126="",0,IF(INDEX('支払先'!$K$5:$K$104,$X126)="差し引く",N(INDEX('支払先'!$L$5:$L$104,$X126)),0)))</f>
        <v/>
      </c>
      <c r="U126" s="26">
        <f>IF($B126="","",$Q126-$S126-$T126)</f>
        <v/>
      </c>
      <c r="V126" s="22">
        <f>IF($B126="","",MID(IF($C126="","／支払先コードが空",IF($X126="","／支払先にないコード",""))&amp;IF($K126=0,"／明細がない","")&amp;IF($AC126&gt;0,"／税率が空の明細 "&amp;$AC126&amp;"件（合計に入っていない）","")&amp;IF($X126="","",IF(INDEX('支払先'!$G$5:$G$104,$X126)="","／登録番号なし（仕入明細書にならない）",""))&amp;IF($AB126&gt;0,"／60日（2か月）を超える明細 "&amp;$AB126&amp;"件","")&amp;IF($X126="","",IF(AND(INDEX('支払先'!$K$5:$K$104,$X126)="差し引く",OR(INDEX('支払先'!$M$5:$M$104,$X126)&lt;&gt;"対象外",INDEX('支払先'!$N$5:$N$104,$X126)&lt;&gt;"対象外")),"／手数料を差し引けない取引か確かめる",""))&amp;IF(COUNTIF($B$5:$B$204,$B126)&gt;1,"／通知Noが重複","")&amp;IF(AND(ISNUMBER($D126),ISNUMBER($F126),$F126&lt;$D126),"／支払予定日が発行日より前",""),2,300))</f>
        <v/>
      </c>
      <c r="W126" s="67" t="n"/>
      <c r="X126" s="31">
        <f>IF(OR($B126="",$C126=""),"",IFERROR(MATCH($C126,'支払先'!$B$5:$B$104,0),""))</f>
        <v/>
      </c>
      <c r="Y126" s="31">
        <f>IF($B126="","",SUMIFS('支払明細'!$I$5:$I$1004,'支払明細'!$A$5:$A$1004,$B126,'支払明細'!$G$5:$G$1004,"10%（標準）",'支払明細'!$H$5:$H$1004,"&lt;&gt;対象外"))</f>
        <v/>
      </c>
      <c r="Z126" s="31">
        <f>IF($B126="","",SUMIFS('支払明細'!$I$5:$I$1004,'支払明細'!$A$5:$A$1004,$B126,'支払明細'!$G$5:$G$1004,"8%（軽減）",'支払明細'!$H$5:$H$1004,"&lt;&gt;対象外"))</f>
        <v/>
      </c>
      <c r="AA126" s="31">
        <f>IF($B126="","",SUMIFS('支払明細'!$I$5:$I$1004,'支払明細'!$A$5:$A$1004,$B126,'支払明細'!$G$5:$G$1004,"対象外",'支払明細'!$H$5:$H$1004,"&lt;&gt;対象外"))</f>
        <v/>
      </c>
      <c r="AB126" s="31">
        <f>IF($B126="","",COUNTIFS('支払明細'!$A$5:$A$1004,$B126,'支払明細'!$M$5:$M$1004,"超える"))</f>
        <v/>
      </c>
      <c r="AC126" s="31">
        <f>IF($B126="","",COUNTIFS('支払明細'!$A$5:$A$1004,$B126,'支払明細'!$G$5:$G$1004,""))</f>
        <v/>
      </c>
    </row>
    <row r="127" ht="18" customHeight="1">
      <c r="A127" s="17" t="n">
        <v>123</v>
      </c>
      <c r="B127" s="18" t="n"/>
      <c r="C127" s="18" t="n"/>
      <c r="D127" s="24" t="n"/>
      <c r="E127" s="19" t="n"/>
      <c r="F127" s="24" t="n"/>
      <c r="G127" s="28">
        <f>IF(AND($B127&lt;&gt;"",ISNUMBER($D127)),$D127+N('設定'!$B$13),"")</f>
        <v/>
      </c>
      <c r="H127" s="18" t="n"/>
      <c r="I127" s="19" t="n"/>
      <c r="J127" s="27">
        <f>IF($B127="","",IF($C127="","（支払先コードが空）",IF($X127="","※支払先にないコード",INDEX('支払先'!$C$5:$C$104,$X127)&amp;"")))</f>
        <v/>
      </c>
      <c r="K127" s="30">
        <f>IF($B127="","",COUNTIF('支払明細'!$A$5:$A$1004,$B127))</f>
        <v/>
      </c>
      <c r="L127" s="26">
        <f>IF($B127="","",SUMIFS('支払明細'!$I$5:$I$1004,'支払明細'!$A$5:$A$1004,$B127,'支払明細'!$G$5:$G$1004,"10%（標準）"))</f>
        <v/>
      </c>
      <c r="M127" s="26">
        <f>IF($B127="","",SUMIFS('支払明細'!$I$5:$I$1004,'支払明細'!$A$5:$A$1004,$B127,'支払明細'!$G$5:$G$1004,"8%（軽減）"))</f>
        <v/>
      </c>
      <c r="N127" s="26">
        <f>IF($B127="","",SUMIFS('支払明細'!$I$5:$I$1004,'支払明細'!$A$5:$A$1004,$B127,'支払明細'!$G$5:$G$1004,"対象外"))</f>
        <v/>
      </c>
      <c r="O127" s="26">
        <f>IF($B127="","",IF('設定'!$B$11="税込",IF('設定'!$B$12="切り捨て",ROUNDDOWN(ROUND($L127*10/110,6),0),IF('設定'!$B$12="切り上げ",ROUNDUP(ROUND($L127*10/110,6),0),ROUND($L127*10/110,0))),IF('設定'!$B$12="切り捨て",ROUNDDOWN(ROUND($L127*10/100,6),0),IF('設定'!$B$12="切り上げ",ROUNDUP(ROUND($L127*10/100,6),0),ROUND($L127*10/100,0)))))</f>
        <v/>
      </c>
      <c r="P127" s="26">
        <f>IF($B127="","",IF('設定'!$B$11="税込",IF('設定'!$B$12="切り捨て",ROUNDDOWN(ROUND($M127*8/108,6),0),IF('設定'!$B$12="切り上げ",ROUNDUP(ROUND($M127*8/108,6),0),ROUND($M127*8/108,0))),IF('設定'!$B$12="切り捨て",ROUNDDOWN(ROUND($M127*8/100,6),0),IF('設定'!$B$12="切り上げ",ROUNDUP(ROUND($M127*8/100,6),0),ROUND($M127*8/100,0)))))</f>
        <v/>
      </c>
      <c r="Q127" s="26">
        <f>IF($B127="","",IF('設定'!$B$11="税込",$L127+$M127+$N127,$L127+$O127+$M127+$P127+$N127))</f>
        <v/>
      </c>
      <c r="R127" s="26">
        <f>IF($B127="","",IF($X127="",0,IF(INDEX('支払先'!$I$5:$I$104,$X127)&lt;&gt;"する",0,IF(INDEX('支払先'!$J$5:$J$104,$X127)="税抜",IF('設定'!$B$11="税込",($Y127-IF('設定'!$B$12="切り捨て",ROUNDDOWN(ROUND($Y127*10/110,6),0),IF('設定'!$B$12="切り上げ",ROUNDUP(ROUND($Y127*10/110,6),0),ROUND($Y127*10/110,0)))+$Z127-IF('設定'!$B$12="切り捨て",ROUNDDOWN(ROUND($Z127*8/108,6),0),IF('設定'!$B$12="切り上げ",ROUNDUP(ROUND($Z127*8/108,6),0),ROUND($Z127*8/108,0)))+$AA127),$Y127+$Z127+$AA127),IF('設定'!$B$11="税込",$Y127+$Z127+$AA127,($Y127+IF('設定'!$B$12="切り捨て",ROUNDDOWN(ROUND($Y127*10/100,6),0),IF('設定'!$B$12="切り上げ",ROUNDUP(ROUND($Y127*10/100,6),0),ROUND($Y127*10/100,0)))+$Z127+IF('設定'!$B$12="切り捨て",ROUNDDOWN(ROUND($Z127*8/100,6),0),IF('設定'!$B$12="切り上げ",ROUNDUP(ROUND($Z127*8/100,6),0),ROUND($Z127*8/100,0)))+$AA127))))))</f>
        <v/>
      </c>
      <c r="S127" s="26">
        <f>IF($B127="","",IF(N($R127)&lt;=0,0,IF($R127&lt;='設定'!$B$18,ROUNDDOWN(ROUND($R127*'設定'!$B$17,6),0),ROUNDDOWN(ROUND(($R127-'設定'!$B$18)*'設定'!$B$19,6),0)+'設定'!$B$20)))</f>
        <v/>
      </c>
      <c r="T127" s="26">
        <f>IF($B127="","",IF($X127="",0,IF(INDEX('支払先'!$K$5:$K$104,$X127)="差し引く",N(INDEX('支払先'!$L$5:$L$104,$X127)),0)))</f>
        <v/>
      </c>
      <c r="U127" s="26">
        <f>IF($B127="","",$Q127-$S127-$T127)</f>
        <v/>
      </c>
      <c r="V127" s="22">
        <f>IF($B127="","",MID(IF($C127="","／支払先コードが空",IF($X127="","／支払先にないコード",""))&amp;IF($K127=0,"／明細がない","")&amp;IF($AC127&gt;0,"／税率が空の明細 "&amp;$AC127&amp;"件（合計に入っていない）","")&amp;IF($X127="","",IF(INDEX('支払先'!$G$5:$G$104,$X127)="","／登録番号なし（仕入明細書にならない）",""))&amp;IF($AB127&gt;0,"／60日（2か月）を超える明細 "&amp;$AB127&amp;"件","")&amp;IF($X127="","",IF(AND(INDEX('支払先'!$K$5:$K$104,$X127)="差し引く",OR(INDEX('支払先'!$M$5:$M$104,$X127)&lt;&gt;"対象外",INDEX('支払先'!$N$5:$N$104,$X127)&lt;&gt;"対象外")),"／手数料を差し引けない取引か確かめる",""))&amp;IF(COUNTIF($B$5:$B$204,$B127)&gt;1,"／通知Noが重複","")&amp;IF(AND(ISNUMBER($D127),ISNUMBER($F127),$F127&lt;$D127),"／支払予定日が発行日より前",""),2,300))</f>
        <v/>
      </c>
      <c r="W127" s="67" t="n"/>
      <c r="X127" s="31">
        <f>IF(OR($B127="",$C127=""),"",IFERROR(MATCH($C127,'支払先'!$B$5:$B$104,0),""))</f>
        <v/>
      </c>
      <c r="Y127" s="31">
        <f>IF($B127="","",SUMIFS('支払明細'!$I$5:$I$1004,'支払明細'!$A$5:$A$1004,$B127,'支払明細'!$G$5:$G$1004,"10%（標準）",'支払明細'!$H$5:$H$1004,"&lt;&gt;対象外"))</f>
        <v/>
      </c>
      <c r="Z127" s="31">
        <f>IF($B127="","",SUMIFS('支払明細'!$I$5:$I$1004,'支払明細'!$A$5:$A$1004,$B127,'支払明細'!$G$5:$G$1004,"8%（軽減）",'支払明細'!$H$5:$H$1004,"&lt;&gt;対象外"))</f>
        <v/>
      </c>
      <c r="AA127" s="31">
        <f>IF($B127="","",SUMIFS('支払明細'!$I$5:$I$1004,'支払明細'!$A$5:$A$1004,$B127,'支払明細'!$G$5:$G$1004,"対象外",'支払明細'!$H$5:$H$1004,"&lt;&gt;対象外"))</f>
        <v/>
      </c>
      <c r="AB127" s="31">
        <f>IF($B127="","",COUNTIFS('支払明細'!$A$5:$A$1004,$B127,'支払明細'!$M$5:$M$1004,"超える"))</f>
        <v/>
      </c>
      <c r="AC127" s="31">
        <f>IF($B127="","",COUNTIFS('支払明細'!$A$5:$A$1004,$B127,'支払明細'!$G$5:$G$1004,""))</f>
        <v/>
      </c>
    </row>
    <row r="128" ht="18" customHeight="1">
      <c r="A128" s="17" t="n">
        <v>124</v>
      </c>
      <c r="B128" s="18" t="n"/>
      <c r="C128" s="18" t="n"/>
      <c r="D128" s="24" t="n"/>
      <c r="E128" s="19" t="n"/>
      <c r="F128" s="24" t="n"/>
      <c r="G128" s="28">
        <f>IF(AND($B128&lt;&gt;"",ISNUMBER($D128)),$D128+N('設定'!$B$13),"")</f>
        <v/>
      </c>
      <c r="H128" s="18" t="n"/>
      <c r="I128" s="19" t="n"/>
      <c r="J128" s="27">
        <f>IF($B128="","",IF($C128="","（支払先コードが空）",IF($X128="","※支払先にないコード",INDEX('支払先'!$C$5:$C$104,$X128)&amp;"")))</f>
        <v/>
      </c>
      <c r="K128" s="30">
        <f>IF($B128="","",COUNTIF('支払明細'!$A$5:$A$1004,$B128))</f>
        <v/>
      </c>
      <c r="L128" s="26">
        <f>IF($B128="","",SUMIFS('支払明細'!$I$5:$I$1004,'支払明細'!$A$5:$A$1004,$B128,'支払明細'!$G$5:$G$1004,"10%（標準）"))</f>
        <v/>
      </c>
      <c r="M128" s="26">
        <f>IF($B128="","",SUMIFS('支払明細'!$I$5:$I$1004,'支払明細'!$A$5:$A$1004,$B128,'支払明細'!$G$5:$G$1004,"8%（軽減）"))</f>
        <v/>
      </c>
      <c r="N128" s="26">
        <f>IF($B128="","",SUMIFS('支払明細'!$I$5:$I$1004,'支払明細'!$A$5:$A$1004,$B128,'支払明細'!$G$5:$G$1004,"対象外"))</f>
        <v/>
      </c>
      <c r="O128" s="26">
        <f>IF($B128="","",IF('設定'!$B$11="税込",IF('設定'!$B$12="切り捨て",ROUNDDOWN(ROUND($L128*10/110,6),0),IF('設定'!$B$12="切り上げ",ROUNDUP(ROUND($L128*10/110,6),0),ROUND($L128*10/110,0))),IF('設定'!$B$12="切り捨て",ROUNDDOWN(ROUND($L128*10/100,6),0),IF('設定'!$B$12="切り上げ",ROUNDUP(ROUND($L128*10/100,6),0),ROUND($L128*10/100,0)))))</f>
        <v/>
      </c>
      <c r="P128" s="26">
        <f>IF($B128="","",IF('設定'!$B$11="税込",IF('設定'!$B$12="切り捨て",ROUNDDOWN(ROUND($M128*8/108,6),0),IF('設定'!$B$12="切り上げ",ROUNDUP(ROUND($M128*8/108,6),0),ROUND($M128*8/108,0))),IF('設定'!$B$12="切り捨て",ROUNDDOWN(ROUND($M128*8/100,6),0),IF('設定'!$B$12="切り上げ",ROUNDUP(ROUND($M128*8/100,6),0),ROUND($M128*8/100,0)))))</f>
        <v/>
      </c>
      <c r="Q128" s="26">
        <f>IF($B128="","",IF('設定'!$B$11="税込",$L128+$M128+$N128,$L128+$O128+$M128+$P128+$N128))</f>
        <v/>
      </c>
      <c r="R128" s="26">
        <f>IF($B128="","",IF($X128="",0,IF(INDEX('支払先'!$I$5:$I$104,$X128)&lt;&gt;"する",0,IF(INDEX('支払先'!$J$5:$J$104,$X128)="税抜",IF('設定'!$B$11="税込",($Y128-IF('設定'!$B$12="切り捨て",ROUNDDOWN(ROUND($Y128*10/110,6),0),IF('設定'!$B$12="切り上げ",ROUNDUP(ROUND($Y128*10/110,6),0),ROUND($Y128*10/110,0)))+$Z128-IF('設定'!$B$12="切り捨て",ROUNDDOWN(ROUND($Z128*8/108,6),0),IF('設定'!$B$12="切り上げ",ROUNDUP(ROUND($Z128*8/108,6),0),ROUND($Z128*8/108,0)))+$AA128),$Y128+$Z128+$AA128),IF('設定'!$B$11="税込",$Y128+$Z128+$AA128,($Y128+IF('設定'!$B$12="切り捨て",ROUNDDOWN(ROUND($Y128*10/100,6),0),IF('設定'!$B$12="切り上げ",ROUNDUP(ROUND($Y128*10/100,6),0),ROUND($Y128*10/100,0)))+$Z128+IF('設定'!$B$12="切り捨て",ROUNDDOWN(ROUND($Z128*8/100,6),0),IF('設定'!$B$12="切り上げ",ROUNDUP(ROUND($Z128*8/100,6),0),ROUND($Z128*8/100,0)))+$AA128))))))</f>
        <v/>
      </c>
      <c r="S128" s="26">
        <f>IF($B128="","",IF(N($R128)&lt;=0,0,IF($R128&lt;='設定'!$B$18,ROUNDDOWN(ROUND($R128*'設定'!$B$17,6),0),ROUNDDOWN(ROUND(($R128-'設定'!$B$18)*'設定'!$B$19,6),0)+'設定'!$B$20)))</f>
        <v/>
      </c>
      <c r="T128" s="26">
        <f>IF($B128="","",IF($X128="",0,IF(INDEX('支払先'!$K$5:$K$104,$X128)="差し引く",N(INDEX('支払先'!$L$5:$L$104,$X128)),0)))</f>
        <v/>
      </c>
      <c r="U128" s="26">
        <f>IF($B128="","",$Q128-$S128-$T128)</f>
        <v/>
      </c>
      <c r="V128" s="22">
        <f>IF($B128="","",MID(IF($C128="","／支払先コードが空",IF($X128="","／支払先にないコード",""))&amp;IF($K128=0,"／明細がない","")&amp;IF($AC128&gt;0,"／税率が空の明細 "&amp;$AC128&amp;"件（合計に入っていない）","")&amp;IF($X128="","",IF(INDEX('支払先'!$G$5:$G$104,$X128)="","／登録番号なし（仕入明細書にならない）",""))&amp;IF($AB128&gt;0,"／60日（2か月）を超える明細 "&amp;$AB128&amp;"件","")&amp;IF($X128="","",IF(AND(INDEX('支払先'!$K$5:$K$104,$X128)="差し引く",OR(INDEX('支払先'!$M$5:$M$104,$X128)&lt;&gt;"対象外",INDEX('支払先'!$N$5:$N$104,$X128)&lt;&gt;"対象外")),"／手数料を差し引けない取引か確かめる",""))&amp;IF(COUNTIF($B$5:$B$204,$B128)&gt;1,"／通知Noが重複","")&amp;IF(AND(ISNUMBER($D128),ISNUMBER($F128),$F128&lt;$D128),"／支払予定日が発行日より前",""),2,300))</f>
        <v/>
      </c>
      <c r="W128" s="67" t="n"/>
      <c r="X128" s="31">
        <f>IF(OR($B128="",$C128=""),"",IFERROR(MATCH($C128,'支払先'!$B$5:$B$104,0),""))</f>
        <v/>
      </c>
      <c r="Y128" s="31">
        <f>IF($B128="","",SUMIFS('支払明細'!$I$5:$I$1004,'支払明細'!$A$5:$A$1004,$B128,'支払明細'!$G$5:$G$1004,"10%（標準）",'支払明細'!$H$5:$H$1004,"&lt;&gt;対象外"))</f>
        <v/>
      </c>
      <c r="Z128" s="31">
        <f>IF($B128="","",SUMIFS('支払明細'!$I$5:$I$1004,'支払明細'!$A$5:$A$1004,$B128,'支払明細'!$G$5:$G$1004,"8%（軽減）",'支払明細'!$H$5:$H$1004,"&lt;&gt;対象外"))</f>
        <v/>
      </c>
      <c r="AA128" s="31">
        <f>IF($B128="","",SUMIFS('支払明細'!$I$5:$I$1004,'支払明細'!$A$5:$A$1004,$B128,'支払明細'!$G$5:$G$1004,"対象外",'支払明細'!$H$5:$H$1004,"&lt;&gt;対象外"))</f>
        <v/>
      </c>
      <c r="AB128" s="31">
        <f>IF($B128="","",COUNTIFS('支払明細'!$A$5:$A$1004,$B128,'支払明細'!$M$5:$M$1004,"超える"))</f>
        <v/>
      </c>
      <c r="AC128" s="31">
        <f>IF($B128="","",COUNTIFS('支払明細'!$A$5:$A$1004,$B128,'支払明細'!$G$5:$G$1004,""))</f>
        <v/>
      </c>
    </row>
    <row r="129" ht="18" customHeight="1">
      <c r="A129" s="17" t="n">
        <v>125</v>
      </c>
      <c r="B129" s="18" t="n"/>
      <c r="C129" s="18" t="n"/>
      <c r="D129" s="24" t="n"/>
      <c r="E129" s="19" t="n"/>
      <c r="F129" s="24" t="n"/>
      <c r="G129" s="28">
        <f>IF(AND($B129&lt;&gt;"",ISNUMBER($D129)),$D129+N('設定'!$B$13),"")</f>
        <v/>
      </c>
      <c r="H129" s="18" t="n"/>
      <c r="I129" s="19" t="n"/>
      <c r="J129" s="27">
        <f>IF($B129="","",IF($C129="","（支払先コードが空）",IF($X129="","※支払先にないコード",INDEX('支払先'!$C$5:$C$104,$X129)&amp;"")))</f>
        <v/>
      </c>
      <c r="K129" s="30">
        <f>IF($B129="","",COUNTIF('支払明細'!$A$5:$A$1004,$B129))</f>
        <v/>
      </c>
      <c r="L129" s="26">
        <f>IF($B129="","",SUMIFS('支払明細'!$I$5:$I$1004,'支払明細'!$A$5:$A$1004,$B129,'支払明細'!$G$5:$G$1004,"10%（標準）"))</f>
        <v/>
      </c>
      <c r="M129" s="26">
        <f>IF($B129="","",SUMIFS('支払明細'!$I$5:$I$1004,'支払明細'!$A$5:$A$1004,$B129,'支払明細'!$G$5:$G$1004,"8%（軽減）"))</f>
        <v/>
      </c>
      <c r="N129" s="26">
        <f>IF($B129="","",SUMIFS('支払明細'!$I$5:$I$1004,'支払明細'!$A$5:$A$1004,$B129,'支払明細'!$G$5:$G$1004,"対象外"))</f>
        <v/>
      </c>
      <c r="O129" s="26">
        <f>IF($B129="","",IF('設定'!$B$11="税込",IF('設定'!$B$12="切り捨て",ROUNDDOWN(ROUND($L129*10/110,6),0),IF('設定'!$B$12="切り上げ",ROUNDUP(ROUND($L129*10/110,6),0),ROUND($L129*10/110,0))),IF('設定'!$B$12="切り捨て",ROUNDDOWN(ROUND($L129*10/100,6),0),IF('設定'!$B$12="切り上げ",ROUNDUP(ROUND($L129*10/100,6),0),ROUND($L129*10/100,0)))))</f>
        <v/>
      </c>
      <c r="P129" s="26">
        <f>IF($B129="","",IF('設定'!$B$11="税込",IF('設定'!$B$12="切り捨て",ROUNDDOWN(ROUND($M129*8/108,6),0),IF('設定'!$B$12="切り上げ",ROUNDUP(ROUND($M129*8/108,6),0),ROUND($M129*8/108,0))),IF('設定'!$B$12="切り捨て",ROUNDDOWN(ROUND($M129*8/100,6),0),IF('設定'!$B$12="切り上げ",ROUNDUP(ROUND($M129*8/100,6),0),ROUND($M129*8/100,0)))))</f>
        <v/>
      </c>
      <c r="Q129" s="26">
        <f>IF($B129="","",IF('設定'!$B$11="税込",$L129+$M129+$N129,$L129+$O129+$M129+$P129+$N129))</f>
        <v/>
      </c>
      <c r="R129" s="26">
        <f>IF($B129="","",IF($X129="",0,IF(INDEX('支払先'!$I$5:$I$104,$X129)&lt;&gt;"する",0,IF(INDEX('支払先'!$J$5:$J$104,$X129)="税抜",IF('設定'!$B$11="税込",($Y129-IF('設定'!$B$12="切り捨て",ROUNDDOWN(ROUND($Y129*10/110,6),0),IF('設定'!$B$12="切り上げ",ROUNDUP(ROUND($Y129*10/110,6),0),ROUND($Y129*10/110,0)))+$Z129-IF('設定'!$B$12="切り捨て",ROUNDDOWN(ROUND($Z129*8/108,6),0),IF('設定'!$B$12="切り上げ",ROUNDUP(ROUND($Z129*8/108,6),0),ROUND($Z129*8/108,0)))+$AA129),$Y129+$Z129+$AA129),IF('設定'!$B$11="税込",$Y129+$Z129+$AA129,($Y129+IF('設定'!$B$12="切り捨て",ROUNDDOWN(ROUND($Y129*10/100,6),0),IF('設定'!$B$12="切り上げ",ROUNDUP(ROUND($Y129*10/100,6),0),ROUND($Y129*10/100,0)))+$Z129+IF('設定'!$B$12="切り捨て",ROUNDDOWN(ROUND($Z129*8/100,6),0),IF('設定'!$B$12="切り上げ",ROUNDUP(ROUND($Z129*8/100,6),0),ROUND($Z129*8/100,0)))+$AA129))))))</f>
        <v/>
      </c>
      <c r="S129" s="26">
        <f>IF($B129="","",IF(N($R129)&lt;=0,0,IF($R129&lt;='設定'!$B$18,ROUNDDOWN(ROUND($R129*'設定'!$B$17,6),0),ROUNDDOWN(ROUND(($R129-'設定'!$B$18)*'設定'!$B$19,6),0)+'設定'!$B$20)))</f>
        <v/>
      </c>
      <c r="T129" s="26">
        <f>IF($B129="","",IF($X129="",0,IF(INDEX('支払先'!$K$5:$K$104,$X129)="差し引く",N(INDEX('支払先'!$L$5:$L$104,$X129)),0)))</f>
        <v/>
      </c>
      <c r="U129" s="26">
        <f>IF($B129="","",$Q129-$S129-$T129)</f>
        <v/>
      </c>
      <c r="V129" s="22">
        <f>IF($B129="","",MID(IF($C129="","／支払先コードが空",IF($X129="","／支払先にないコード",""))&amp;IF($K129=0,"／明細がない","")&amp;IF($AC129&gt;0,"／税率が空の明細 "&amp;$AC129&amp;"件（合計に入っていない）","")&amp;IF($X129="","",IF(INDEX('支払先'!$G$5:$G$104,$X129)="","／登録番号なし（仕入明細書にならない）",""))&amp;IF($AB129&gt;0,"／60日（2か月）を超える明細 "&amp;$AB129&amp;"件","")&amp;IF($X129="","",IF(AND(INDEX('支払先'!$K$5:$K$104,$X129)="差し引く",OR(INDEX('支払先'!$M$5:$M$104,$X129)&lt;&gt;"対象外",INDEX('支払先'!$N$5:$N$104,$X129)&lt;&gt;"対象外")),"／手数料を差し引けない取引か確かめる",""))&amp;IF(COUNTIF($B$5:$B$204,$B129)&gt;1,"／通知Noが重複","")&amp;IF(AND(ISNUMBER($D129),ISNUMBER($F129),$F129&lt;$D129),"／支払予定日が発行日より前",""),2,300))</f>
        <v/>
      </c>
      <c r="W129" s="67" t="n"/>
      <c r="X129" s="31">
        <f>IF(OR($B129="",$C129=""),"",IFERROR(MATCH($C129,'支払先'!$B$5:$B$104,0),""))</f>
        <v/>
      </c>
      <c r="Y129" s="31">
        <f>IF($B129="","",SUMIFS('支払明細'!$I$5:$I$1004,'支払明細'!$A$5:$A$1004,$B129,'支払明細'!$G$5:$G$1004,"10%（標準）",'支払明細'!$H$5:$H$1004,"&lt;&gt;対象外"))</f>
        <v/>
      </c>
      <c r="Z129" s="31">
        <f>IF($B129="","",SUMIFS('支払明細'!$I$5:$I$1004,'支払明細'!$A$5:$A$1004,$B129,'支払明細'!$G$5:$G$1004,"8%（軽減）",'支払明細'!$H$5:$H$1004,"&lt;&gt;対象外"))</f>
        <v/>
      </c>
      <c r="AA129" s="31">
        <f>IF($B129="","",SUMIFS('支払明細'!$I$5:$I$1004,'支払明細'!$A$5:$A$1004,$B129,'支払明細'!$G$5:$G$1004,"対象外",'支払明細'!$H$5:$H$1004,"&lt;&gt;対象外"))</f>
        <v/>
      </c>
      <c r="AB129" s="31">
        <f>IF($B129="","",COUNTIFS('支払明細'!$A$5:$A$1004,$B129,'支払明細'!$M$5:$M$1004,"超える"))</f>
        <v/>
      </c>
      <c r="AC129" s="31">
        <f>IF($B129="","",COUNTIFS('支払明細'!$A$5:$A$1004,$B129,'支払明細'!$G$5:$G$1004,""))</f>
        <v/>
      </c>
    </row>
    <row r="130" ht="18" customHeight="1">
      <c r="A130" s="17" t="n">
        <v>126</v>
      </c>
      <c r="B130" s="18" t="n"/>
      <c r="C130" s="18" t="n"/>
      <c r="D130" s="24" t="n"/>
      <c r="E130" s="19" t="n"/>
      <c r="F130" s="24" t="n"/>
      <c r="G130" s="28">
        <f>IF(AND($B130&lt;&gt;"",ISNUMBER($D130)),$D130+N('設定'!$B$13),"")</f>
        <v/>
      </c>
      <c r="H130" s="18" t="n"/>
      <c r="I130" s="19" t="n"/>
      <c r="J130" s="27">
        <f>IF($B130="","",IF($C130="","（支払先コードが空）",IF($X130="","※支払先にないコード",INDEX('支払先'!$C$5:$C$104,$X130)&amp;"")))</f>
        <v/>
      </c>
      <c r="K130" s="30">
        <f>IF($B130="","",COUNTIF('支払明細'!$A$5:$A$1004,$B130))</f>
        <v/>
      </c>
      <c r="L130" s="26">
        <f>IF($B130="","",SUMIFS('支払明細'!$I$5:$I$1004,'支払明細'!$A$5:$A$1004,$B130,'支払明細'!$G$5:$G$1004,"10%（標準）"))</f>
        <v/>
      </c>
      <c r="M130" s="26">
        <f>IF($B130="","",SUMIFS('支払明細'!$I$5:$I$1004,'支払明細'!$A$5:$A$1004,$B130,'支払明細'!$G$5:$G$1004,"8%（軽減）"))</f>
        <v/>
      </c>
      <c r="N130" s="26">
        <f>IF($B130="","",SUMIFS('支払明細'!$I$5:$I$1004,'支払明細'!$A$5:$A$1004,$B130,'支払明細'!$G$5:$G$1004,"対象外"))</f>
        <v/>
      </c>
      <c r="O130" s="26">
        <f>IF($B130="","",IF('設定'!$B$11="税込",IF('設定'!$B$12="切り捨て",ROUNDDOWN(ROUND($L130*10/110,6),0),IF('設定'!$B$12="切り上げ",ROUNDUP(ROUND($L130*10/110,6),0),ROUND($L130*10/110,0))),IF('設定'!$B$12="切り捨て",ROUNDDOWN(ROUND($L130*10/100,6),0),IF('設定'!$B$12="切り上げ",ROUNDUP(ROUND($L130*10/100,6),0),ROUND($L130*10/100,0)))))</f>
        <v/>
      </c>
      <c r="P130" s="26">
        <f>IF($B130="","",IF('設定'!$B$11="税込",IF('設定'!$B$12="切り捨て",ROUNDDOWN(ROUND($M130*8/108,6),0),IF('設定'!$B$12="切り上げ",ROUNDUP(ROUND($M130*8/108,6),0),ROUND($M130*8/108,0))),IF('設定'!$B$12="切り捨て",ROUNDDOWN(ROUND($M130*8/100,6),0),IF('設定'!$B$12="切り上げ",ROUNDUP(ROUND($M130*8/100,6),0),ROUND($M130*8/100,0)))))</f>
        <v/>
      </c>
      <c r="Q130" s="26">
        <f>IF($B130="","",IF('設定'!$B$11="税込",$L130+$M130+$N130,$L130+$O130+$M130+$P130+$N130))</f>
        <v/>
      </c>
      <c r="R130" s="26">
        <f>IF($B130="","",IF($X130="",0,IF(INDEX('支払先'!$I$5:$I$104,$X130)&lt;&gt;"する",0,IF(INDEX('支払先'!$J$5:$J$104,$X130)="税抜",IF('設定'!$B$11="税込",($Y130-IF('設定'!$B$12="切り捨て",ROUNDDOWN(ROUND($Y130*10/110,6),0),IF('設定'!$B$12="切り上げ",ROUNDUP(ROUND($Y130*10/110,6),0),ROUND($Y130*10/110,0)))+$Z130-IF('設定'!$B$12="切り捨て",ROUNDDOWN(ROUND($Z130*8/108,6),0),IF('設定'!$B$12="切り上げ",ROUNDUP(ROUND($Z130*8/108,6),0),ROUND($Z130*8/108,0)))+$AA130),$Y130+$Z130+$AA130),IF('設定'!$B$11="税込",$Y130+$Z130+$AA130,($Y130+IF('設定'!$B$12="切り捨て",ROUNDDOWN(ROUND($Y130*10/100,6),0),IF('設定'!$B$12="切り上げ",ROUNDUP(ROUND($Y130*10/100,6),0),ROUND($Y130*10/100,0)))+$Z130+IF('設定'!$B$12="切り捨て",ROUNDDOWN(ROUND($Z130*8/100,6),0),IF('設定'!$B$12="切り上げ",ROUNDUP(ROUND($Z130*8/100,6),0),ROUND($Z130*8/100,0)))+$AA130))))))</f>
        <v/>
      </c>
      <c r="S130" s="26">
        <f>IF($B130="","",IF(N($R130)&lt;=0,0,IF($R130&lt;='設定'!$B$18,ROUNDDOWN(ROUND($R130*'設定'!$B$17,6),0),ROUNDDOWN(ROUND(($R130-'設定'!$B$18)*'設定'!$B$19,6),0)+'設定'!$B$20)))</f>
        <v/>
      </c>
      <c r="T130" s="26">
        <f>IF($B130="","",IF($X130="",0,IF(INDEX('支払先'!$K$5:$K$104,$X130)="差し引く",N(INDEX('支払先'!$L$5:$L$104,$X130)),0)))</f>
        <v/>
      </c>
      <c r="U130" s="26">
        <f>IF($B130="","",$Q130-$S130-$T130)</f>
        <v/>
      </c>
      <c r="V130" s="22">
        <f>IF($B130="","",MID(IF($C130="","／支払先コードが空",IF($X130="","／支払先にないコード",""))&amp;IF($K130=0,"／明細がない","")&amp;IF($AC130&gt;0,"／税率が空の明細 "&amp;$AC130&amp;"件（合計に入っていない）","")&amp;IF($X130="","",IF(INDEX('支払先'!$G$5:$G$104,$X130)="","／登録番号なし（仕入明細書にならない）",""))&amp;IF($AB130&gt;0,"／60日（2か月）を超える明細 "&amp;$AB130&amp;"件","")&amp;IF($X130="","",IF(AND(INDEX('支払先'!$K$5:$K$104,$X130)="差し引く",OR(INDEX('支払先'!$M$5:$M$104,$X130)&lt;&gt;"対象外",INDEX('支払先'!$N$5:$N$104,$X130)&lt;&gt;"対象外")),"／手数料を差し引けない取引か確かめる",""))&amp;IF(COUNTIF($B$5:$B$204,$B130)&gt;1,"／通知Noが重複","")&amp;IF(AND(ISNUMBER($D130),ISNUMBER($F130),$F130&lt;$D130),"／支払予定日が発行日より前",""),2,300))</f>
        <v/>
      </c>
      <c r="W130" s="67" t="n"/>
      <c r="X130" s="31">
        <f>IF(OR($B130="",$C130=""),"",IFERROR(MATCH($C130,'支払先'!$B$5:$B$104,0),""))</f>
        <v/>
      </c>
      <c r="Y130" s="31">
        <f>IF($B130="","",SUMIFS('支払明細'!$I$5:$I$1004,'支払明細'!$A$5:$A$1004,$B130,'支払明細'!$G$5:$G$1004,"10%（標準）",'支払明細'!$H$5:$H$1004,"&lt;&gt;対象外"))</f>
        <v/>
      </c>
      <c r="Z130" s="31">
        <f>IF($B130="","",SUMIFS('支払明細'!$I$5:$I$1004,'支払明細'!$A$5:$A$1004,$B130,'支払明細'!$G$5:$G$1004,"8%（軽減）",'支払明細'!$H$5:$H$1004,"&lt;&gt;対象外"))</f>
        <v/>
      </c>
      <c r="AA130" s="31">
        <f>IF($B130="","",SUMIFS('支払明細'!$I$5:$I$1004,'支払明細'!$A$5:$A$1004,$B130,'支払明細'!$G$5:$G$1004,"対象外",'支払明細'!$H$5:$H$1004,"&lt;&gt;対象外"))</f>
        <v/>
      </c>
      <c r="AB130" s="31">
        <f>IF($B130="","",COUNTIFS('支払明細'!$A$5:$A$1004,$B130,'支払明細'!$M$5:$M$1004,"超える"))</f>
        <v/>
      </c>
      <c r="AC130" s="31">
        <f>IF($B130="","",COUNTIFS('支払明細'!$A$5:$A$1004,$B130,'支払明細'!$G$5:$G$1004,""))</f>
        <v/>
      </c>
    </row>
    <row r="131" ht="18" customHeight="1">
      <c r="A131" s="17" t="n">
        <v>127</v>
      </c>
      <c r="B131" s="18" t="n"/>
      <c r="C131" s="18" t="n"/>
      <c r="D131" s="24" t="n"/>
      <c r="E131" s="19" t="n"/>
      <c r="F131" s="24" t="n"/>
      <c r="G131" s="28">
        <f>IF(AND($B131&lt;&gt;"",ISNUMBER($D131)),$D131+N('設定'!$B$13),"")</f>
        <v/>
      </c>
      <c r="H131" s="18" t="n"/>
      <c r="I131" s="19" t="n"/>
      <c r="J131" s="27">
        <f>IF($B131="","",IF($C131="","（支払先コードが空）",IF($X131="","※支払先にないコード",INDEX('支払先'!$C$5:$C$104,$X131)&amp;"")))</f>
        <v/>
      </c>
      <c r="K131" s="30">
        <f>IF($B131="","",COUNTIF('支払明細'!$A$5:$A$1004,$B131))</f>
        <v/>
      </c>
      <c r="L131" s="26">
        <f>IF($B131="","",SUMIFS('支払明細'!$I$5:$I$1004,'支払明細'!$A$5:$A$1004,$B131,'支払明細'!$G$5:$G$1004,"10%（標準）"))</f>
        <v/>
      </c>
      <c r="M131" s="26">
        <f>IF($B131="","",SUMIFS('支払明細'!$I$5:$I$1004,'支払明細'!$A$5:$A$1004,$B131,'支払明細'!$G$5:$G$1004,"8%（軽減）"))</f>
        <v/>
      </c>
      <c r="N131" s="26">
        <f>IF($B131="","",SUMIFS('支払明細'!$I$5:$I$1004,'支払明細'!$A$5:$A$1004,$B131,'支払明細'!$G$5:$G$1004,"対象外"))</f>
        <v/>
      </c>
      <c r="O131" s="26">
        <f>IF($B131="","",IF('設定'!$B$11="税込",IF('設定'!$B$12="切り捨て",ROUNDDOWN(ROUND($L131*10/110,6),0),IF('設定'!$B$12="切り上げ",ROUNDUP(ROUND($L131*10/110,6),0),ROUND($L131*10/110,0))),IF('設定'!$B$12="切り捨て",ROUNDDOWN(ROUND($L131*10/100,6),0),IF('設定'!$B$12="切り上げ",ROUNDUP(ROUND($L131*10/100,6),0),ROUND($L131*10/100,0)))))</f>
        <v/>
      </c>
      <c r="P131" s="26">
        <f>IF($B131="","",IF('設定'!$B$11="税込",IF('設定'!$B$12="切り捨て",ROUNDDOWN(ROUND($M131*8/108,6),0),IF('設定'!$B$12="切り上げ",ROUNDUP(ROUND($M131*8/108,6),0),ROUND($M131*8/108,0))),IF('設定'!$B$12="切り捨て",ROUNDDOWN(ROUND($M131*8/100,6),0),IF('設定'!$B$12="切り上げ",ROUNDUP(ROUND($M131*8/100,6),0),ROUND($M131*8/100,0)))))</f>
        <v/>
      </c>
      <c r="Q131" s="26">
        <f>IF($B131="","",IF('設定'!$B$11="税込",$L131+$M131+$N131,$L131+$O131+$M131+$P131+$N131))</f>
        <v/>
      </c>
      <c r="R131" s="26">
        <f>IF($B131="","",IF($X131="",0,IF(INDEX('支払先'!$I$5:$I$104,$X131)&lt;&gt;"する",0,IF(INDEX('支払先'!$J$5:$J$104,$X131)="税抜",IF('設定'!$B$11="税込",($Y131-IF('設定'!$B$12="切り捨て",ROUNDDOWN(ROUND($Y131*10/110,6),0),IF('設定'!$B$12="切り上げ",ROUNDUP(ROUND($Y131*10/110,6),0),ROUND($Y131*10/110,0)))+$Z131-IF('設定'!$B$12="切り捨て",ROUNDDOWN(ROUND($Z131*8/108,6),0),IF('設定'!$B$12="切り上げ",ROUNDUP(ROUND($Z131*8/108,6),0),ROUND($Z131*8/108,0)))+$AA131),$Y131+$Z131+$AA131),IF('設定'!$B$11="税込",$Y131+$Z131+$AA131,($Y131+IF('設定'!$B$12="切り捨て",ROUNDDOWN(ROUND($Y131*10/100,6),0),IF('設定'!$B$12="切り上げ",ROUNDUP(ROUND($Y131*10/100,6),0),ROUND($Y131*10/100,0)))+$Z131+IF('設定'!$B$12="切り捨て",ROUNDDOWN(ROUND($Z131*8/100,6),0),IF('設定'!$B$12="切り上げ",ROUNDUP(ROUND($Z131*8/100,6),0),ROUND($Z131*8/100,0)))+$AA131))))))</f>
        <v/>
      </c>
      <c r="S131" s="26">
        <f>IF($B131="","",IF(N($R131)&lt;=0,0,IF($R131&lt;='設定'!$B$18,ROUNDDOWN(ROUND($R131*'設定'!$B$17,6),0),ROUNDDOWN(ROUND(($R131-'設定'!$B$18)*'設定'!$B$19,6),0)+'設定'!$B$20)))</f>
        <v/>
      </c>
      <c r="T131" s="26">
        <f>IF($B131="","",IF($X131="",0,IF(INDEX('支払先'!$K$5:$K$104,$X131)="差し引く",N(INDEX('支払先'!$L$5:$L$104,$X131)),0)))</f>
        <v/>
      </c>
      <c r="U131" s="26">
        <f>IF($B131="","",$Q131-$S131-$T131)</f>
        <v/>
      </c>
      <c r="V131" s="22">
        <f>IF($B131="","",MID(IF($C131="","／支払先コードが空",IF($X131="","／支払先にないコード",""))&amp;IF($K131=0,"／明細がない","")&amp;IF($AC131&gt;0,"／税率が空の明細 "&amp;$AC131&amp;"件（合計に入っていない）","")&amp;IF($X131="","",IF(INDEX('支払先'!$G$5:$G$104,$X131)="","／登録番号なし（仕入明細書にならない）",""))&amp;IF($AB131&gt;0,"／60日（2か月）を超える明細 "&amp;$AB131&amp;"件","")&amp;IF($X131="","",IF(AND(INDEX('支払先'!$K$5:$K$104,$X131)="差し引く",OR(INDEX('支払先'!$M$5:$M$104,$X131)&lt;&gt;"対象外",INDEX('支払先'!$N$5:$N$104,$X131)&lt;&gt;"対象外")),"／手数料を差し引けない取引か確かめる",""))&amp;IF(COUNTIF($B$5:$B$204,$B131)&gt;1,"／通知Noが重複","")&amp;IF(AND(ISNUMBER($D131),ISNUMBER($F131),$F131&lt;$D131),"／支払予定日が発行日より前",""),2,300))</f>
        <v/>
      </c>
      <c r="W131" s="67" t="n"/>
      <c r="X131" s="31">
        <f>IF(OR($B131="",$C131=""),"",IFERROR(MATCH($C131,'支払先'!$B$5:$B$104,0),""))</f>
        <v/>
      </c>
      <c r="Y131" s="31">
        <f>IF($B131="","",SUMIFS('支払明細'!$I$5:$I$1004,'支払明細'!$A$5:$A$1004,$B131,'支払明細'!$G$5:$G$1004,"10%（標準）",'支払明細'!$H$5:$H$1004,"&lt;&gt;対象外"))</f>
        <v/>
      </c>
      <c r="Z131" s="31">
        <f>IF($B131="","",SUMIFS('支払明細'!$I$5:$I$1004,'支払明細'!$A$5:$A$1004,$B131,'支払明細'!$G$5:$G$1004,"8%（軽減）",'支払明細'!$H$5:$H$1004,"&lt;&gt;対象外"))</f>
        <v/>
      </c>
      <c r="AA131" s="31">
        <f>IF($B131="","",SUMIFS('支払明細'!$I$5:$I$1004,'支払明細'!$A$5:$A$1004,$B131,'支払明細'!$G$5:$G$1004,"対象外",'支払明細'!$H$5:$H$1004,"&lt;&gt;対象外"))</f>
        <v/>
      </c>
      <c r="AB131" s="31">
        <f>IF($B131="","",COUNTIFS('支払明細'!$A$5:$A$1004,$B131,'支払明細'!$M$5:$M$1004,"超える"))</f>
        <v/>
      </c>
      <c r="AC131" s="31">
        <f>IF($B131="","",COUNTIFS('支払明細'!$A$5:$A$1004,$B131,'支払明細'!$G$5:$G$1004,""))</f>
        <v/>
      </c>
    </row>
    <row r="132" ht="18" customHeight="1">
      <c r="A132" s="17" t="n">
        <v>128</v>
      </c>
      <c r="B132" s="18" t="n"/>
      <c r="C132" s="18" t="n"/>
      <c r="D132" s="24" t="n"/>
      <c r="E132" s="19" t="n"/>
      <c r="F132" s="24" t="n"/>
      <c r="G132" s="28">
        <f>IF(AND($B132&lt;&gt;"",ISNUMBER($D132)),$D132+N('設定'!$B$13),"")</f>
        <v/>
      </c>
      <c r="H132" s="18" t="n"/>
      <c r="I132" s="19" t="n"/>
      <c r="J132" s="27">
        <f>IF($B132="","",IF($C132="","（支払先コードが空）",IF($X132="","※支払先にないコード",INDEX('支払先'!$C$5:$C$104,$X132)&amp;"")))</f>
        <v/>
      </c>
      <c r="K132" s="30">
        <f>IF($B132="","",COUNTIF('支払明細'!$A$5:$A$1004,$B132))</f>
        <v/>
      </c>
      <c r="L132" s="26">
        <f>IF($B132="","",SUMIFS('支払明細'!$I$5:$I$1004,'支払明細'!$A$5:$A$1004,$B132,'支払明細'!$G$5:$G$1004,"10%（標準）"))</f>
        <v/>
      </c>
      <c r="M132" s="26">
        <f>IF($B132="","",SUMIFS('支払明細'!$I$5:$I$1004,'支払明細'!$A$5:$A$1004,$B132,'支払明細'!$G$5:$G$1004,"8%（軽減）"))</f>
        <v/>
      </c>
      <c r="N132" s="26">
        <f>IF($B132="","",SUMIFS('支払明細'!$I$5:$I$1004,'支払明細'!$A$5:$A$1004,$B132,'支払明細'!$G$5:$G$1004,"対象外"))</f>
        <v/>
      </c>
      <c r="O132" s="26">
        <f>IF($B132="","",IF('設定'!$B$11="税込",IF('設定'!$B$12="切り捨て",ROUNDDOWN(ROUND($L132*10/110,6),0),IF('設定'!$B$12="切り上げ",ROUNDUP(ROUND($L132*10/110,6),0),ROUND($L132*10/110,0))),IF('設定'!$B$12="切り捨て",ROUNDDOWN(ROUND($L132*10/100,6),0),IF('設定'!$B$12="切り上げ",ROUNDUP(ROUND($L132*10/100,6),0),ROUND($L132*10/100,0)))))</f>
        <v/>
      </c>
      <c r="P132" s="26">
        <f>IF($B132="","",IF('設定'!$B$11="税込",IF('設定'!$B$12="切り捨て",ROUNDDOWN(ROUND($M132*8/108,6),0),IF('設定'!$B$12="切り上げ",ROUNDUP(ROUND($M132*8/108,6),0),ROUND($M132*8/108,0))),IF('設定'!$B$12="切り捨て",ROUNDDOWN(ROUND($M132*8/100,6),0),IF('設定'!$B$12="切り上げ",ROUNDUP(ROUND($M132*8/100,6),0),ROUND($M132*8/100,0)))))</f>
        <v/>
      </c>
      <c r="Q132" s="26">
        <f>IF($B132="","",IF('設定'!$B$11="税込",$L132+$M132+$N132,$L132+$O132+$M132+$P132+$N132))</f>
        <v/>
      </c>
      <c r="R132" s="26">
        <f>IF($B132="","",IF($X132="",0,IF(INDEX('支払先'!$I$5:$I$104,$X132)&lt;&gt;"する",0,IF(INDEX('支払先'!$J$5:$J$104,$X132)="税抜",IF('設定'!$B$11="税込",($Y132-IF('設定'!$B$12="切り捨て",ROUNDDOWN(ROUND($Y132*10/110,6),0),IF('設定'!$B$12="切り上げ",ROUNDUP(ROUND($Y132*10/110,6),0),ROUND($Y132*10/110,0)))+$Z132-IF('設定'!$B$12="切り捨て",ROUNDDOWN(ROUND($Z132*8/108,6),0),IF('設定'!$B$12="切り上げ",ROUNDUP(ROUND($Z132*8/108,6),0),ROUND($Z132*8/108,0)))+$AA132),$Y132+$Z132+$AA132),IF('設定'!$B$11="税込",$Y132+$Z132+$AA132,($Y132+IF('設定'!$B$12="切り捨て",ROUNDDOWN(ROUND($Y132*10/100,6),0),IF('設定'!$B$12="切り上げ",ROUNDUP(ROUND($Y132*10/100,6),0),ROUND($Y132*10/100,0)))+$Z132+IF('設定'!$B$12="切り捨て",ROUNDDOWN(ROUND($Z132*8/100,6),0),IF('設定'!$B$12="切り上げ",ROUNDUP(ROUND($Z132*8/100,6),0),ROUND($Z132*8/100,0)))+$AA132))))))</f>
        <v/>
      </c>
      <c r="S132" s="26">
        <f>IF($B132="","",IF(N($R132)&lt;=0,0,IF($R132&lt;='設定'!$B$18,ROUNDDOWN(ROUND($R132*'設定'!$B$17,6),0),ROUNDDOWN(ROUND(($R132-'設定'!$B$18)*'設定'!$B$19,6),0)+'設定'!$B$20)))</f>
        <v/>
      </c>
      <c r="T132" s="26">
        <f>IF($B132="","",IF($X132="",0,IF(INDEX('支払先'!$K$5:$K$104,$X132)="差し引く",N(INDEX('支払先'!$L$5:$L$104,$X132)),0)))</f>
        <v/>
      </c>
      <c r="U132" s="26">
        <f>IF($B132="","",$Q132-$S132-$T132)</f>
        <v/>
      </c>
      <c r="V132" s="22">
        <f>IF($B132="","",MID(IF($C132="","／支払先コードが空",IF($X132="","／支払先にないコード",""))&amp;IF($K132=0,"／明細がない","")&amp;IF($AC132&gt;0,"／税率が空の明細 "&amp;$AC132&amp;"件（合計に入っていない）","")&amp;IF($X132="","",IF(INDEX('支払先'!$G$5:$G$104,$X132)="","／登録番号なし（仕入明細書にならない）",""))&amp;IF($AB132&gt;0,"／60日（2か月）を超える明細 "&amp;$AB132&amp;"件","")&amp;IF($X132="","",IF(AND(INDEX('支払先'!$K$5:$K$104,$X132)="差し引く",OR(INDEX('支払先'!$M$5:$M$104,$X132)&lt;&gt;"対象外",INDEX('支払先'!$N$5:$N$104,$X132)&lt;&gt;"対象外")),"／手数料を差し引けない取引か確かめる",""))&amp;IF(COUNTIF($B$5:$B$204,$B132)&gt;1,"／通知Noが重複","")&amp;IF(AND(ISNUMBER($D132),ISNUMBER($F132),$F132&lt;$D132),"／支払予定日が発行日より前",""),2,300))</f>
        <v/>
      </c>
      <c r="W132" s="67" t="n"/>
      <c r="X132" s="31">
        <f>IF(OR($B132="",$C132=""),"",IFERROR(MATCH($C132,'支払先'!$B$5:$B$104,0),""))</f>
        <v/>
      </c>
      <c r="Y132" s="31">
        <f>IF($B132="","",SUMIFS('支払明細'!$I$5:$I$1004,'支払明細'!$A$5:$A$1004,$B132,'支払明細'!$G$5:$G$1004,"10%（標準）",'支払明細'!$H$5:$H$1004,"&lt;&gt;対象外"))</f>
        <v/>
      </c>
      <c r="Z132" s="31">
        <f>IF($B132="","",SUMIFS('支払明細'!$I$5:$I$1004,'支払明細'!$A$5:$A$1004,$B132,'支払明細'!$G$5:$G$1004,"8%（軽減）",'支払明細'!$H$5:$H$1004,"&lt;&gt;対象外"))</f>
        <v/>
      </c>
      <c r="AA132" s="31">
        <f>IF($B132="","",SUMIFS('支払明細'!$I$5:$I$1004,'支払明細'!$A$5:$A$1004,$B132,'支払明細'!$G$5:$G$1004,"対象外",'支払明細'!$H$5:$H$1004,"&lt;&gt;対象外"))</f>
        <v/>
      </c>
      <c r="AB132" s="31">
        <f>IF($B132="","",COUNTIFS('支払明細'!$A$5:$A$1004,$B132,'支払明細'!$M$5:$M$1004,"超える"))</f>
        <v/>
      </c>
      <c r="AC132" s="31">
        <f>IF($B132="","",COUNTIFS('支払明細'!$A$5:$A$1004,$B132,'支払明細'!$G$5:$G$1004,""))</f>
        <v/>
      </c>
    </row>
    <row r="133" ht="18" customHeight="1">
      <c r="A133" s="17" t="n">
        <v>129</v>
      </c>
      <c r="B133" s="18" t="n"/>
      <c r="C133" s="18" t="n"/>
      <c r="D133" s="24" t="n"/>
      <c r="E133" s="19" t="n"/>
      <c r="F133" s="24" t="n"/>
      <c r="G133" s="28">
        <f>IF(AND($B133&lt;&gt;"",ISNUMBER($D133)),$D133+N('設定'!$B$13),"")</f>
        <v/>
      </c>
      <c r="H133" s="18" t="n"/>
      <c r="I133" s="19" t="n"/>
      <c r="J133" s="27">
        <f>IF($B133="","",IF($C133="","（支払先コードが空）",IF($X133="","※支払先にないコード",INDEX('支払先'!$C$5:$C$104,$X133)&amp;"")))</f>
        <v/>
      </c>
      <c r="K133" s="30">
        <f>IF($B133="","",COUNTIF('支払明細'!$A$5:$A$1004,$B133))</f>
        <v/>
      </c>
      <c r="L133" s="26">
        <f>IF($B133="","",SUMIFS('支払明細'!$I$5:$I$1004,'支払明細'!$A$5:$A$1004,$B133,'支払明細'!$G$5:$G$1004,"10%（標準）"))</f>
        <v/>
      </c>
      <c r="M133" s="26">
        <f>IF($B133="","",SUMIFS('支払明細'!$I$5:$I$1004,'支払明細'!$A$5:$A$1004,$B133,'支払明細'!$G$5:$G$1004,"8%（軽減）"))</f>
        <v/>
      </c>
      <c r="N133" s="26">
        <f>IF($B133="","",SUMIFS('支払明細'!$I$5:$I$1004,'支払明細'!$A$5:$A$1004,$B133,'支払明細'!$G$5:$G$1004,"対象外"))</f>
        <v/>
      </c>
      <c r="O133" s="26">
        <f>IF($B133="","",IF('設定'!$B$11="税込",IF('設定'!$B$12="切り捨て",ROUNDDOWN(ROUND($L133*10/110,6),0),IF('設定'!$B$12="切り上げ",ROUNDUP(ROUND($L133*10/110,6),0),ROUND($L133*10/110,0))),IF('設定'!$B$12="切り捨て",ROUNDDOWN(ROUND($L133*10/100,6),0),IF('設定'!$B$12="切り上げ",ROUNDUP(ROUND($L133*10/100,6),0),ROUND($L133*10/100,0)))))</f>
        <v/>
      </c>
      <c r="P133" s="26">
        <f>IF($B133="","",IF('設定'!$B$11="税込",IF('設定'!$B$12="切り捨て",ROUNDDOWN(ROUND($M133*8/108,6),0),IF('設定'!$B$12="切り上げ",ROUNDUP(ROUND($M133*8/108,6),0),ROUND($M133*8/108,0))),IF('設定'!$B$12="切り捨て",ROUNDDOWN(ROUND($M133*8/100,6),0),IF('設定'!$B$12="切り上げ",ROUNDUP(ROUND($M133*8/100,6),0),ROUND($M133*8/100,0)))))</f>
        <v/>
      </c>
      <c r="Q133" s="26">
        <f>IF($B133="","",IF('設定'!$B$11="税込",$L133+$M133+$N133,$L133+$O133+$M133+$P133+$N133))</f>
        <v/>
      </c>
      <c r="R133" s="26">
        <f>IF($B133="","",IF($X133="",0,IF(INDEX('支払先'!$I$5:$I$104,$X133)&lt;&gt;"する",0,IF(INDEX('支払先'!$J$5:$J$104,$X133)="税抜",IF('設定'!$B$11="税込",($Y133-IF('設定'!$B$12="切り捨て",ROUNDDOWN(ROUND($Y133*10/110,6),0),IF('設定'!$B$12="切り上げ",ROUNDUP(ROUND($Y133*10/110,6),0),ROUND($Y133*10/110,0)))+$Z133-IF('設定'!$B$12="切り捨て",ROUNDDOWN(ROUND($Z133*8/108,6),0),IF('設定'!$B$12="切り上げ",ROUNDUP(ROUND($Z133*8/108,6),0),ROUND($Z133*8/108,0)))+$AA133),$Y133+$Z133+$AA133),IF('設定'!$B$11="税込",$Y133+$Z133+$AA133,($Y133+IF('設定'!$B$12="切り捨て",ROUNDDOWN(ROUND($Y133*10/100,6),0),IF('設定'!$B$12="切り上げ",ROUNDUP(ROUND($Y133*10/100,6),0),ROUND($Y133*10/100,0)))+$Z133+IF('設定'!$B$12="切り捨て",ROUNDDOWN(ROUND($Z133*8/100,6),0),IF('設定'!$B$12="切り上げ",ROUNDUP(ROUND($Z133*8/100,6),0),ROUND($Z133*8/100,0)))+$AA133))))))</f>
        <v/>
      </c>
      <c r="S133" s="26">
        <f>IF($B133="","",IF(N($R133)&lt;=0,0,IF($R133&lt;='設定'!$B$18,ROUNDDOWN(ROUND($R133*'設定'!$B$17,6),0),ROUNDDOWN(ROUND(($R133-'設定'!$B$18)*'設定'!$B$19,6),0)+'設定'!$B$20)))</f>
        <v/>
      </c>
      <c r="T133" s="26">
        <f>IF($B133="","",IF($X133="",0,IF(INDEX('支払先'!$K$5:$K$104,$X133)="差し引く",N(INDEX('支払先'!$L$5:$L$104,$X133)),0)))</f>
        <v/>
      </c>
      <c r="U133" s="26">
        <f>IF($B133="","",$Q133-$S133-$T133)</f>
        <v/>
      </c>
      <c r="V133" s="22">
        <f>IF($B133="","",MID(IF($C133="","／支払先コードが空",IF($X133="","／支払先にないコード",""))&amp;IF($K133=0,"／明細がない","")&amp;IF($AC133&gt;0,"／税率が空の明細 "&amp;$AC133&amp;"件（合計に入っていない）","")&amp;IF($X133="","",IF(INDEX('支払先'!$G$5:$G$104,$X133)="","／登録番号なし（仕入明細書にならない）",""))&amp;IF($AB133&gt;0,"／60日（2か月）を超える明細 "&amp;$AB133&amp;"件","")&amp;IF($X133="","",IF(AND(INDEX('支払先'!$K$5:$K$104,$X133)="差し引く",OR(INDEX('支払先'!$M$5:$M$104,$X133)&lt;&gt;"対象外",INDEX('支払先'!$N$5:$N$104,$X133)&lt;&gt;"対象外")),"／手数料を差し引けない取引か確かめる",""))&amp;IF(COUNTIF($B$5:$B$204,$B133)&gt;1,"／通知Noが重複","")&amp;IF(AND(ISNUMBER($D133),ISNUMBER($F133),$F133&lt;$D133),"／支払予定日が発行日より前",""),2,300))</f>
        <v/>
      </c>
      <c r="W133" s="67" t="n"/>
      <c r="X133" s="31">
        <f>IF(OR($B133="",$C133=""),"",IFERROR(MATCH($C133,'支払先'!$B$5:$B$104,0),""))</f>
        <v/>
      </c>
      <c r="Y133" s="31">
        <f>IF($B133="","",SUMIFS('支払明細'!$I$5:$I$1004,'支払明細'!$A$5:$A$1004,$B133,'支払明細'!$G$5:$G$1004,"10%（標準）",'支払明細'!$H$5:$H$1004,"&lt;&gt;対象外"))</f>
        <v/>
      </c>
      <c r="Z133" s="31">
        <f>IF($B133="","",SUMIFS('支払明細'!$I$5:$I$1004,'支払明細'!$A$5:$A$1004,$B133,'支払明細'!$G$5:$G$1004,"8%（軽減）",'支払明細'!$H$5:$H$1004,"&lt;&gt;対象外"))</f>
        <v/>
      </c>
      <c r="AA133" s="31">
        <f>IF($B133="","",SUMIFS('支払明細'!$I$5:$I$1004,'支払明細'!$A$5:$A$1004,$B133,'支払明細'!$G$5:$G$1004,"対象外",'支払明細'!$H$5:$H$1004,"&lt;&gt;対象外"))</f>
        <v/>
      </c>
      <c r="AB133" s="31">
        <f>IF($B133="","",COUNTIFS('支払明細'!$A$5:$A$1004,$B133,'支払明細'!$M$5:$M$1004,"超える"))</f>
        <v/>
      </c>
      <c r="AC133" s="31">
        <f>IF($B133="","",COUNTIFS('支払明細'!$A$5:$A$1004,$B133,'支払明細'!$G$5:$G$1004,""))</f>
        <v/>
      </c>
    </row>
    <row r="134" ht="18" customHeight="1">
      <c r="A134" s="17" t="n">
        <v>130</v>
      </c>
      <c r="B134" s="18" t="n"/>
      <c r="C134" s="18" t="n"/>
      <c r="D134" s="24" t="n"/>
      <c r="E134" s="19" t="n"/>
      <c r="F134" s="24" t="n"/>
      <c r="G134" s="28">
        <f>IF(AND($B134&lt;&gt;"",ISNUMBER($D134)),$D134+N('設定'!$B$13),"")</f>
        <v/>
      </c>
      <c r="H134" s="18" t="n"/>
      <c r="I134" s="19" t="n"/>
      <c r="J134" s="27">
        <f>IF($B134="","",IF($C134="","（支払先コードが空）",IF($X134="","※支払先にないコード",INDEX('支払先'!$C$5:$C$104,$X134)&amp;"")))</f>
        <v/>
      </c>
      <c r="K134" s="30">
        <f>IF($B134="","",COUNTIF('支払明細'!$A$5:$A$1004,$B134))</f>
        <v/>
      </c>
      <c r="L134" s="26">
        <f>IF($B134="","",SUMIFS('支払明細'!$I$5:$I$1004,'支払明細'!$A$5:$A$1004,$B134,'支払明細'!$G$5:$G$1004,"10%（標準）"))</f>
        <v/>
      </c>
      <c r="M134" s="26">
        <f>IF($B134="","",SUMIFS('支払明細'!$I$5:$I$1004,'支払明細'!$A$5:$A$1004,$B134,'支払明細'!$G$5:$G$1004,"8%（軽減）"))</f>
        <v/>
      </c>
      <c r="N134" s="26">
        <f>IF($B134="","",SUMIFS('支払明細'!$I$5:$I$1004,'支払明細'!$A$5:$A$1004,$B134,'支払明細'!$G$5:$G$1004,"対象外"))</f>
        <v/>
      </c>
      <c r="O134" s="26">
        <f>IF($B134="","",IF('設定'!$B$11="税込",IF('設定'!$B$12="切り捨て",ROUNDDOWN(ROUND($L134*10/110,6),0),IF('設定'!$B$12="切り上げ",ROUNDUP(ROUND($L134*10/110,6),0),ROUND($L134*10/110,0))),IF('設定'!$B$12="切り捨て",ROUNDDOWN(ROUND($L134*10/100,6),0),IF('設定'!$B$12="切り上げ",ROUNDUP(ROUND($L134*10/100,6),0),ROUND($L134*10/100,0)))))</f>
        <v/>
      </c>
      <c r="P134" s="26">
        <f>IF($B134="","",IF('設定'!$B$11="税込",IF('設定'!$B$12="切り捨て",ROUNDDOWN(ROUND($M134*8/108,6),0),IF('設定'!$B$12="切り上げ",ROUNDUP(ROUND($M134*8/108,6),0),ROUND($M134*8/108,0))),IF('設定'!$B$12="切り捨て",ROUNDDOWN(ROUND($M134*8/100,6),0),IF('設定'!$B$12="切り上げ",ROUNDUP(ROUND($M134*8/100,6),0),ROUND($M134*8/100,0)))))</f>
        <v/>
      </c>
      <c r="Q134" s="26">
        <f>IF($B134="","",IF('設定'!$B$11="税込",$L134+$M134+$N134,$L134+$O134+$M134+$P134+$N134))</f>
        <v/>
      </c>
      <c r="R134" s="26">
        <f>IF($B134="","",IF($X134="",0,IF(INDEX('支払先'!$I$5:$I$104,$X134)&lt;&gt;"する",0,IF(INDEX('支払先'!$J$5:$J$104,$X134)="税抜",IF('設定'!$B$11="税込",($Y134-IF('設定'!$B$12="切り捨て",ROUNDDOWN(ROUND($Y134*10/110,6),0),IF('設定'!$B$12="切り上げ",ROUNDUP(ROUND($Y134*10/110,6),0),ROUND($Y134*10/110,0)))+$Z134-IF('設定'!$B$12="切り捨て",ROUNDDOWN(ROUND($Z134*8/108,6),0),IF('設定'!$B$12="切り上げ",ROUNDUP(ROUND($Z134*8/108,6),0),ROUND($Z134*8/108,0)))+$AA134),$Y134+$Z134+$AA134),IF('設定'!$B$11="税込",$Y134+$Z134+$AA134,($Y134+IF('設定'!$B$12="切り捨て",ROUNDDOWN(ROUND($Y134*10/100,6),0),IF('設定'!$B$12="切り上げ",ROUNDUP(ROUND($Y134*10/100,6),0),ROUND($Y134*10/100,0)))+$Z134+IF('設定'!$B$12="切り捨て",ROUNDDOWN(ROUND($Z134*8/100,6),0),IF('設定'!$B$12="切り上げ",ROUNDUP(ROUND($Z134*8/100,6),0),ROUND($Z134*8/100,0)))+$AA134))))))</f>
        <v/>
      </c>
      <c r="S134" s="26">
        <f>IF($B134="","",IF(N($R134)&lt;=0,0,IF($R134&lt;='設定'!$B$18,ROUNDDOWN(ROUND($R134*'設定'!$B$17,6),0),ROUNDDOWN(ROUND(($R134-'設定'!$B$18)*'設定'!$B$19,6),0)+'設定'!$B$20)))</f>
        <v/>
      </c>
      <c r="T134" s="26">
        <f>IF($B134="","",IF($X134="",0,IF(INDEX('支払先'!$K$5:$K$104,$X134)="差し引く",N(INDEX('支払先'!$L$5:$L$104,$X134)),0)))</f>
        <v/>
      </c>
      <c r="U134" s="26">
        <f>IF($B134="","",$Q134-$S134-$T134)</f>
        <v/>
      </c>
      <c r="V134" s="22">
        <f>IF($B134="","",MID(IF($C134="","／支払先コードが空",IF($X134="","／支払先にないコード",""))&amp;IF($K134=0,"／明細がない","")&amp;IF($AC134&gt;0,"／税率が空の明細 "&amp;$AC134&amp;"件（合計に入っていない）","")&amp;IF($X134="","",IF(INDEX('支払先'!$G$5:$G$104,$X134)="","／登録番号なし（仕入明細書にならない）",""))&amp;IF($AB134&gt;0,"／60日（2か月）を超える明細 "&amp;$AB134&amp;"件","")&amp;IF($X134="","",IF(AND(INDEX('支払先'!$K$5:$K$104,$X134)="差し引く",OR(INDEX('支払先'!$M$5:$M$104,$X134)&lt;&gt;"対象外",INDEX('支払先'!$N$5:$N$104,$X134)&lt;&gt;"対象外")),"／手数料を差し引けない取引か確かめる",""))&amp;IF(COUNTIF($B$5:$B$204,$B134)&gt;1,"／通知Noが重複","")&amp;IF(AND(ISNUMBER($D134),ISNUMBER($F134),$F134&lt;$D134),"／支払予定日が発行日より前",""),2,300))</f>
        <v/>
      </c>
      <c r="W134" s="67" t="n"/>
      <c r="X134" s="31">
        <f>IF(OR($B134="",$C134=""),"",IFERROR(MATCH($C134,'支払先'!$B$5:$B$104,0),""))</f>
        <v/>
      </c>
      <c r="Y134" s="31">
        <f>IF($B134="","",SUMIFS('支払明細'!$I$5:$I$1004,'支払明細'!$A$5:$A$1004,$B134,'支払明細'!$G$5:$G$1004,"10%（標準）",'支払明細'!$H$5:$H$1004,"&lt;&gt;対象外"))</f>
        <v/>
      </c>
      <c r="Z134" s="31">
        <f>IF($B134="","",SUMIFS('支払明細'!$I$5:$I$1004,'支払明細'!$A$5:$A$1004,$B134,'支払明細'!$G$5:$G$1004,"8%（軽減）",'支払明細'!$H$5:$H$1004,"&lt;&gt;対象外"))</f>
        <v/>
      </c>
      <c r="AA134" s="31">
        <f>IF($B134="","",SUMIFS('支払明細'!$I$5:$I$1004,'支払明細'!$A$5:$A$1004,$B134,'支払明細'!$G$5:$G$1004,"対象外",'支払明細'!$H$5:$H$1004,"&lt;&gt;対象外"))</f>
        <v/>
      </c>
      <c r="AB134" s="31">
        <f>IF($B134="","",COUNTIFS('支払明細'!$A$5:$A$1004,$B134,'支払明細'!$M$5:$M$1004,"超える"))</f>
        <v/>
      </c>
      <c r="AC134" s="31">
        <f>IF($B134="","",COUNTIFS('支払明細'!$A$5:$A$1004,$B134,'支払明細'!$G$5:$G$1004,""))</f>
        <v/>
      </c>
    </row>
    <row r="135" ht="18" customHeight="1">
      <c r="A135" s="17" t="n">
        <v>131</v>
      </c>
      <c r="B135" s="18" t="n"/>
      <c r="C135" s="18" t="n"/>
      <c r="D135" s="24" t="n"/>
      <c r="E135" s="19" t="n"/>
      <c r="F135" s="24" t="n"/>
      <c r="G135" s="28">
        <f>IF(AND($B135&lt;&gt;"",ISNUMBER($D135)),$D135+N('設定'!$B$13),"")</f>
        <v/>
      </c>
      <c r="H135" s="18" t="n"/>
      <c r="I135" s="19" t="n"/>
      <c r="J135" s="27">
        <f>IF($B135="","",IF($C135="","（支払先コードが空）",IF($X135="","※支払先にないコード",INDEX('支払先'!$C$5:$C$104,$X135)&amp;"")))</f>
        <v/>
      </c>
      <c r="K135" s="30">
        <f>IF($B135="","",COUNTIF('支払明細'!$A$5:$A$1004,$B135))</f>
        <v/>
      </c>
      <c r="L135" s="26">
        <f>IF($B135="","",SUMIFS('支払明細'!$I$5:$I$1004,'支払明細'!$A$5:$A$1004,$B135,'支払明細'!$G$5:$G$1004,"10%（標準）"))</f>
        <v/>
      </c>
      <c r="M135" s="26">
        <f>IF($B135="","",SUMIFS('支払明細'!$I$5:$I$1004,'支払明細'!$A$5:$A$1004,$B135,'支払明細'!$G$5:$G$1004,"8%（軽減）"))</f>
        <v/>
      </c>
      <c r="N135" s="26">
        <f>IF($B135="","",SUMIFS('支払明細'!$I$5:$I$1004,'支払明細'!$A$5:$A$1004,$B135,'支払明細'!$G$5:$G$1004,"対象外"))</f>
        <v/>
      </c>
      <c r="O135" s="26">
        <f>IF($B135="","",IF('設定'!$B$11="税込",IF('設定'!$B$12="切り捨て",ROUNDDOWN(ROUND($L135*10/110,6),0),IF('設定'!$B$12="切り上げ",ROUNDUP(ROUND($L135*10/110,6),0),ROUND($L135*10/110,0))),IF('設定'!$B$12="切り捨て",ROUNDDOWN(ROUND($L135*10/100,6),0),IF('設定'!$B$12="切り上げ",ROUNDUP(ROUND($L135*10/100,6),0),ROUND($L135*10/100,0)))))</f>
        <v/>
      </c>
      <c r="P135" s="26">
        <f>IF($B135="","",IF('設定'!$B$11="税込",IF('設定'!$B$12="切り捨て",ROUNDDOWN(ROUND($M135*8/108,6),0),IF('設定'!$B$12="切り上げ",ROUNDUP(ROUND($M135*8/108,6),0),ROUND($M135*8/108,0))),IF('設定'!$B$12="切り捨て",ROUNDDOWN(ROUND($M135*8/100,6),0),IF('設定'!$B$12="切り上げ",ROUNDUP(ROUND($M135*8/100,6),0),ROUND($M135*8/100,0)))))</f>
        <v/>
      </c>
      <c r="Q135" s="26">
        <f>IF($B135="","",IF('設定'!$B$11="税込",$L135+$M135+$N135,$L135+$O135+$M135+$P135+$N135))</f>
        <v/>
      </c>
      <c r="R135" s="26">
        <f>IF($B135="","",IF($X135="",0,IF(INDEX('支払先'!$I$5:$I$104,$X135)&lt;&gt;"する",0,IF(INDEX('支払先'!$J$5:$J$104,$X135)="税抜",IF('設定'!$B$11="税込",($Y135-IF('設定'!$B$12="切り捨て",ROUNDDOWN(ROUND($Y135*10/110,6),0),IF('設定'!$B$12="切り上げ",ROUNDUP(ROUND($Y135*10/110,6),0),ROUND($Y135*10/110,0)))+$Z135-IF('設定'!$B$12="切り捨て",ROUNDDOWN(ROUND($Z135*8/108,6),0),IF('設定'!$B$12="切り上げ",ROUNDUP(ROUND($Z135*8/108,6),0),ROUND($Z135*8/108,0)))+$AA135),$Y135+$Z135+$AA135),IF('設定'!$B$11="税込",$Y135+$Z135+$AA135,($Y135+IF('設定'!$B$12="切り捨て",ROUNDDOWN(ROUND($Y135*10/100,6),0),IF('設定'!$B$12="切り上げ",ROUNDUP(ROUND($Y135*10/100,6),0),ROUND($Y135*10/100,0)))+$Z135+IF('設定'!$B$12="切り捨て",ROUNDDOWN(ROUND($Z135*8/100,6),0),IF('設定'!$B$12="切り上げ",ROUNDUP(ROUND($Z135*8/100,6),0),ROUND($Z135*8/100,0)))+$AA135))))))</f>
        <v/>
      </c>
      <c r="S135" s="26">
        <f>IF($B135="","",IF(N($R135)&lt;=0,0,IF($R135&lt;='設定'!$B$18,ROUNDDOWN(ROUND($R135*'設定'!$B$17,6),0),ROUNDDOWN(ROUND(($R135-'設定'!$B$18)*'設定'!$B$19,6),0)+'設定'!$B$20)))</f>
        <v/>
      </c>
      <c r="T135" s="26">
        <f>IF($B135="","",IF($X135="",0,IF(INDEX('支払先'!$K$5:$K$104,$X135)="差し引く",N(INDEX('支払先'!$L$5:$L$104,$X135)),0)))</f>
        <v/>
      </c>
      <c r="U135" s="26">
        <f>IF($B135="","",$Q135-$S135-$T135)</f>
        <v/>
      </c>
      <c r="V135" s="22">
        <f>IF($B135="","",MID(IF($C135="","／支払先コードが空",IF($X135="","／支払先にないコード",""))&amp;IF($K135=0,"／明細がない","")&amp;IF($AC135&gt;0,"／税率が空の明細 "&amp;$AC135&amp;"件（合計に入っていない）","")&amp;IF($X135="","",IF(INDEX('支払先'!$G$5:$G$104,$X135)="","／登録番号なし（仕入明細書にならない）",""))&amp;IF($AB135&gt;0,"／60日（2か月）を超える明細 "&amp;$AB135&amp;"件","")&amp;IF($X135="","",IF(AND(INDEX('支払先'!$K$5:$K$104,$X135)="差し引く",OR(INDEX('支払先'!$M$5:$M$104,$X135)&lt;&gt;"対象外",INDEX('支払先'!$N$5:$N$104,$X135)&lt;&gt;"対象外")),"／手数料を差し引けない取引か確かめる",""))&amp;IF(COUNTIF($B$5:$B$204,$B135)&gt;1,"／通知Noが重複","")&amp;IF(AND(ISNUMBER($D135),ISNUMBER($F135),$F135&lt;$D135),"／支払予定日が発行日より前",""),2,300))</f>
        <v/>
      </c>
      <c r="W135" s="67" t="n"/>
      <c r="X135" s="31">
        <f>IF(OR($B135="",$C135=""),"",IFERROR(MATCH($C135,'支払先'!$B$5:$B$104,0),""))</f>
        <v/>
      </c>
      <c r="Y135" s="31">
        <f>IF($B135="","",SUMIFS('支払明細'!$I$5:$I$1004,'支払明細'!$A$5:$A$1004,$B135,'支払明細'!$G$5:$G$1004,"10%（標準）",'支払明細'!$H$5:$H$1004,"&lt;&gt;対象外"))</f>
        <v/>
      </c>
      <c r="Z135" s="31">
        <f>IF($B135="","",SUMIFS('支払明細'!$I$5:$I$1004,'支払明細'!$A$5:$A$1004,$B135,'支払明細'!$G$5:$G$1004,"8%（軽減）",'支払明細'!$H$5:$H$1004,"&lt;&gt;対象外"))</f>
        <v/>
      </c>
      <c r="AA135" s="31">
        <f>IF($B135="","",SUMIFS('支払明細'!$I$5:$I$1004,'支払明細'!$A$5:$A$1004,$B135,'支払明細'!$G$5:$G$1004,"対象外",'支払明細'!$H$5:$H$1004,"&lt;&gt;対象外"))</f>
        <v/>
      </c>
      <c r="AB135" s="31">
        <f>IF($B135="","",COUNTIFS('支払明細'!$A$5:$A$1004,$B135,'支払明細'!$M$5:$M$1004,"超える"))</f>
        <v/>
      </c>
      <c r="AC135" s="31">
        <f>IF($B135="","",COUNTIFS('支払明細'!$A$5:$A$1004,$B135,'支払明細'!$G$5:$G$1004,""))</f>
        <v/>
      </c>
    </row>
    <row r="136" ht="18" customHeight="1">
      <c r="A136" s="17" t="n">
        <v>132</v>
      </c>
      <c r="B136" s="18" t="n"/>
      <c r="C136" s="18" t="n"/>
      <c r="D136" s="24" t="n"/>
      <c r="E136" s="19" t="n"/>
      <c r="F136" s="24" t="n"/>
      <c r="G136" s="28">
        <f>IF(AND($B136&lt;&gt;"",ISNUMBER($D136)),$D136+N('設定'!$B$13),"")</f>
        <v/>
      </c>
      <c r="H136" s="18" t="n"/>
      <c r="I136" s="19" t="n"/>
      <c r="J136" s="27">
        <f>IF($B136="","",IF($C136="","（支払先コードが空）",IF($X136="","※支払先にないコード",INDEX('支払先'!$C$5:$C$104,$X136)&amp;"")))</f>
        <v/>
      </c>
      <c r="K136" s="30">
        <f>IF($B136="","",COUNTIF('支払明細'!$A$5:$A$1004,$B136))</f>
        <v/>
      </c>
      <c r="L136" s="26">
        <f>IF($B136="","",SUMIFS('支払明細'!$I$5:$I$1004,'支払明細'!$A$5:$A$1004,$B136,'支払明細'!$G$5:$G$1004,"10%（標準）"))</f>
        <v/>
      </c>
      <c r="M136" s="26">
        <f>IF($B136="","",SUMIFS('支払明細'!$I$5:$I$1004,'支払明細'!$A$5:$A$1004,$B136,'支払明細'!$G$5:$G$1004,"8%（軽減）"))</f>
        <v/>
      </c>
      <c r="N136" s="26">
        <f>IF($B136="","",SUMIFS('支払明細'!$I$5:$I$1004,'支払明細'!$A$5:$A$1004,$B136,'支払明細'!$G$5:$G$1004,"対象外"))</f>
        <v/>
      </c>
      <c r="O136" s="26">
        <f>IF($B136="","",IF('設定'!$B$11="税込",IF('設定'!$B$12="切り捨て",ROUNDDOWN(ROUND($L136*10/110,6),0),IF('設定'!$B$12="切り上げ",ROUNDUP(ROUND($L136*10/110,6),0),ROUND($L136*10/110,0))),IF('設定'!$B$12="切り捨て",ROUNDDOWN(ROUND($L136*10/100,6),0),IF('設定'!$B$12="切り上げ",ROUNDUP(ROUND($L136*10/100,6),0),ROUND($L136*10/100,0)))))</f>
        <v/>
      </c>
      <c r="P136" s="26">
        <f>IF($B136="","",IF('設定'!$B$11="税込",IF('設定'!$B$12="切り捨て",ROUNDDOWN(ROUND($M136*8/108,6),0),IF('設定'!$B$12="切り上げ",ROUNDUP(ROUND($M136*8/108,6),0),ROUND($M136*8/108,0))),IF('設定'!$B$12="切り捨て",ROUNDDOWN(ROUND($M136*8/100,6),0),IF('設定'!$B$12="切り上げ",ROUNDUP(ROUND($M136*8/100,6),0),ROUND($M136*8/100,0)))))</f>
        <v/>
      </c>
      <c r="Q136" s="26">
        <f>IF($B136="","",IF('設定'!$B$11="税込",$L136+$M136+$N136,$L136+$O136+$M136+$P136+$N136))</f>
        <v/>
      </c>
      <c r="R136" s="26">
        <f>IF($B136="","",IF($X136="",0,IF(INDEX('支払先'!$I$5:$I$104,$X136)&lt;&gt;"する",0,IF(INDEX('支払先'!$J$5:$J$104,$X136)="税抜",IF('設定'!$B$11="税込",($Y136-IF('設定'!$B$12="切り捨て",ROUNDDOWN(ROUND($Y136*10/110,6),0),IF('設定'!$B$12="切り上げ",ROUNDUP(ROUND($Y136*10/110,6),0),ROUND($Y136*10/110,0)))+$Z136-IF('設定'!$B$12="切り捨て",ROUNDDOWN(ROUND($Z136*8/108,6),0),IF('設定'!$B$12="切り上げ",ROUNDUP(ROUND($Z136*8/108,6),0),ROUND($Z136*8/108,0)))+$AA136),$Y136+$Z136+$AA136),IF('設定'!$B$11="税込",$Y136+$Z136+$AA136,($Y136+IF('設定'!$B$12="切り捨て",ROUNDDOWN(ROUND($Y136*10/100,6),0),IF('設定'!$B$12="切り上げ",ROUNDUP(ROUND($Y136*10/100,6),0),ROUND($Y136*10/100,0)))+$Z136+IF('設定'!$B$12="切り捨て",ROUNDDOWN(ROUND($Z136*8/100,6),0),IF('設定'!$B$12="切り上げ",ROUNDUP(ROUND($Z136*8/100,6),0),ROUND($Z136*8/100,0)))+$AA136))))))</f>
        <v/>
      </c>
      <c r="S136" s="26">
        <f>IF($B136="","",IF(N($R136)&lt;=0,0,IF($R136&lt;='設定'!$B$18,ROUNDDOWN(ROUND($R136*'設定'!$B$17,6),0),ROUNDDOWN(ROUND(($R136-'設定'!$B$18)*'設定'!$B$19,6),0)+'設定'!$B$20)))</f>
        <v/>
      </c>
      <c r="T136" s="26">
        <f>IF($B136="","",IF($X136="",0,IF(INDEX('支払先'!$K$5:$K$104,$X136)="差し引く",N(INDEX('支払先'!$L$5:$L$104,$X136)),0)))</f>
        <v/>
      </c>
      <c r="U136" s="26">
        <f>IF($B136="","",$Q136-$S136-$T136)</f>
        <v/>
      </c>
      <c r="V136" s="22">
        <f>IF($B136="","",MID(IF($C136="","／支払先コードが空",IF($X136="","／支払先にないコード",""))&amp;IF($K136=0,"／明細がない","")&amp;IF($AC136&gt;0,"／税率が空の明細 "&amp;$AC136&amp;"件（合計に入っていない）","")&amp;IF($X136="","",IF(INDEX('支払先'!$G$5:$G$104,$X136)="","／登録番号なし（仕入明細書にならない）",""))&amp;IF($AB136&gt;0,"／60日（2か月）を超える明細 "&amp;$AB136&amp;"件","")&amp;IF($X136="","",IF(AND(INDEX('支払先'!$K$5:$K$104,$X136)="差し引く",OR(INDEX('支払先'!$M$5:$M$104,$X136)&lt;&gt;"対象外",INDEX('支払先'!$N$5:$N$104,$X136)&lt;&gt;"対象外")),"／手数料を差し引けない取引か確かめる",""))&amp;IF(COUNTIF($B$5:$B$204,$B136)&gt;1,"／通知Noが重複","")&amp;IF(AND(ISNUMBER($D136),ISNUMBER($F136),$F136&lt;$D136),"／支払予定日が発行日より前",""),2,300))</f>
        <v/>
      </c>
      <c r="W136" s="67" t="n"/>
      <c r="X136" s="31">
        <f>IF(OR($B136="",$C136=""),"",IFERROR(MATCH($C136,'支払先'!$B$5:$B$104,0),""))</f>
        <v/>
      </c>
      <c r="Y136" s="31">
        <f>IF($B136="","",SUMIFS('支払明細'!$I$5:$I$1004,'支払明細'!$A$5:$A$1004,$B136,'支払明細'!$G$5:$G$1004,"10%（標準）",'支払明細'!$H$5:$H$1004,"&lt;&gt;対象外"))</f>
        <v/>
      </c>
      <c r="Z136" s="31">
        <f>IF($B136="","",SUMIFS('支払明細'!$I$5:$I$1004,'支払明細'!$A$5:$A$1004,$B136,'支払明細'!$G$5:$G$1004,"8%（軽減）",'支払明細'!$H$5:$H$1004,"&lt;&gt;対象外"))</f>
        <v/>
      </c>
      <c r="AA136" s="31">
        <f>IF($B136="","",SUMIFS('支払明細'!$I$5:$I$1004,'支払明細'!$A$5:$A$1004,$B136,'支払明細'!$G$5:$G$1004,"対象外",'支払明細'!$H$5:$H$1004,"&lt;&gt;対象外"))</f>
        <v/>
      </c>
      <c r="AB136" s="31">
        <f>IF($B136="","",COUNTIFS('支払明細'!$A$5:$A$1004,$B136,'支払明細'!$M$5:$M$1004,"超える"))</f>
        <v/>
      </c>
      <c r="AC136" s="31">
        <f>IF($B136="","",COUNTIFS('支払明細'!$A$5:$A$1004,$B136,'支払明細'!$G$5:$G$1004,""))</f>
        <v/>
      </c>
    </row>
    <row r="137" ht="18" customHeight="1">
      <c r="A137" s="17" t="n">
        <v>133</v>
      </c>
      <c r="B137" s="18" t="n"/>
      <c r="C137" s="18" t="n"/>
      <c r="D137" s="24" t="n"/>
      <c r="E137" s="19" t="n"/>
      <c r="F137" s="24" t="n"/>
      <c r="G137" s="28">
        <f>IF(AND($B137&lt;&gt;"",ISNUMBER($D137)),$D137+N('設定'!$B$13),"")</f>
        <v/>
      </c>
      <c r="H137" s="18" t="n"/>
      <c r="I137" s="19" t="n"/>
      <c r="J137" s="27">
        <f>IF($B137="","",IF($C137="","（支払先コードが空）",IF($X137="","※支払先にないコード",INDEX('支払先'!$C$5:$C$104,$X137)&amp;"")))</f>
        <v/>
      </c>
      <c r="K137" s="30">
        <f>IF($B137="","",COUNTIF('支払明細'!$A$5:$A$1004,$B137))</f>
        <v/>
      </c>
      <c r="L137" s="26">
        <f>IF($B137="","",SUMIFS('支払明細'!$I$5:$I$1004,'支払明細'!$A$5:$A$1004,$B137,'支払明細'!$G$5:$G$1004,"10%（標準）"))</f>
        <v/>
      </c>
      <c r="M137" s="26">
        <f>IF($B137="","",SUMIFS('支払明細'!$I$5:$I$1004,'支払明細'!$A$5:$A$1004,$B137,'支払明細'!$G$5:$G$1004,"8%（軽減）"))</f>
        <v/>
      </c>
      <c r="N137" s="26">
        <f>IF($B137="","",SUMIFS('支払明細'!$I$5:$I$1004,'支払明細'!$A$5:$A$1004,$B137,'支払明細'!$G$5:$G$1004,"対象外"))</f>
        <v/>
      </c>
      <c r="O137" s="26">
        <f>IF($B137="","",IF('設定'!$B$11="税込",IF('設定'!$B$12="切り捨て",ROUNDDOWN(ROUND($L137*10/110,6),0),IF('設定'!$B$12="切り上げ",ROUNDUP(ROUND($L137*10/110,6),0),ROUND($L137*10/110,0))),IF('設定'!$B$12="切り捨て",ROUNDDOWN(ROUND($L137*10/100,6),0),IF('設定'!$B$12="切り上げ",ROUNDUP(ROUND($L137*10/100,6),0),ROUND($L137*10/100,0)))))</f>
        <v/>
      </c>
      <c r="P137" s="26">
        <f>IF($B137="","",IF('設定'!$B$11="税込",IF('設定'!$B$12="切り捨て",ROUNDDOWN(ROUND($M137*8/108,6),0),IF('設定'!$B$12="切り上げ",ROUNDUP(ROUND($M137*8/108,6),0),ROUND($M137*8/108,0))),IF('設定'!$B$12="切り捨て",ROUNDDOWN(ROUND($M137*8/100,6),0),IF('設定'!$B$12="切り上げ",ROUNDUP(ROUND($M137*8/100,6),0),ROUND($M137*8/100,0)))))</f>
        <v/>
      </c>
      <c r="Q137" s="26">
        <f>IF($B137="","",IF('設定'!$B$11="税込",$L137+$M137+$N137,$L137+$O137+$M137+$P137+$N137))</f>
        <v/>
      </c>
      <c r="R137" s="26">
        <f>IF($B137="","",IF($X137="",0,IF(INDEX('支払先'!$I$5:$I$104,$X137)&lt;&gt;"する",0,IF(INDEX('支払先'!$J$5:$J$104,$X137)="税抜",IF('設定'!$B$11="税込",($Y137-IF('設定'!$B$12="切り捨て",ROUNDDOWN(ROUND($Y137*10/110,6),0),IF('設定'!$B$12="切り上げ",ROUNDUP(ROUND($Y137*10/110,6),0),ROUND($Y137*10/110,0)))+$Z137-IF('設定'!$B$12="切り捨て",ROUNDDOWN(ROUND($Z137*8/108,6),0),IF('設定'!$B$12="切り上げ",ROUNDUP(ROUND($Z137*8/108,6),0),ROUND($Z137*8/108,0)))+$AA137),$Y137+$Z137+$AA137),IF('設定'!$B$11="税込",$Y137+$Z137+$AA137,($Y137+IF('設定'!$B$12="切り捨て",ROUNDDOWN(ROUND($Y137*10/100,6),0),IF('設定'!$B$12="切り上げ",ROUNDUP(ROUND($Y137*10/100,6),0),ROUND($Y137*10/100,0)))+$Z137+IF('設定'!$B$12="切り捨て",ROUNDDOWN(ROUND($Z137*8/100,6),0),IF('設定'!$B$12="切り上げ",ROUNDUP(ROUND($Z137*8/100,6),0),ROUND($Z137*8/100,0)))+$AA137))))))</f>
        <v/>
      </c>
      <c r="S137" s="26">
        <f>IF($B137="","",IF(N($R137)&lt;=0,0,IF($R137&lt;='設定'!$B$18,ROUNDDOWN(ROUND($R137*'設定'!$B$17,6),0),ROUNDDOWN(ROUND(($R137-'設定'!$B$18)*'設定'!$B$19,6),0)+'設定'!$B$20)))</f>
        <v/>
      </c>
      <c r="T137" s="26">
        <f>IF($B137="","",IF($X137="",0,IF(INDEX('支払先'!$K$5:$K$104,$X137)="差し引く",N(INDEX('支払先'!$L$5:$L$104,$X137)),0)))</f>
        <v/>
      </c>
      <c r="U137" s="26">
        <f>IF($B137="","",$Q137-$S137-$T137)</f>
        <v/>
      </c>
      <c r="V137" s="22">
        <f>IF($B137="","",MID(IF($C137="","／支払先コードが空",IF($X137="","／支払先にないコード",""))&amp;IF($K137=0,"／明細がない","")&amp;IF($AC137&gt;0,"／税率が空の明細 "&amp;$AC137&amp;"件（合計に入っていない）","")&amp;IF($X137="","",IF(INDEX('支払先'!$G$5:$G$104,$X137)="","／登録番号なし（仕入明細書にならない）",""))&amp;IF($AB137&gt;0,"／60日（2か月）を超える明細 "&amp;$AB137&amp;"件","")&amp;IF($X137="","",IF(AND(INDEX('支払先'!$K$5:$K$104,$X137)="差し引く",OR(INDEX('支払先'!$M$5:$M$104,$X137)&lt;&gt;"対象外",INDEX('支払先'!$N$5:$N$104,$X137)&lt;&gt;"対象外")),"／手数料を差し引けない取引か確かめる",""))&amp;IF(COUNTIF($B$5:$B$204,$B137)&gt;1,"／通知Noが重複","")&amp;IF(AND(ISNUMBER($D137),ISNUMBER($F137),$F137&lt;$D137),"／支払予定日が発行日より前",""),2,300))</f>
        <v/>
      </c>
      <c r="W137" s="67" t="n"/>
      <c r="X137" s="31">
        <f>IF(OR($B137="",$C137=""),"",IFERROR(MATCH($C137,'支払先'!$B$5:$B$104,0),""))</f>
        <v/>
      </c>
      <c r="Y137" s="31">
        <f>IF($B137="","",SUMIFS('支払明細'!$I$5:$I$1004,'支払明細'!$A$5:$A$1004,$B137,'支払明細'!$G$5:$G$1004,"10%（標準）",'支払明細'!$H$5:$H$1004,"&lt;&gt;対象外"))</f>
        <v/>
      </c>
      <c r="Z137" s="31">
        <f>IF($B137="","",SUMIFS('支払明細'!$I$5:$I$1004,'支払明細'!$A$5:$A$1004,$B137,'支払明細'!$G$5:$G$1004,"8%（軽減）",'支払明細'!$H$5:$H$1004,"&lt;&gt;対象外"))</f>
        <v/>
      </c>
      <c r="AA137" s="31">
        <f>IF($B137="","",SUMIFS('支払明細'!$I$5:$I$1004,'支払明細'!$A$5:$A$1004,$B137,'支払明細'!$G$5:$G$1004,"対象外",'支払明細'!$H$5:$H$1004,"&lt;&gt;対象外"))</f>
        <v/>
      </c>
      <c r="AB137" s="31">
        <f>IF($B137="","",COUNTIFS('支払明細'!$A$5:$A$1004,$B137,'支払明細'!$M$5:$M$1004,"超える"))</f>
        <v/>
      </c>
      <c r="AC137" s="31">
        <f>IF($B137="","",COUNTIFS('支払明細'!$A$5:$A$1004,$B137,'支払明細'!$G$5:$G$1004,""))</f>
        <v/>
      </c>
    </row>
    <row r="138" ht="18" customHeight="1">
      <c r="A138" s="17" t="n">
        <v>134</v>
      </c>
      <c r="B138" s="18" t="n"/>
      <c r="C138" s="18" t="n"/>
      <c r="D138" s="24" t="n"/>
      <c r="E138" s="19" t="n"/>
      <c r="F138" s="24" t="n"/>
      <c r="G138" s="28">
        <f>IF(AND($B138&lt;&gt;"",ISNUMBER($D138)),$D138+N('設定'!$B$13),"")</f>
        <v/>
      </c>
      <c r="H138" s="18" t="n"/>
      <c r="I138" s="19" t="n"/>
      <c r="J138" s="27">
        <f>IF($B138="","",IF($C138="","（支払先コードが空）",IF($X138="","※支払先にないコード",INDEX('支払先'!$C$5:$C$104,$X138)&amp;"")))</f>
        <v/>
      </c>
      <c r="K138" s="30">
        <f>IF($B138="","",COUNTIF('支払明細'!$A$5:$A$1004,$B138))</f>
        <v/>
      </c>
      <c r="L138" s="26">
        <f>IF($B138="","",SUMIFS('支払明細'!$I$5:$I$1004,'支払明細'!$A$5:$A$1004,$B138,'支払明細'!$G$5:$G$1004,"10%（標準）"))</f>
        <v/>
      </c>
      <c r="M138" s="26">
        <f>IF($B138="","",SUMIFS('支払明細'!$I$5:$I$1004,'支払明細'!$A$5:$A$1004,$B138,'支払明細'!$G$5:$G$1004,"8%（軽減）"))</f>
        <v/>
      </c>
      <c r="N138" s="26">
        <f>IF($B138="","",SUMIFS('支払明細'!$I$5:$I$1004,'支払明細'!$A$5:$A$1004,$B138,'支払明細'!$G$5:$G$1004,"対象外"))</f>
        <v/>
      </c>
      <c r="O138" s="26">
        <f>IF($B138="","",IF('設定'!$B$11="税込",IF('設定'!$B$12="切り捨て",ROUNDDOWN(ROUND($L138*10/110,6),0),IF('設定'!$B$12="切り上げ",ROUNDUP(ROUND($L138*10/110,6),0),ROUND($L138*10/110,0))),IF('設定'!$B$12="切り捨て",ROUNDDOWN(ROUND($L138*10/100,6),0),IF('設定'!$B$12="切り上げ",ROUNDUP(ROUND($L138*10/100,6),0),ROUND($L138*10/100,0)))))</f>
        <v/>
      </c>
      <c r="P138" s="26">
        <f>IF($B138="","",IF('設定'!$B$11="税込",IF('設定'!$B$12="切り捨て",ROUNDDOWN(ROUND($M138*8/108,6),0),IF('設定'!$B$12="切り上げ",ROUNDUP(ROUND($M138*8/108,6),0),ROUND($M138*8/108,0))),IF('設定'!$B$12="切り捨て",ROUNDDOWN(ROUND($M138*8/100,6),0),IF('設定'!$B$12="切り上げ",ROUNDUP(ROUND($M138*8/100,6),0),ROUND($M138*8/100,0)))))</f>
        <v/>
      </c>
      <c r="Q138" s="26">
        <f>IF($B138="","",IF('設定'!$B$11="税込",$L138+$M138+$N138,$L138+$O138+$M138+$P138+$N138))</f>
        <v/>
      </c>
      <c r="R138" s="26">
        <f>IF($B138="","",IF($X138="",0,IF(INDEX('支払先'!$I$5:$I$104,$X138)&lt;&gt;"する",0,IF(INDEX('支払先'!$J$5:$J$104,$X138)="税抜",IF('設定'!$B$11="税込",($Y138-IF('設定'!$B$12="切り捨て",ROUNDDOWN(ROUND($Y138*10/110,6),0),IF('設定'!$B$12="切り上げ",ROUNDUP(ROUND($Y138*10/110,6),0),ROUND($Y138*10/110,0)))+$Z138-IF('設定'!$B$12="切り捨て",ROUNDDOWN(ROUND($Z138*8/108,6),0),IF('設定'!$B$12="切り上げ",ROUNDUP(ROUND($Z138*8/108,6),0),ROUND($Z138*8/108,0)))+$AA138),$Y138+$Z138+$AA138),IF('設定'!$B$11="税込",$Y138+$Z138+$AA138,($Y138+IF('設定'!$B$12="切り捨て",ROUNDDOWN(ROUND($Y138*10/100,6),0),IF('設定'!$B$12="切り上げ",ROUNDUP(ROUND($Y138*10/100,6),0),ROUND($Y138*10/100,0)))+$Z138+IF('設定'!$B$12="切り捨て",ROUNDDOWN(ROUND($Z138*8/100,6),0),IF('設定'!$B$12="切り上げ",ROUNDUP(ROUND($Z138*8/100,6),0),ROUND($Z138*8/100,0)))+$AA138))))))</f>
        <v/>
      </c>
      <c r="S138" s="26">
        <f>IF($B138="","",IF(N($R138)&lt;=0,0,IF($R138&lt;='設定'!$B$18,ROUNDDOWN(ROUND($R138*'設定'!$B$17,6),0),ROUNDDOWN(ROUND(($R138-'設定'!$B$18)*'設定'!$B$19,6),0)+'設定'!$B$20)))</f>
        <v/>
      </c>
      <c r="T138" s="26">
        <f>IF($B138="","",IF($X138="",0,IF(INDEX('支払先'!$K$5:$K$104,$X138)="差し引く",N(INDEX('支払先'!$L$5:$L$104,$X138)),0)))</f>
        <v/>
      </c>
      <c r="U138" s="26">
        <f>IF($B138="","",$Q138-$S138-$T138)</f>
        <v/>
      </c>
      <c r="V138" s="22">
        <f>IF($B138="","",MID(IF($C138="","／支払先コードが空",IF($X138="","／支払先にないコード",""))&amp;IF($K138=0,"／明細がない","")&amp;IF($AC138&gt;0,"／税率が空の明細 "&amp;$AC138&amp;"件（合計に入っていない）","")&amp;IF($X138="","",IF(INDEX('支払先'!$G$5:$G$104,$X138)="","／登録番号なし（仕入明細書にならない）",""))&amp;IF($AB138&gt;0,"／60日（2か月）を超える明細 "&amp;$AB138&amp;"件","")&amp;IF($X138="","",IF(AND(INDEX('支払先'!$K$5:$K$104,$X138)="差し引く",OR(INDEX('支払先'!$M$5:$M$104,$X138)&lt;&gt;"対象外",INDEX('支払先'!$N$5:$N$104,$X138)&lt;&gt;"対象外")),"／手数料を差し引けない取引か確かめる",""))&amp;IF(COUNTIF($B$5:$B$204,$B138)&gt;1,"／通知Noが重複","")&amp;IF(AND(ISNUMBER($D138),ISNUMBER($F138),$F138&lt;$D138),"／支払予定日が発行日より前",""),2,300))</f>
        <v/>
      </c>
      <c r="W138" s="67" t="n"/>
      <c r="X138" s="31">
        <f>IF(OR($B138="",$C138=""),"",IFERROR(MATCH($C138,'支払先'!$B$5:$B$104,0),""))</f>
        <v/>
      </c>
      <c r="Y138" s="31">
        <f>IF($B138="","",SUMIFS('支払明細'!$I$5:$I$1004,'支払明細'!$A$5:$A$1004,$B138,'支払明細'!$G$5:$G$1004,"10%（標準）",'支払明細'!$H$5:$H$1004,"&lt;&gt;対象外"))</f>
        <v/>
      </c>
      <c r="Z138" s="31">
        <f>IF($B138="","",SUMIFS('支払明細'!$I$5:$I$1004,'支払明細'!$A$5:$A$1004,$B138,'支払明細'!$G$5:$G$1004,"8%（軽減）",'支払明細'!$H$5:$H$1004,"&lt;&gt;対象外"))</f>
        <v/>
      </c>
      <c r="AA138" s="31">
        <f>IF($B138="","",SUMIFS('支払明細'!$I$5:$I$1004,'支払明細'!$A$5:$A$1004,$B138,'支払明細'!$G$5:$G$1004,"対象外",'支払明細'!$H$5:$H$1004,"&lt;&gt;対象外"))</f>
        <v/>
      </c>
      <c r="AB138" s="31">
        <f>IF($B138="","",COUNTIFS('支払明細'!$A$5:$A$1004,$B138,'支払明細'!$M$5:$M$1004,"超える"))</f>
        <v/>
      </c>
      <c r="AC138" s="31">
        <f>IF($B138="","",COUNTIFS('支払明細'!$A$5:$A$1004,$B138,'支払明細'!$G$5:$G$1004,""))</f>
        <v/>
      </c>
    </row>
    <row r="139" ht="18" customHeight="1">
      <c r="A139" s="17" t="n">
        <v>135</v>
      </c>
      <c r="B139" s="18" t="n"/>
      <c r="C139" s="18" t="n"/>
      <c r="D139" s="24" t="n"/>
      <c r="E139" s="19" t="n"/>
      <c r="F139" s="24" t="n"/>
      <c r="G139" s="28">
        <f>IF(AND($B139&lt;&gt;"",ISNUMBER($D139)),$D139+N('設定'!$B$13),"")</f>
        <v/>
      </c>
      <c r="H139" s="18" t="n"/>
      <c r="I139" s="19" t="n"/>
      <c r="J139" s="27">
        <f>IF($B139="","",IF($C139="","（支払先コードが空）",IF($X139="","※支払先にないコード",INDEX('支払先'!$C$5:$C$104,$X139)&amp;"")))</f>
        <v/>
      </c>
      <c r="K139" s="30">
        <f>IF($B139="","",COUNTIF('支払明細'!$A$5:$A$1004,$B139))</f>
        <v/>
      </c>
      <c r="L139" s="26">
        <f>IF($B139="","",SUMIFS('支払明細'!$I$5:$I$1004,'支払明細'!$A$5:$A$1004,$B139,'支払明細'!$G$5:$G$1004,"10%（標準）"))</f>
        <v/>
      </c>
      <c r="M139" s="26">
        <f>IF($B139="","",SUMIFS('支払明細'!$I$5:$I$1004,'支払明細'!$A$5:$A$1004,$B139,'支払明細'!$G$5:$G$1004,"8%（軽減）"))</f>
        <v/>
      </c>
      <c r="N139" s="26">
        <f>IF($B139="","",SUMIFS('支払明細'!$I$5:$I$1004,'支払明細'!$A$5:$A$1004,$B139,'支払明細'!$G$5:$G$1004,"対象外"))</f>
        <v/>
      </c>
      <c r="O139" s="26">
        <f>IF($B139="","",IF('設定'!$B$11="税込",IF('設定'!$B$12="切り捨て",ROUNDDOWN(ROUND($L139*10/110,6),0),IF('設定'!$B$12="切り上げ",ROUNDUP(ROUND($L139*10/110,6),0),ROUND($L139*10/110,0))),IF('設定'!$B$12="切り捨て",ROUNDDOWN(ROUND($L139*10/100,6),0),IF('設定'!$B$12="切り上げ",ROUNDUP(ROUND($L139*10/100,6),0),ROUND($L139*10/100,0)))))</f>
        <v/>
      </c>
      <c r="P139" s="26">
        <f>IF($B139="","",IF('設定'!$B$11="税込",IF('設定'!$B$12="切り捨て",ROUNDDOWN(ROUND($M139*8/108,6),0),IF('設定'!$B$12="切り上げ",ROUNDUP(ROUND($M139*8/108,6),0),ROUND($M139*8/108,0))),IF('設定'!$B$12="切り捨て",ROUNDDOWN(ROUND($M139*8/100,6),0),IF('設定'!$B$12="切り上げ",ROUNDUP(ROUND($M139*8/100,6),0),ROUND($M139*8/100,0)))))</f>
        <v/>
      </c>
      <c r="Q139" s="26">
        <f>IF($B139="","",IF('設定'!$B$11="税込",$L139+$M139+$N139,$L139+$O139+$M139+$P139+$N139))</f>
        <v/>
      </c>
      <c r="R139" s="26">
        <f>IF($B139="","",IF($X139="",0,IF(INDEX('支払先'!$I$5:$I$104,$X139)&lt;&gt;"する",0,IF(INDEX('支払先'!$J$5:$J$104,$X139)="税抜",IF('設定'!$B$11="税込",($Y139-IF('設定'!$B$12="切り捨て",ROUNDDOWN(ROUND($Y139*10/110,6),0),IF('設定'!$B$12="切り上げ",ROUNDUP(ROUND($Y139*10/110,6),0),ROUND($Y139*10/110,0)))+$Z139-IF('設定'!$B$12="切り捨て",ROUNDDOWN(ROUND($Z139*8/108,6),0),IF('設定'!$B$12="切り上げ",ROUNDUP(ROUND($Z139*8/108,6),0),ROUND($Z139*8/108,0)))+$AA139),$Y139+$Z139+$AA139),IF('設定'!$B$11="税込",$Y139+$Z139+$AA139,($Y139+IF('設定'!$B$12="切り捨て",ROUNDDOWN(ROUND($Y139*10/100,6),0),IF('設定'!$B$12="切り上げ",ROUNDUP(ROUND($Y139*10/100,6),0),ROUND($Y139*10/100,0)))+$Z139+IF('設定'!$B$12="切り捨て",ROUNDDOWN(ROUND($Z139*8/100,6),0),IF('設定'!$B$12="切り上げ",ROUNDUP(ROUND($Z139*8/100,6),0),ROUND($Z139*8/100,0)))+$AA139))))))</f>
        <v/>
      </c>
      <c r="S139" s="26">
        <f>IF($B139="","",IF(N($R139)&lt;=0,0,IF($R139&lt;='設定'!$B$18,ROUNDDOWN(ROUND($R139*'設定'!$B$17,6),0),ROUNDDOWN(ROUND(($R139-'設定'!$B$18)*'設定'!$B$19,6),0)+'設定'!$B$20)))</f>
        <v/>
      </c>
      <c r="T139" s="26">
        <f>IF($B139="","",IF($X139="",0,IF(INDEX('支払先'!$K$5:$K$104,$X139)="差し引く",N(INDEX('支払先'!$L$5:$L$104,$X139)),0)))</f>
        <v/>
      </c>
      <c r="U139" s="26">
        <f>IF($B139="","",$Q139-$S139-$T139)</f>
        <v/>
      </c>
      <c r="V139" s="22">
        <f>IF($B139="","",MID(IF($C139="","／支払先コードが空",IF($X139="","／支払先にないコード",""))&amp;IF($K139=0,"／明細がない","")&amp;IF($AC139&gt;0,"／税率が空の明細 "&amp;$AC139&amp;"件（合計に入っていない）","")&amp;IF($X139="","",IF(INDEX('支払先'!$G$5:$G$104,$X139)="","／登録番号なし（仕入明細書にならない）",""))&amp;IF($AB139&gt;0,"／60日（2か月）を超える明細 "&amp;$AB139&amp;"件","")&amp;IF($X139="","",IF(AND(INDEX('支払先'!$K$5:$K$104,$X139)="差し引く",OR(INDEX('支払先'!$M$5:$M$104,$X139)&lt;&gt;"対象外",INDEX('支払先'!$N$5:$N$104,$X139)&lt;&gt;"対象外")),"／手数料を差し引けない取引か確かめる",""))&amp;IF(COUNTIF($B$5:$B$204,$B139)&gt;1,"／通知Noが重複","")&amp;IF(AND(ISNUMBER($D139),ISNUMBER($F139),$F139&lt;$D139),"／支払予定日が発行日より前",""),2,300))</f>
        <v/>
      </c>
      <c r="W139" s="67" t="n"/>
      <c r="X139" s="31">
        <f>IF(OR($B139="",$C139=""),"",IFERROR(MATCH($C139,'支払先'!$B$5:$B$104,0),""))</f>
        <v/>
      </c>
      <c r="Y139" s="31">
        <f>IF($B139="","",SUMIFS('支払明細'!$I$5:$I$1004,'支払明細'!$A$5:$A$1004,$B139,'支払明細'!$G$5:$G$1004,"10%（標準）",'支払明細'!$H$5:$H$1004,"&lt;&gt;対象外"))</f>
        <v/>
      </c>
      <c r="Z139" s="31">
        <f>IF($B139="","",SUMIFS('支払明細'!$I$5:$I$1004,'支払明細'!$A$5:$A$1004,$B139,'支払明細'!$G$5:$G$1004,"8%（軽減）",'支払明細'!$H$5:$H$1004,"&lt;&gt;対象外"))</f>
        <v/>
      </c>
      <c r="AA139" s="31">
        <f>IF($B139="","",SUMIFS('支払明細'!$I$5:$I$1004,'支払明細'!$A$5:$A$1004,$B139,'支払明細'!$G$5:$G$1004,"対象外",'支払明細'!$H$5:$H$1004,"&lt;&gt;対象外"))</f>
        <v/>
      </c>
      <c r="AB139" s="31">
        <f>IF($B139="","",COUNTIFS('支払明細'!$A$5:$A$1004,$B139,'支払明細'!$M$5:$M$1004,"超える"))</f>
        <v/>
      </c>
      <c r="AC139" s="31">
        <f>IF($B139="","",COUNTIFS('支払明細'!$A$5:$A$1004,$B139,'支払明細'!$G$5:$G$1004,""))</f>
        <v/>
      </c>
    </row>
    <row r="140" ht="18" customHeight="1">
      <c r="A140" s="17" t="n">
        <v>136</v>
      </c>
      <c r="B140" s="18" t="n"/>
      <c r="C140" s="18" t="n"/>
      <c r="D140" s="24" t="n"/>
      <c r="E140" s="19" t="n"/>
      <c r="F140" s="24" t="n"/>
      <c r="G140" s="28">
        <f>IF(AND($B140&lt;&gt;"",ISNUMBER($D140)),$D140+N('設定'!$B$13),"")</f>
        <v/>
      </c>
      <c r="H140" s="18" t="n"/>
      <c r="I140" s="19" t="n"/>
      <c r="J140" s="27">
        <f>IF($B140="","",IF($C140="","（支払先コードが空）",IF($X140="","※支払先にないコード",INDEX('支払先'!$C$5:$C$104,$X140)&amp;"")))</f>
        <v/>
      </c>
      <c r="K140" s="30">
        <f>IF($B140="","",COUNTIF('支払明細'!$A$5:$A$1004,$B140))</f>
        <v/>
      </c>
      <c r="L140" s="26">
        <f>IF($B140="","",SUMIFS('支払明細'!$I$5:$I$1004,'支払明細'!$A$5:$A$1004,$B140,'支払明細'!$G$5:$G$1004,"10%（標準）"))</f>
        <v/>
      </c>
      <c r="M140" s="26">
        <f>IF($B140="","",SUMIFS('支払明細'!$I$5:$I$1004,'支払明細'!$A$5:$A$1004,$B140,'支払明細'!$G$5:$G$1004,"8%（軽減）"))</f>
        <v/>
      </c>
      <c r="N140" s="26">
        <f>IF($B140="","",SUMIFS('支払明細'!$I$5:$I$1004,'支払明細'!$A$5:$A$1004,$B140,'支払明細'!$G$5:$G$1004,"対象外"))</f>
        <v/>
      </c>
      <c r="O140" s="26">
        <f>IF($B140="","",IF('設定'!$B$11="税込",IF('設定'!$B$12="切り捨て",ROUNDDOWN(ROUND($L140*10/110,6),0),IF('設定'!$B$12="切り上げ",ROUNDUP(ROUND($L140*10/110,6),0),ROUND($L140*10/110,0))),IF('設定'!$B$12="切り捨て",ROUNDDOWN(ROUND($L140*10/100,6),0),IF('設定'!$B$12="切り上げ",ROUNDUP(ROUND($L140*10/100,6),0),ROUND($L140*10/100,0)))))</f>
        <v/>
      </c>
      <c r="P140" s="26">
        <f>IF($B140="","",IF('設定'!$B$11="税込",IF('設定'!$B$12="切り捨て",ROUNDDOWN(ROUND($M140*8/108,6),0),IF('設定'!$B$12="切り上げ",ROUNDUP(ROUND($M140*8/108,6),0),ROUND($M140*8/108,0))),IF('設定'!$B$12="切り捨て",ROUNDDOWN(ROUND($M140*8/100,6),0),IF('設定'!$B$12="切り上げ",ROUNDUP(ROUND($M140*8/100,6),0),ROUND($M140*8/100,0)))))</f>
        <v/>
      </c>
      <c r="Q140" s="26">
        <f>IF($B140="","",IF('設定'!$B$11="税込",$L140+$M140+$N140,$L140+$O140+$M140+$P140+$N140))</f>
        <v/>
      </c>
      <c r="R140" s="26">
        <f>IF($B140="","",IF($X140="",0,IF(INDEX('支払先'!$I$5:$I$104,$X140)&lt;&gt;"する",0,IF(INDEX('支払先'!$J$5:$J$104,$X140)="税抜",IF('設定'!$B$11="税込",($Y140-IF('設定'!$B$12="切り捨て",ROUNDDOWN(ROUND($Y140*10/110,6),0),IF('設定'!$B$12="切り上げ",ROUNDUP(ROUND($Y140*10/110,6),0),ROUND($Y140*10/110,0)))+$Z140-IF('設定'!$B$12="切り捨て",ROUNDDOWN(ROUND($Z140*8/108,6),0),IF('設定'!$B$12="切り上げ",ROUNDUP(ROUND($Z140*8/108,6),0),ROUND($Z140*8/108,0)))+$AA140),$Y140+$Z140+$AA140),IF('設定'!$B$11="税込",$Y140+$Z140+$AA140,($Y140+IF('設定'!$B$12="切り捨て",ROUNDDOWN(ROUND($Y140*10/100,6),0),IF('設定'!$B$12="切り上げ",ROUNDUP(ROUND($Y140*10/100,6),0),ROUND($Y140*10/100,0)))+$Z140+IF('設定'!$B$12="切り捨て",ROUNDDOWN(ROUND($Z140*8/100,6),0),IF('設定'!$B$12="切り上げ",ROUNDUP(ROUND($Z140*8/100,6),0),ROUND($Z140*8/100,0)))+$AA140))))))</f>
        <v/>
      </c>
      <c r="S140" s="26">
        <f>IF($B140="","",IF(N($R140)&lt;=0,0,IF($R140&lt;='設定'!$B$18,ROUNDDOWN(ROUND($R140*'設定'!$B$17,6),0),ROUNDDOWN(ROUND(($R140-'設定'!$B$18)*'設定'!$B$19,6),0)+'設定'!$B$20)))</f>
        <v/>
      </c>
      <c r="T140" s="26">
        <f>IF($B140="","",IF($X140="",0,IF(INDEX('支払先'!$K$5:$K$104,$X140)="差し引く",N(INDEX('支払先'!$L$5:$L$104,$X140)),0)))</f>
        <v/>
      </c>
      <c r="U140" s="26">
        <f>IF($B140="","",$Q140-$S140-$T140)</f>
        <v/>
      </c>
      <c r="V140" s="22">
        <f>IF($B140="","",MID(IF($C140="","／支払先コードが空",IF($X140="","／支払先にないコード",""))&amp;IF($K140=0,"／明細がない","")&amp;IF($AC140&gt;0,"／税率が空の明細 "&amp;$AC140&amp;"件（合計に入っていない）","")&amp;IF($X140="","",IF(INDEX('支払先'!$G$5:$G$104,$X140)="","／登録番号なし（仕入明細書にならない）",""))&amp;IF($AB140&gt;0,"／60日（2か月）を超える明細 "&amp;$AB140&amp;"件","")&amp;IF($X140="","",IF(AND(INDEX('支払先'!$K$5:$K$104,$X140)="差し引く",OR(INDEX('支払先'!$M$5:$M$104,$X140)&lt;&gt;"対象外",INDEX('支払先'!$N$5:$N$104,$X140)&lt;&gt;"対象外")),"／手数料を差し引けない取引か確かめる",""))&amp;IF(COUNTIF($B$5:$B$204,$B140)&gt;1,"／通知Noが重複","")&amp;IF(AND(ISNUMBER($D140),ISNUMBER($F140),$F140&lt;$D140),"／支払予定日が発行日より前",""),2,300))</f>
        <v/>
      </c>
      <c r="W140" s="67" t="n"/>
      <c r="X140" s="31">
        <f>IF(OR($B140="",$C140=""),"",IFERROR(MATCH($C140,'支払先'!$B$5:$B$104,0),""))</f>
        <v/>
      </c>
      <c r="Y140" s="31">
        <f>IF($B140="","",SUMIFS('支払明細'!$I$5:$I$1004,'支払明細'!$A$5:$A$1004,$B140,'支払明細'!$G$5:$G$1004,"10%（標準）",'支払明細'!$H$5:$H$1004,"&lt;&gt;対象外"))</f>
        <v/>
      </c>
      <c r="Z140" s="31">
        <f>IF($B140="","",SUMIFS('支払明細'!$I$5:$I$1004,'支払明細'!$A$5:$A$1004,$B140,'支払明細'!$G$5:$G$1004,"8%（軽減）",'支払明細'!$H$5:$H$1004,"&lt;&gt;対象外"))</f>
        <v/>
      </c>
      <c r="AA140" s="31">
        <f>IF($B140="","",SUMIFS('支払明細'!$I$5:$I$1004,'支払明細'!$A$5:$A$1004,$B140,'支払明細'!$G$5:$G$1004,"対象外",'支払明細'!$H$5:$H$1004,"&lt;&gt;対象外"))</f>
        <v/>
      </c>
      <c r="AB140" s="31">
        <f>IF($B140="","",COUNTIFS('支払明細'!$A$5:$A$1004,$B140,'支払明細'!$M$5:$M$1004,"超える"))</f>
        <v/>
      </c>
      <c r="AC140" s="31">
        <f>IF($B140="","",COUNTIFS('支払明細'!$A$5:$A$1004,$B140,'支払明細'!$G$5:$G$1004,""))</f>
        <v/>
      </c>
    </row>
    <row r="141" ht="18" customHeight="1">
      <c r="A141" s="17" t="n">
        <v>137</v>
      </c>
      <c r="B141" s="18" t="n"/>
      <c r="C141" s="18" t="n"/>
      <c r="D141" s="24" t="n"/>
      <c r="E141" s="19" t="n"/>
      <c r="F141" s="24" t="n"/>
      <c r="G141" s="28">
        <f>IF(AND($B141&lt;&gt;"",ISNUMBER($D141)),$D141+N('設定'!$B$13),"")</f>
        <v/>
      </c>
      <c r="H141" s="18" t="n"/>
      <c r="I141" s="19" t="n"/>
      <c r="J141" s="27">
        <f>IF($B141="","",IF($C141="","（支払先コードが空）",IF($X141="","※支払先にないコード",INDEX('支払先'!$C$5:$C$104,$X141)&amp;"")))</f>
        <v/>
      </c>
      <c r="K141" s="30">
        <f>IF($B141="","",COUNTIF('支払明細'!$A$5:$A$1004,$B141))</f>
        <v/>
      </c>
      <c r="L141" s="26">
        <f>IF($B141="","",SUMIFS('支払明細'!$I$5:$I$1004,'支払明細'!$A$5:$A$1004,$B141,'支払明細'!$G$5:$G$1004,"10%（標準）"))</f>
        <v/>
      </c>
      <c r="M141" s="26">
        <f>IF($B141="","",SUMIFS('支払明細'!$I$5:$I$1004,'支払明細'!$A$5:$A$1004,$B141,'支払明細'!$G$5:$G$1004,"8%（軽減）"))</f>
        <v/>
      </c>
      <c r="N141" s="26">
        <f>IF($B141="","",SUMIFS('支払明細'!$I$5:$I$1004,'支払明細'!$A$5:$A$1004,$B141,'支払明細'!$G$5:$G$1004,"対象外"))</f>
        <v/>
      </c>
      <c r="O141" s="26">
        <f>IF($B141="","",IF('設定'!$B$11="税込",IF('設定'!$B$12="切り捨て",ROUNDDOWN(ROUND($L141*10/110,6),0),IF('設定'!$B$12="切り上げ",ROUNDUP(ROUND($L141*10/110,6),0),ROUND($L141*10/110,0))),IF('設定'!$B$12="切り捨て",ROUNDDOWN(ROUND($L141*10/100,6),0),IF('設定'!$B$12="切り上げ",ROUNDUP(ROUND($L141*10/100,6),0),ROUND($L141*10/100,0)))))</f>
        <v/>
      </c>
      <c r="P141" s="26">
        <f>IF($B141="","",IF('設定'!$B$11="税込",IF('設定'!$B$12="切り捨て",ROUNDDOWN(ROUND($M141*8/108,6),0),IF('設定'!$B$12="切り上げ",ROUNDUP(ROUND($M141*8/108,6),0),ROUND($M141*8/108,0))),IF('設定'!$B$12="切り捨て",ROUNDDOWN(ROUND($M141*8/100,6),0),IF('設定'!$B$12="切り上げ",ROUNDUP(ROUND($M141*8/100,6),0),ROUND($M141*8/100,0)))))</f>
        <v/>
      </c>
      <c r="Q141" s="26">
        <f>IF($B141="","",IF('設定'!$B$11="税込",$L141+$M141+$N141,$L141+$O141+$M141+$P141+$N141))</f>
        <v/>
      </c>
      <c r="R141" s="26">
        <f>IF($B141="","",IF($X141="",0,IF(INDEX('支払先'!$I$5:$I$104,$X141)&lt;&gt;"する",0,IF(INDEX('支払先'!$J$5:$J$104,$X141)="税抜",IF('設定'!$B$11="税込",($Y141-IF('設定'!$B$12="切り捨て",ROUNDDOWN(ROUND($Y141*10/110,6),0),IF('設定'!$B$12="切り上げ",ROUNDUP(ROUND($Y141*10/110,6),0),ROUND($Y141*10/110,0)))+$Z141-IF('設定'!$B$12="切り捨て",ROUNDDOWN(ROUND($Z141*8/108,6),0),IF('設定'!$B$12="切り上げ",ROUNDUP(ROUND($Z141*8/108,6),0),ROUND($Z141*8/108,0)))+$AA141),$Y141+$Z141+$AA141),IF('設定'!$B$11="税込",$Y141+$Z141+$AA141,($Y141+IF('設定'!$B$12="切り捨て",ROUNDDOWN(ROUND($Y141*10/100,6),0),IF('設定'!$B$12="切り上げ",ROUNDUP(ROUND($Y141*10/100,6),0),ROUND($Y141*10/100,0)))+$Z141+IF('設定'!$B$12="切り捨て",ROUNDDOWN(ROUND($Z141*8/100,6),0),IF('設定'!$B$12="切り上げ",ROUNDUP(ROUND($Z141*8/100,6),0),ROUND($Z141*8/100,0)))+$AA141))))))</f>
        <v/>
      </c>
      <c r="S141" s="26">
        <f>IF($B141="","",IF(N($R141)&lt;=0,0,IF($R141&lt;='設定'!$B$18,ROUNDDOWN(ROUND($R141*'設定'!$B$17,6),0),ROUNDDOWN(ROUND(($R141-'設定'!$B$18)*'設定'!$B$19,6),0)+'設定'!$B$20)))</f>
        <v/>
      </c>
      <c r="T141" s="26">
        <f>IF($B141="","",IF($X141="",0,IF(INDEX('支払先'!$K$5:$K$104,$X141)="差し引く",N(INDEX('支払先'!$L$5:$L$104,$X141)),0)))</f>
        <v/>
      </c>
      <c r="U141" s="26">
        <f>IF($B141="","",$Q141-$S141-$T141)</f>
        <v/>
      </c>
      <c r="V141" s="22">
        <f>IF($B141="","",MID(IF($C141="","／支払先コードが空",IF($X141="","／支払先にないコード",""))&amp;IF($K141=0,"／明細がない","")&amp;IF($AC141&gt;0,"／税率が空の明細 "&amp;$AC141&amp;"件（合計に入っていない）","")&amp;IF($X141="","",IF(INDEX('支払先'!$G$5:$G$104,$X141)="","／登録番号なし（仕入明細書にならない）",""))&amp;IF($AB141&gt;0,"／60日（2か月）を超える明細 "&amp;$AB141&amp;"件","")&amp;IF($X141="","",IF(AND(INDEX('支払先'!$K$5:$K$104,$X141)="差し引く",OR(INDEX('支払先'!$M$5:$M$104,$X141)&lt;&gt;"対象外",INDEX('支払先'!$N$5:$N$104,$X141)&lt;&gt;"対象外")),"／手数料を差し引けない取引か確かめる",""))&amp;IF(COUNTIF($B$5:$B$204,$B141)&gt;1,"／通知Noが重複","")&amp;IF(AND(ISNUMBER($D141),ISNUMBER($F141),$F141&lt;$D141),"／支払予定日が発行日より前",""),2,300))</f>
        <v/>
      </c>
      <c r="W141" s="67" t="n"/>
      <c r="X141" s="31">
        <f>IF(OR($B141="",$C141=""),"",IFERROR(MATCH($C141,'支払先'!$B$5:$B$104,0),""))</f>
        <v/>
      </c>
      <c r="Y141" s="31">
        <f>IF($B141="","",SUMIFS('支払明細'!$I$5:$I$1004,'支払明細'!$A$5:$A$1004,$B141,'支払明細'!$G$5:$G$1004,"10%（標準）",'支払明細'!$H$5:$H$1004,"&lt;&gt;対象外"))</f>
        <v/>
      </c>
      <c r="Z141" s="31">
        <f>IF($B141="","",SUMIFS('支払明細'!$I$5:$I$1004,'支払明細'!$A$5:$A$1004,$B141,'支払明細'!$G$5:$G$1004,"8%（軽減）",'支払明細'!$H$5:$H$1004,"&lt;&gt;対象外"))</f>
        <v/>
      </c>
      <c r="AA141" s="31">
        <f>IF($B141="","",SUMIFS('支払明細'!$I$5:$I$1004,'支払明細'!$A$5:$A$1004,$B141,'支払明細'!$G$5:$G$1004,"対象外",'支払明細'!$H$5:$H$1004,"&lt;&gt;対象外"))</f>
        <v/>
      </c>
      <c r="AB141" s="31">
        <f>IF($B141="","",COUNTIFS('支払明細'!$A$5:$A$1004,$B141,'支払明細'!$M$5:$M$1004,"超える"))</f>
        <v/>
      </c>
      <c r="AC141" s="31">
        <f>IF($B141="","",COUNTIFS('支払明細'!$A$5:$A$1004,$B141,'支払明細'!$G$5:$G$1004,""))</f>
        <v/>
      </c>
    </row>
    <row r="142" ht="18" customHeight="1">
      <c r="A142" s="17" t="n">
        <v>138</v>
      </c>
      <c r="B142" s="18" t="n"/>
      <c r="C142" s="18" t="n"/>
      <c r="D142" s="24" t="n"/>
      <c r="E142" s="19" t="n"/>
      <c r="F142" s="24" t="n"/>
      <c r="G142" s="28">
        <f>IF(AND($B142&lt;&gt;"",ISNUMBER($D142)),$D142+N('設定'!$B$13),"")</f>
        <v/>
      </c>
      <c r="H142" s="18" t="n"/>
      <c r="I142" s="19" t="n"/>
      <c r="J142" s="27">
        <f>IF($B142="","",IF($C142="","（支払先コードが空）",IF($X142="","※支払先にないコード",INDEX('支払先'!$C$5:$C$104,$X142)&amp;"")))</f>
        <v/>
      </c>
      <c r="K142" s="30">
        <f>IF($B142="","",COUNTIF('支払明細'!$A$5:$A$1004,$B142))</f>
        <v/>
      </c>
      <c r="L142" s="26">
        <f>IF($B142="","",SUMIFS('支払明細'!$I$5:$I$1004,'支払明細'!$A$5:$A$1004,$B142,'支払明細'!$G$5:$G$1004,"10%（標準）"))</f>
        <v/>
      </c>
      <c r="M142" s="26">
        <f>IF($B142="","",SUMIFS('支払明細'!$I$5:$I$1004,'支払明細'!$A$5:$A$1004,$B142,'支払明細'!$G$5:$G$1004,"8%（軽減）"))</f>
        <v/>
      </c>
      <c r="N142" s="26">
        <f>IF($B142="","",SUMIFS('支払明細'!$I$5:$I$1004,'支払明細'!$A$5:$A$1004,$B142,'支払明細'!$G$5:$G$1004,"対象外"))</f>
        <v/>
      </c>
      <c r="O142" s="26">
        <f>IF($B142="","",IF('設定'!$B$11="税込",IF('設定'!$B$12="切り捨て",ROUNDDOWN(ROUND($L142*10/110,6),0),IF('設定'!$B$12="切り上げ",ROUNDUP(ROUND($L142*10/110,6),0),ROUND($L142*10/110,0))),IF('設定'!$B$12="切り捨て",ROUNDDOWN(ROUND($L142*10/100,6),0),IF('設定'!$B$12="切り上げ",ROUNDUP(ROUND($L142*10/100,6),0),ROUND($L142*10/100,0)))))</f>
        <v/>
      </c>
      <c r="P142" s="26">
        <f>IF($B142="","",IF('設定'!$B$11="税込",IF('設定'!$B$12="切り捨て",ROUNDDOWN(ROUND($M142*8/108,6),0),IF('設定'!$B$12="切り上げ",ROUNDUP(ROUND($M142*8/108,6),0),ROUND($M142*8/108,0))),IF('設定'!$B$12="切り捨て",ROUNDDOWN(ROUND($M142*8/100,6),0),IF('設定'!$B$12="切り上げ",ROUNDUP(ROUND($M142*8/100,6),0),ROUND($M142*8/100,0)))))</f>
        <v/>
      </c>
      <c r="Q142" s="26">
        <f>IF($B142="","",IF('設定'!$B$11="税込",$L142+$M142+$N142,$L142+$O142+$M142+$P142+$N142))</f>
        <v/>
      </c>
      <c r="R142" s="26">
        <f>IF($B142="","",IF($X142="",0,IF(INDEX('支払先'!$I$5:$I$104,$X142)&lt;&gt;"する",0,IF(INDEX('支払先'!$J$5:$J$104,$X142)="税抜",IF('設定'!$B$11="税込",($Y142-IF('設定'!$B$12="切り捨て",ROUNDDOWN(ROUND($Y142*10/110,6),0),IF('設定'!$B$12="切り上げ",ROUNDUP(ROUND($Y142*10/110,6),0),ROUND($Y142*10/110,0)))+$Z142-IF('設定'!$B$12="切り捨て",ROUNDDOWN(ROUND($Z142*8/108,6),0),IF('設定'!$B$12="切り上げ",ROUNDUP(ROUND($Z142*8/108,6),0),ROUND($Z142*8/108,0)))+$AA142),$Y142+$Z142+$AA142),IF('設定'!$B$11="税込",$Y142+$Z142+$AA142,($Y142+IF('設定'!$B$12="切り捨て",ROUNDDOWN(ROUND($Y142*10/100,6),0),IF('設定'!$B$12="切り上げ",ROUNDUP(ROUND($Y142*10/100,6),0),ROUND($Y142*10/100,0)))+$Z142+IF('設定'!$B$12="切り捨て",ROUNDDOWN(ROUND($Z142*8/100,6),0),IF('設定'!$B$12="切り上げ",ROUNDUP(ROUND($Z142*8/100,6),0),ROUND($Z142*8/100,0)))+$AA142))))))</f>
        <v/>
      </c>
      <c r="S142" s="26">
        <f>IF($B142="","",IF(N($R142)&lt;=0,0,IF($R142&lt;='設定'!$B$18,ROUNDDOWN(ROUND($R142*'設定'!$B$17,6),0),ROUNDDOWN(ROUND(($R142-'設定'!$B$18)*'設定'!$B$19,6),0)+'設定'!$B$20)))</f>
        <v/>
      </c>
      <c r="T142" s="26">
        <f>IF($B142="","",IF($X142="",0,IF(INDEX('支払先'!$K$5:$K$104,$X142)="差し引く",N(INDEX('支払先'!$L$5:$L$104,$X142)),0)))</f>
        <v/>
      </c>
      <c r="U142" s="26">
        <f>IF($B142="","",$Q142-$S142-$T142)</f>
        <v/>
      </c>
      <c r="V142" s="22">
        <f>IF($B142="","",MID(IF($C142="","／支払先コードが空",IF($X142="","／支払先にないコード",""))&amp;IF($K142=0,"／明細がない","")&amp;IF($AC142&gt;0,"／税率が空の明細 "&amp;$AC142&amp;"件（合計に入っていない）","")&amp;IF($X142="","",IF(INDEX('支払先'!$G$5:$G$104,$X142)="","／登録番号なし（仕入明細書にならない）",""))&amp;IF($AB142&gt;0,"／60日（2か月）を超える明細 "&amp;$AB142&amp;"件","")&amp;IF($X142="","",IF(AND(INDEX('支払先'!$K$5:$K$104,$X142)="差し引く",OR(INDEX('支払先'!$M$5:$M$104,$X142)&lt;&gt;"対象外",INDEX('支払先'!$N$5:$N$104,$X142)&lt;&gt;"対象外")),"／手数料を差し引けない取引か確かめる",""))&amp;IF(COUNTIF($B$5:$B$204,$B142)&gt;1,"／通知Noが重複","")&amp;IF(AND(ISNUMBER($D142),ISNUMBER($F142),$F142&lt;$D142),"／支払予定日が発行日より前",""),2,300))</f>
        <v/>
      </c>
      <c r="W142" s="67" t="n"/>
      <c r="X142" s="31">
        <f>IF(OR($B142="",$C142=""),"",IFERROR(MATCH($C142,'支払先'!$B$5:$B$104,0),""))</f>
        <v/>
      </c>
      <c r="Y142" s="31">
        <f>IF($B142="","",SUMIFS('支払明細'!$I$5:$I$1004,'支払明細'!$A$5:$A$1004,$B142,'支払明細'!$G$5:$G$1004,"10%（標準）",'支払明細'!$H$5:$H$1004,"&lt;&gt;対象外"))</f>
        <v/>
      </c>
      <c r="Z142" s="31">
        <f>IF($B142="","",SUMIFS('支払明細'!$I$5:$I$1004,'支払明細'!$A$5:$A$1004,$B142,'支払明細'!$G$5:$G$1004,"8%（軽減）",'支払明細'!$H$5:$H$1004,"&lt;&gt;対象外"))</f>
        <v/>
      </c>
      <c r="AA142" s="31">
        <f>IF($B142="","",SUMIFS('支払明細'!$I$5:$I$1004,'支払明細'!$A$5:$A$1004,$B142,'支払明細'!$G$5:$G$1004,"対象外",'支払明細'!$H$5:$H$1004,"&lt;&gt;対象外"))</f>
        <v/>
      </c>
      <c r="AB142" s="31">
        <f>IF($B142="","",COUNTIFS('支払明細'!$A$5:$A$1004,$B142,'支払明細'!$M$5:$M$1004,"超える"))</f>
        <v/>
      </c>
      <c r="AC142" s="31">
        <f>IF($B142="","",COUNTIFS('支払明細'!$A$5:$A$1004,$B142,'支払明細'!$G$5:$G$1004,""))</f>
        <v/>
      </c>
    </row>
    <row r="143" ht="18" customHeight="1">
      <c r="A143" s="17" t="n">
        <v>139</v>
      </c>
      <c r="B143" s="18" t="n"/>
      <c r="C143" s="18" t="n"/>
      <c r="D143" s="24" t="n"/>
      <c r="E143" s="19" t="n"/>
      <c r="F143" s="24" t="n"/>
      <c r="G143" s="28">
        <f>IF(AND($B143&lt;&gt;"",ISNUMBER($D143)),$D143+N('設定'!$B$13),"")</f>
        <v/>
      </c>
      <c r="H143" s="18" t="n"/>
      <c r="I143" s="19" t="n"/>
      <c r="J143" s="27">
        <f>IF($B143="","",IF($C143="","（支払先コードが空）",IF($X143="","※支払先にないコード",INDEX('支払先'!$C$5:$C$104,$X143)&amp;"")))</f>
        <v/>
      </c>
      <c r="K143" s="30">
        <f>IF($B143="","",COUNTIF('支払明細'!$A$5:$A$1004,$B143))</f>
        <v/>
      </c>
      <c r="L143" s="26">
        <f>IF($B143="","",SUMIFS('支払明細'!$I$5:$I$1004,'支払明細'!$A$5:$A$1004,$B143,'支払明細'!$G$5:$G$1004,"10%（標準）"))</f>
        <v/>
      </c>
      <c r="M143" s="26">
        <f>IF($B143="","",SUMIFS('支払明細'!$I$5:$I$1004,'支払明細'!$A$5:$A$1004,$B143,'支払明細'!$G$5:$G$1004,"8%（軽減）"))</f>
        <v/>
      </c>
      <c r="N143" s="26">
        <f>IF($B143="","",SUMIFS('支払明細'!$I$5:$I$1004,'支払明細'!$A$5:$A$1004,$B143,'支払明細'!$G$5:$G$1004,"対象外"))</f>
        <v/>
      </c>
      <c r="O143" s="26">
        <f>IF($B143="","",IF('設定'!$B$11="税込",IF('設定'!$B$12="切り捨て",ROUNDDOWN(ROUND($L143*10/110,6),0),IF('設定'!$B$12="切り上げ",ROUNDUP(ROUND($L143*10/110,6),0),ROUND($L143*10/110,0))),IF('設定'!$B$12="切り捨て",ROUNDDOWN(ROUND($L143*10/100,6),0),IF('設定'!$B$12="切り上げ",ROUNDUP(ROUND($L143*10/100,6),0),ROUND($L143*10/100,0)))))</f>
        <v/>
      </c>
      <c r="P143" s="26">
        <f>IF($B143="","",IF('設定'!$B$11="税込",IF('設定'!$B$12="切り捨て",ROUNDDOWN(ROUND($M143*8/108,6),0),IF('設定'!$B$12="切り上げ",ROUNDUP(ROUND($M143*8/108,6),0),ROUND($M143*8/108,0))),IF('設定'!$B$12="切り捨て",ROUNDDOWN(ROUND($M143*8/100,6),0),IF('設定'!$B$12="切り上げ",ROUNDUP(ROUND($M143*8/100,6),0),ROUND($M143*8/100,0)))))</f>
        <v/>
      </c>
      <c r="Q143" s="26">
        <f>IF($B143="","",IF('設定'!$B$11="税込",$L143+$M143+$N143,$L143+$O143+$M143+$P143+$N143))</f>
        <v/>
      </c>
      <c r="R143" s="26">
        <f>IF($B143="","",IF($X143="",0,IF(INDEX('支払先'!$I$5:$I$104,$X143)&lt;&gt;"する",0,IF(INDEX('支払先'!$J$5:$J$104,$X143)="税抜",IF('設定'!$B$11="税込",($Y143-IF('設定'!$B$12="切り捨て",ROUNDDOWN(ROUND($Y143*10/110,6),0),IF('設定'!$B$12="切り上げ",ROUNDUP(ROUND($Y143*10/110,6),0),ROUND($Y143*10/110,0)))+$Z143-IF('設定'!$B$12="切り捨て",ROUNDDOWN(ROUND($Z143*8/108,6),0),IF('設定'!$B$12="切り上げ",ROUNDUP(ROUND($Z143*8/108,6),0),ROUND($Z143*8/108,0)))+$AA143),$Y143+$Z143+$AA143),IF('設定'!$B$11="税込",$Y143+$Z143+$AA143,($Y143+IF('設定'!$B$12="切り捨て",ROUNDDOWN(ROUND($Y143*10/100,6),0),IF('設定'!$B$12="切り上げ",ROUNDUP(ROUND($Y143*10/100,6),0),ROUND($Y143*10/100,0)))+$Z143+IF('設定'!$B$12="切り捨て",ROUNDDOWN(ROUND($Z143*8/100,6),0),IF('設定'!$B$12="切り上げ",ROUNDUP(ROUND($Z143*8/100,6),0),ROUND($Z143*8/100,0)))+$AA143))))))</f>
        <v/>
      </c>
      <c r="S143" s="26">
        <f>IF($B143="","",IF(N($R143)&lt;=0,0,IF($R143&lt;='設定'!$B$18,ROUNDDOWN(ROUND($R143*'設定'!$B$17,6),0),ROUNDDOWN(ROUND(($R143-'設定'!$B$18)*'設定'!$B$19,6),0)+'設定'!$B$20)))</f>
        <v/>
      </c>
      <c r="T143" s="26">
        <f>IF($B143="","",IF($X143="",0,IF(INDEX('支払先'!$K$5:$K$104,$X143)="差し引く",N(INDEX('支払先'!$L$5:$L$104,$X143)),0)))</f>
        <v/>
      </c>
      <c r="U143" s="26">
        <f>IF($B143="","",$Q143-$S143-$T143)</f>
        <v/>
      </c>
      <c r="V143" s="22">
        <f>IF($B143="","",MID(IF($C143="","／支払先コードが空",IF($X143="","／支払先にないコード",""))&amp;IF($K143=0,"／明細がない","")&amp;IF($AC143&gt;0,"／税率が空の明細 "&amp;$AC143&amp;"件（合計に入っていない）","")&amp;IF($X143="","",IF(INDEX('支払先'!$G$5:$G$104,$X143)="","／登録番号なし（仕入明細書にならない）",""))&amp;IF($AB143&gt;0,"／60日（2か月）を超える明細 "&amp;$AB143&amp;"件","")&amp;IF($X143="","",IF(AND(INDEX('支払先'!$K$5:$K$104,$X143)="差し引く",OR(INDEX('支払先'!$M$5:$M$104,$X143)&lt;&gt;"対象外",INDEX('支払先'!$N$5:$N$104,$X143)&lt;&gt;"対象外")),"／手数料を差し引けない取引か確かめる",""))&amp;IF(COUNTIF($B$5:$B$204,$B143)&gt;1,"／通知Noが重複","")&amp;IF(AND(ISNUMBER($D143),ISNUMBER($F143),$F143&lt;$D143),"／支払予定日が発行日より前",""),2,300))</f>
        <v/>
      </c>
      <c r="W143" s="67" t="n"/>
      <c r="X143" s="31">
        <f>IF(OR($B143="",$C143=""),"",IFERROR(MATCH($C143,'支払先'!$B$5:$B$104,0),""))</f>
        <v/>
      </c>
      <c r="Y143" s="31">
        <f>IF($B143="","",SUMIFS('支払明細'!$I$5:$I$1004,'支払明細'!$A$5:$A$1004,$B143,'支払明細'!$G$5:$G$1004,"10%（標準）",'支払明細'!$H$5:$H$1004,"&lt;&gt;対象外"))</f>
        <v/>
      </c>
      <c r="Z143" s="31">
        <f>IF($B143="","",SUMIFS('支払明細'!$I$5:$I$1004,'支払明細'!$A$5:$A$1004,$B143,'支払明細'!$G$5:$G$1004,"8%（軽減）",'支払明細'!$H$5:$H$1004,"&lt;&gt;対象外"))</f>
        <v/>
      </c>
      <c r="AA143" s="31">
        <f>IF($B143="","",SUMIFS('支払明細'!$I$5:$I$1004,'支払明細'!$A$5:$A$1004,$B143,'支払明細'!$G$5:$G$1004,"対象外",'支払明細'!$H$5:$H$1004,"&lt;&gt;対象外"))</f>
        <v/>
      </c>
      <c r="AB143" s="31">
        <f>IF($B143="","",COUNTIFS('支払明細'!$A$5:$A$1004,$B143,'支払明細'!$M$5:$M$1004,"超える"))</f>
        <v/>
      </c>
      <c r="AC143" s="31">
        <f>IF($B143="","",COUNTIFS('支払明細'!$A$5:$A$1004,$B143,'支払明細'!$G$5:$G$1004,""))</f>
        <v/>
      </c>
    </row>
    <row r="144" ht="18" customHeight="1">
      <c r="A144" s="17" t="n">
        <v>140</v>
      </c>
      <c r="B144" s="18" t="n"/>
      <c r="C144" s="18" t="n"/>
      <c r="D144" s="24" t="n"/>
      <c r="E144" s="19" t="n"/>
      <c r="F144" s="24" t="n"/>
      <c r="G144" s="28">
        <f>IF(AND($B144&lt;&gt;"",ISNUMBER($D144)),$D144+N('設定'!$B$13),"")</f>
        <v/>
      </c>
      <c r="H144" s="18" t="n"/>
      <c r="I144" s="19" t="n"/>
      <c r="J144" s="27">
        <f>IF($B144="","",IF($C144="","（支払先コードが空）",IF($X144="","※支払先にないコード",INDEX('支払先'!$C$5:$C$104,$X144)&amp;"")))</f>
        <v/>
      </c>
      <c r="K144" s="30">
        <f>IF($B144="","",COUNTIF('支払明細'!$A$5:$A$1004,$B144))</f>
        <v/>
      </c>
      <c r="L144" s="26">
        <f>IF($B144="","",SUMIFS('支払明細'!$I$5:$I$1004,'支払明細'!$A$5:$A$1004,$B144,'支払明細'!$G$5:$G$1004,"10%（標準）"))</f>
        <v/>
      </c>
      <c r="M144" s="26">
        <f>IF($B144="","",SUMIFS('支払明細'!$I$5:$I$1004,'支払明細'!$A$5:$A$1004,$B144,'支払明細'!$G$5:$G$1004,"8%（軽減）"))</f>
        <v/>
      </c>
      <c r="N144" s="26">
        <f>IF($B144="","",SUMIFS('支払明細'!$I$5:$I$1004,'支払明細'!$A$5:$A$1004,$B144,'支払明細'!$G$5:$G$1004,"対象外"))</f>
        <v/>
      </c>
      <c r="O144" s="26">
        <f>IF($B144="","",IF('設定'!$B$11="税込",IF('設定'!$B$12="切り捨て",ROUNDDOWN(ROUND($L144*10/110,6),0),IF('設定'!$B$12="切り上げ",ROUNDUP(ROUND($L144*10/110,6),0),ROUND($L144*10/110,0))),IF('設定'!$B$12="切り捨て",ROUNDDOWN(ROUND($L144*10/100,6),0),IF('設定'!$B$12="切り上げ",ROUNDUP(ROUND($L144*10/100,6),0),ROUND($L144*10/100,0)))))</f>
        <v/>
      </c>
      <c r="P144" s="26">
        <f>IF($B144="","",IF('設定'!$B$11="税込",IF('設定'!$B$12="切り捨て",ROUNDDOWN(ROUND($M144*8/108,6),0),IF('設定'!$B$12="切り上げ",ROUNDUP(ROUND($M144*8/108,6),0),ROUND($M144*8/108,0))),IF('設定'!$B$12="切り捨て",ROUNDDOWN(ROUND($M144*8/100,6),0),IF('設定'!$B$12="切り上げ",ROUNDUP(ROUND($M144*8/100,6),0),ROUND($M144*8/100,0)))))</f>
        <v/>
      </c>
      <c r="Q144" s="26">
        <f>IF($B144="","",IF('設定'!$B$11="税込",$L144+$M144+$N144,$L144+$O144+$M144+$P144+$N144))</f>
        <v/>
      </c>
      <c r="R144" s="26">
        <f>IF($B144="","",IF($X144="",0,IF(INDEX('支払先'!$I$5:$I$104,$X144)&lt;&gt;"する",0,IF(INDEX('支払先'!$J$5:$J$104,$X144)="税抜",IF('設定'!$B$11="税込",($Y144-IF('設定'!$B$12="切り捨て",ROUNDDOWN(ROUND($Y144*10/110,6),0),IF('設定'!$B$12="切り上げ",ROUNDUP(ROUND($Y144*10/110,6),0),ROUND($Y144*10/110,0)))+$Z144-IF('設定'!$B$12="切り捨て",ROUNDDOWN(ROUND($Z144*8/108,6),0),IF('設定'!$B$12="切り上げ",ROUNDUP(ROUND($Z144*8/108,6),0),ROUND($Z144*8/108,0)))+$AA144),$Y144+$Z144+$AA144),IF('設定'!$B$11="税込",$Y144+$Z144+$AA144,($Y144+IF('設定'!$B$12="切り捨て",ROUNDDOWN(ROUND($Y144*10/100,6),0),IF('設定'!$B$12="切り上げ",ROUNDUP(ROUND($Y144*10/100,6),0),ROUND($Y144*10/100,0)))+$Z144+IF('設定'!$B$12="切り捨て",ROUNDDOWN(ROUND($Z144*8/100,6),0),IF('設定'!$B$12="切り上げ",ROUNDUP(ROUND($Z144*8/100,6),0),ROUND($Z144*8/100,0)))+$AA144))))))</f>
        <v/>
      </c>
      <c r="S144" s="26">
        <f>IF($B144="","",IF(N($R144)&lt;=0,0,IF($R144&lt;='設定'!$B$18,ROUNDDOWN(ROUND($R144*'設定'!$B$17,6),0),ROUNDDOWN(ROUND(($R144-'設定'!$B$18)*'設定'!$B$19,6),0)+'設定'!$B$20)))</f>
        <v/>
      </c>
      <c r="T144" s="26">
        <f>IF($B144="","",IF($X144="",0,IF(INDEX('支払先'!$K$5:$K$104,$X144)="差し引く",N(INDEX('支払先'!$L$5:$L$104,$X144)),0)))</f>
        <v/>
      </c>
      <c r="U144" s="26">
        <f>IF($B144="","",$Q144-$S144-$T144)</f>
        <v/>
      </c>
      <c r="V144" s="22">
        <f>IF($B144="","",MID(IF($C144="","／支払先コードが空",IF($X144="","／支払先にないコード",""))&amp;IF($K144=0,"／明細がない","")&amp;IF($AC144&gt;0,"／税率が空の明細 "&amp;$AC144&amp;"件（合計に入っていない）","")&amp;IF($X144="","",IF(INDEX('支払先'!$G$5:$G$104,$X144)="","／登録番号なし（仕入明細書にならない）",""))&amp;IF($AB144&gt;0,"／60日（2か月）を超える明細 "&amp;$AB144&amp;"件","")&amp;IF($X144="","",IF(AND(INDEX('支払先'!$K$5:$K$104,$X144)="差し引く",OR(INDEX('支払先'!$M$5:$M$104,$X144)&lt;&gt;"対象外",INDEX('支払先'!$N$5:$N$104,$X144)&lt;&gt;"対象外")),"／手数料を差し引けない取引か確かめる",""))&amp;IF(COUNTIF($B$5:$B$204,$B144)&gt;1,"／通知Noが重複","")&amp;IF(AND(ISNUMBER($D144),ISNUMBER($F144),$F144&lt;$D144),"／支払予定日が発行日より前",""),2,300))</f>
        <v/>
      </c>
      <c r="W144" s="67" t="n"/>
      <c r="X144" s="31">
        <f>IF(OR($B144="",$C144=""),"",IFERROR(MATCH($C144,'支払先'!$B$5:$B$104,0),""))</f>
        <v/>
      </c>
      <c r="Y144" s="31">
        <f>IF($B144="","",SUMIFS('支払明細'!$I$5:$I$1004,'支払明細'!$A$5:$A$1004,$B144,'支払明細'!$G$5:$G$1004,"10%（標準）",'支払明細'!$H$5:$H$1004,"&lt;&gt;対象外"))</f>
        <v/>
      </c>
      <c r="Z144" s="31">
        <f>IF($B144="","",SUMIFS('支払明細'!$I$5:$I$1004,'支払明細'!$A$5:$A$1004,$B144,'支払明細'!$G$5:$G$1004,"8%（軽減）",'支払明細'!$H$5:$H$1004,"&lt;&gt;対象外"))</f>
        <v/>
      </c>
      <c r="AA144" s="31">
        <f>IF($B144="","",SUMIFS('支払明細'!$I$5:$I$1004,'支払明細'!$A$5:$A$1004,$B144,'支払明細'!$G$5:$G$1004,"対象外",'支払明細'!$H$5:$H$1004,"&lt;&gt;対象外"))</f>
        <v/>
      </c>
      <c r="AB144" s="31">
        <f>IF($B144="","",COUNTIFS('支払明細'!$A$5:$A$1004,$B144,'支払明細'!$M$5:$M$1004,"超える"))</f>
        <v/>
      </c>
      <c r="AC144" s="31">
        <f>IF($B144="","",COUNTIFS('支払明細'!$A$5:$A$1004,$B144,'支払明細'!$G$5:$G$1004,""))</f>
        <v/>
      </c>
    </row>
    <row r="145" ht="18" customHeight="1">
      <c r="A145" s="17" t="n">
        <v>141</v>
      </c>
      <c r="B145" s="18" t="n"/>
      <c r="C145" s="18" t="n"/>
      <c r="D145" s="24" t="n"/>
      <c r="E145" s="19" t="n"/>
      <c r="F145" s="24" t="n"/>
      <c r="G145" s="28">
        <f>IF(AND($B145&lt;&gt;"",ISNUMBER($D145)),$D145+N('設定'!$B$13),"")</f>
        <v/>
      </c>
      <c r="H145" s="18" t="n"/>
      <c r="I145" s="19" t="n"/>
      <c r="J145" s="27">
        <f>IF($B145="","",IF($C145="","（支払先コードが空）",IF($X145="","※支払先にないコード",INDEX('支払先'!$C$5:$C$104,$X145)&amp;"")))</f>
        <v/>
      </c>
      <c r="K145" s="30">
        <f>IF($B145="","",COUNTIF('支払明細'!$A$5:$A$1004,$B145))</f>
        <v/>
      </c>
      <c r="L145" s="26">
        <f>IF($B145="","",SUMIFS('支払明細'!$I$5:$I$1004,'支払明細'!$A$5:$A$1004,$B145,'支払明細'!$G$5:$G$1004,"10%（標準）"))</f>
        <v/>
      </c>
      <c r="M145" s="26">
        <f>IF($B145="","",SUMIFS('支払明細'!$I$5:$I$1004,'支払明細'!$A$5:$A$1004,$B145,'支払明細'!$G$5:$G$1004,"8%（軽減）"))</f>
        <v/>
      </c>
      <c r="N145" s="26">
        <f>IF($B145="","",SUMIFS('支払明細'!$I$5:$I$1004,'支払明細'!$A$5:$A$1004,$B145,'支払明細'!$G$5:$G$1004,"対象外"))</f>
        <v/>
      </c>
      <c r="O145" s="26">
        <f>IF($B145="","",IF('設定'!$B$11="税込",IF('設定'!$B$12="切り捨て",ROUNDDOWN(ROUND($L145*10/110,6),0),IF('設定'!$B$12="切り上げ",ROUNDUP(ROUND($L145*10/110,6),0),ROUND($L145*10/110,0))),IF('設定'!$B$12="切り捨て",ROUNDDOWN(ROUND($L145*10/100,6),0),IF('設定'!$B$12="切り上げ",ROUNDUP(ROUND($L145*10/100,6),0),ROUND($L145*10/100,0)))))</f>
        <v/>
      </c>
      <c r="P145" s="26">
        <f>IF($B145="","",IF('設定'!$B$11="税込",IF('設定'!$B$12="切り捨て",ROUNDDOWN(ROUND($M145*8/108,6),0),IF('設定'!$B$12="切り上げ",ROUNDUP(ROUND($M145*8/108,6),0),ROUND($M145*8/108,0))),IF('設定'!$B$12="切り捨て",ROUNDDOWN(ROUND($M145*8/100,6),0),IF('設定'!$B$12="切り上げ",ROUNDUP(ROUND($M145*8/100,6),0),ROUND($M145*8/100,0)))))</f>
        <v/>
      </c>
      <c r="Q145" s="26">
        <f>IF($B145="","",IF('設定'!$B$11="税込",$L145+$M145+$N145,$L145+$O145+$M145+$P145+$N145))</f>
        <v/>
      </c>
      <c r="R145" s="26">
        <f>IF($B145="","",IF($X145="",0,IF(INDEX('支払先'!$I$5:$I$104,$X145)&lt;&gt;"する",0,IF(INDEX('支払先'!$J$5:$J$104,$X145)="税抜",IF('設定'!$B$11="税込",($Y145-IF('設定'!$B$12="切り捨て",ROUNDDOWN(ROUND($Y145*10/110,6),0),IF('設定'!$B$12="切り上げ",ROUNDUP(ROUND($Y145*10/110,6),0),ROUND($Y145*10/110,0)))+$Z145-IF('設定'!$B$12="切り捨て",ROUNDDOWN(ROUND($Z145*8/108,6),0),IF('設定'!$B$12="切り上げ",ROUNDUP(ROUND($Z145*8/108,6),0),ROUND($Z145*8/108,0)))+$AA145),$Y145+$Z145+$AA145),IF('設定'!$B$11="税込",$Y145+$Z145+$AA145,($Y145+IF('設定'!$B$12="切り捨て",ROUNDDOWN(ROUND($Y145*10/100,6),0),IF('設定'!$B$12="切り上げ",ROUNDUP(ROUND($Y145*10/100,6),0),ROUND($Y145*10/100,0)))+$Z145+IF('設定'!$B$12="切り捨て",ROUNDDOWN(ROUND($Z145*8/100,6),0),IF('設定'!$B$12="切り上げ",ROUNDUP(ROUND($Z145*8/100,6),0),ROUND($Z145*8/100,0)))+$AA145))))))</f>
        <v/>
      </c>
      <c r="S145" s="26">
        <f>IF($B145="","",IF(N($R145)&lt;=0,0,IF($R145&lt;='設定'!$B$18,ROUNDDOWN(ROUND($R145*'設定'!$B$17,6),0),ROUNDDOWN(ROUND(($R145-'設定'!$B$18)*'設定'!$B$19,6),0)+'設定'!$B$20)))</f>
        <v/>
      </c>
      <c r="T145" s="26">
        <f>IF($B145="","",IF($X145="",0,IF(INDEX('支払先'!$K$5:$K$104,$X145)="差し引く",N(INDEX('支払先'!$L$5:$L$104,$X145)),0)))</f>
        <v/>
      </c>
      <c r="U145" s="26">
        <f>IF($B145="","",$Q145-$S145-$T145)</f>
        <v/>
      </c>
      <c r="V145" s="22">
        <f>IF($B145="","",MID(IF($C145="","／支払先コードが空",IF($X145="","／支払先にないコード",""))&amp;IF($K145=0,"／明細がない","")&amp;IF($AC145&gt;0,"／税率が空の明細 "&amp;$AC145&amp;"件（合計に入っていない）","")&amp;IF($X145="","",IF(INDEX('支払先'!$G$5:$G$104,$X145)="","／登録番号なし（仕入明細書にならない）",""))&amp;IF($AB145&gt;0,"／60日（2か月）を超える明細 "&amp;$AB145&amp;"件","")&amp;IF($X145="","",IF(AND(INDEX('支払先'!$K$5:$K$104,$X145)="差し引く",OR(INDEX('支払先'!$M$5:$M$104,$X145)&lt;&gt;"対象外",INDEX('支払先'!$N$5:$N$104,$X145)&lt;&gt;"対象外")),"／手数料を差し引けない取引か確かめる",""))&amp;IF(COUNTIF($B$5:$B$204,$B145)&gt;1,"／通知Noが重複","")&amp;IF(AND(ISNUMBER($D145),ISNUMBER($F145),$F145&lt;$D145),"／支払予定日が発行日より前",""),2,300))</f>
        <v/>
      </c>
      <c r="W145" s="67" t="n"/>
      <c r="X145" s="31">
        <f>IF(OR($B145="",$C145=""),"",IFERROR(MATCH($C145,'支払先'!$B$5:$B$104,0),""))</f>
        <v/>
      </c>
      <c r="Y145" s="31">
        <f>IF($B145="","",SUMIFS('支払明細'!$I$5:$I$1004,'支払明細'!$A$5:$A$1004,$B145,'支払明細'!$G$5:$G$1004,"10%（標準）",'支払明細'!$H$5:$H$1004,"&lt;&gt;対象外"))</f>
        <v/>
      </c>
      <c r="Z145" s="31">
        <f>IF($B145="","",SUMIFS('支払明細'!$I$5:$I$1004,'支払明細'!$A$5:$A$1004,$B145,'支払明細'!$G$5:$G$1004,"8%（軽減）",'支払明細'!$H$5:$H$1004,"&lt;&gt;対象外"))</f>
        <v/>
      </c>
      <c r="AA145" s="31">
        <f>IF($B145="","",SUMIFS('支払明細'!$I$5:$I$1004,'支払明細'!$A$5:$A$1004,$B145,'支払明細'!$G$5:$G$1004,"対象外",'支払明細'!$H$5:$H$1004,"&lt;&gt;対象外"))</f>
        <v/>
      </c>
      <c r="AB145" s="31">
        <f>IF($B145="","",COUNTIFS('支払明細'!$A$5:$A$1004,$B145,'支払明細'!$M$5:$M$1004,"超える"))</f>
        <v/>
      </c>
      <c r="AC145" s="31">
        <f>IF($B145="","",COUNTIFS('支払明細'!$A$5:$A$1004,$B145,'支払明細'!$G$5:$G$1004,""))</f>
        <v/>
      </c>
    </row>
    <row r="146" ht="18" customHeight="1">
      <c r="A146" s="17" t="n">
        <v>142</v>
      </c>
      <c r="B146" s="18" t="n"/>
      <c r="C146" s="18" t="n"/>
      <c r="D146" s="24" t="n"/>
      <c r="E146" s="19" t="n"/>
      <c r="F146" s="24" t="n"/>
      <c r="G146" s="28">
        <f>IF(AND($B146&lt;&gt;"",ISNUMBER($D146)),$D146+N('設定'!$B$13),"")</f>
        <v/>
      </c>
      <c r="H146" s="18" t="n"/>
      <c r="I146" s="19" t="n"/>
      <c r="J146" s="27">
        <f>IF($B146="","",IF($C146="","（支払先コードが空）",IF($X146="","※支払先にないコード",INDEX('支払先'!$C$5:$C$104,$X146)&amp;"")))</f>
        <v/>
      </c>
      <c r="K146" s="30">
        <f>IF($B146="","",COUNTIF('支払明細'!$A$5:$A$1004,$B146))</f>
        <v/>
      </c>
      <c r="L146" s="26">
        <f>IF($B146="","",SUMIFS('支払明細'!$I$5:$I$1004,'支払明細'!$A$5:$A$1004,$B146,'支払明細'!$G$5:$G$1004,"10%（標準）"))</f>
        <v/>
      </c>
      <c r="M146" s="26">
        <f>IF($B146="","",SUMIFS('支払明細'!$I$5:$I$1004,'支払明細'!$A$5:$A$1004,$B146,'支払明細'!$G$5:$G$1004,"8%（軽減）"))</f>
        <v/>
      </c>
      <c r="N146" s="26">
        <f>IF($B146="","",SUMIFS('支払明細'!$I$5:$I$1004,'支払明細'!$A$5:$A$1004,$B146,'支払明細'!$G$5:$G$1004,"対象外"))</f>
        <v/>
      </c>
      <c r="O146" s="26">
        <f>IF($B146="","",IF('設定'!$B$11="税込",IF('設定'!$B$12="切り捨て",ROUNDDOWN(ROUND($L146*10/110,6),0),IF('設定'!$B$12="切り上げ",ROUNDUP(ROUND($L146*10/110,6),0),ROUND($L146*10/110,0))),IF('設定'!$B$12="切り捨て",ROUNDDOWN(ROUND($L146*10/100,6),0),IF('設定'!$B$12="切り上げ",ROUNDUP(ROUND($L146*10/100,6),0),ROUND($L146*10/100,0)))))</f>
        <v/>
      </c>
      <c r="P146" s="26">
        <f>IF($B146="","",IF('設定'!$B$11="税込",IF('設定'!$B$12="切り捨て",ROUNDDOWN(ROUND($M146*8/108,6),0),IF('設定'!$B$12="切り上げ",ROUNDUP(ROUND($M146*8/108,6),0),ROUND($M146*8/108,0))),IF('設定'!$B$12="切り捨て",ROUNDDOWN(ROUND($M146*8/100,6),0),IF('設定'!$B$12="切り上げ",ROUNDUP(ROUND($M146*8/100,6),0),ROUND($M146*8/100,0)))))</f>
        <v/>
      </c>
      <c r="Q146" s="26">
        <f>IF($B146="","",IF('設定'!$B$11="税込",$L146+$M146+$N146,$L146+$O146+$M146+$P146+$N146))</f>
        <v/>
      </c>
      <c r="R146" s="26">
        <f>IF($B146="","",IF($X146="",0,IF(INDEX('支払先'!$I$5:$I$104,$X146)&lt;&gt;"する",0,IF(INDEX('支払先'!$J$5:$J$104,$X146)="税抜",IF('設定'!$B$11="税込",($Y146-IF('設定'!$B$12="切り捨て",ROUNDDOWN(ROUND($Y146*10/110,6),0),IF('設定'!$B$12="切り上げ",ROUNDUP(ROUND($Y146*10/110,6),0),ROUND($Y146*10/110,0)))+$Z146-IF('設定'!$B$12="切り捨て",ROUNDDOWN(ROUND($Z146*8/108,6),0),IF('設定'!$B$12="切り上げ",ROUNDUP(ROUND($Z146*8/108,6),0),ROUND($Z146*8/108,0)))+$AA146),$Y146+$Z146+$AA146),IF('設定'!$B$11="税込",$Y146+$Z146+$AA146,($Y146+IF('設定'!$B$12="切り捨て",ROUNDDOWN(ROUND($Y146*10/100,6),0),IF('設定'!$B$12="切り上げ",ROUNDUP(ROUND($Y146*10/100,6),0),ROUND($Y146*10/100,0)))+$Z146+IF('設定'!$B$12="切り捨て",ROUNDDOWN(ROUND($Z146*8/100,6),0),IF('設定'!$B$12="切り上げ",ROUNDUP(ROUND($Z146*8/100,6),0),ROUND($Z146*8/100,0)))+$AA146))))))</f>
        <v/>
      </c>
      <c r="S146" s="26">
        <f>IF($B146="","",IF(N($R146)&lt;=0,0,IF($R146&lt;='設定'!$B$18,ROUNDDOWN(ROUND($R146*'設定'!$B$17,6),0),ROUNDDOWN(ROUND(($R146-'設定'!$B$18)*'設定'!$B$19,6),0)+'設定'!$B$20)))</f>
        <v/>
      </c>
      <c r="T146" s="26">
        <f>IF($B146="","",IF($X146="",0,IF(INDEX('支払先'!$K$5:$K$104,$X146)="差し引く",N(INDEX('支払先'!$L$5:$L$104,$X146)),0)))</f>
        <v/>
      </c>
      <c r="U146" s="26">
        <f>IF($B146="","",$Q146-$S146-$T146)</f>
        <v/>
      </c>
      <c r="V146" s="22">
        <f>IF($B146="","",MID(IF($C146="","／支払先コードが空",IF($X146="","／支払先にないコード",""))&amp;IF($K146=0,"／明細がない","")&amp;IF($AC146&gt;0,"／税率が空の明細 "&amp;$AC146&amp;"件（合計に入っていない）","")&amp;IF($X146="","",IF(INDEX('支払先'!$G$5:$G$104,$X146)="","／登録番号なし（仕入明細書にならない）",""))&amp;IF($AB146&gt;0,"／60日（2か月）を超える明細 "&amp;$AB146&amp;"件","")&amp;IF($X146="","",IF(AND(INDEX('支払先'!$K$5:$K$104,$X146)="差し引く",OR(INDEX('支払先'!$M$5:$M$104,$X146)&lt;&gt;"対象外",INDEX('支払先'!$N$5:$N$104,$X146)&lt;&gt;"対象外")),"／手数料を差し引けない取引か確かめる",""))&amp;IF(COUNTIF($B$5:$B$204,$B146)&gt;1,"／通知Noが重複","")&amp;IF(AND(ISNUMBER($D146),ISNUMBER($F146),$F146&lt;$D146),"／支払予定日が発行日より前",""),2,300))</f>
        <v/>
      </c>
      <c r="W146" s="67" t="n"/>
      <c r="X146" s="31">
        <f>IF(OR($B146="",$C146=""),"",IFERROR(MATCH($C146,'支払先'!$B$5:$B$104,0),""))</f>
        <v/>
      </c>
      <c r="Y146" s="31">
        <f>IF($B146="","",SUMIFS('支払明細'!$I$5:$I$1004,'支払明細'!$A$5:$A$1004,$B146,'支払明細'!$G$5:$G$1004,"10%（標準）",'支払明細'!$H$5:$H$1004,"&lt;&gt;対象外"))</f>
        <v/>
      </c>
      <c r="Z146" s="31">
        <f>IF($B146="","",SUMIFS('支払明細'!$I$5:$I$1004,'支払明細'!$A$5:$A$1004,$B146,'支払明細'!$G$5:$G$1004,"8%（軽減）",'支払明細'!$H$5:$H$1004,"&lt;&gt;対象外"))</f>
        <v/>
      </c>
      <c r="AA146" s="31">
        <f>IF($B146="","",SUMIFS('支払明細'!$I$5:$I$1004,'支払明細'!$A$5:$A$1004,$B146,'支払明細'!$G$5:$G$1004,"対象外",'支払明細'!$H$5:$H$1004,"&lt;&gt;対象外"))</f>
        <v/>
      </c>
      <c r="AB146" s="31">
        <f>IF($B146="","",COUNTIFS('支払明細'!$A$5:$A$1004,$B146,'支払明細'!$M$5:$M$1004,"超える"))</f>
        <v/>
      </c>
      <c r="AC146" s="31">
        <f>IF($B146="","",COUNTIFS('支払明細'!$A$5:$A$1004,$B146,'支払明細'!$G$5:$G$1004,""))</f>
        <v/>
      </c>
    </row>
    <row r="147" ht="18" customHeight="1">
      <c r="A147" s="17" t="n">
        <v>143</v>
      </c>
      <c r="B147" s="18" t="n"/>
      <c r="C147" s="18" t="n"/>
      <c r="D147" s="24" t="n"/>
      <c r="E147" s="19" t="n"/>
      <c r="F147" s="24" t="n"/>
      <c r="G147" s="28">
        <f>IF(AND($B147&lt;&gt;"",ISNUMBER($D147)),$D147+N('設定'!$B$13),"")</f>
        <v/>
      </c>
      <c r="H147" s="18" t="n"/>
      <c r="I147" s="19" t="n"/>
      <c r="J147" s="27">
        <f>IF($B147="","",IF($C147="","（支払先コードが空）",IF($X147="","※支払先にないコード",INDEX('支払先'!$C$5:$C$104,$X147)&amp;"")))</f>
        <v/>
      </c>
      <c r="K147" s="30">
        <f>IF($B147="","",COUNTIF('支払明細'!$A$5:$A$1004,$B147))</f>
        <v/>
      </c>
      <c r="L147" s="26">
        <f>IF($B147="","",SUMIFS('支払明細'!$I$5:$I$1004,'支払明細'!$A$5:$A$1004,$B147,'支払明細'!$G$5:$G$1004,"10%（標準）"))</f>
        <v/>
      </c>
      <c r="M147" s="26">
        <f>IF($B147="","",SUMIFS('支払明細'!$I$5:$I$1004,'支払明細'!$A$5:$A$1004,$B147,'支払明細'!$G$5:$G$1004,"8%（軽減）"))</f>
        <v/>
      </c>
      <c r="N147" s="26">
        <f>IF($B147="","",SUMIFS('支払明細'!$I$5:$I$1004,'支払明細'!$A$5:$A$1004,$B147,'支払明細'!$G$5:$G$1004,"対象外"))</f>
        <v/>
      </c>
      <c r="O147" s="26">
        <f>IF($B147="","",IF('設定'!$B$11="税込",IF('設定'!$B$12="切り捨て",ROUNDDOWN(ROUND($L147*10/110,6),0),IF('設定'!$B$12="切り上げ",ROUNDUP(ROUND($L147*10/110,6),0),ROUND($L147*10/110,0))),IF('設定'!$B$12="切り捨て",ROUNDDOWN(ROUND($L147*10/100,6),0),IF('設定'!$B$12="切り上げ",ROUNDUP(ROUND($L147*10/100,6),0),ROUND($L147*10/100,0)))))</f>
        <v/>
      </c>
      <c r="P147" s="26">
        <f>IF($B147="","",IF('設定'!$B$11="税込",IF('設定'!$B$12="切り捨て",ROUNDDOWN(ROUND($M147*8/108,6),0),IF('設定'!$B$12="切り上げ",ROUNDUP(ROUND($M147*8/108,6),0),ROUND($M147*8/108,0))),IF('設定'!$B$12="切り捨て",ROUNDDOWN(ROUND($M147*8/100,6),0),IF('設定'!$B$12="切り上げ",ROUNDUP(ROUND($M147*8/100,6),0),ROUND($M147*8/100,0)))))</f>
        <v/>
      </c>
      <c r="Q147" s="26">
        <f>IF($B147="","",IF('設定'!$B$11="税込",$L147+$M147+$N147,$L147+$O147+$M147+$P147+$N147))</f>
        <v/>
      </c>
      <c r="R147" s="26">
        <f>IF($B147="","",IF($X147="",0,IF(INDEX('支払先'!$I$5:$I$104,$X147)&lt;&gt;"する",0,IF(INDEX('支払先'!$J$5:$J$104,$X147)="税抜",IF('設定'!$B$11="税込",($Y147-IF('設定'!$B$12="切り捨て",ROUNDDOWN(ROUND($Y147*10/110,6),0),IF('設定'!$B$12="切り上げ",ROUNDUP(ROUND($Y147*10/110,6),0),ROUND($Y147*10/110,0)))+$Z147-IF('設定'!$B$12="切り捨て",ROUNDDOWN(ROUND($Z147*8/108,6),0),IF('設定'!$B$12="切り上げ",ROUNDUP(ROUND($Z147*8/108,6),0),ROUND($Z147*8/108,0)))+$AA147),$Y147+$Z147+$AA147),IF('設定'!$B$11="税込",$Y147+$Z147+$AA147,($Y147+IF('設定'!$B$12="切り捨て",ROUNDDOWN(ROUND($Y147*10/100,6),0),IF('設定'!$B$12="切り上げ",ROUNDUP(ROUND($Y147*10/100,6),0),ROUND($Y147*10/100,0)))+$Z147+IF('設定'!$B$12="切り捨て",ROUNDDOWN(ROUND($Z147*8/100,6),0),IF('設定'!$B$12="切り上げ",ROUNDUP(ROUND($Z147*8/100,6),0),ROUND($Z147*8/100,0)))+$AA147))))))</f>
        <v/>
      </c>
      <c r="S147" s="26">
        <f>IF($B147="","",IF(N($R147)&lt;=0,0,IF($R147&lt;='設定'!$B$18,ROUNDDOWN(ROUND($R147*'設定'!$B$17,6),0),ROUNDDOWN(ROUND(($R147-'設定'!$B$18)*'設定'!$B$19,6),0)+'設定'!$B$20)))</f>
        <v/>
      </c>
      <c r="T147" s="26">
        <f>IF($B147="","",IF($X147="",0,IF(INDEX('支払先'!$K$5:$K$104,$X147)="差し引く",N(INDEX('支払先'!$L$5:$L$104,$X147)),0)))</f>
        <v/>
      </c>
      <c r="U147" s="26">
        <f>IF($B147="","",$Q147-$S147-$T147)</f>
        <v/>
      </c>
      <c r="V147" s="22">
        <f>IF($B147="","",MID(IF($C147="","／支払先コードが空",IF($X147="","／支払先にないコード",""))&amp;IF($K147=0,"／明細がない","")&amp;IF($AC147&gt;0,"／税率が空の明細 "&amp;$AC147&amp;"件（合計に入っていない）","")&amp;IF($X147="","",IF(INDEX('支払先'!$G$5:$G$104,$X147)="","／登録番号なし（仕入明細書にならない）",""))&amp;IF($AB147&gt;0,"／60日（2か月）を超える明細 "&amp;$AB147&amp;"件","")&amp;IF($X147="","",IF(AND(INDEX('支払先'!$K$5:$K$104,$X147)="差し引く",OR(INDEX('支払先'!$M$5:$M$104,$X147)&lt;&gt;"対象外",INDEX('支払先'!$N$5:$N$104,$X147)&lt;&gt;"対象外")),"／手数料を差し引けない取引か確かめる",""))&amp;IF(COUNTIF($B$5:$B$204,$B147)&gt;1,"／通知Noが重複","")&amp;IF(AND(ISNUMBER($D147),ISNUMBER($F147),$F147&lt;$D147),"／支払予定日が発行日より前",""),2,300))</f>
        <v/>
      </c>
      <c r="W147" s="67" t="n"/>
      <c r="X147" s="31">
        <f>IF(OR($B147="",$C147=""),"",IFERROR(MATCH($C147,'支払先'!$B$5:$B$104,0),""))</f>
        <v/>
      </c>
      <c r="Y147" s="31">
        <f>IF($B147="","",SUMIFS('支払明細'!$I$5:$I$1004,'支払明細'!$A$5:$A$1004,$B147,'支払明細'!$G$5:$G$1004,"10%（標準）",'支払明細'!$H$5:$H$1004,"&lt;&gt;対象外"))</f>
        <v/>
      </c>
      <c r="Z147" s="31">
        <f>IF($B147="","",SUMIFS('支払明細'!$I$5:$I$1004,'支払明細'!$A$5:$A$1004,$B147,'支払明細'!$G$5:$G$1004,"8%（軽減）",'支払明細'!$H$5:$H$1004,"&lt;&gt;対象外"))</f>
        <v/>
      </c>
      <c r="AA147" s="31">
        <f>IF($B147="","",SUMIFS('支払明細'!$I$5:$I$1004,'支払明細'!$A$5:$A$1004,$B147,'支払明細'!$G$5:$G$1004,"対象外",'支払明細'!$H$5:$H$1004,"&lt;&gt;対象外"))</f>
        <v/>
      </c>
      <c r="AB147" s="31">
        <f>IF($B147="","",COUNTIFS('支払明細'!$A$5:$A$1004,$B147,'支払明細'!$M$5:$M$1004,"超える"))</f>
        <v/>
      </c>
      <c r="AC147" s="31">
        <f>IF($B147="","",COUNTIFS('支払明細'!$A$5:$A$1004,$B147,'支払明細'!$G$5:$G$1004,""))</f>
        <v/>
      </c>
    </row>
    <row r="148" ht="18" customHeight="1">
      <c r="A148" s="17" t="n">
        <v>144</v>
      </c>
      <c r="B148" s="18" t="n"/>
      <c r="C148" s="18" t="n"/>
      <c r="D148" s="24" t="n"/>
      <c r="E148" s="19" t="n"/>
      <c r="F148" s="24" t="n"/>
      <c r="G148" s="28">
        <f>IF(AND($B148&lt;&gt;"",ISNUMBER($D148)),$D148+N('設定'!$B$13),"")</f>
        <v/>
      </c>
      <c r="H148" s="18" t="n"/>
      <c r="I148" s="19" t="n"/>
      <c r="J148" s="27">
        <f>IF($B148="","",IF($C148="","（支払先コードが空）",IF($X148="","※支払先にないコード",INDEX('支払先'!$C$5:$C$104,$X148)&amp;"")))</f>
        <v/>
      </c>
      <c r="K148" s="30">
        <f>IF($B148="","",COUNTIF('支払明細'!$A$5:$A$1004,$B148))</f>
        <v/>
      </c>
      <c r="L148" s="26">
        <f>IF($B148="","",SUMIFS('支払明細'!$I$5:$I$1004,'支払明細'!$A$5:$A$1004,$B148,'支払明細'!$G$5:$G$1004,"10%（標準）"))</f>
        <v/>
      </c>
      <c r="M148" s="26">
        <f>IF($B148="","",SUMIFS('支払明細'!$I$5:$I$1004,'支払明細'!$A$5:$A$1004,$B148,'支払明細'!$G$5:$G$1004,"8%（軽減）"))</f>
        <v/>
      </c>
      <c r="N148" s="26">
        <f>IF($B148="","",SUMIFS('支払明細'!$I$5:$I$1004,'支払明細'!$A$5:$A$1004,$B148,'支払明細'!$G$5:$G$1004,"対象外"))</f>
        <v/>
      </c>
      <c r="O148" s="26">
        <f>IF($B148="","",IF('設定'!$B$11="税込",IF('設定'!$B$12="切り捨て",ROUNDDOWN(ROUND($L148*10/110,6),0),IF('設定'!$B$12="切り上げ",ROUNDUP(ROUND($L148*10/110,6),0),ROUND($L148*10/110,0))),IF('設定'!$B$12="切り捨て",ROUNDDOWN(ROUND($L148*10/100,6),0),IF('設定'!$B$12="切り上げ",ROUNDUP(ROUND($L148*10/100,6),0),ROUND($L148*10/100,0)))))</f>
        <v/>
      </c>
      <c r="P148" s="26">
        <f>IF($B148="","",IF('設定'!$B$11="税込",IF('設定'!$B$12="切り捨て",ROUNDDOWN(ROUND($M148*8/108,6),0),IF('設定'!$B$12="切り上げ",ROUNDUP(ROUND($M148*8/108,6),0),ROUND($M148*8/108,0))),IF('設定'!$B$12="切り捨て",ROUNDDOWN(ROUND($M148*8/100,6),0),IF('設定'!$B$12="切り上げ",ROUNDUP(ROUND($M148*8/100,6),0),ROUND($M148*8/100,0)))))</f>
        <v/>
      </c>
      <c r="Q148" s="26">
        <f>IF($B148="","",IF('設定'!$B$11="税込",$L148+$M148+$N148,$L148+$O148+$M148+$P148+$N148))</f>
        <v/>
      </c>
      <c r="R148" s="26">
        <f>IF($B148="","",IF($X148="",0,IF(INDEX('支払先'!$I$5:$I$104,$X148)&lt;&gt;"する",0,IF(INDEX('支払先'!$J$5:$J$104,$X148)="税抜",IF('設定'!$B$11="税込",($Y148-IF('設定'!$B$12="切り捨て",ROUNDDOWN(ROUND($Y148*10/110,6),0),IF('設定'!$B$12="切り上げ",ROUNDUP(ROUND($Y148*10/110,6),0),ROUND($Y148*10/110,0)))+$Z148-IF('設定'!$B$12="切り捨て",ROUNDDOWN(ROUND($Z148*8/108,6),0),IF('設定'!$B$12="切り上げ",ROUNDUP(ROUND($Z148*8/108,6),0),ROUND($Z148*8/108,0)))+$AA148),$Y148+$Z148+$AA148),IF('設定'!$B$11="税込",$Y148+$Z148+$AA148,($Y148+IF('設定'!$B$12="切り捨て",ROUNDDOWN(ROUND($Y148*10/100,6),0),IF('設定'!$B$12="切り上げ",ROUNDUP(ROUND($Y148*10/100,6),0),ROUND($Y148*10/100,0)))+$Z148+IF('設定'!$B$12="切り捨て",ROUNDDOWN(ROUND($Z148*8/100,6),0),IF('設定'!$B$12="切り上げ",ROUNDUP(ROUND($Z148*8/100,6),0),ROUND($Z148*8/100,0)))+$AA148))))))</f>
        <v/>
      </c>
      <c r="S148" s="26">
        <f>IF($B148="","",IF(N($R148)&lt;=0,0,IF($R148&lt;='設定'!$B$18,ROUNDDOWN(ROUND($R148*'設定'!$B$17,6),0),ROUNDDOWN(ROUND(($R148-'設定'!$B$18)*'設定'!$B$19,6),0)+'設定'!$B$20)))</f>
        <v/>
      </c>
      <c r="T148" s="26">
        <f>IF($B148="","",IF($X148="",0,IF(INDEX('支払先'!$K$5:$K$104,$X148)="差し引く",N(INDEX('支払先'!$L$5:$L$104,$X148)),0)))</f>
        <v/>
      </c>
      <c r="U148" s="26">
        <f>IF($B148="","",$Q148-$S148-$T148)</f>
        <v/>
      </c>
      <c r="V148" s="22">
        <f>IF($B148="","",MID(IF($C148="","／支払先コードが空",IF($X148="","／支払先にないコード",""))&amp;IF($K148=0,"／明細がない","")&amp;IF($AC148&gt;0,"／税率が空の明細 "&amp;$AC148&amp;"件（合計に入っていない）","")&amp;IF($X148="","",IF(INDEX('支払先'!$G$5:$G$104,$X148)="","／登録番号なし（仕入明細書にならない）",""))&amp;IF($AB148&gt;0,"／60日（2か月）を超える明細 "&amp;$AB148&amp;"件","")&amp;IF($X148="","",IF(AND(INDEX('支払先'!$K$5:$K$104,$X148)="差し引く",OR(INDEX('支払先'!$M$5:$M$104,$X148)&lt;&gt;"対象外",INDEX('支払先'!$N$5:$N$104,$X148)&lt;&gt;"対象外")),"／手数料を差し引けない取引か確かめる",""))&amp;IF(COUNTIF($B$5:$B$204,$B148)&gt;1,"／通知Noが重複","")&amp;IF(AND(ISNUMBER($D148),ISNUMBER($F148),$F148&lt;$D148),"／支払予定日が発行日より前",""),2,300))</f>
        <v/>
      </c>
      <c r="W148" s="67" t="n"/>
      <c r="X148" s="31">
        <f>IF(OR($B148="",$C148=""),"",IFERROR(MATCH($C148,'支払先'!$B$5:$B$104,0),""))</f>
        <v/>
      </c>
      <c r="Y148" s="31">
        <f>IF($B148="","",SUMIFS('支払明細'!$I$5:$I$1004,'支払明細'!$A$5:$A$1004,$B148,'支払明細'!$G$5:$G$1004,"10%（標準）",'支払明細'!$H$5:$H$1004,"&lt;&gt;対象外"))</f>
        <v/>
      </c>
      <c r="Z148" s="31">
        <f>IF($B148="","",SUMIFS('支払明細'!$I$5:$I$1004,'支払明細'!$A$5:$A$1004,$B148,'支払明細'!$G$5:$G$1004,"8%（軽減）",'支払明細'!$H$5:$H$1004,"&lt;&gt;対象外"))</f>
        <v/>
      </c>
      <c r="AA148" s="31">
        <f>IF($B148="","",SUMIFS('支払明細'!$I$5:$I$1004,'支払明細'!$A$5:$A$1004,$B148,'支払明細'!$G$5:$G$1004,"対象外",'支払明細'!$H$5:$H$1004,"&lt;&gt;対象外"))</f>
        <v/>
      </c>
      <c r="AB148" s="31">
        <f>IF($B148="","",COUNTIFS('支払明細'!$A$5:$A$1004,$B148,'支払明細'!$M$5:$M$1004,"超える"))</f>
        <v/>
      </c>
      <c r="AC148" s="31">
        <f>IF($B148="","",COUNTIFS('支払明細'!$A$5:$A$1004,$B148,'支払明細'!$G$5:$G$1004,""))</f>
        <v/>
      </c>
    </row>
    <row r="149" ht="18" customHeight="1">
      <c r="A149" s="17" t="n">
        <v>145</v>
      </c>
      <c r="B149" s="18" t="n"/>
      <c r="C149" s="18" t="n"/>
      <c r="D149" s="24" t="n"/>
      <c r="E149" s="19" t="n"/>
      <c r="F149" s="24" t="n"/>
      <c r="G149" s="28">
        <f>IF(AND($B149&lt;&gt;"",ISNUMBER($D149)),$D149+N('設定'!$B$13),"")</f>
        <v/>
      </c>
      <c r="H149" s="18" t="n"/>
      <c r="I149" s="19" t="n"/>
      <c r="J149" s="27">
        <f>IF($B149="","",IF($C149="","（支払先コードが空）",IF($X149="","※支払先にないコード",INDEX('支払先'!$C$5:$C$104,$X149)&amp;"")))</f>
        <v/>
      </c>
      <c r="K149" s="30">
        <f>IF($B149="","",COUNTIF('支払明細'!$A$5:$A$1004,$B149))</f>
        <v/>
      </c>
      <c r="L149" s="26">
        <f>IF($B149="","",SUMIFS('支払明細'!$I$5:$I$1004,'支払明細'!$A$5:$A$1004,$B149,'支払明細'!$G$5:$G$1004,"10%（標準）"))</f>
        <v/>
      </c>
      <c r="M149" s="26">
        <f>IF($B149="","",SUMIFS('支払明細'!$I$5:$I$1004,'支払明細'!$A$5:$A$1004,$B149,'支払明細'!$G$5:$G$1004,"8%（軽減）"))</f>
        <v/>
      </c>
      <c r="N149" s="26">
        <f>IF($B149="","",SUMIFS('支払明細'!$I$5:$I$1004,'支払明細'!$A$5:$A$1004,$B149,'支払明細'!$G$5:$G$1004,"対象外"))</f>
        <v/>
      </c>
      <c r="O149" s="26">
        <f>IF($B149="","",IF('設定'!$B$11="税込",IF('設定'!$B$12="切り捨て",ROUNDDOWN(ROUND($L149*10/110,6),0),IF('設定'!$B$12="切り上げ",ROUNDUP(ROUND($L149*10/110,6),0),ROUND($L149*10/110,0))),IF('設定'!$B$12="切り捨て",ROUNDDOWN(ROUND($L149*10/100,6),0),IF('設定'!$B$12="切り上げ",ROUNDUP(ROUND($L149*10/100,6),0),ROUND($L149*10/100,0)))))</f>
        <v/>
      </c>
      <c r="P149" s="26">
        <f>IF($B149="","",IF('設定'!$B$11="税込",IF('設定'!$B$12="切り捨て",ROUNDDOWN(ROUND($M149*8/108,6),0),IF('設定'!$B$12="切り上げ",ROUNDUP(ROUND($M149*8/108,6),0),ROUND($M149*8/108,0))),IF('設定'!$B$12="切り捨て",ROUNDDOWN(ROUND($M149*8/100,6),0),IF('設定'!$B$12="切り上げ",ROUNDUP(ROUND($M149*8/100,6),0),ROUND($M149*8/100,0)))))</f>
        <v/>
      </c>
      <c r="Q149" s="26">
        <f>IF($B149="","",IF('設定'!$B$11="税込",$L149+$M149+$N149,$L149+$O149+$M149+$P149+$N149))</f>
        <v/>
      </c>
      <c r="R149" s="26">
        <f>IF($B149="","",IF($X149="",0,IF(INDEX('支払先'!$I$5:$I$104,$X149)&lt;&gt;"する",0,IF(INDEX('支払先'!$J$5:$J$104,$X149)="税抜",IF('設定'!$B$11="税込",($Y149-IF('設定'!$B$12="切り捨て",ROUNDDOWN(ROUND($Y149*10/110,6),0),IF('設定'!$B$12="切り上げ",ROUNDUP(ROUND($Y149*10/110,6),0),ROUND($Y149*10/110,0)))+$Z149-IF('設定'!$B$12="切り捨て",ROUNDDOWN(ROUND($Z149*8/108,6),0),IF('設定'!$B$12="切り上げ",ROUNDUP(ROUND($Z149*8/108,6),0),ROUND($Z149*8/108,0)))+$AA149),$Y149+$Z149+$AA149),IF('設定'!$B$11="税込",$Y149+$Z149+$AA149,($Y149+IF('設定'!$B$12="切り捨て",ROUNDDOWN(ROUND($Y149*10/100,6),0),IF('設定'!$B$12="切り上げ",ROUNDUP(ROUND($Y149*10/100,6),0),ROUND($Y149*10/100,0)))+$Z149+IF('設定'!$B$12="切り捨て",ROUNDDOWN(ROUND($Z149*8/100,6),0),IF('設定'!$B$12="切り上げ",ROUNDUP(ROUND($Z149*8/100,6),0),ROUND($Z149*8/100,0)))+$AA149))))))</f>
        <v/>
      </c>
      <c r="S149" s="26">
        <f>IF($B149="","",IF(N($R149)&lt;=0,0,IF($R149&lt;='設定'!$B$18,ROUNDDOWN(ROUND($R149*'設定'!$B$17,6),0),ROUNDDOWN(ROUND(($R149-'設定'!$B$18)*'設定'!$B$19,6),0)+'設定'!$B$20)))</f>
        <v/>
      </c>
      <c r="T149" s="26">
        <f>IF($B149="","",IF($X149="",0,IF(INDEX('支払先'!$K$5:$K$104,$X149)="差し引く",N(INDEX('支払先'!$L$5:$L$104,$X149)),0)))</f>
        <v/>
      </c>
      <c r="U149" s="26">
        <f>IF($B149="","",$Q149-$S149-$T149)</f>
        <v/>
      </c>
      <c r="V149" s="22">
        <f>IF($B149="","",MID(IF($C149="","／支払先コードが空",IF($X149="","／支払先にないコード",""))&amp;IF($K149=0,"／明細がない","")&amp;IF($AC149&gt;0,"／税率が空の明細 "&amp;$AC149&amp;"件（合計に入っていない）","")&amp;IF($X149="","",IF(INDEX('支払先'!$G$5:$G$104,$X149)="","／登録番号なし（仕入明細書にならない）",""))&amp;IF($AB149&gt;0,"／60日（2か月）を超える明細 "&amp;$AB149&amp;"件","")&amp;IF($X149="","",IF(AND(INDEX('支払先'!$K$5:$K$104,$X149)="差し引く",OR(INDEX('支払先'!$M$5:$M$104,$X149)&lt;&gt;"対象外",INDEX('支払先'!$N$5:$N$104,$X149)&lt;&gt;"対象外")),"／手数料を差し引けない取引か確かめる",""))&amp;IF(COUNTIF($B$5:$B$204,$B149)&gt;1,"／通知Noが重複","")&amp;IF(AND(ISNUMBER($D149),ISNUMBER($F149),$F149&lt;$D149),"／支払予定日が発行日より前",""),2,300))</f>
        <v/>
      </c>
      <c r="W149" s="67" t="n"/>
      <c r="X149" s="31">
        <f>IF(OR($B149="",$C149=""),"",IFERROR(MATCH($C149,'支払先'!$B$5:$B$104,0),""))</f>
        <v/>
      </c>
      <c r="Y149" s="31">
        <f>IF($B149="","",SUMIFS('支払明細'!$I$5:$I$1004,'支払明細'!$A$5:$A$1004,$B149,'支払明細'!$G$5:$G$1004,"10%（標準）",'支払明細'!$H$5:$H$1004,"&lt;&gt;対象外"))</f>
        <v/>
      </c>
      <c r="Z149" s="31">
        <f>IF($B149="","",SUMIFS('支払明細'!$I$5:$I$1004,'支払明細'!$A$5:$A$1004,$B149,'支払明細'!$G$5:$G$1004,"8%（軽減）",'支払明細'!$H$5:$H$1004,"&lt;&gt;対象外"))</f>
        <v/>
      </c>
      <c r="AA149" s="31">
        <f>IF($B149="","",SUMIFS('支払明細'!$I$5:$I$1004,'支払明細'!$A$5:$A$1004,$B149,'支払明細'!$G$5:$G$1004,"対象外",'支払明細'!$H$5:$H$1004,"&lt;&gt;対象外"))</f>
        <v/>
      </c>
      <c r="AB149" s="31">
        <f>IF($B149="","",COUNTIFS('支払明細'!$A$5:$A$1004,$B149,'支払明細'!$M$5:$M$1004,"超える"))</f>
        <v/>
      </c>
      <c r="AC149" s="31">
        <f>IF($B149="","",COUNTIFS('支払明細'!$A$5:$A$1004,$B149,'支払明細'!$G$5:$G$1004,""))</f>
        <v/>
      </c>
    </row>
    <row r="150" ht="18" customHeight="1">
      <c r="A150" s="17" t="n">
        <v>146</v>
      </c>
      <c r="B150" s="18" t="n"/>
      <c r="C150" s="18" t="n"/>
      <c r="D150" s="24" t="n"/>
      <c r="E150" s="19" t="n"/>
      <c r="F150" s="24" t="n"/>
      <c r="G150" s="28">
        <f>IF(AND($B150&lt;&gt;"",ISNUMBER($D150)),$D150+N('設定'!$B$13),"")</f>
        <v/>
      </c>
      <c r="H150" s="18" t="n"/>
      <c r="I150" s="19" t="n"/>
      <c r="J150" s="27">
        <f>IF($B150="","",IF($C150="","（支払先コードが空）",IF($X150="","※支払先にないコード",INDEX('支払先'!$C$5:$C$104,$X150)&amp;"")))</f>
        <v/>
      </c>
      <c r="K150" s="30">
        <f>IF($B150="","",COUNTIF('支払明細'!$A$5:$A$1004,$B150))</f>
        <v/>
      </c>
      <c r="L150" s="26">
        <f>IF($B150="","",SUMIFS('支払明細'!$I$5:$I$1004,'支払明細'!$A$5:$A$1004,$B150,'支払明細'!$G$5:$G$1004,"10%（標準）"))</f>
        <v/>
      </c>
      <c r="M150" s="26">
        <f>IF($B150="","",SUMIFS('支払明細'!$I$5:$I$1004,'支払明細'!$A$5:$A$1004,$B150,'支払明細'!$G$5:$G$1004,"8%（軽減）"))</f>
        <v/>
      </c>
      <c r="N150" s="26">
        <f>IF($B150="","",SUMIFS('支払明細'!$I$5:$I$1004,'支払明細'!$A$5:$A$1004,$B150,'支払明細'!$G$5:$G$1004,"対象外"))</f>
        <v/>
      </c>
      <c r="O150" s="26">
        <f>IF($B150="","",IF('設定'!$B$11="税込",IF('設定'!$B$12="切り捨て",ROUNDDOWN(ROUND($L150*10/110,6),0),IF('設定'!$B$12="切り上げ",ROUNDUP(ROUND($L150*10/110,6),0),ROUND($L150*10/110,0))),IF('設定'!$B$12="切り捨て",ROUNDDOWN(ROUND($L150*10/100,6),0),IF('設定'!$B$12="切り上げ",ROUNDUP(ROUND($L150*10/100,6),0),ROUND($L150*10/100,0)))))</f>
        <v/>
      </c>
      <c r="P150" s="26">
        <f>IF($B150="","",IF('設定'!$B$11="税込",IF('設定'!$B$12="切り捨て",ROUNDDOWN(ROUND($M150*8/108,6),0),IF('設定'!$B$12="切り上げ",ROUNDUP(ROUND($M150*8/108,6),0),ROUND($M150*8/108,0))),IF('設定'!$B$12="切り捨て",ROUNDDOWN(ROUND($M150*8/100,6),0),IF('設定'!$B$12="切り上げ",ROUNDUP(ROUND($M150*8/100,6),0),ROUND($M150*8/100,0)))))</f>
        <v/>
      </c>
      <c r="Q150" s="26">
        <f>IF($B150="","",IF('設定'!$B$11="税込",$L150+$M150+$N150,$L150+$O150+$M150+$P150+$N150))</f>
        <v/>
      </c>
      <c r="R150" s="26">
        <f>IF($B150="","",IF($X150="",0,IF(INDEX('支払先'!$I$5:$I$104,$X150)&lt;&gt;"する",0,IF(INDEX('支払先'!$J$5:$J$104,$X150)="税抜",IF('設定'!$B$11="税込",($Y150-IF('設定'!$B$12="切り捨て",ROUNDDOWN(ROUND($Y150*10/110,6),0),IF('設定'!$B$12="切り上げ",ROUNDUP(ROUND($Y150*10/110,6),0),ROUND($Y150*10/110,0)))+$Z150-IF('設定'!$B$12="切り捨て",ROUNDDOWN(ROUND($Z150*8/108,6),0),IF('設定'!$B$12="切り上げ",ROUNDUP(ROUND($Z150*8/108,6),0),ROUND($Z150*8/108,0)))+$AA150),$Y150+$Z150+$AA150),IF('設定'!$B$11="税込",$Y150+$Z150+$AA150,($Y150+IF('設定'!$B$12="切り捨て",ROUNDDOWN(ROUND($Y150*10/100,6),0),IF('設定'!$B$12="切り上げ",ROUNDUP(ROUND($Y150*10/100,6),0),ROUND($Y150*10/100,0)))+$Z150+IF('設定'!$B$12="切り捨て",ROUNDDOWN(ROUND($Z150*8/100,6),0),IF('設定'!$B$12="切り上げ",ROUNDUP(ROUND($Z150*8/100,6),0),ROUND($Z150*8/100,0)))+$AA150))))))</f>
        <v/>
      </c>
      <c r="S150" s="26">
        <f>IF($B150="","",IF(N($R150)&lt;=0,0,IF($R150&lt;='設定'!$B$18,ROUNDDOWN(ROUND($R150*'設定'!$B$17,6),0),ROUNDDOWN(ROUND(($R150-'設定'!$B$18)*'設定'!$B$19,6),0)+'設定'!$B$20)))</f>
        <v/>
      </c>
      <c r="T150" s="26">
        <f>IF($B150="","",IF($X150="",0,IF(INDEX('支払先'!$K$5:$K$104,$X150)="差し引く",N(INDEX('支払先'!$L$5:$L$104,$X150)),0)))</f>
        <v/>
      </c>
      <c r="U150" s="26">
        <f>IF($B150="","",$Q150-$S150-$T150)</f>
        <v/>
      </c>
      <c r="V150" s="22">
        <f>IF($B150="","",MID(IF($C150="","／支払先コードが空",IF($X150="","／支払先にないコード",""))&amp;IF($K150=0,"／明細がない","")&amp;IF($AC150&gt;0,"／税率が空の明細 "&amp;$AC150&amp;"件（合計に入っていない）","")&amp;IF($X150="","",IF(INDEX('支払先'!$G$5:$G$104,$X150)="","／登録番号なし（仕入明細書にならない）",""))&amp;IF($AB150&gt;0,"／60日（2か月）を超える明細 "&amp;$AB150&amp;"件","")&amp;IF($X150="","",IF(AND(INDEX('支払先'!$K$5:$K$104,$X150)="差し引く",OR(INDEX('支払先'!$M$5:$M$104,$X150)&lt;&gt;"対象外",INDEX('支払先'!$N$5:$N$104,$X150)&lt;&gt;"対象外")),"／手数料を差し引けない取引か確かめる",""))&amp;IF(COUNTIF($B$5:$B$204,$B150)&gt;1,"／通知Noが重複","")&amp;IF(AND(ISNUMBER($D150),ISNUMBER($F150),$F150&lt;$D150),"／支払予定日が発行日より前",""),2,300))</f>
        <v/>
      </c>
      <c r="W150" s="67" t="n"/>
      <c r="X150" s="31">
        <f>IF(OR($B150="",$C150=""),"",IFERROR(MATCH($C150,'支払先'!$B$5:$B$104,0),""))</f>
        <v/>
      </c>
      <c r="Y150" s="31">
        <f>IF($B150="","",SUMIFS('支払明細'!$I$5:$I$1004,'支払明細'!$A$5:$A$1004,$B150,'支払明細'!$G$5:$G$1004,"10%（標準）",'支払明細'!$H$5:$H$1004,"&lt;&gt;対象外"))</f>
        <v/>
      </c>
      <c r="Z150" s="31">
        <f>IF($B150="","",SUMIFS('支払明細'!$I$5:$I$1004,'支払明細'!$A$5:$A$1004,$B150,'支払明細'!$G$5:$G$1004,"8%（軽減）",'支払明細'!$H$5:$H$1004,"&lt;&gt;対象外"))</f>
        <v/>
      </c>
      <c r="AA150" s="31">
        <f>IF($B150="","",SUMIFS('支払明細'!$I$5:$I$1004,'支払明細'!$A$5:$A$1004,$B150,'支払明細'!$G$5:$G$1004,"対象外",'支払明細'!$H$5:$H$1004,"&lt;&gt;対象外"))</f>
        <v/>
      </c>
      <c r="AB150" s="31">
        <f>IF($B150="","",COUNTIFS('支払明細'!$A$5:$A$1004,$B150,'支払明細'!$M$5:$M$1004,"超える"))</f>
        <v/>
      </c>
      <c r="AC150" s="31">
        <f>IF($B150="","",COUNTIFS('支払明細'!$A$5:$A$1004,$B150,'支払明細'!$G$5:$G$1004,""))</f>
        <v/>
      </c>
    </row>
    <row r="151" ht="18" customHeight="1">
      <c r="A151" s="17" t="n">
        <v>147</v>
      </c>
      <c r="B151" s="18" t="n"/>
      <c r="C151" s="18" t="n"/>
      <c r="D151" s="24" t="n"/>
      <c r="E151" s="19" t="n"/>
      <c r="F151" s="24" t="n"/>
      <c r="G151" s="28">
        <f>IF(AND($B151&lt;&gt;"",ISNUMBER($D151)),$D151+N('設定'!$B$13),"")</f>
        <v/>
      </c>
      <c r="H151" s="18" t="n"/>
      <c r="I151" s="19" t="n"/>
      <c r="J151" s="27">
        <f>IF($B151="","",IF($C151="","（支払先コードが空）",IF($X151="","※支払先にないコード",INDEX('支払先'!$C$5:$C$104,$X151)&amp;"")))</f>
        <v/>
      </c>
      <c r="K151" s="30">
        <f>IF($B151="","",COUNTIF('支払明細'!$A$5:$A$1004,$B151))</f>
        <v/>
      </c>
      <c r="L151" s="26">
        <f>IF($B151="","",SUMIFS('支払明細'!$I$5:$I$1004,'支払明細'!$A$5:$A$1004,$B151,'支払明細'!$G$5:$G$1004,"10%（標準）"))</f>
        <v/>
      </c>
      <c r="M151" s="26">
        <f>IF($B151="","",SUMIFS('支払明細'!$I$5:$I$1004,'支払明細'!$A$5:$A$1004,$B151,'支払明細'!$G$5:$G$1004,"8%（軽減）"))</f>
        <v/>
      </c>
      <c r="N151" s="26">
        <f>IF($B151="","",SUMIFS('支払明細'!$I$5:$I$1004,'支払明細'!$A$5:$A$1004,$B151,'支払明細'!$G$5:$G$1004,"対象外"))</f>
        <v/>
      </c>
      <c r="O151" s="26">
        <f>IF($B151="","",IF('設定'!$B$11="税込",IF('設定'!$B$12="切り捨て",ROUNDDOWN(ROUND($L151*10/110,6),0),IF('設定'!$B$12="切り上げ",ROUNDUP(ROUND($L151*10/110,6),0),ROUND($L151*10/110,0))),IF('設定'!$B$12="切り捨て",ROUNDDOWN(ROUND($L151*10/100,6),0),IF('設定'!$B$12="切り上げ",ROUNDUP(ROUND($L151*10/100,6),0),ROUND($L151*10/100,0)))))</f>
        <v/>
      </c>
      <c r="P151" s="26">
        <f>IF($B151="","",IF('設定'!$B$11="税込",IF('設定'!$B$12="切り捨て",ROUNDDOWN(ROUND($M151*8/108,6),0),IF('設定'!$B$12="切り上げ",ROUNDUP(ROUND($M151*8/108,6),0),ROUND($M151*8/108,0))),IF('設定'!$B$12="切り捨て",ROUNDDOWN(ROUND($M151*8/100,6),0),IF('設定'!$B$12="切り上げ",ROUNDUP(ROUND($M151*8/100,6),0),ROUND($M151*8/100,0)))))</f>
        <v/>
      </c>
      <c r="Q151" s="26">
        <f>IF($B151="","",IF('設定'!$B$11="税込",$L151+$M151+$N151,$L151+$O151+$M151+$P151+$N151))</f>
        <v/>
      </c>
      <c r="R151" s="26">
        <f>IF($B151="","",IF($X151="",0,IF(INDEX('支払先'!$I$5:$I$104,$X151)&lt;&gt;"する",0,IF(INDEX('支払先'!$J$5:$J$104,$X151)="税抜",IF('設定'!$B$11="税込",($Y151-IF('設定'!$B$12="切り捨て",ROUNDDOWN(ROUND($Y151*10/110,6),0),IF('設定'!$B$12="切り上げ",ROUNDUP(ROUND($Y151*10/110,6),0),ROUND($Y151*10/110,0)))+$Z151-IF('設定'!$B$12="切り捨て",ROUNDDOWN(ROUND($Z151*8/108,6),0),IF('設定'!$B$12="切り上げ",ROUNDUP(ROUND($Z151*8/108,6),0),ROUND($Z151*8/108,0)))+$AA151),$Y151+$Z151+$AA151),IF('設定'!$B$11="税込",$Y151+$Z151+$AA151,($Y151+IF('設定'!$B$12="切り捨て",ROUNDDOWN(ROUND($Y151*10/100,6),0),IF('設定'!$B$12="切り上げ",ROUNDUP(ROUND($Y151*10/100,6),0),ROUND($Y151*10/100,0)))+$Z151+IF('設定'!$B$12="切り捨て",ROUNDDOWN(ROUND($Z151*8/100,6),0),IF('設定'!$B$12="切り上げ",ROUNDUP(ROUND($Z151*8/100,6),0),ROUND($Z151*8/100,0)))+$AA151))))))</f>
        <v/>
      </c>
      <c r="S151" s="26">
        <f>IF($B151="","",IF(N($R151)&lt;=0,0,IF($R151&lt;='設定'!$B$18,ROUNDDOWN(ROUND($R151*'設定'!$B$17,6),0),ROUNDDOWN(ROUND(($R151-'設定'!$B$18)*'設定'!$B$19,6),0)+'設定'!$B$20)))</f>
        <v/>
      </c>
      <c r="T151" s="26">
        <f>IF($B151="","",IF($X151="",0,IF(INDEX('支払先'!$K$5:$K$104,$X151)="差し引く",N(INDEX('支払先'!$L$5:$L$104,$X151)),0)))</f>
        <v/>
      </c>
      <c r="U151" s="26">
        <f>IF($B151="","",$Q151-$S151-$T151)</f>
        <v/>
      </c>
      <c r="V151" s="22">
        <f>IF($B151="","",MID(IF($C151="","／支払先コードが空",IF($X151="","／支払先にないコード",""))&amp;IF($K151=0,"／明細がない","")&amp;IF($AC151&gt;0,"／税率が空の明細 "&amp;$AC151&amp;"件（合計に入っていない）","")&amp;IF($X151="","",IF(INDEX('支払先'!$G$5:$G$104,$X151)="","／登録番号なし（仕入明細書にならない）",""))&amp;IF($AB151&gt;0,"／60日（2か月）を超える明細 "&amp;$AB151&amp;"件","")&amp;IF($X151="","",IF(AND(INDEX('支払先'!$K$5:$K$104,$X151)="差し引く",OR(INDEX('支払先'!$M$5:$M$104,$X151)&lt;&gt;"対象外",INDEX('支払先'!$N$5:$N$104,$X151)&lt;&gt;"対象外")),"／手数料を差し引けない取引か確かめる",""))&amp;IF(COUNTIF($B$5:$B$204,$B151)&gt;1,"／通知Noが重複","")&amp;IF(AND(ISNUMBER($D151),ISNUMBER($F151),$F151&lt;$D151),"／支払予定日が発行日より前",""),2,300))</f>
        <v/>
      </c>
      <c r="W151" s="67" t="n"/>
      <c r="X151" s="31">
        <f>IF(OR($B151="",$C151=""),"",IFERROR(MATCH($C151,'支払先'!$B$5:$B$104,0),""))</f>
        <v/>
      </c>
      <c r="Y151" s="31">
        <f>IF($B151="","",SUMIFS('支払明細'!$I$5:$I$1004,'支払明細'!$A$5:$A$1004,$B151,'支払明細'!$G$5:$G$1004,"10%（標準）",'支払明細'!$H$5:$H$1004,"&lt;&gt;対象外"))</f>
        <v/>
      </c>
      <c r="Z151" s="31">
        <f>IF($B151="","",SUMIFS('支払明細'!$I$5:$I$1004,'支払明細'!$A$5:$A$1004,$B151,'支払明細'!$G$5:$G$1004,"8%（軽減）",'支払明細'!$H$5:$H$1004,"&lt;&gt;対象外"))</f>
        <v/>
      </c>
      <c r="AA151" s="31">
        <f>IF($B151="","",SUMIFS('支払明細'!$I$5:$I$1004,'支払明細'!$A$5:$A$1004,$B151,'支払明細'!$G$5:$G$1004,"対象外",'支払明細'!$H$5:$H$1004,"&lt;&gt;対象外"))</f>
        <v/>
      </c>
      <c r="AB151" s="31">
        <f>IF($B151="","",COUNTIFS('支払明細'!$A$5:$A$1004,$B151,'支払明細'!$M$5:$M$1004,"超える"))</f>
        <v/>
      </c>
      <c r="AC151" s="31">
        <f>IF($B151="","",COUNTIFS('支払明細'!$A$5:$A$1004,$B151,'支払明細'!$G$5:$G$1004,""))</f>
        <v/>
      </c>
    </row>
    <row r="152" ht="18" customHeight="1">
      <c r="A152" s="17" t="n">
        <v>148</v>
      </c>
      <c r="B152" s="18" t="n"/>
      <c r="C152" s="18" t="n"/>
      <c r="D152" s="24" t="n"/>
      <c r="E152" s="19" t="n"/>
      <c r="F152" s="24" t="n"/>
      <c r="G152" s="28">
        <f>IF(AND($B152&lt;&gt;"",ISNUMBER($D152)),$D152+N('設定'!$B$13),"")</f>
        <v/>
      </c>
      <c r="H152" s="18" t="n"/>
      <c r="I152" s="19" t="n"/>
      <c r="J152" s="27">
        <f>IF($B152="","",IF($C152="","（支払先コードが空）",IF($X152="","※支払先にないコード",INDEX('支払先'!$C$5:$C$104,$X152)&amp;"")))</f>
        <v/>
      </c>
      <c r="K152" s="30">
        <f>IF($B152="","",COUNTIF('支払明細'!$A$5:$A$1004,$B152))</f>
        <v/>
      </c>
      <c r="L152" s="26">
        <f>IF($B152="","",SUMIFS('支払明細'!$I$5:$I$1004,'支払明細'!$A$5:$A$1004,$B152,'支払明細'!$G$5:$G$1004,"10%（標準）"))</f>
        <v/>
      </c>
      <c r="M152" s="26">
        <f>IF($B152="","",SUMIFS('支払明細'!$I$5:$I$1004,'支払明細'!$A$5:$A$1004,$B152,'支払明細'!$G$5:$G$1004,"8%（軽減）"))</f>
        <v/>
      </c>
      <c r="N152" s="26">
        <f>IF($B152="","",SUMIFS('支払明細'!$I$5:$I$1004,'支払明細'!$A$5:$A$1004,$B152,'支払明細'!$G$5:$G$1004,"対象外"))</f>
        <v/>
      </c>
      <c r="O152" s="26">
        <f>IF($B152="","",IF('設定'!$B$11="税込",IF('設定'!$B$12="切り捨て",ROUNDDOWN(ROUND($L152*10/110,6),0),IF('設定'!$B$12="切り上げ",ROUNDUP(ROUND($L152*10/110,6),0),ROUND($L152*10/110,0))),IF('設定'!$B$12="切り捨て",ROUNDDOWN(ROUND($L152*10/100,6),0),IF('設定'!$B$12="切り上げ",ROUNDUP(ROUND($L152*10/100,6),0),ROUND($L152*10/100,0)))))</f>
        <v/>
      </c>
      <c r="P152" s="26">
        <f>IF($B152="","",IF('設定'!$B$11="税込",IF('設定'!$B$12="切り捨て",ROUNDDOWN(ROUND($M152*8/108,6),0),IF('設定'!$B$12="切り上げ",ROUNDUP(ROUND($M152*8/108,6),0),ROUND($M152*8/108,0))),IF('設定'!$B$12="切り捨て",ROUNDDOWN(ROUND($M152*8/100,6),0),IF('設定'!$B$12="切り上げ",ROUNDUP(ROUND($M152*8/100,6),0),ROUND($M152*8/100,0)))))</f>
        <v/>
      </c>
      <c r="Q152" s="26">
        <f>IF($B152="","",IF('設定'!$B$11="税込",$L152+$M152+$N152,$L152+$O152+$M152+$P152+$N152))</f>
        <v/>
      </c>
      <c r="R152" s="26">
        <f>IF($B152="","",IF($X152="",0,IF(INDEX('支払先'!$I$5:$I$104,$X152)&lt;&gt;"する",0,IF(INDEX('支払先'!$J$5:$J$104,$X152)="税抜",IF('設定'!$B$11="税込",($Y152-IF('設定'!$B$12="切り捨て",ROUNDDOWN(ROUND($Y152*10/110,6),0),IF('設定'!$B$12="切り上げ",ROUNDUP(ROUND($Y152*10/110,6),0),ROUND($Y152*10/110,0)))+$Z152-IF('設定'!$B$12="切り捨て",ROUNDDOWN(ROUND($Z152*8/108,6),0),IF('設定'!$B$12="切り上げ",ROUNDUP(ROUND($Z152*8/108,6),0),ROUND($Z152*8/108,0)))+$AA152),$Y152+$Z152+$AA152),IF('設定'!$B$11="税込",$Y152+$Z152+$AA152,($Y152+IF('設定'!$B$12="切り捨て",ROUNDDOWN(ROUND($Y152*10/100,6),0),IF('設定'!$B$12="切り上げ",ROUNDUP(ROUND($Y152*10/100,6),0),ROUND($Y152*10/100,0)))+$Z152+IF('設定'!$B$12="切り捨て",ROUNDDOWN(ROUND($Z152*8/100,6),0),IF('設定'!$B$12="切り上げ",ROUNDUP(ROUND($Z152*8/100,6),0),ROUND($Z152*8/100,0)))+$AA152))))))</f>
        <v/>
      </c>
      <c r="S152" s="26">
        <f>IF($B152="","",IF(N($R152)&lt;=0,0,IF($R152&lt;='設定'!$B$18,ROUNDDOWN(ROUND($R152*'設定'!$B$17,6),0),ROUNDDOWN(ROUND(($R152-'設定'!$B$18)*'設定'!$B$19,6),0)+'設定'!$B$20)))</f>
        <v/>
      </c>
      <c r="T152" s="26">
        <f>IF($B152="","",IF($X152="",0,IF(INDEX('支払先'!$K$5:$K$104,$X152)="差し引く",N(INDEX('支払先'!$L$5:$L$104,$X152)),0)))</f>
        <v/>
      </c>
      <c r="U152" s="26">
        <f>IF($B152="","",$Q152-$S152-$T152)</f>
        <v/>
      </c>
      <c r="V152" s="22">
        <f>IF($B152="","",MID(IF($C152="","／支払先コードが空",IF($X152="","／支払先にないコード",""))&amp;IF($K152=0,"／明細がない","")&amp;IF($AC152&gt;0,"／税率が空の明細 "&amp;$AC152&amp;"件（合計に入っていない）","")&amp;IF($X152="","",IF(INDEX('支払先'!$G$5:$G$104,$X152)="","／登録番号なし（仕入明細書にならない）",""))&amp;IF($AB152&gt;0,"／60日（2か月）を超える明細 "&amp;$AB152&amp;"件","")&amp;IF($X152="","",IF(AND(INDEX('支払先'!$K$5:$K$104,$X152)="差し引く",OR(INDEX('支払先'!$M$5:$M$104,$X152)&lt;&gt;"対象外",INDEX('支払先'!$N$5:$N$104,$X152)&lt;&gt;"対象外")),"／手数料を差し引けない取引か確かめる",""))&amp;IF(COUNTIF($B$5:$B$204,$B152)&gt;1,"／通知Noが重複","")&amp;IF(AND(ISNUMBER($D152),ISNUMBER($F152),$F152&lt;$D152),"／支払予定日が発行日より前",""),2,300))</f>
        <v/>
      </c>
      <c r="W152" s="67" t="n"/>
      <c r="X152" s="31">
        <f>IF(OR($B152="",$C152=""),"",IFERROR(MATCH($C152,'支払先'!$B$5:$B$104,0),""))</f>
        <v/>
      </c>
      <c r="Y152" s="31">
        <f>IF($B152="","",SUMIFS('支払明細'!$I$5:$I$1004,'支払明細'!$A$5:$A$1004,$B152,'支払明細'!$G$5:$G$1004,"10%（標準）",'支払明細'!$H$5:$H$1004,"&lt;&gt;対象外"))</f>
        <v/>
      </c>
      <c r="Z152" s="31">
        <f>IF($B152="","",SUMIFS('支払明細'!$I$5:$I$1004,'支払明細'!$A$5:$A$1004,$B152,'支払明細'!$G$5:$G$1004,"8%（軽減）",'支払明細'!$H$5:$H$1004,"&lt;&gt;対象外"))</f>
        <v/>
      </c>
      <c r="AA152" s="31">
        <f>IF($B152="","",SUMIFS('支払明細'!$I$5:$I$1004,'支払明細'!$A$5:$A$1004,$B152,'支払明細'!$G$5:$G$1004,"対象外",'支払明細'!$H$5:$H$1004,"&lt;&gt;対象外"))</f>
        <v/>
      </c>
      <c r="AB152" s="31">
        <f>IF($B152="","",COUNTIFS('支払明細'!$A$5:$A$1004,$B152,'支払明細'!$M$5:$M$1004,"超える"))</f>
        <v/>
      </c>
      <c r="AC152" s="31">
        <f>IF($B152="","",COUNTIFS('支払明細'!$A$5:$A$1004,$B152,'支払明細'!$G$5:$G$1004,""))</f>
        <v/>
      </c>
    </row>
    <row r="153" ht="18" customHeight="1">
      <c r="A153" s="17" t="n">
        <v>149</v>
      </c>
      <c r="B153" s="18" t="n"/>
      <c r="C153" s="18" t="n"/>
      <c r="D153" s="24" t="n"/>
      <c r="E153" s="19" t="n"/>
      <c r="F153" s="24" t="n"/>
      <c r="G153" s="28">
        <f>IF(AND($B153&lt;&gt;"",ISNUMBER($D153)),$D153+N('設定'!$B$13),"")</f>
        <v/>
      </c>
      <c r="H153" s="18" t="n"/>
      <c r="I153" s="19" t="n"/>
      <c r="J153" s="27">
        <f>IF($B153="","",IF($C153="","（支払先コードが空）",IF($X153="","※支払先にないコード",INDEX('支払先'!$C$5:$C$104,$X153)&amp;"")))</f>
        <v/>
      </c>
      <c r="K153" s="30">
        <f>IF($B153="","",COUNTIF('支払明細'!$A$5:$A$1004,$B153))</f>
        <v/>
      </c>
      <c r="L153" s="26">
        <f>IF($B153="","",SUMIFS('支払明細'!$I$5:$I$1004,'支払明細'!$A$5:$A$1004,$B153,'支払明細'!$G$5:$G$1004,"10%（標準）"))</f>
        <v/>
      </c>
      <c r="M153" s="26">
        <f>IF($B153="","",SUMIFS('支払明細'!$I$5:$I$1004,'支払明細'!$A$5:$A$1004,$B153,'支払明細'!$G$5:$G$1004,"8%（軽減）"))</f>
        <v/>
      </c>
      <c r="N153" s="26">
        <f>IF($B153="","",SUMIFS('支払明細'!$I$5:$I$1004,'支払明細'!$A$5:$A$1004,$B153,'支払明細'!$G$5:$G$1004,"対象外"))</f>
        <v/>
      </c>
      <c r="O153" s="26">
        <f>IF($B153="","",IF('設定'!$B$11="税込",IF('設定'!$B$12="切り捨て",ROUNDDOWN(ROUND($L153*10/110,6),0),IF('設定'!$B$12="切り上げ",ROUNDUP(ROUND($L153*10/110,6),0),ROUND($L153*10/110,0))),IF('設定'!$B$12="切り捨て",ROUNDDOWN(ROUND($L153*10/100,6),0),IF('設定'!$B$12="切り上げ",ROUNDUP(ROUND($L153*10/100,6),0),ROUND($L153*10/100,0)))))</f>
        <v/>
      </c>
      <c r="P153" s="26">
        <f>IF($B153="","",IF('設定'!$B$11="税込",IF('設定'!$B$12="切り捨て",ROUNDDOWN(ROUND($M153*8/108,6),0),IF('設定'!$B$12="切り上げ",ROUNDUP(ROUND($M153*8/108,6),0),ROUND($M153*8/108,0))),IF('設定'!$B$12="切り捨て",ROUNDDOWN(ROUND($M153*8/100,6),0),IF('設定'!$B$12="切り上げ",ROUNDUP(ROUND($M153*8/100,6),0),ROUND($M153*8/100,0)))))</f>
        <v/>
      </c>
      <c r="Q153" s="26">
        <f>IF($B153="","",IF('設定'!$B$11="税込",$L153+$M153+$N153,$L153+$O153+$M153+$P153+$N153))</f>
        <v/>
      </c>
      <c r="R153" s="26">
        <f>IF($B153="","",IF($X153="",0,IF(INDEX('支払先'!$I$5:$I$104,$X153)&lt;&gt;"する",0,IF(INDEX('支払先'!$J$5:$J$104,$X153)="税抜",IF('設定'!$B$11="税込",($Y153-IF('設定'!$B$12="切り捨て",ROUNDDOWN(ROUND($Y153*10/110,6),0),IF('設定'!$B$12="切り上げ",ROUNDUP(ROUND($Y153*10/110,6),0),ROUND($Y153*10/110,0)))+$Z153-IF('設定'!$B$12="切り捨て",ROUNDDOWN(ROUND($Z153*8/108,6),0),IF('設定'!$B$12="切り上げ",ROUNDUP(ROUND($Z153*8/108,6),0),ROUND($Z153*8/108,0)))+$AA153),$Y153+$Z153+$AA153),IF('設定'!$B$11="税込",$Y153+$Z153+$AA153,($Y153+IF('設定'!$B$12="切り捨て",ROUNDDOWN(ROUND($Y153*10/100,6),0),IF('設定'!$B$12="切り上げ",ROUNDUP(ROUND($Y153*10/100,6),0),ROUND($Y153*10/100,0)))+$Z153+IF('設定'!$B$12="切り捨て",ROUNDDOWN(ROUND($Z153*8/100,6),0),IF('設定'!$B$12="切り上げ",ROUNDUP(ROUND($Z153*8/100,6),0),ROUND($Z153*8/100,0)))+$AA153))))))</f>
        <v/>
      </c>
      <c r="S153" s="26">
        <f>IF($B153="","",IF(N($R153)&lt;=0,0,IF($R153&lt;='設定'!$B$18,ROUNDDOWN(ROUND($R153*'設定'!$B$17,6),0),ROUNDDOWN(ROUND(($R153-'設定'!$B$18)*'設定'!$B$19,6),0)+'設定'!$B$20)))</f>
        <v/>
      </c>
      <c r="T153" s="26">
        <f>IF($B153="","",IF($X153="",0,IF(INDEX('支払先'!$K$5:$K$104,$X153)="差し引く",N(INDEX('支払先'!$L$5:$L$104,$X153)),0)))</f>
        <v/>
      </c>
      <c r="U153" s="26">
        <f>IF($B153="","",$Q153-$S153-$T153)</f>
        <v/>
      </c>
      <c r="V153" s="22">
        <f>IF($B153="","",MID(IF($C153="","／支払先コードが空",IF($X153="","／支払先にないコード",""))&amp;IF($K153=0,"／明細がない","")&amp;IF($AC153&gt;0,"／税率が空の明細 "&amp;$AC153&amp;"件（合計に入っていない）","")&amp;IF($X153="","",IF(INDEX('支払先'!$G$5:$G$104,$X153)="","／登録番号なし（仕入明細書にならない）",""))&amp;IF($AB153&gt;0,"／60日（2か月）を超える明細 "&amp;$AB153&amp;"件","")&amp;IF($X153="","",IF(AND(INDEX('支払先'!$K$5:$K$104,$X153)="差し引く",OR(INDEX('支払先'!$M$5:$M$104,$X153)&lt;&gt;"対象外",INDEX('支払先'!$N$5:$N$104,$X153)&lt;&gt;"対象外")),"／手数料を差し引けない取引か確かめる",""))&amp;IF(COUNTIF($B$5:$B$204,$B153)&gt;1,"／通知Noが重複","")&amp;IF(AND(ISNUMBER($D153),ISNUMBER($F153),$F153&lt;$D153),"／支払予定日が発行日より前",""),2,300))</f>
        <v/>
      </c>
      <c r="W153" s="67" t="n"/>
      <c r="X153" s="31">
        <f>IF(OR($B153="",$C153=""),"",IFERROR(MATCH($C153,'支払先'!$B$5:$B$104,0),""))</f>
        <v/>
      </c>
      <c r="Y153" s="31">
        <f>IF($B153="","",SUMIFS('支払明細'!$I$5:$I$1004,'支払明細'!$A$5:$A$1004,$B153,'支払明細'!$G$5:$G$1004,"10%（標準）",'支払明細'!$H$5:$H$1004,"&lt;&gt;対象外"))</f>
        <v/>
      </c>
      <c r="Z153" s="31">
        <f>IF($B153="","",SUMIFS('支払明細'!$I$5:$I$1004,'支払明細'!$A$5:$A$1004,$B153,'支払明細'!$G$5:$G$1004,"8%（軽減）",'支払明細'!$H$5:$H$1004,"&lt;&gt;対象外"))</f>
        <v/>
      </c>
      <c r="AA153" s="31">
        <f>IF($B153="","",SUMIFS('支払明細'!$I$5:$I$1004,'支払明細'!$A$5:$A$1004,$B153,'支払明細'!$G$5:$G$1004,"対象外",'支払明細'!$H$5:$H$1004,"&lt;&gt;対象外"))</f>
        <v/>
      </c>
      <c r="AB153" s="31">
        <f>IF($B153="","",COUNTIFS('支払明細'!$A$5:$A$1004,$B153,'支払明細'!$M$5:$M$1004,"超える"))</f>
        <v/>
      </c>
      <c r="AC153" s="31">
        <f>IF($B153="","",COUNTIFS('支払明細'!$A$5:$A$1004,$B153,'支払明細'!$G$5:$G$1004,""))</f>
        <v/>
      </c>
    </row>
    <row r="154" ht="18" customHeight="1">
      <c r="A154" s="17" t="n">
        <v>150</v>
      </c>
      <c r="B154" s="18" t="n"/>
      <c r="C154" s="18" t="n"/>
      <c r="D154" s="24" t="n"/>
      <c r="E154" s="19" t="n"/>
      <c r="F154" s="24" t="n"/>
      <c r="G154" s="28">
        <f>IF(AND($B154&lt;&gt;"",ISNUMBER($D154)),$D154+N('設定'!$B$13),"")</f>
        <v/>
      </c>
      <c r="H154" s="18" t="n"/>
      <c r="I154" s="19" t="n"/>
      <c r="J154" s="27">
        <f>IF($B154="","",IF($C154="","（支払先コードが空）",IF($X154="","※支払先にないコード",INDEX('支払先'!$C$5:$C$104,$X154)&amp;"")))</f>
        <v/>
      </c>
      <c r="K154" s="30">
        <f>IF($B154="","",COUNTIF('支払明細'!$A$5:$A$1004,$B154))</f>
        <v/>
      </c>
      <c r="L154" s="26">
        <f>IF($B154="","",SUMIFS('支払明細'!$I$5:$I$1004,'支払明細'!$A$5:$A$1004,$B154,'支払明細'!$G$5:$G$1004,"10%（標準）"))</f>
        <v/>
      </c>
      <c r="M154" s="26">
        <f>IF($B154="","",SUMIFS('支払明細'!$I$5:$I$1004,'支払明細'!$A$5:$A$1004,$B154,'支払明細'!$G$5:$G$1004,"8%（軽減）"))</f>
        <v/>
      </c>
      <c r="N154" s="26">
        <f>IF($B154="","",SUMIFS('支払明細'!$I$5:$I$1004,'支払明細'!$A$5:$A$1004,$B154,'支払明細'!$G$5:$G$1004,"対象外"))</f>
        <v/>
      </c>
      <c r="O154" s="26">
        <f>IF($B154="","",IF('設定'!$B$11="税込",IF('設定'!$B$12="切り捨て",ROUNDDOWN(ROUND($L154*10/110,6),0),IF('設定'!$B$12="切り上げ",ROUNDUP(ROUND($L154*10/110,6),0),ROUND($L154*10/110,0))),IF('設定'!$B$12="切り捨て",ROUNDDOWN(ROUND($L154*10/100,6),0),IF('設定'!$B$12="切り上げ",ROUNDUP(ROUND($L154*10/100,6),0),ROUND($L154*10/100,0)))))</f>
        <v/>
      </c>
      <c r="P154" s="26">
        <f>IF($B154="","",IF('設定'!$B$11="税込",IF('設定'!$B$12="切り捨て",ROUNDDOWN(ROUND($M154*8/108,6),0),IF('設定'!$B$12="切り上げ",ROUNDUP(ROUND($M154*8/108,6),0),ROUND($M154*8/108,0))),IF('設定'!$B$12="切り捨て",ROUNDDOWN(ROUND($M154*8/100,6),0),IF('設定'!$B$12="切り上げ",ROUNDUP(ROUND($M154*8/100,6),0),ROUND($M154*8/100,0)))))</f>
        <v/>
      </c>
      <c r="Q154" s="26">
        <f>IF($B154="","",IF('設定'!$B$11="税込",$L154+$M154+$N154,$L154+$O154+$M154+$P154+$N154))</f>
        <v/>
      </c>
      <c r="R154" s="26">
        <f>IF($B154="","",IF($X154="",0,IF(INDEX('支払先'!$I$5:$I$104,$X154)&lt;&gt;"する",0,IF(INDEX('支払先'!$J$5:$J$104,$X154)="税抜",IF('設定'!$B$11="税込",($Y154-IF('設定'!$B$12="切り捨て",ROUNDDOWN(ROUND($Y154*10/110,6),0),IF('設定'!$B$12="切り上げ",ROUNDUP(ROUND($Y154*10/110,6),0),ROUND($Y154*10/110,0)))+$Z154-IF('設定'!$B$12="切り捨て",ROUNDDOWN(ROUND($Z154*8/108,6),0),IF('設定'!$B$12="切り上げ",ROUNDUP(ROUND($Z154*8/108,6),0),ROUND($Z154*8/108,0)))+$AA154),$Y154+$Z154+$AA154),IF('設定'!$B$11="税込",$Y154+$Z154+$AA154,($Y154+IF('設定'!$B$12="切り捨て",ROUNDDOWN(ROUND($Y154*10/100,6),0),IF('設定'!$B$12="切り上げ",ROUNDUP(ROUND($Y154*10/100,6),0),ROUND($Y154*10/100,0)))+$Z154+IF('設定'!$B$12="切り捨て",ROUNDDOWN(ROUND($Z154*8/100,6),0),IF('設定'!$B$12="切り上げ",ROUNDUP(ROUND($Z154*8/100,6),0),ROUND($Z154*8/100,0)))+$AA154))))))</f>
        <v/>
      </c>
      <c r="S154" s="26">
        <f>IF($B154="","",IF(N($R154)&lt;=0,0,IF($R154&lt;='設定'!$B$18,ROUNDDOWN(ROUND($R154*'設定'!$B$17,6),0),ROUNDDOWN(ROUND(($R154-'設定'!$B$18)*'設定'!$B$19,6),0)+'設定'!$B$20)))</f>
        <v/>
      </c>
      <c r="T154" s="26">
        <f>IF($B154="","",IF($X154="",0,IF(INDEX('支払先'!$K$5:$K$104,$X154)="差し引く",N(INDEX('支払先'!$L$5:$L$104,$X154)),0)))</f>
        <v/>
      </c>
      <c r="U154" s="26">
        <f>IF($B154="","",$Q154-$S154-$T154)</f>
        <v/>
      </c>
      <c r="V154" s="22">
        <f>IF($B154="","",MID(IF($C154="","／支払先コードが空",IF($X154="","／支払先にないコード",""))&amp;IF($K154=0,"／明細がない","")&amp;IF($AC154&gt;0,"／税率が空の明細 "&amp;$AC154&amp;"件（合計に入っていない）","")&amp;IF($X154="","",IF(INDEX('支払先'!$G$5:$G$104,$X154)="","／登録番号なし（仕入明細書にならない）",""))&amp;IF($AB154&gt;0,"／60日（2か月）を超える明細 "&amp;$AB154&amp;"件","")&amp;IF($X154="","",IF(AND(INDEX('支払先'!$K$5:$K$104,$X154)="差し引く",OR(INDEX('支払先'!$M$5:$M$104,$X154)&lt;&gt;"対象外",INDEX('支払先'!$N$5:$N$104,$X154)&lt;&gt;"対象外")),"／手数料を差し引けない取引か確かめる",""))&amp;IF(COUNTIF($B$5:$B$204,$B154)&gt;1,"／通知Noが重複","")&amp;IF(AND(ISNUMBER($D154),ISNUMBER($F154),$F154&lt;$D154),"／支払予定日が発行日より前",""),2,300))</f>
        <v/>
      </c>
      <c r="W154" s="67" t="n"/>
      <c r="X154" s="31">
        <f>IF(OR($B154="",$C154=""),"",IFERROR(MATCH($C154,'支払先'!$B$5:$B$104,0),""))</f>
        <v/>
      </c>
      <c r="Y154" s="31">
        <f>IF($B154="","",SUMIFS('支払明細'!$I$5:$I$1004,'支払明細'!$A$5:$A$1004,$B154,'支払明細'!$G$5:$G$1004,"10%（標準）",'支払明細'!$H$5:$H$1004,"&lt;&gt;対象外"))</f>
        <v/>
      </c>
      <c r="Z154" s="31">
        <f>IF($B154="","",SUMIFS('支払明細'!$I$5:$I$1004,'支払明細'!$A$5:$A$1004,$B154,'支払明細'!$G$5:$G$1004,"8%（軽減）",'支払明細'!$H$5:$H$1004,"&lt;&gt;対象外"))</f>
        <v/>
      </c>
      <c r="AA154" s="31">
        <f>IF($B154="","",SUMIFS('支払明細'!$I$5:$I$1004,'支払明細'!$A$5:$A$1004,$B154,'支払明細'!$G$5:$G$1004,"対象外",'支払明細'!$H$5:$H$1004,"&lt;&gt;対象外"))</f>
        <v/>
      </c>
      <c r="AB154" s="31">
        <f>IF($B154="","",COUNTIFS('支払明細'!$A$5:$A$1004,$B154,'支払明細'!$M$5:$M$1004,"超える"))</f>
        <v/>
      </c>
      <c r="AC154" s="31">
        <f>IF($B154="","",COUNTIFS('支払明細'!$A$5:$A$1004,$B154,'支払明細'!$G$5:$G$1004,""))</f>
        <v/>
      </c>
    </row>
    <row r="155" ht="18" customHeight="1">
      <c r="A155" s="17" t="n">
        <v>151</v>
      </c>
      <c r="B155" s="18" t="n"/>
      <c r="C155" s="18" t="n"/>
      <c r="D155" s="24" t="n"/>
      <c r="E155" s="19" t="n"/>
      <c r="F155" s="24" t="n"/>
      <c r="G155" s="28">
        <f>IF(AND($B155&lt;&gt;"",ISNUMBER($D155)),$D155+N('設定'!$B$13),"")</f>
        <v/>
      </c>
      <c r="H155" s="18" t="n"/>
      <c r="I155" s="19" t="n"/>
      <c r="J155" s="27">
        <f>IF($B155="","",IF($C155="","（支払先コードが空）",IF($X155="","※支払先にないコード",INDEX('支払先'!$C$5:$C$104,$X155)&amp;"")))</f>
        <v/>
      </c>
      <c r="K155" s="30">
        <f>IF($B155="","",COUNTIF('支払明細'!$A$5:$A$1004,$B155))</f>
        <v/>
      </c>
      <c r="L155" s="26">
        <f>IF($B155="","",SUMIFS('支払明細'!$I$5:$I$1004,'支払明細'!$A$5:$A$1004,$B155,'支払明細'!$G$5:$G$1004,"10%（標準）"))</f>
        <v/>
      </c>
      <c r="M155" s="26">
        <f>IF($B155="","",SUMIFS('支払明細'!$I$5:$I$1004,'支払明細'!$A$5:$A$1004,$B155,'支払明細'!$G$5:$G$1004,"8%（軽減）"))</f>
        <v/>
      </c>
      <c r="N155" s="26">
        <f>IF($B155="","",SUMIFS('支払明細'!$I$5:$I$1004,'支払明細'!$A$5:$A$1004,$B155,'支払明細'!$G$5:$G$1004,"対象外"))</f>
        <v/>
      </c>
      <c r="O155" s="26">
        <f>IF($B155="","",IF('設定'!$B$11="税込",IF('設定'!$B$12="切り捨て",ROUNDDOWN(ROUND($L155*10/110,6),0),IF('設定'!$B$12="切り上げ",ROUNDUP(ROUND($L155*10/110,6),0),ROUND($L155*10/110,0))),IF('設定'!$B$12="切り捨て",ROUNDDOWN(ROUND($L155*10/100,6),0),IF('設定'!$B$12="切り上げ",ROUNDUP(ROUND($L155*10/100,6),0),ROUND($L155*10/100,0)))))</f>
        <v/>
      </c>
      <c r="P155" s="26">
        <f>IF($B155="","",IF('設定'!$B$11="税込",IF('設定'!$B$12="切り捨て",ROUNDDOWN(ROUND($M155*8/108,6),0),IF('設定'!$B$12="切り上げ",ROUNDUP(ROUND($M155*8/108,6),0),ROUND($M155*8/108,0))),IF('設定'!$B$12="切り捨て",ROUNDDOWN(ROUND($M155*8/100,6),0),IF('設定'!$B$12="切り上げ",ROUNDUP(ROUND($M155*8/100,6),0),ROUND($M155*8/100,0)))))</f>
        <v/>
      </c>
      <c r="Q155" s="26">
        <f>IF($B155="","",IF('設定'!$B$11="税込",$L155+$M155+$N155,$L155+$O155+$M155+$P155+$N155))</f>
        <v/>
      </c>
      <c r="R155" s="26">
        <f>IF($B155="","",IF($X155="",0,IF(INDEX('支払先'!$I$5:$I$104,$X155)&lt;&gt;"する",0,IF(INDEX('支払先'!$J$5:$J$104,$X155)="税抜",IF('設定'!$B$11="税込",($Y155-IF('設定'!$B$12="切り捨て",ROUNDDOWN(ROUND($Y155*10/110,6),0),IF('設定'!$B$12="切り上げ",ROUNDUP(ROUND($Y155*10/110,6),0),ROUND($Y155*10/110,0)))+$Z155-IF('設定'!$B$12="切り捨て",ROUNDDOWN(ROUND($Z155*8/108,6),0),IF('設定'!$B$12="切り上げ",ROUNDUP(ROUND($Z155*8/108,6),0),ROUND($Z155*8/108,0)))+$AA155),$Y155+$Z155+$AA155),IF('設定'!$B$11="税込",$Y155+$Z155+$AA155,($Y155+IF('設定'!$B$12="切り捨て",ROUNDDOWN(ROUND($Y155*10/100,6),0),IF('設定'!$B$12="切り上げ",ROUNDUP(ROUND($Y155*10/100,6),0),ROUND($Y155*10/100,0)))+$Z155+IF('設定'!$B$12="切り捨て",ROUNDDOWN(ROUND($Z155*8/100,6),0),IF('設定'!$B$12="切り上げ",ROUNDUP(ROUND($Z155*8/100,6),0),ROUND($Z155*8/100,0)))+$AA155))))))</f>
        <v/>
      </c>
      <c r="S155" s="26">
        <f>IF($B155="","",IF(N($R155)&lt;=0,0,IF($R155&lt;='設定'!$B$18,ROUNDDOWN(ROUND($R155*'設定'!$B$17,6),0),ROUNDDOWN(ROUND(($R155-'設定'!$B$18)*'設定'!$B$19,6),0)+'設定'!$B$20)))</f>
        <v/>
      </c>
      <c r="T155" s="26">
        <f>IF($B155="","",IF($X155="",0,IF(INDEX('支払先'!$K$5:$K$104,$X155)="差し引く",N(INDEX('支払先'!$L$5:$L$104,$X155)),0)))</f>
        <v/>
      </c>
      <c r="U155" s="26">
        <f>IF($B155="","",$Q155-$S155-$T155)</f>
        <v/>
      </c>
      <c r="V155" s="22">
        <f>IF($B155="","",MID(IF($C155="","／支払先コードが空",IF($X155="","／支払先にないコード",""))&amp;IF($K155=0,"／明細がない","")&amp;IF($AC155&gt;0,"／税率が空の明細 "&amp;$AC155&amp;"件（合計に入っていない）","")&amp;IF($X155="","",IF(INDEX('支払先'!$G$5:$G$104,$X155)="","／登録番号なし（仕入明細書にならない）",""))&amp;IF($AB155&gt;0,"／60日（2か月）を超える明細 "&amp;$AB155&amp;"件","")&amp;IF($X155="","",IF(AND(INDEX('支払先'!$K$5:$K$104,$X155)="差し引く",OR(INDEX('支払先'!$M$5:$M$104,$X155)&lt;&gt;"対象外",INDEX('支払先'!$N$5:$N$104,$X155)&lt;&gt;"対象外")),"／手数料を差し引けない取引か確かめる",""))&amp;IF(COUNTIF($B$5:$B$204,$B155)&gt;1,"／通知Noが重複","")&amp;IF(AND(ISNUMBER($D155),ISNUMBER($F155),$F155&lt;$D155),"／支払予定日が発行日より前",""),2,300))</f>
        <v/>
      </c>
      <c r="W155" s="67" t="n"/>
      <c r="X155" s="31">
        <f>IF(OR($B155="",$C155=""),"",IFERROR(MATCH($C155,'支払先'!$B$5:$B$104,0),""))</f>
        <v/>
      </c>
      <c r="Y155" s="31">
        <f>IF($B155="","",SUMIFS('支払明細'!$I$5:$I$1004,'支払明細'!$A$5:$A$1004,$B155,'支払明細'!$G$5:$G$1004,"10%（標準）",'支払明細'!$H$5:$H$1004,"&lt;&gt;対象外"))</f>
        <v/>
      </c>
      <c r="Z155" s="31">
        <f>IF($B155="","",SUMIFS('支払明細'!$I$5:$I$1004,'支払明細'!$A$5:$A$1004,$B155,'支払明細'!$G$5:$G$1004,"8%（軽減）",'支払明細'!$H$5:$H$1004,"&lt;&gt;対象外"))</f>
        <v/>
      </c>
      <c r="AA155" s="31">
        <f>IF($B155="","",SUMIFS('支払明細'!$I$5:$I$1004,'支払明細'!$A$5:$A$1004,$B155,'支払明細'!$G$5:$G$1004,"対象外",'支払明細'!$H$5:$H$1004,"&lt;&gt;対象外"))</f>
        <v/>
      </c>
      <c r="AB155" s="31">
        <f>IF($B155="","",COUNTIFS('支払明細'!$A$5:$A$1004,$B155,'支払明細'!$M$5:$M$1004,"超える"))</f>
        <v/>
      </c>
      <c r="AC155" s="31">
        <f>IF($B155="","",COUNTIFS('支払明細'!$A$5:$A$1004,$B155,'支払明細'!$G$5:$G$1004,""))</f>
        <v/>
      </c>
    </row>
    <row r="156" ht="18" customHeight="1">
      <c r="A156" s="17" t="n">
        <v>152</v>
      </c>
      <c r="B156" s="18" t="n"/>
      <c r="C156" s="18" t="n"/>
      <c r="D156" s="24" t="n"/>
      <c r="E156" s="19" t="n"/>
      <c r="F156" s="24" t="n"/>
      <c r="G156" s="28">
        <f>IF(AND($B156&lt;&gt;"",ISNUMBER($D156)),$D156+N('設定'!$B$13),"")</f>
        <v/>
      </c>
      <c r="H156" s="18" t="n"/>
      <c r="I156" s="19" t="n"/>
      <c r="J156" s="27">
        <f>IF($B156="","",IF($C156="","（支払先コードが空）",IF($X156="","※支払先にないコード",INDEX('支払先'!$C$5:$C$104,$X156)&amp;"")))</f>
        <v/>
      </c>
      <c r="K156" s="30">
        <f>IF($B156="","",COUNTIF('支払明細'!$A$5:$A$1004,$B156))</f>
        <v/>
      </c>
      <c r="L156" s="26">
        <f>IF($B156="","",SUMIFS('支払明細'!$I$5:$I$1004,'支払明細'!$A$5:$A$1004,$B156,'支払明細'!$G$5:$G$1004,"10%（標準）"))</f>
        <v/>
      </c>
      <c r="M156" s="26">
        <f>IF($B156="","",SUMIFS('支払明細'!$I$5:$I$1004,'支払明細'!$A$5:$A$1004,$B156,'支払明細'!$G$5:$G$1004,"8%（軽減）"))</f>
        <v/>
      </c>
      <c r="N156" s="26">
        <f>IF($B156="","",SUMIFS('支払明細'!$I$5:$I$1004,'支払明細'!$A$5:$A$1004,$B156,'支払明細'!$G$5:$G$1004,"対象外"))</f>
        <v/>
      </c>
      <c r="O156" s="26">
        <f>IF($B156="","",IF('設定'!$B$11="税込",IF('設定'!$B$12="切り捨て",ROUNDDOWN(ROUND($L156*10/110,6),0),IF('設定'!$B$12="切り上げ",ROUNDUP(ROUND($L156*10/110,6),0),ROUND($L156*10/110,0))),IF('設定'!$B$12="切り捨て",ROUNDDOWN(ROUND($L156*10/100,6),0),IF('設定'!$B$12="切り上げ",ROUNDUP(ROUND($L156*10/100,6),0),ROUND($L156*10/100,0)))))</f>
        <v/>
      </c>
      <c r="P156" s="26">
        <f>IF($B156="","",IF('設定'!$B$11="税込",IF('設定'!$B$12="切り捨て",ROUNDDOWN(ROUND($M156*8/108,6),0),IF('設定'!$B$12="切り上げ",ROUNDUP(ROUND($M156*8/108,6),0),ROUND($M156*8/108,0))),IF('設定'!$B$12="切り捨て",ROUNDDOWN(ROUND($M156*8/100,6),0),IF('設定'!$B$12="切り上げ",ROUNDUP(ROUND($M156*8/100,6),0),ROUND($M156*8/100,0)))))</f>
        <v/>
      </c>
      <c r="Q156" s="26">
        <f>IF($B156="","",IF('設定'!$B$11="税込",$L156+$M156+$N156,$L156+$O156+$M156+$P156+$N156))</f>
        <v/>
      </c>
      <c r="R156" s="26">
        <f>IF($B156="","",IF($X156="",0,IF(INDEX('支払先'!$I$5:$I$104,$X156)&lt;&gt;"する",0,IF(INDEX('支払先'!$J$5:$J$104,$X156)="税抜",IF('設定'!$B$11="税込",($Y156-IF('設定'!$B$12="切り捨て",ROUNDDOWN(ROUND($Y156*10/110,6),0),IF('設定'!$B$12="切り上げ",ROUNDUP(ROUND($Y156*10/110,6),0),ROUND($Y156*10/110,0)))+$Z156-IF('設定'!$B$12="切り捨て",ROUNDDOWN(ROUND($Z156*8/108,6),0),IF('設定'!$B$12="切り上げ",ROUNDUP(ROUND($Z156*8/108,6),0),ROUND($Z156*8/108,0)))+$AA156),$Y156+$Z156+$AA156),IF('設定'!$B$11="税込",$Y156+$Z156+$AA156,($Y156+IF('設定'!$B$12="切り捨て",ROUNDDOWN(ROUND($Y156*10/100,6),0),IF('設定'!$B$12="切り上げ",ROUNDUP(ROUND($Y156*10/100,6),0),ROUND($Y156*10/100,0)))+$Z156+IF('設定'!$B$12="切り捨て",ROUNDDOWN(ROUND($Z156*8/100,6),0),IF('設定'!$B$12="切り上げ",ROUNDUP(ROUND($Z156*8/100,6),0),ROUND($Z156*8/100,0)))+$AA156))))))</f>
        <v/>
      </c>
      <c r="S156" s="26">
        <f>IF($B156="","",IF(N($R156)&lt;=0,0,IF($R156&lt;='設定'!$B$18,ROUNDDOWN(ROUND($R156*'設定'!$B$17,6),0),ROUNDDOWN(ROUND(($R156-'設定'!$B$18)*'設定'!$B$19,6),0)+'設定'!$B$20)))</f>
        <v/>
      </c>
      <c r="T156" s="26">
        <f>IF($B156="","",IF($X156="",0,IF(INDEX('支払先'!$K$5:$K$104,$X156)="差し引く",N(INDEX('支払先'!$L$5:$L$104,$X156)),0)))</f>
        <v/>
      </c>
      <c r="U156" s="26">
        <f>IF($B156="","",$Q156-$S156-$T156)</f>
        <v/>
      </c>
      <c r="V156" s="22">
        <f>IF($B156="","",MID(IF($C156="","／支払先コードが空",IF($X156="","／支払先にないコード",""))&amp;IF($K156=0,"／明細がない","")&amp;IF($AC156&gt;0,"／税率が空の明細 "&amp;$AC156&amp;"件（合計に入っていない）","")&amp;IF($X156="","",IF(INDEX('支払先'!$G$5:$G$104,$X156)="","／登録番号なし（仕入明細書にならない）",""))&amp;IF($AB156&gt;0,"／60日（2か月）を超える明細 "&amp;$AB156&amp;"件","")&amp;IF($X156="","",IF(AND(INDEX('支払先'!$K$5:$K$104,$X156)="差し引く",OR(INDEX('支払先'!$M$5:$M$104,$X156)&lt;&gt;"対象外",INDEX('支払先'!$N$5:$N$104,$X156)&lt;&gt;"対象外")),"／手数料を差し引けない取引か確かめる",""))&amp;IF(COUNTIF($B$5:$B$204,$B156)&gt;1,"／通知Noが重複","")&amp;IF(AND(ISNUMBER($D156),ISNUMBER($F156),$F156&lt;$D156),"／支払予定日が発行日より前",""),2,300))</f>
        <v/>
      </c>
      <c r="W156" s="67" t="n"/>
      <c r="X156" s="31">
        <f>IF(OR($B156="",$C156=""),"",IFERROR(MATCH($C156,'支払先'!$B$5:$B$104,0),""))</f>
        <v/>
      </c>
      <c r="Y156" s="31">
        <f>IF($B156="","",SUMIFS('支払明細'!$I$5:$I$1004,'支払明細'!$A$5:$A$1004,$B156,'支払明細'!$G$5:$G$1004,"10%（標準）",'支払明細'!$H$5:$H$1004,"&lt;&gt;対象外"))</f>
        <v/>
      </c>
      <c r="Z156" s="31">
        <f>IF($B156="","",SUMIFS('支払明細'!$I$5:$I$1004,'支払明細'!$A$5:$A$1004,$B156,'支払明細'!$G$5:$G$1004,"8%（軽減）",'支払明細'!$H$5:$H$1004,"&lt;&gt;対象外"))</f>
        <v/>
      </c>
      <c r="AA156" s="31">
        <f>IF($B156="","",SUMIFS('支払明細'!$I$5:$I$1004,'支払明細'!$A$5:$A$1004,$B156,'支払明細'!$G$5:$G$1004,"対象外",'支払明細'!$H$5:$H$1004,"&lt;&gt;対象外"))</f>
        <v/>
      </c>
      <c r="AB156" s="31">
        <f>IF($B156="","",COUNTIFS('支払明細'!$A$5:$A$1004,$B156,'支払明細'!$M$5:$M$1004,"超える"))</f>
        <v/>
      </c>
      <c r="AC156" s="31">
        <f>IF($B156="","",COUNTIFS('支払明細'!$A$5:$A$1004,$B156,'支払明細'!$G$5:$G$1004,""))</f>
        <v/>
      </c>
    </row>
    <row r="157" ht="18" customHeight="1">
      <c r="A157" s="17" t="n">
        <v>153</v>
      </c>
      <c r="B157" s="18" t="n"/>
      <c r="C157" s="18" t="n"/>
      <c r="D157" s="24" t="n"/>
      <c r="E157" s="19" t="n"/>
      <c r="F157" s="24" t="n"/>
      <c r="G157" s="28">
        <f>IF(AND($B157&lt;&gt;"",ISNUMBER($D157)),$D157+N('設定'!$B$13),"")</f>
        <v/>
      </c>
      <c r="H157" s="18" t="n"/>
      <c r="I157" s="19" t="n"/>
      <c r="J157" s="27">
        <f>IF($B157="","",IF($C157="","（支払先コードが空）",IF($X157="","※支払先にないコード",INDEX('支払先'!$C$5:$C$104,$X157)&amp;"")))</f>
        <v/>
      </c>
      <c r="K157" s="30">
        <f>IF($B157="","",COUNTIF('支払明細'!$A$5:$A$1004,$B157))</f>
        <v/>
      </c>
      <c r="L157" s="26">
        <f>IF($B157="","",SUMIFS('支払明細'!$I$5:$I$1004,'支払明細'!$A$5:$A$1004,$B157,'支払明細'!$G$5:$G$1004,"10%（標準）"))</f>
        <v/>
      </c>
      <c r="M157" s="26">
        <f>IF($B157="","",SUMIFS('支払明細'!$I$5:$I$1004,'支払明細'!$A$5:$A$1004,$B157,'支払明細'!$G$5:$G$1004,"8%（軽減）"))</f>
        <v/>
      </c>
      <c r="N157" s="26">
        <f>IF($B157="","",SUMIFS('支払明細'!$I$5:$I$1004,'支払明細'!$A$5:$A$1004,$B157,'支払明細'!$G$5:$G$1004,"対象外"))</f>
        <v/>
      </c>
      <c r="O157" s="26">
        <f>IF($B157="","",IF('設定'!$B$11="税込",IF('設定'!$B$12="切り捨て",ROUNDDOWN(ROUND($L157*10/110,6),0),IF('設定'!$B$12="切り上げ",ROUNDUP(ROUND($L157*10/110,6),0),ROUND($L157*10/110,0))),IF('設定'!$B$12="切り捨て",ROUNDDOWN(ROUND($L157*10/100,6),0),IF('設定'!$B$12="切り上げ",ROUNDUP(ROUND($L157*10/100,6),0),ROUND($L157*10/100,0)))))</f>
        <v/>
      </c>
      <c r="P157" s="26">
        <f>IF($B157="","",IF('設定'!$B$11="税込",IF('設定'!$B$12="切り捨て",ROUNDDOWN(ROUND($M157*8/108,6),0),IF('設定'!$B$12="切り上げ",ROUNDUP(ROUND($M157*8/108,6),0),ROUND($M157*8/108,0))),IF('設定'!$B$12="切り捨て",ROUNDDOWN(ROUND($M157*8/100,6),0),IF('設定'!$B$12="切り上げ",ROUNDUP(ROUND($M157*8/100,6),0),ROUND($M157*8/100,0)))))</f>
        <v/>
      </c>
      <c r="Q157" s="26">
        <f>IF($B157="","",IF('設定'!$B$11="税込",$L157+$M157+$N157,$L157+$O157+$M157+$P157+$N157))</f>
        <v/>
      </c>
      <c r="R157" s="26">
        <f>IF($B157="","",IF($X157="",0,IF(INDEX('支払先'!$I$5:$I$104,$X157)&lt;&gt;"する",0,IF(INDEX('支払先'!$J$5:$J$104,$X157)="税抜",IF('設定'!$B$11="税込",($Y157-IF('設定'!$B$12="切り捨て",ROUNDDOWN(ROUND($Y157*10/110,6),0),IF('設定'!$B$12="切り上げ",ROUNDUP(ROUND($Y157*10/110,6),0),ROUND($Y157*10/110,0)))+$Z157-IF('設定'!$B$12="切り捨て",ROUNDDOWN(ROUND($Z157*8/108,6),0),IF('設定'!$B$12="切り上げ",ROUNDUP(ROUND($Z157*8/108,6),0),ROUND($Z157*8/108,0)))+$AA157),$Y157+$Z157+$AA157),IF('設定'!$B$11="税込",$Y157+$Z157+$AA157,($Y157+IF('設定'!$B$12="切り捨て",ROUNDDOWN(ROUND($Y157*10/100,6),0),IF('設定'!$B$12="切り上げ",ROUNDUP(ROUND($Y157*10/100,6),0),ROUND($Y157*10/100,0)))+$Z157+IF('設定'!$B$12="切り捨て",ROUNDDOWN(ROUND($Z157*8/100,6),0),IF('設定'!$B$12="切り上げ",ROUNDUP(ROUND($Z157*8/100,6),0),ROUND($Z157*8/100,0)))+$AA157))))))</f>
        <v/>
      </c>
      <c r="S157" s="26">
        <f>IF($B157="","",IF(N($R157)&lt;=0,0,IF($R157&lt;='設定'!$B$18,ROUNDDOWN(ROUND($R157*'設定'!$B$17,6),0),ROUNDDOWN(ROUND(($R157-'設定'!$B$18)*'設定'!$B$19,6),0)+'設定'!$B$20)))</f>
        <v/>
      </c>
      <c r="T157" s="26">
        <f>IF($B157="","",IF($X157="",0,IF(INDEX('支払先'!$K$5:$K$104,$X157)="差し引く",N(INDEX('支払先'!$L$5:$L$104,$X157)),0)))</f>
        <v/>
      </c>
      <c r="U157" s="26">
        <f>IF($B157="","",$Q157-$S157-$T157)</f>
        <v/>
      </c>
      <c r="V157" s="22">
        <f>IF($B157="","",MID(IF($C157="","／支払先コードが空",IF($X157="","／支払先にないコード",""))&amp;IF($K157=0,"／明細がない","")&amp;IF($AC157&gt;0,"／税率が空の明細 "&amp;$AC157&amp;"件（合計に入っていない）","")&amp;IF($X157="","",IF(INDEX('支払先'!$G$5:$G$104,$X157)="","／登録番号なし（仕入明細書にならない）",""))&amp;IF($AB157&gt;0,"／60日（2か月）を超える明細 "&amp;$AB157&amp;"件","")&amp;IF($X157="","",IF(AND(INDEX('支払先'!$K$5:$K$104,$X157)="差し引く",OR(INDEX('支払先'!$M$5:$M$104,$X157)&lt;&gt;"対象外",INDEX('支払先'!$N$5:$N$104,$X157)&lt;&gt;"対象外")),"／手数料を差し引けない取引か確かめる",""))&amp;IF(COUNTIF($B$5:$B$204,$B157)&gt;1,"／通知Noが重複","")&amp;IF(AND(ISNUMBER($D157),ISNUMBER($F157),$F157&lt;$D157),"／支払予定日が発行日より前",""),2,300))</f>
        <v/>
      </c>
      <c r="W157" s="67" t="n"/>
      <c r="X157" s="31">
        <f>IF(OR($B157="",$C157=""),"",IFERROR(MATCH($C157,'支払先'!$B$5:$B$104,0),""))</f>
        <v/>
      </c>
      <c r="Y157" s="31">
        <f>IF($B157="","",SUMIFS('支払明細'!$I$5:$I$1004,'支払明細'!$A$5:$A$1004,$B157,'支払明細'!$G$5:$G$1004,"10%（標準）",'支払明細'!$H$5:$H$1004,"&lt;&gt;対象外"))</f>
        <v/>
      </c>
      <c r="Z157" s="31">
        <f>IF($B157="","",SUMIFS('支払明細'!$I$5:$I$1004,'支払明細'!$A$5:$A$1004,$B157,'支払明細'!$G$5:$G$1004,"8%（軽減）",'支払明細'!$H$5:$H$1004,"&lt;&gt;対象外"))</f>
        <v/>
      </c>
      <c r="AA157" s="31">
        <f>IF($B157="","",SUMIFS('支払明細'!$I$5:$I$1004,'支払明細'!$A$5:$A$1004,$B157,'支払明細'!$G$5:$G$1004,"対象外",'支払明細'!$H$5:$H$1004,"&lt;&gt;対象外"))</f>
        <v/>
      </c>
      <c r="AB157" s="31">
        <f>IF($B157="","",COUNTIFS('支払明細'!$A$5:$A$1004,$B157,'支払明細'!$M$5:$M$1004,"超える"))</f>
        <v/>
      </c>
      <c r="AC157" s="31">
        <f>IF($B157="","",COUNTIFS('支払明細'!$A$5:$A$1004,$B157,'支払明細'!$G$5:$G$1004,""))</f>
        <v/>
      </c>
    </row>
    <row r="158" ht="18" customHeight="1">
      <c r="A158" s="17" t="n">
        <v>154</v>
      </c>
      <c r="B158" s="18" t="n"/>
      <c r="C158" s="18" t="n"/>
      <c r="D158" s="24" t="n"/>
      <c r="E158" s="19" t="n"/>
      <c r="F158" s="24" t="n"/>
      <c r="G158" s="28">
        <f>IF(AND($B158&lt;&gt;"",ISNUMBER($D158)),$D158+N('設定'!$B$13),"")</f>
        <v/>
      </c>
      <c r="H158" s="18" t="n"/>
      <c r="I158" s="19" t="n"/>
      <c r="J158" s="27">
        <f>IF($B158="","",IF($C158="","（支払先コードが空）",IF($X158="","※支払先にないコード",INDEX('支払先'!$C$5:$C$104,$X158)&amp;"")))</f>
        <v/>
      </c>
      <c r="K158" s="30">
        <f>IF($B158="","",COUNTIF('支払明細'!$A$5:$A$1004,$B158))</f>
        <v/>
      </c>
      <c r="L158" s="26">
        <f>IF($B158="","",SUMIFS('支払明細'!$I$5:$I$1004,'支払明細'!$A$5:$A$1004,$B158,'支払明細'!$G$5:$G$1004,"10%（標準）"))</f>
        <v/>
      </c>
      <c r="M158" s="26">
        <f>IF($B158="","",SUMIFS('支払明細'!$I$5:$I$1004,'支払明細'!$A$5:$A$1004,$B158,'支払明細'!$G$5:$G$1004,"8%（軽減）"))</f>
        <v/>
      </c>
      <c r="N158" s="26">
        <f>IF($B158="","",SUMIFS('支払明細'!$I$5:$I$1004,'支払明細'!$A$5:$A$1004,$B158,'支払明細'!$G$5:$G$1004,"対象外"))</f>
        <v/>
      </c>
      <c r="O158" s="26">
        <f>IF($B158="","",IF('設定'!$B$11="税込",IF('設定'!$B$12="切り捨て",ROUNDDOWN(ROUND($L158*10/110,6),0),IF('設定'!$B$12="切り上げ",ROUNDUP(ROUND($L158*10/110,6),0),ROUND($L158*10/110,0))),IF('設定'!$B$12="切り捨て",ROUNDDOWN(ROUND($L158*10/100,6),0),IF('設定'!$B$12="切り上げ",ROUNDUP(ROUND($L158*10/100,6),0),ROUND($L158*10/100,0)))))</f>
        <v/>
      </c>
      <c r="P158" s="26">
        <f>IF($B158="","",IF('設定'!$B$11="税込",IF('設定'!$B$12="切り捨て",ROUNDDOWN(ROUND($M158*8/108,6),0),IF('設定'!$B$12="切り上げ",ROUNDUP(ROUND($M158*8/108,6),0),ROUND($M158*8/108,0))),IF('設定'!$B$12="切り捨て",ROUNDDOWN(ROUND($M158*8/100,6),0),IF('設定'!$B$12="切り上げ",ROUNDUP(ROUND($M158*8/100,6),0),ROUND($M158*8/100,0)))))</f>
        <v/>
      </c>
      <c r="Q158" s="26">
        <f>IF($B158="","",IF('設定'!$B$11="税込",$L158+$M158+$N158,$L158+$O158+$M158+$P158+$N158))</f>
        <v/>
      </c>
      <c r="R158" s="26">
        <f>IF($B158="","",IF($X158="",0,IF(INDEX('支払先'!$I$5:$I$104,$X158)&lt;&gt;"する",0,IF(INDEX('支払先'!$J$5:$J$104,$X158)="税抜",IF('設定'!$B$11="税込",($Y158-IF('設定'!$B$12="切り捨て",ROUNDDOWN(ROUND($Y158*10/110,6),0),IF('設定'!$B$12="切り上げ",ROUNDUP(ROUND($Y158*10/110,6),0),ROUND($Y158*10/110,0)))+$Z158-IF('設定'!$B$12="切り捨て",ROUNDDOWN(ROUND($Z158*8/108,6),0),IF('設定'!$B$12="切り上げ",ROUNDUP(ROUND($Z158*8/108,6),0),ROUND($Z158*8/108,0)))+$AA158),$Y158+$Z158+$AA158),IF('設定'!$B$11="税込",$Y158+$Z158+$AA158,($Y158+IF('設定'!$B$12="切り捨て",ROUNDDOWN(ROUND($Y158*10/100,6),0),IF('設定'!$B$12="切り上げ",ROUNDUP(ROUND($Y158*10/100,6),0),ROUND($Y158*10/100,0)))+$Z158+IF('設定'!$B$12="切り捨て",ROUNDDOWN(ROUND($Z158*8/100,6),0),IF('設定'!$B$12="切り上げ",ROUNDUP(ROUND($Z158*8/100,6),0),ROUND($Z158*8/100,0)))+$AA158))))))</f>
        <v/>
      </c>
      <c r="S158" s="26">
        <f>IF($B158="","",IF(N($R158)&lt;=0,0,IF($R158&lt;='設定'!$B$18,ROUNDDOWN(ROUND($R158*'設定'!$B$17,6),0),ROUNDDOWN(ROUND(($R158-'設定'!$B$18)*'設定'!$B$19,6),0)+'設定'!$B$20)))</f>
        <v/>
      </c>
      <c r="T158" s="26">
        <f>IF($B158="","",IF($X158="",0,IF(INDEX('支払先'!$K$5:$K$104,$X158)="差し引く",N(INDEX('支払先'!$L$5:$L$104,$X158)),0)))</f>
        <v/>
      </c>
      <c r="U158" s="26">
        <f>IF($B158="","",$Q158-$S158-$T158)</f>
        <v/>
      </c>
      <c r="V158" s="22">
        <f>IF($B158="","",MID(IF($C158="","／支払先コードが空",IF($X158="","／支払先にないコード",""))&amp;IF($K158=0,"／明細がない","")&amp;IF($AC158&gt;0,"／税率が空の明細 "&amp;$AC158&amp;"件（合計に入っていない）","")&amp;IF($X158="","",IF(INDEX('支払先'!$G$5:$G$104,$X158)="","／登録番号なし（仕入明細書にならない）",""))&amp;IF($AB158&gt;0,"／60日（2か月）を超える明細 "&amp;$AB158&amp;"件","")&amp;IF($X158="","",IF(AND(INDEX('支払先'!$K$5:$K$104,$X158)="差し引く",OR(INDEX('支払先'!$M$5:$M$104,$X158)&lt;&gt;"対象外",INDEX('支払先'!$N$5:$N$104,$X158)&lt;&gt;"対象外")),"／手数料を差し引けない取引か確かめる",""))&amp;IF(COUNTIF($B$5:$B$204,$B158)&gt;1,"／通知Noが重複","")&amp;IF(AND(ISNUMBER($D158),ISNUMBER($F158),$F158&lt;$D158),"／支払予定日が発行日より前",""),2,300))</f>
        <v/>
      </c>
      <c r="W158" s="67" t="n"/>
      <c r="X158" s="31">
        <f>IF(OR($B158="",$C158=""),"",IFERROR(MATCH($C158,'支払先'!$B$5:$B$104,0),""))</f>
        <v/>
      </c>
      <c r="Y158" s="31">
        <f>IF($B158="","",SUMIFS('支払明細'!$I$5:$I$1004,'支払明細'!$A$5:$A$1004,$B158,'支払明細'!$G$5:$G$1004,"10%（標準）",'支払明細'!$H$5:$H$1004,"&lt;&gt;対象外"))</f>
        <v/>
      </c>
      <c r="Z158" s="31">
        <f>IF($B158="","",SUMIFS('支払明細'!$I$5:$I$1004,'支払明細'!$A$5:$A$1004,$B158,'支払明細'!$G$5:$G$1004,"8%（軽減）",'支払明細'!$H$5:$H$1004,"&lt;&gt;対象外"))</f>
        <v/>
      </c>
      <c r="AA158" s="31">
        <f>IF($B158="","",SUMIFS('支払明細'!$I$5:$I$1004,'支払明細'!$A$5:$A$1004,$B158,'支払明細'!$G$5:$G$1004,"対象外",'支払明細'!$H$5:$H$1004,"&lt;&gt;対象外"))</f>
        <v/>
      </c>
      <c r="AB158" s="31">
        <f>IF($B158="","",COUNTIFS('支払明細'!$A$5:$A$1004,$B158,'支払明細'!$M$5:$M$1004,"超える"))</f>
        <v/>
      </c>
      <c r="AC158" s="31">
        <f>IF($B158="","",COUNTIFS('支払明細'!$A$5:$A$1004,$B158,'支払明細'!$G$5:$G$1004,""))</f>
        <v/>
      </c>
    </row>
    <row r="159" ht="18" customHeight="1">
      <c r="A159" s="17" t="n">
        <v>155</v>
      </c>
      <c r="B159" s="18" t="n"/>
      <c r="C159" s="18" t="n"/>
      <c r="D159" s="24" t="n"/>
      <c r="E159" s="19" t="n"/>
      <c r="F159" s="24" t="n"/>
      <c r="G159" s="28">
        <f>IF(AND($B159&lt;&gt;"",ISNUMBER($D159)),$D159+N('設定'!$B$13),"")</f>
        <v/>
      </c>
      <c r="H159" s="18" t="n"/>
      <c r="I159" s="19" t="n"/>
      <c r="J159" s="27">
        <f>IF($B159="","",IF($C159="","（支払先コードが空）",IF($X159="","※支払先にないコード",INDEX('支払先'!$C$5:$C$104,$X159)&amp;"")))</f>
        <v/>
      </c>
      <c r="K159" s="30">
        <f>IF($B159="","",COUNTIF('支払明細'!$A$5:$A$1004,$B159))</f>
        <v/>
      </c>
      <c r="L159" s="26">
        <f>IF($B159="","",SUMIFS('支払明細'!$I$5:$I$1004,'支払明細'!$A$5:$A$1004,$B159,'支払明細'!$G$5:$G$1004,"10%（標準）"))</f>
        <v/>
      </c>
      <c r="M159" s="26">
        <f>IF($B159="","",SUMIFS('支払明細'!$I$5:$I$1004,'支払明細'!$A$5:$A$1004,$B159,'支払明細'!$G$5:$G$1004,"8%（軽減）"))</f>
        <v/>
      </c>
      <c r="N159" s="26">
        <f>IF($B159="","",SUMIFS('支払明細'!$I$5:$I$1004,'支払明細'!$A$5:$A$1004,$B159,'支払明細'!$G$5:$G$1004,"対象外"))</f>
        <v/>
      </c>
      <c r="O159" s="26">
        <f>IF($B159="","",IF('設定'!$B$11="税込",IF('設定'!$B$12="切り捨て",ROUNDDOWN(ROUND($L159*10/110,6),0),IF('設定'!$B$12="切り上げ",ROUNDUP(ROUND($L159*10/110,6),0),ROUND($L159*10/110,0))),IF('設定'!$B$12="切り捨て",ROUNDDOWN(ROUND($L159*10/100,6),0),IF('設定'!$B$12="切り上げ",ROUNDUP(ROUND($L159*10/100,6),0),ROUND($L159*10/100,0)))))</f>
        <v/>
      </c>
      <c r="P159" s="26">
        <f>IF($B159="","",IF('設定'!$B$11="税込",IF('設定'!$B$12="切り捨て",ROUNDDOWN(ROUND($M159*8/108,6),0),IF('設定'!$B$12="切り上げ",ROUNDUP(ROUND($M159*8/108,6),0),ROUND($M159*8/108,0))),IF('設定'!$B$12="切り捨て",ROUNDDOWN(ROUND($M159*8/100,6),0),IF('設定'!$B$12="切り上げ",ROUNDUP(ROUND($M159*8/100,6),0),ROUND($M159*8/100,0)))))</f>
        <v/>
      </c>
      <c r="Q159" s="26">
        <f>IF($B159="","",IF('設定'!$B$11="税込",$L159+$M159+$N159,$L159+$O159+$M159+$P159+$N159))</f>
        <v/>
      </c>
      <c r="R159" s="26">
        <f>IF($B159="","",IF($X159="",0,IF(INDEX('支払先'!$I$5:$I$104,$X159)&lt;&gt;"する",0,IF(INDEX('支払先'!$J$5:$J$104,$X159)="税抜",IF('設定'!$B$11="税込",($Y159-IF('設定'!$B$12="切り捨て",ROUNDDOWN(ROUND($Y159*10/110,6),0),IF('設定'!$B$12="切り上げ",ROUNDUP(ROUND($Y159*10/110,6),0),ROUND($Y159*10/110,0)))+$Z159-IF('設定'!$B$12="切り捨て",ROUNDDOWN(ROUND($Z159*8/108,6),0),IF('設定'!$B$12="切り上げ",ROUNDUP(ROUND($Z159*8/108,6),0),ROUND($Z159*8/108,0)))+$AA159),$Y159+$Z159+$AA159),IF('設定'!$B$11="税込",$Y159+$Z159+$AA159,($Y159+IF('設定'!$B$12="切り捨て",ROUNDDOWN(ROUND($Y159*10/100,6),0),IF('設定'!$B$12="切り上げ",ROUNDUP(ROUND($Y159*10/100,6),0),ROUND($Y159*10/100,0)))+$Z159+IF('設定'!$B$12="切り捨て",ROUNDDOWN(ROUND($Z159*8/100,6),0),IF('設定'!$B$12="切り上げ",ROUNDUP(ROUND($Z159*8/100,6),0),ROUND($Z159*8/100,0)))+$AA159))))))</f>
        <v/>
      </c>
      <c r="S159" s="26">
        <f>IF($B159="","",IF(N($R159)&lt;=0,0,IF($R159&lt;='設定'!$B$18,ROUNDDOWN(ROUND($R159*'設定'!$B$17,6),0),ROUNDDOWN(ROUND(($R159-'設定'!$B$18)*'設定'!$B$19,6),0)+'設定'!$B$20)))</f>
        <v/>
      </c>
      <c r="T159" s="26">
        <f>IF($B159="","",IF($X159="",0,IF(INDEX('支払先'!$K$5:$K$104,$X159)="差し引く",N(INDEX('支払先'!$L$5:$L$104,$X159)),0)))</f>
        <v/>
      </c>
      <c r="U159" s="26">
        <f>IF($B159="","",$Q159-$S159-$T159)</f>
        <v/>
      </c>
      <c r="V159" s="22">
        <f>IF($B159="","",MID(IF($C159="","／支払先コードが空",IF($X159="","／支払先にないコード",""))&amp;IF($K159=0,"／明細がない","")&amp;IF($AC159&gt;0,"／税率が空の明細 "&amp;$AC159&amp;"件（合計に入っていない）","")&amp;IF($X159="","",IF(INDEX('支払先'!$G$5:$G$104,$X159)="","／登録番号なし（仕入明細書にならない）",""))&amp;IF($AB159&gt;0,"／60日（2か月）を超える明細 "&amp;$AB159&amp;"件","")&amp;IF($X159="","",IF(AND(INDEX('支払先'!$K$5:$K$104,$X159)="差し引く",OR(INDEX('支払先'!$M$5:$M$104,$X159)&lt;&gt;"対象外",INDEX('支払先'!$N$5:$N$104,$X159)&lt;&gt;"対象外")),"／手数料を差し引けない取引か確かめる",""))&amp;IF(COUNTIF($B$5:$B$204,$B159)&gt;1,"／通知Noが重複","")&amp;IF(AND(ISNUMBER($D159),ISNUMBER($F159),$F159&lt;$D159),"／支払予定日が発行日より前",""),2,300))</f>
        <v/>
      </c>
      <c r="W159" s="67" t="n"/>
      <c r="X159" s="31">
        <f>IF(OR($B159="",$C159=""),"",IFERROR(MATCH($C159,'支払先'!$B$5:$B$104,0),""))</f>
        <v/>
      </c>
      <c r="Y159" s="31">
        <f>IF($B159="","",SUMIFS('支払明細'!$I$5:$I$1004,'支払明細'!$A$5:$A$1004,$B159,'支払明細'!$G$5:$G$1004,"10%（標準）",'支払明細'!$H$5:$H$1004,"&lt;&gt;対象外"))</f>
        <v/>
      </c>
      <c r="Z159" s="31">
        <f>IF($B159="","",SUMIFS('支払明細'!$I$5:$I$1004,'支払明細'!$A$5:$A$1004,$B159,'支払明細'!$G$5:$G$1004,"8%（軽減）",'支払明細'!$H$5:$H$1004,"&lt;&gt;対象外"))</f>
        <v/>
      </c>
      <c r="AA159" s="31">
        <f>IF($B159="","",SUMIFS('支払明細'!$I$5:$I$1004,'支払明細'!$A$5:$A$1004,$B159,'支払明細'!$G$5:$G$1004,"対象外",'支払明細'!$H$5:$H$1004,"&lt;&gt;対象外"))</f>
        <v/>
      </c>
      <c r="AB159" s="31">
        <f>IF($B159="","",COUNTIFS('支払明細'!$A$5:$A$1004,$B159,'支払明細'!$M$5:$M$1004,"超える"))</f>
        <v/>
      </c>
      <c r="AC159" s="31">
        <f>IF($B159="","",COUNTIFS('支払明細'!$A$5:$A$1004,$B159,'支払明細'!$G$5:$G$1004,""))</f>
        <v/>
      </c>
    </row>
    <row r="160" ht="18" customHeight="1">
      <c r="A160" s="17" t="n">
        <v>156</v>
      </c>
      <c r="B160" s="18" t="n"/>
      <c r="C160" s="18" t="n"/>
      <c r="D160" s="24" t="n"/>
      <c r="E160" s="19" t="n"/>
      <c r="F160" s="24" t="n"/>
      <c r="G160" s="28">
        <f>IF(AND($B160&lt;&gt;"",ISNUMBER($D160)),$D160+N('設定'!$B$13),"")</f>
        <v/>
      </c>
      <c r="H160" s="18" t="n"/>
      <c r="I160" s="19" t="n"/>
      <c r="J160" s="27">
        <f>IF($B160="","",IF($C160="","（支払先コードが空）",IF($X160="","※支払先にないコード",INDEX('支払先'!$C$5:$C$104,$X160)&amp;"")))</f>
        <v/>
      </c>
      <c r="K160" s="30">
        <f>IF($B160="","",COUNTIF('支払明細'!$A$5:$A$1004,$B160))</f>
        <v/>
      </c>
      <c r="L160" s="26">
        <f>IF($B160="","",SUMIFS('支払明細'!$I$5:$I$1004,'支払明細'!$A$5:$A$1004,$B160,'支払明細'!$G$5:$G$1004,"10%（標準）"))</f>
        <v/>
      </c>
      <c r="M160" s="26">
        <f>IF($B160="","",SUMIFS('支払明細'!$I$5:$I$1004,'支払明細'!$A$5:$A$1004,$B160,'支払明細'!$G$5:$G$1004,"8%（軽減）"))</f>
        <v/>
      </c>
      <c r="N160" s="26">
        <f>IF($B160="","",SUMIFS('支払明細'!$I$5:$I$1004,'支払明細'!$A$5:$A$1004,$B160,'支払明細'!$G$5:$G$1004,"対象外"))</f>
        <v/>
      </c>
      <c r="O160" s="26">
        <f>IF($B160="","",IF('設定'!$B$11="税込",IF('設定'!$B$12="切り捨て",ROUNDDOWN(ROUND($L160*10/110,6),0),IF('設定'!$B$12="切り上げ",ROUNDUP(ROUND($L160*10/110,6),0),ROUND($L160*10/110,0))),IF('設定'!$B$12="切り捨て",ROUNDDOWN(ROUND($L160*10/100,6),0),IF('設定'!$B$12="切り上げ",ROUNDUP(ROUND($L160*10/100,6),0),ROUND($L160*10/100,0)))))</f>
        <v/>
      </c>
      <c r="P160" s="26">
        <f>IF($B160="","",IF('設定'!$B$11="税込",IF('設定'!$B$12="切り捨て",ROUNDDOWN(ROUND($M160*8/108,6),0),IF('設定'!$B$12="切り上げ",ROUNDUP(ROUND($M160*8/108,6),0),ROUND($M160*8/108,0))),IF('設定'!$B$12="切り捨て",ROUNDDOWN(ROUND($M160*8/100,6),0),IF('設定'!$B$12="切り上げ",ROUNDUP(ROUND($M160*8/100,6),0),ROUND($M160*8/100,0)))))</f>
        <v/>
      </c>
      <c r="Q160" s="26">
        <f>IF($B160="","",IF('設定'!$B$11="税込",$L160+$M160+$N160,$L160+$O160+$M160+$P160+$N160))</f>
        <v/>
      </c>
      <c r="R160" s="26">
        <f>IF($B160="","",IF($X160="",0,IF(INDEX('支払先'!$I$5:$I$104,$X160)&lt;&gt;"する",0,IF(INDEX('支払先'!$J$5:$J$104,$X160)="税抜",IF('設定'!$B$11="税込",($Y160-IF('設定'!$B$12="切り捨て",ROUNDDOWN(ROUND($Y160*10/110,6),0),IF('設定'!$B$12="切り上げ",ROUNDUP(ROUND($Y160*10/110,6),0),ROUND($Y160*10/110,0)))+$Z160-IF('設定'!$B$12="切り捨て",ROUNDDOWN(ROUND($Z160*8/108,6),0),IF('設定'!$B$12="切り上げ",ROUNDUP(ROUND($Z160*8/108,6),0),ROUND($Z160*8/108,0)))+$AA160),$Y160+$Z160+$AA160),IF('設定'!$B$11="税込",$Y160+$Z160+$AA160,($Y160+IF('設定'!$B$12="切り捨て",ROUNDDOWN(ROUND($Y160*10/100,6),0),IF('設定'!$B$12="切り上げ",ROUNDUP(ROUND($Y160*10/100,6),0),ROUND($Y160*10/100,0)))+$Z160+IF('設定'!$B$12="切り捨て",ROUNDDOWN(ROUND($Z160*8/100,6),0),IF('設定'!$B$12="切り上げ",ROUNDUP(ROUND($Z160*8/100,6),0),ROUND($Z160*8/100,0)))+$AA160))))))</f>
        <v/>
      </c>
      <c r="S160" s="26">
        <f>IF($B160="","",IF(N($R160)&lt;=0,0,IF($R160&lt;='設定'!$B$18,ROUNDDOWN(ROUND($R160*'設定'!$B$17,6),0),ROUNDDOWN(ROUND(($R160-'設定'!$B$18)*'設定'!$B$19,6),0)+'設定'!$B$20)))</f>
        <v/>
      </c>
      <c r="T160" s="26">
        <f>IF($B160="","",IF($X160="",0,IF(INDEX('支払先'!$K$5:$K$104,$X160)="差し引く",N(INDEX('支払先'!$L$5:$L$104,$X160)),0)))</f>
        <v/>
      </c>
      <c r="U160" s="26">
        <f>IF($B160="","",$Q160-$S160-$T160)</f>
        <v/>
      </c>
      <c r="V160" s="22">
        <f>IF($B160="","",MID(IF($C160="","／支払先コードが空",IF($X160="","／支払先にないコード",""))&amp;IF($K160=0,"／明細がない","")&amp;IF($AC160&gt;0,"／税率が空の明細 "&amp;$AC160&amp;"件（合計に入っていない）","")&amp;IF($X160="","",IF(INDEX('支払先'!$G$5:$G$104,$X160)="","／登録番号なし（仕入明細書にならない）",""))&amp;IF($AB160&gt;0,"／60日（2か月）を超える明細 "&amp;$AB160&amp;"件","")&amp;IF($X160="","",IF(AND(INDEX('支払先'!$K$5:$K$104,$X160)="差し引く",OR(INDEX('支払先'!$M$5:$M$104,$X160)&lt;&gt;"対象外",INDEX('支払先'!$N$5:$N$104,$X160)&lt;&gt;"対象外")),"／手数料を差し引けない取引か確かめる",""))&amp;IF(COUNTIF($B$5:$B$204,$B160)&gt;1,"／通知Noが重複","")&amp;IF(AND(ISNUMBER($D160),ISNUMBER($F160),$F160&lt;$D160),"／支払予定日が発行日より前",""),2,300))</f>
        <v/>
      </c>
      <c r="W160" s="67" t="n"/>
      <c r="X160" s="31">
        <f>IF(OR($B160="",$C160=""),"",IFERROR(MATCH($C160,'支払先'!$B$5:$B$104,0),""))</f>
        <v/>
      </c>
      <c r="Y160" s="31">
        <f>IF($B160="","",SUMIFS('支払明細'!$I$5:$I$1004,'支払明細'!$A$5:$A$1004,$B160,'支払明細'!$G$5:$G$1004,"10%（標準）",'支払明細'!$H$5:$H$1004,"&lt;&gt;対象外"))</f>
        <v/>
      </c>
      <c r="Z160" s="31">
        <f>IF($B160="","",SUMIFS('支払明細'!$I$5:$I$1004,'支払明細'!$A$5:$A$1004,$B160,'支払明細'!$G$5:$G$1004,"8%（軽減）",'支払明細'!$H$5:$H$1004,"&lt;&gt;対象外"))</f>
        <v/>
      </c>
      <c r="AA160" s="31">
        <f>IF($B160="","",SUMIFS('支払明細'!$I$5:$I$1004,'支払明細'!$A$5:$A$1004,$B160,'支払明細'!$G$5:$G$1004,"対象外",'支払明細'!$H$5:$H$1004,"&lt;&gt;対象外"))</f>
        <v/>
      </c>
      <c r="AB160" s="31">
        <f>IF($B160="","",COUNTIFS('支払明細'!$A$5:$A$1004,$B160,'支払明細'!$M$5:$M$1004,"超える"))</f>
        <v/>
      </c>
      <c r="AC160" s="31">
        <f>IF($B160="","",COUNTIFS('支払明細'!$A$5:$A$1004,$B160,'支払明細'!$G$5:$G$1004,""))</f>
        <v/>
      </c>
    </row>
    <row r="161" ht="18" customHeight="1">
      <c r="A161" s="17" t="n">
        <v>157</v>
      </c>
      <c r="B161" s="18" t="n"/>
      <c r="C161" s="18" t="n"/>
      <c r="D161" s="24" t="n"/>
      <c r="E161" s="19" t="n"/>
      <c r="F161" s="24" t="n"/>
      <c r="G161" s="28">
        <f>IF(AND($B161&lt;&gt;"",ISNUMBER($D161)),$D161+N('設定'!$B$13),"")</f>
        <v/>
      </c>
      <c r="H161" s="18" t="n"/>
      <c r="I161" s="19" t="n"/>
      <c r="J161" s="27">
        <f>IF($B161="","",IF($C161="","（支払先コードが空）",IF($X161="","※支払先にないコード",INDEX('支払先'!$C$5:$C$104,$X161)&amp;"")))</f>
        <v/>
      </c>
      <c r="K161" s="30">
        <f>IF($B161="","",COUNTIF('支払明細'!$A$5:$A$1004,$B161))</f>
        <v/>
      </c>
      <c r="L161" s="26">
        <f>IF($B161="","",SUMIFS('支払明細'!$I$5:$I$1004,'支払明細'!$A$5:$A$1004,$B161,'支払明細'!$G$5:$G$1004,"10%（標準）"))</f>
        <v/>
      </c>
      <c r="M161" s="26">
        <f>IF($B161="","",SUMIFS('支払明細'!$I$5:$I$1004,'支払明細'!$A$5:$A$1004,$B161,'支払明細'!$G$5:$G$1004,"8%（軽減）"))</f>
        <v/>
      </c>
      <c r="N161" s="26">
        <f>IF($B161="","",SUMIFS('支払明細'!$I$5:$I$1004,'支払明細'!$A$5:$A$1004,$B161,'支払明細'!$G$5:$G$1004,"対象外"))</f>
        <v/>
      </c>
      <c r="O161" s="26">
        <f>IF($B161="","",IF('設定'!$B$11="税込",IF('設定'!$B$12="切り捨て",ROUNDDOWN(ROUND($L161*10/110,6),0),IF('設定'!$B$12="切り上げ",ROUNDUP(ROUND($L161*10/110,6),0),ROUND($L161*10/110,0))),IF('設定'!$B$12="切り捨て",ROUNDDOWN(ROUND($L161*10/100,6),0),IF('設定'!$B$12="切り上げ",ROUNDUP(ROUND($L161*10/100,6),0),ROUND($L161*10/100,0)))))</f>
        <v/>
      </c>
      <c r="P161" s="26">
        <f>IF($B161="","",IF('設定'!$B$11="税込",IF('設定'!$B$12="切り捨て",ROUNDDOWN(ROUND($M161*8/108,6),0),IF('設定'!$B$12="切り上げ",ROUNDUP(ROUND($M161*8/108,6),0),ROUND($M161*8/108,0))),IF('設定'!$B$12="切り捨て",ROUNDDOWN(ROUND($M161*8/100,6),0),IF('設定'!$B$12="切り上げ",ROUNDUP(ROUND($M161*8/100,6),0),ROUND($M161*8/100,0)))))</f>
        <v/>
      </c>
      <c r="Q161" s="26">
        <f>IF($B161="","",IF('設定'!$B$11="税込",$L161+$M161+$N161,$L161+$O161+$M161+$P161+$N161))</f>
        <v/>
      </c>
      <c r="R161" s="26">
        <f>IF($B161="","",IF($X161="",0,IF(INDEX('支払先'!$I$5:$I$104,$X161)&lt;&gt;"する",0,IF(INDEX('支払先'!$J$5:$J$104,$X161)="税抜",IF('設定'!$B$11="税込",($Y161-IF('設定'!$B$12="切り捨て",ROUNDDOWN(ROUND($Y161*10/110,6),0),IF('設定'!$B$12="切り上げ",ROUNDUP(ROUND($Y161*10/110,6),0),ROUND($Y161*10/110,0)))+$Z161-IF('設定'!$B$12="切り捨て",ROUNDDOWN(ROUND($Z161*8/108,6),0),IF('設定'!$B$12="切り上げ",ROUNDUP(ROUND($Z161*8/108,6),0),ROUND($Z161*8/108,0)))+$AA161),$Y161+$Z161+$AA161),IF('設定'!$B$11="税込",$Y161+$Z161+$AA161,($Y161+IF('設定'!$B$12="切り捨て",ROUNDDOWN(ROUND($Y161*10/100,6),0),IF('設定'!$B$12="切り上げ",ROUNDUP(ROUND($Y161*10/100,6),0),ROUND($Y161*10/100,0)))+$Z161+IF('設定'!$B$12="切り捨て",ROUNDDOWN(ROUND($Z161*8/100,6),0),IF('設定'!$B$12="切り上げ",ROUNDUP(ROUND($Z161*8/100,6),0),ROUND($Z161*8/100,0)))+$AA161))))))</f>
        <v/>
      </c>
      <c r="S161" s="26">
        <f>IF($B161="","",IF(N($R161)&lt;=0,0,IF($R161&lt;='設定'!$B$18,ROUNDDOWN(ROUND($R161*'設定'!$B$17,6),0),ROUNDDOWN(ROUND(($R161-'設定'!$B$18)*'設定'!$B$19,6),0)+'設定'!$B$20)))</f>
        <v/>
      </c>
      <c r="T161" s="26">
        <f>IF($B161="","",IF($X161="",0,IF(INDEX('支払先'!$K$5:$K$104,$X161)="差し引く",N(INDEX('支払先'!$L$5:$L$104,$X161)),0)))</f>
        <v/>
      </c>
      <c r="U161" s="26">
        <f>IF($B161="","",$Q161-$S161-$T161)</f>
        <v/>
      </c>
      <c r="V161" s="22">
        <f>IF($B161="","",MID(IF($C161="","／支払先コードが空",IF($X161="","／支払先にないコード",""))&amp;IF($K161=0,"／明細がない","")&amp;IF($AC161&gt;0,"／税率が空の明細 "&amp;$AC161&amp;"件（合計に入っていない）","")&amp;IF($X161="","",IF(INDEX('支払先'!$G$5:$G$104,$X161)="","／登録番号なし（仕入明細書にならない）",""))&amp;IF($AB161&gt;0,"／60日（2か月）を超える明細 "&amp;$AB161&amp;"件","")&amp;IF($X161="","",IF(AND(INDEX('支払先'!$K$5:$K$104,$X161)="差し引く",OR(INDEX('支払先'!$M$5:$M$104,$X161)&lt;&gt;"対象外",INDEX('支払先'!$N$5:$N$104,$X161)&lt;&gt;"対象外")),"／手数料を差し引けない取引か確かめる",""))&amp;IF(COUNTIF($B$5:$B$204,$B161)&gt;1,"／通知Noが重複","")&amp;IF(AND(ISNUMBER($D161),ISNUMBER($F161),$F161&lt;$D161),"／支払予定日が発行日より前",""),2,300))</f>
        <v/>
      </c>
      <c r="W161" s="67" t="n"/>
      <c r="X161" s="31">
        <f>IF(OR($B161="",$C161=""),"",IFERROR(MATCH($C161,'支払先'!$B$5:$B$104,0),""))</f>
        <v/>
      </c>
      <c r="Y161" s="31">
        <f>IF($B161="","",SUMIFS('支払明細'!$I$5:$I$1004,'支払明細'!$A$5:$A$1004,$B161,'支払明細'!$G$5:$G$1004,"10%（標準）",'支払明細'!$H$5:$H$1004,"&lt;&gt;対象外"))</f>
        <v/>
      </c>
      <c r="Z161" s="31">
        <f>IF($B161="","",SUMIFS('支払明細'!$I$5:$I$1004,'支払明細'!$A$5:$A$1004,$B161,'支払明細'!$G$5:$G$1004,"8%（軽減）",'支払明細'!$H$5:$H$1004,"&lt;&gt;対象外"))</f>
        <v/>
      </c>
      <c r="AA161" s="31">
        <f>IF($B161="","",SUMIFS('支払明細'!$I$5:$I$1004,'支払明細'!$A$5:$A$1004,$B161,'支払明細'!$G$5:$G$1004,"対象外",'支払明細'!$H$5:$H$1004,"&lt;&gt;対象外"))</f>
        <v/>
      </c>
      <c r="AB161" s="31">
        <f>IF($B161="","",COUNTIFS('支払明細'!$A$5:$A$1004,$B161,'支払明細'!$M$5:$M$1004,"超える"))</f>
        <v/>
      </c>
      <c r="AC161" s="31">
        <f>IF($B161="","",COUNTIFS('支払明細'!$A$5:$A$1004,$B161,'支払明細'!$G$5:$G$1004,""))</f>
        <v/>
      </c>
    </row>
    <row r="162" ht="18" customHeight="1">
      <c r="A162" s="17" t="n">
        <v>158</v>
      </c>
      <c r="B162" s="18" t="n"/>
      <c r="C162" s="18" t="n"/>
      <c r="D162" s="24" t="n"/>
      <c r="E162" s="19" t="n"/>
      <c r="F162" s="24" t="n"/>
      <c r="G162" s="28">
        <f>IF(AND($B162&lt;&gt;"",ISNUMBER($D162)),$D162+N('設定'!$B$13),"")</f>
        <v/>
      </c>
      <c r="H162" s="18" t="n"/>
      <c r="I162" s="19" t="n"/>
      <c r="J162" s="27">
        <f>IF($B162="","",IF($C162="","（支払先コードが空）",IF($X162="","※支払先にないコード",INDEX('支払先'!$C$5:$C$104,$X162)&amp;"")))</f>
        <v/>
      </c>
      <c r="K162" s="30">
        <f>IF($B162="","",COUNTIF('支払明細'!$A$5:$A$1004,$B162))</f>
        <v/>
      </c>
      <c r="L162" s="26">
        <f>IF($B162="","",SUMIFS('支払明細'!$I$5:$I$1004,'支払明細'!$A$5:$A$1004,$B162,'支払明細'!$G$5:$G$1004,"10%（標準）"))</f>
        <v/>
      </c>
      <c r="M162" s="26">
        <f>IF($B162="","",SUMIFS('支払明細'!$I$5:$I$1004,'支払明細'!$A$5:$A$1004,$B162,'支払明細'!$G$5:$G$1004,"8%（軽減）"))</f>
        <v/>
      </c>
      <c r="N162" s="26">
        <f>IF($B162="","",SUMIFS('支払明細'!$I$5:$I$1004,'支払明細'!$A$5:$A$1004,$B162,'支払明細'!$G$5:$G$1004,"対象外"))</f>
        <v/>
      </c>
      <c r="O162" s="26">
        <f>IF($B162="","",IF('設定'!$B$11="税込",IF('設定'!$B$12="切り捨て",ROUNDDOWN(ROUND($L162*10/110,6),0),IF('設定'!$B$12="切り上げ",ROUNDUP(ROUND($L162*10/110,6),0),ROUND($L162*10/110,0))),IF('設定'!$B$12="切り捨て",ROUNDDOWN(ROUND($L162*10/100,6),0),IF('設定'!$B$12="切り上げ",ROUNDUP(ROUND($L162*10/100,6),0),ROUND($L162*10/100,0)))))</f>
        <v/>
      </c>
      <c r="P162" s="26">
        <f>IF($B162="","",IF('設定'!$B$11="税込",IF('設定'!$B$12="切り捨て",ROUNDDOWN(ROUND($M162*8/108,6),0),IF('設定'!$B$12="切り上げ",ROUNDUP(ROUND($M162*8/108,6),0),ROUND($M162*8/108,0))),IF('設定'!$B$12="切り捨て",ROUNDDOWN(ROUND($M162*8/100,6),0),IF('設定'!$B$12="切り上げ",ROUNDUP(ROUND($M162*8/100,6),0),ROUND($M162*8/100,0)))))</f>
        <v/>
      </c>
      <c r="Q162" s="26">
        <f>IF($B162="","",IF('設定'!$B$11="税込",$L162+$M162+$N162,$L162+$O162+$M162+$P162+$N162))</f>
        <v/>
      </c>
      <c r="R162" s="26">
        <f>IF($B162="","",IF($X162="",0,IF(INDEX('支払先'!$I$5:$I$104,$X162)&lt;&gt;"する",0,IF(INDEX('支払先'!$J$5:$J$104,$X162)="税抜",IF('設定'!$B$11="税込",($Y162-IF('設定'!$B$12="切り捨て",ROUNDDOWN(ROUND($Y162*10/110,6),0),IF('設定'!$B$12="切り上げ",ROUNDUP(ROUND($Y162*10/110,6),0),ROUND($Y162*10/110,0)))+$Z162-IF('設定'!$B$12="切り捨て",ROUNDDOWN(ROUND($Z162*8/108,6),0),IF('設定'!$B$12="切り上げ",ROUNDUP(ROUND($Z162*8/108,6),0),ROUND($Z162*8/108,0)))+$AA162),$Y162+$Z162+$AA162),IF('設定'!$B$11="税込",$Y162+$Z162+$AA162,($Y162+IF('設定'!$B$12="切り捨て",ROUNDDOWN(ROUND($Y162*10/100,6),0),IF('設定'!$B$12="切り上げ",ROUNDUP(ROUND($Y162*10/100,6),0),ROUND($Y162*10/100,0)))+$Z162+IF('設定'!$B$12="切り捨て",ROUNDDOWN(ROUND($Z162*8/100,6),0),IF('設定'!$B$12="切り上げ",ROUNDUP(ROUND($Z162*8/100,6),0),ROUND($Z162*8/100,0)))+$AA162))))))</f>
        <v/>
      </c>
      <c r="S162" s="26">
        <f>IF($B162="","",IF(N($R162)&lt;=0,0,IF($R162&lt;='設定'!$B$18,ROUNDDOWN(ROUND($R162*'設定'!$B$17,6),0),ROUNDDOWN(ROUND(($R162-'設定'!$B$18)*'設定'!$B$19,6),0)+'設定'!$B$20)))</f>
        <v/>
      </c>
      <c r="T162" s="26">
        <f>IF($B162="","",IF($X162="",0,IF(INDEX('支払先'!$K$5:$K$104,$X162)="差し引く",N(INDEX('支払先'!$L$5:$L$104,$X162)),0)))</f>
        <v/>
      </c>
      <c r="U162" s="26">
        <f>IF($B162="","",$Q162-$S162-$T162)</f>
        <v/>
      </c>
      <c r="V162" s="22">
        <f>IF($B162="","",MID(IF($C162="","／支払先コードが空",IF($X162="","／支払先にないコード",""))&amp;IF($K162=0,"／明細がない","")&amp;IF($AC162&gt;0,"／税率が空の明細 "&amp;$AC162&amp;"件（合計に入っていない）","")&amp;IF($X162="","",IF(INDEX('支払先'!$G$5:$G$104,$X162)="","／登録番号なし（仕入明細書にならない）",""))&amp;IF($AB162&gt;0,"／60日（2か月）を超える明細 "&amp;$AB162&amp;"件","")&amp;IF($X162="","",IF(AND(INDEX('支払先'!$K$5:$K$104,$X162)="差し引く",OR(INDEX('支払先'!$M$5:$M$104,$X162)&lt;&gt;"対象外",INDEX('支払先'!$N$5:$N$104,$X162)&lt;&gt;"対象外")),"／手数料を差し引けない取引か確かめる",""))&amp;IF(COUNTIF($B$5:$B$204,$B162)&gt;1,"／通知Noが重複","")&amp;IF(AND(ISNUMBER($D162),ISNUMBER($F162),$F162&lt;$D162),"／支払予定日が発行日より前",""),2,300))</f>
        <v/>
      </c>
      <c r="W162" s="67" t="n"/>
      <c r="X162" s="31">
        <f>IF(OR($B162="",$C162=""),"",IFERROR(MATCH($C162,'支払先'!$B$5:$B$104,0),""))</f>
        <v/>
      </c>
      <c r="Y162" s="31">
        <f>IF($B162="","",SUMIFS('支払明細'!$I$5:$I$1004,'支払明細'!$A$5:$A$1004,$B162,'支払明細'!$G$5:$G$1004,"10%（標準）",'支払明細'!$H$5:$H$1004,"&lt;&gt;対象外"))</f>
        <v/>
      </c>
      <c r="Z162" s="31">
        <f>IF($B162="","",SUMIFS('支払明細'!$I$5:$I$1004,'支払明細'!$A$5:$A$1004,$B162,'支払明細'!$G$5:$G$1004,"8%（軽減）",'支払明細'!$H$5:$H$1004,"&lt;&gt;対象外"))</f>
        <v/>
      </c>
      <c r="AA162" s="31">
        <f>IF($B162="","",SUMIFS('支払明細'!$I$5:$I$1004,'支払明細'!$A$5:$A$1004,$B162,'支払明細'!$G$5:$G$1004,"対象外",'支払明細'!$H$5:$H$1004,"&lt;&gt;対象外"))</f>
        <v/>
      </c>
      <c r="AB162" s="31">
        <f>IF($B162="","",COUNTIFS('支払明細'!$A$5:$A$1004,$B162,'支払明細'!$M$5:$M$1004,"超える"))</f>
        <v/>
      </c>
      <c r="AC162" s="31">
        <f>IF($B162="","",COUNTIFS('支払明細'!$A$5:$A$1004,$B162,'支払明細'!$G$5:$G$1004,""))</f>
        <v/>
      </c>
    </row>
    <row r="163" ht="18" customHeight="1">
      <c r="A163" s="17" t="n">
        <v>159</v>
      </c>
      <c r="B163" s="18" t="n"/>
      <c r="C163" s="18" t="n"/>
      <c r="D163" s="24" t="n"/>
      <c r="E163" s="19" t="n"/>
      <c r="F163" s="24" t="n"/>
      <c r="G163" s="28">
        <f>IF(AND($B163&lt;&gt;"",ISNUMBER($D163)),$D163+N('設定'!$B$13),"")</f>
        <v/>
      </c>
      <c r="H163" s="18" t="n"/>
      <c r="I163" s="19" t="n"/>
      <c r="J163" s="27">
        <f>IF($B163="","",IF($C163="","（支払先コードが空）",IF($X163="","※支払先にないコード",INDEX('支払先'!$C$5:$C$104,$X163)&amp;"")))</f>
        <v/>
      </c>
      <c r="K163" s="30">
        <f>IF($B163="","",COUNTIF('支払明細'!$A$5:$A$1004,$B163))</f>
        <v/>
      </c>
      <c r="L163" s="26">
        <f>IF($B163="","",SUMIFS('支払明細'!$I$5:$I$1004,'支払明細'!$A$5:$A$1004,$B163,'支払明細'!$G$5:$G$1004,"10%（標準）"))</f>
        <v/>
      </c>
      <c r="M163" s="26">
        <f>IF($B163="","",SUMIFS('支払明細'!$I$5:$I$1004,'支払明細'!$A$5:$A$1004,$B163,'支払明細'!$G$5:$G$1004,"8%（軽減）"))</f>
        <v/>
      </c>
      <c r="N163" s="26">
        <f>IF($B163="","",SUMIFS('支払明細'!$I$5:$I$1004,'支払明細'!$A$5:$A$1004,$B163,'支払明細'!$G$5:$G$1004,"対象外"))</f>
        <v/>
      </c>
      <c r="O163" s="26">
        <f>IF($B163="","",IF('設定'!$B$11="税込",IF('設定'!$B$12="切り捨て",ROUNDDOWN(ROUND($L163*10/110,6),0),IF('設定'!$B$12="切り上げ",ROUNDUP(ROUND($L163*10/110,6),0),ROUND($L163*10/110,0))),IF('設定'!$B$12="切り捨て",ROUNDDOWN(ROUND($L163*10/100,6),0),IF('設定'!$B$12="切り上げ",ROUNDUP(ROUND($L163*10/100,6),0),ROUND($L163*10/100,0)))))</f>
        <v/>
      </c>
      <c r="P163" s="26">
        <f>IF($B163="","",IF('設定'!$B$11="税込",IF('設定'!$B$12="切り捨て",ROUNDDOWN(ROUND($M163*8/108,6),0),IF('設定'!$B$12="切り上げ",ROUNDUP(ROUND($M163*8/108,6),0),ROUND($M163*8/108,0))),IF('設定'!$B$12="切り捨て",ROUNDDOWN(ROUND($M163*8/100,6),0),IF('設定'!$B$12="切り上げ",ROUNDUP(ROUND($M163*8/100,6),0),ROUND($M163*8/100,0)))))</f>
        <v/>
      </c>
      <c r="Q163" s="26">
        <f>IF($B163="","",IF('設定'!$B$11="税込",$L163+$M163+$N163,$L163+$O163+$M163+$P163+$N163))</f>
        <v/>
      </c>
      <c r="R163" s="26">
        <f>IF($B163="","",IF($X163="",0,IF(INDEX('支払先'!$I$5:$I$104,$X163)&lt;&gt;"する",0,IF(INDEX('支払先'!$J$5:$J$104,$X163)="税抜",IF('設定'!$B$11="税込",($Y163-IF('設定'!$B$12="切り捨て",ROUNDDOWN(ROUND($Y163*10/110,6),0),IF('設定'!$B$12="切り上げ",ROUNDUP(ROUND($Y163*10/110,6),0),ROUND($Y163*10/110,0)))+$Z163-IF('設定'!$B$12="切り捨て",ROUNDDOWN(ROUND($Z163*8/108,6),0),IF('設定'!$B$12="切り上げ",ROUNDUP(ROUND($Z163*8/108,6),0),ROUND($Z163*8/108,0)))+$AA163),$Y163+$Z163+$AA163),IF('設定'!$B$11="税込",$Y163+$Z163+$AA163,($Y163+IF('設定'!$B$12="切り捨て",ROUNDDOWN(ROUND($Y163*10/100,6),0),IF('設定'!$B$12="切り上げ",ROUNDUP(ROUND($Y163*10/100,6),0),ROUND($Y163*10/100,0)))+$Z163+IF('設定'!$B$12="切り捨て",ROUNDDOWN(ROUND($Z163*8/100,6),0),IF('設定'!$B$12="切り上げ",ROUNDUP(ROUND($Z163*8/100,6),0),ROUND($Z163*8/100,0)))+$AA163))))))</f>
        <v/>
      </c>
      <c r="S163" s="26">
        <f>IF($B163="","",IF(N($R163)&lt;=0,0,IF($R163&lt;='設定'!$B$18,ROUNDDOWN(ROUND($R163*'設定'!$B$17,6),0),ROUNDDOWN(ROUND(($R163-'設定'!$B$18)*'設定'!$B$19,6),0)+'設定'!$B$20)))</f>
        <v/>
      </c>
      <c r="T163" s="26">
        <f>IF($B163="","",IF($X163="",0,IF(INDEX('支払先'!$K$5:$K$104,$X163)="差し引く",N(INDEX('支払先'!$L$5:$L$104,$X163)),0)))</f>
        <v/>
      </c>
      <c r="U163" s="26">
        <f>IF($B163="","",$Q163-$S163-$T163)</f>
        <v/>
      </c>
      <c r="V163" s="22">
        <f>IF($B163="","",MID(IF($C163="","／支払先コードが空",IF($X163="","／支払先にないコード",""))&amp;IF($K163=0,"／明細がない","")&amp;IF($AC163&gt;0,"／税率が空の明細 "&amp;$AC163&amp;"件（合計に入っていない）","")&amp;IF($X163="","",IF(INDEX('支払先'!$G$5:$G$104,$X163)="","／登録番号なし（仕入明細書にならない）",""))&amp;IF($AB163&gt;0,"／60日（2か月）を超える明細 "&amp;$AB163&amp;"件","")&amp;IF($X163="","",IF(AND(INDEX('支払先'!$K$5:$K$104,$X163)="差し引く",OR(INDEX('支払先'!$M$5:$M$104,$X163)&lt;&gt;"対象外",INDEX('支払先'!$N$5:$N$104,$X163)&lt;&gt;"対象外")),"／手数料を差し引けない取引か確かめる",""))&amp;IF(COUNTIF($B$5:$B$204,$B163)&gt;1,"／通知Noが重複","")&amp;IF(AND(ISNUMBER($D163),ISNUMBER($F163),$F163&lt;$D163),"／支払予定日が発行日より前",""),2,300))</f>
        <v/>
      </c>
      <c r="W163" s="67" t="n"/>
      <c r="X163" s="31">
        <f>IF(OR($B163="",$C163=""),"",IFERROR(MATCH($C163,'支払先'!$B$5:$B$104,0),""))</f>
        <v/>
      </c>
      <c r="Y163" s="31">
        <f>IF($B163="","",SUMIFS('支払明細'!$I$5:$I$1004,'支払明細'!$A$5:$A$1004,$B163,'支払明細'!$G$5:$G$1004,"10%（標準）",'支払明細'!$H$5:$H$1004,"&lt;&gt;対象外"))</f>
        <v/>
      </c>
      <c r="Z163" s="31">
        <f>IF($B163="","",SUMIFS('支払明細'!$I$5:$I$1004,'支払明細'!$A$5:$A$1004,$B163,'支払明細'!$G$5:$G$1004,"8%（軽減）",'支払明細'!$H$5:$H$1004,"&lt;&gt;対象外"))</f>
        <v/>
      </c>
      <c r="AA163" s="31">
        <f>IF($B163="","",SUMIFS('支払明細'!$I$5:$I$1004,'支払明細'!$A$5:$A$1004,$B163,'支払明細'!$G$5:$G$1004,"対象外",'支払明細'!$H$5:$H$1004,"&lt;&gt;対象外"))</f>
        <v/>
      </c>
      <c r="AB163" s="31">
        <f>IF($B163="","",COUNTIFS('支払明細'!$A$5:$A$1004,$B163,'支払明細'!$M$5:$M$1004,"超える"))</f>
        <v/>
      </c>
      <c r="AC163" s="31">
        <f>IF($B163="","",COUNTIFS('支払明細'!$A$5:$A$1004,$B163,'支払明細'!$G$5:$G$1004,""))</f>
        <v/>
      </c>
    </row>
    <row r="164" ht="18" customHeight="1">
      <c r="A164" s="17" t="n">
        <v>160</v>
      </c>
      <c r="B164" s="18" t="n"/>
      <c r="C164" s="18" t="n"/>
      <c r="D164" s="24" t="n"/>
      <c r="E164" s="19" t="n"/>
      <c r="F164" s="24" t="n"/>
      <c r="G164" s="28">
        <f>IF(AND($B164&lt;&gt;"",ISNUMBER($D164)),$D164+N('設定'!$B$13),"")</f>
        <v/>
      </c>
      <c r="H164" s="18" t="n"/>
      <c r="I164" s="19" t="n"/>
      <c r="J164" s="27">
        <f>IF($B164="","",IF($C164="","（支払先コードが空）",IF($X164="","※支払先にないコード",INDEX('支払先'!$C$5:$C$104,$X164)&amp;"")))</f>
        <v/>
      </c>
      <c r="K164" s="30">
        <f>IF($B164="","",COUNTIF('支払明細'!$A$5:$A$1004,$B164))</f>
        <v/>
      </c>
      <c r="L164" s="26">
        <f>IF($B164="","",SUMIFS('支払明細'!$I$5:$I$1004,'支払明細'!$A$5:$A$1004,$B164,'支払明細'!$G$5:$G$1004,"10%（標準）"))</f>
        <v/>
      </c>
      <c r="M164" s="26">
        <f>IF($B164="","",SUMIFS('支払明細'!$I$5:$I$1004,'支払明細'!$A$5:$A$1004,$B164,'支払明細'!$G$5:$G$1004,"8%（軽減）"))</f>
        <v/>
      </c>
      <c r="N164" s="26">
        <f>IF($B164="","",SUMIFS('支払明細'!$I$5:$I$1004,'支払明細'!$A$5:$A$1004,$B164,'支払明細'!$G$5:$G$1004,"対象外"))</f>
        <v/>
      </c>
      <c r="O164" s="26">
        <f>IF($B164="","",IF('設定'!$B$11="税込",IF('設定'!$B$12="切り捨て",ROUNDDOWN(ROUND($L164*10/110,6),0),IF('設定'!$B$12="切り上げ",ROUNDUP(ROUND($L164*10/110,6),0),ROUND($L164*10/110,0))),IF('設定'!$B$12="切り捨て",ROUNDDOWN(ROUND($L164*10/100,6),0),IF('設定'!$B$12="切り上げ",ROUNDUP(ROUND($L164*10/100,6),0),ROUND($L164*10/100,0)))))</f>
        <v/>
      </c>
      <c r="P164" s="26">
        <f>IF($B164="","",IF('設定'!$B$11="税込",IF('設定'!$B$12="切り捨て",ROUNDDOWN(ROUND($M164*8/108,6),0),IF('設定'!$B$12="切り上げ",ROUNDUP(ROUND($M164*8/108,6),0),ROUND($M164*8/108,0))),IF('設定'!$B$12="切り捨て",ROUNDDOWN(ROUND($M164*8/100,6),0),IF('設定'!$B$12="切り上げ",ROUNDUP(ROUND($M164*8/100,6),0),ROUND($M164*8/100,0)))))</f>
        <v/>
      </c>
      <c r="Q164" s="26">
        <f>IF($B164="","",IF('設定'!$B$11="税込",$L164+$M164+$N164,$L164+$O164+$M164+$P164+$N164))</f>
        <v/>
      </c>
      <c r="R164" s="26">
        <f>IF($B164="","",IF($X164="",0,IF(INDEX('支払先'!$I$5:$I$104,$X164)&lt;&gt;"する",0,IF(INDEX('支払先'!$J$5:$J$104,$X164)="税抜",IF('設定'!$B$11="税込",($Y164-IF('設定'!$B$12="切り捨て",ROUNDDOWN(ROUND($Y164*10/110,6),0),IF('設定'!$B$12="切り上げ",ROUNDUP(ROUND($Y164*10/110,6),0),ROUND($Y164*10/110,0)))+$Z164-IF('設定'!$B$12="切り捨て",ROUNDDOWN(ROUND($Z164*8/108,6),0),IF('設定'!$B$12="切り上げ",ROUNDUP(ROUND($Z164*8/108,6),0),ROUND($Z164*8/108,0)))+$AA164),$Y164+$Z164+$AA164),IF('設定'!$B$11="税込",$Y164+$Z164+$AA164,($Y164+IF('設定'!$B$12="切り捨て",ROUNDDOWN(ROUND($Y164*10/100,6),0),IF('設定'!$B$12="切り上げ",ROUNDUP(ROUND($Y164*10/100,6),0),ROUND($Y164*10/100,0)))+$Z164+IF('設定'!$B$12="切り捨て",ROUNDDOWN(ROUND($Z164*8/100,6),0),IF('設定'!$B$12="切り上げ",ROUNDUP(ROUND($Z164*8/100,6),0),ROUND($Z164*8/100,0)))+$AA164))))))</f>
        <v/>
      </c>
      <c r="S164" s="26">
        <f>IF($B164="","",IF(N($R164)&lt;=0,0,IF($R164&lt;='設定'!$B$18,ROUNDDOWN(ROUND($R164*'設定'!$B$17,6),0),ROUNDDOWN(ROUND(($R164-'設定'!$B$18)*'設定'!$B$19,6),0)+'設定'!$B$20)))</f>
        <v/>
      </c>
      <c r="T164" s="26">
        <f>IF($B164="","",IF($X164="",0,IF(INDEX('支払先'!$K$5:$K$104,$X164)="差し引く",N(INDEX('支払先'!$L$5:$L$104,$X164)),0)))</f>
        <v/>
      </c>
      <c r="U164" s="26">
        <f>IF($B164="","",$Q164-$S164-$T164)</f>
        <v/>
      </c>
      <c r="V164" s="22">
        <f>IF($B164="","",MID(IF($C164="","／支払先コードが空",IF($X164="","／支払先にないコード",""))&amp;IF($K164=0,"／明細がない","")&amp;IF($AC164&gt;0,"／税率が空の明細 "&amp;$AC164&amp;"件（合計に入っていない）","")&amp;IF($X164="","",IF(INDEX('支払先'!$G$5:$G$104,$X164)="","／登録番号なし（仕入明細書にならない）",""))&amp;IF($AB164&gt;0,"／60日（2か月）を超える明細 "&amp;$AB164&amp;"件","")&amp;IF($X164="","",IF(AND(INDEX('支払先'!$K$5:$K$104,$X164)="差し引く",OR(INDEX('支払先'!$M$5:$M$104,$X164)&lt;&gt;"対象外",INDEX('支払先'!$N$5:$N$104,$X164)&lt;&gt;"対象外")),"／手数料を差し引けない取引か確かめる",""))&amp;IF(COUNTIF($B$5:$B$204,$B164)&gt;1,"／通知Noが重複","")&amp;IF(AND(ISNUMBER($D164),ISNUMBER($F164),$F164&lt;$D164),"／支払予定日が発行日より前",""),2,300))</f>
        <v/>
      </c>
      <c r="W164" s="67" t="n"/>
      <c r="X164" s="31">
        <f>IF(OR($B164="",$C164=""),"",IFERROR(MATCH($C164,'支払先'!$B$5:$B$104,0),""))</f>
        <v/>
      </c>
      <c r="Y164" s="31">
        <f>IF($B164="","",SUMIFS('支払明細'!$I$5:$I$1004,'支払明細'!$A$5:$A$1004,$B164,'支払明細'!$G$5:$G$1004,"10%（標準）",'支払明細'!$H$5:$H$1004,"&lt;&gt;対象外"))</f>
        <v/>
      </c>
      <c r="Z164" s="31">
        <f>IF($B164="","",SUMIFS('支払明細'!$I$5:$I$1004,'支払明細'!$A$5:$A$1004,$B164,'支払明細'!$G$5:$G$1004,"8%（軽減）",'支払明細'!$H$5:$H$1004,"&lt;&gt;対象外"))</f>
        <v/>
      </c>
      <c r="AA164" s="31">
        <f>IF($B164="","",SUMIFS('支払明細'!$I$5:$I$1004,'支払明細'!$A$5:$A$1004,$B164,'支払明細'!$G$5:$G$1004,"対象外",'支払明細'!$H$5:$H$1004,"&lt;&gt;対象外"))</f>
        <v/>
      </c>
      <c r="AB164" s="31">
        <f>IF($B164="","",COUNTIFS('支払明細'!$A$5:$A$1004,$B164,'支払明細'!$M$5:$M$1004,"超える"))</f>
        <v/>
      </c>
      <c r="AC164" s="31">
        <f>IF($B164="","",COUNTIFS('支払明細'!$A$5:$A$1004,$B164,'支払明細'!$G$5:$G$1004,""))</f>
        <v/>
      </c>
    </row>
    <row r="165" ht="18" customHeight="1">
      <c r="A165" s="17" t="n">
        <v>161</v>
      </c>
      <c r="B165" s="18" t="n"/>
      <c r="C165" s="18" t="n"/>
      <c r="D165" s="24" t="n"/>
      <c r="E165" s="19" t="n"/>
      <c r="F165" s="24" t="n"/>
      <c r="G165" s="28">
        <f>IF(AND($B165&lt;&gt;"",ISNUMBER($D165)),$D165+N('設定'!$B$13),"")</f>
        <v/>
      </c>
      <c r="H165" s="18" t="n"/>
      <c r="I165" s="19" t="n"/>
      <c r="J165" s="27">
        <f>IF($B165="","",IF($C165="","（支払先コードが空）",IF($X165="","※支払先にないコード",INDEX('支払先'!$C$5:$C$104,$X165)&amp;"")))</f>
        <v/>
      </c>
      <c r="K165" s="30">
        <f>IF($B165="","",COUNTIF('支払明細'!$A$5:$A$1004,$B165))</f>
        <v/>
      </c>
      <c r="L165" s="26">
        <f>IF($B165="","",SUMIFS('支払明細'!$I$5:$I$1004,'支払明細'!$A$5:$A$1004,$B165,'支払明細'!$G$5:$G$1004,"10%（標準）"))</f>
        <v/>
      </c>
      <c r="M165" s="26">
        <f>IF($B165="","",SUMIFS('支払明細'!$I$5:$I$1004,'支払明細'!$A$5:$A$1004,$B165,'支払明細'!$G$5:$G$1004,"8%（軽減）"))</f>
        <v/>
      </c>
      <c r="N165" s="26">
        <f>IF($B165="","",SUMIFS('支払明細'!$I$5:$I$1004,'支払明細'!$A$5:$A$1004,$B165,'支払明細'!$G$5:$G$1004,"対象外"))</f>
        <v/>
      </c>
      <c r="O165" s="26">
        <f>IF($B165="","",IF('設定'!$B$11="税込",IF('設定'!$B$12="切り捨て",ROUNDDOWN(ROUND($L165*10/110,6),0),IF('設定'!$B$12="切り上げ",ROUNDUP(ROUND($L165*10/110,6),0),ROUND($L165*10/110,0))),IF('設定'!$B$12="切り捨て",ROUNDDOWN(ROUND($L165*10/100,6),0),IF('設定'!$B$12="切り上げ",ROUNDUP(ROUND($L165*10/100,6),0),ROUND($L165*10/100,0)))))</f>
        <v/>
      </c>
      <c r="P165" s="26">
        <f>IF($B165="","",IF('設定'!$B$11="税込",IF('設定'!$B$12="切り捨て",ROUNDDOWN(ROUND($M165*8/108,6),0),IF('設定'!$B$12="切り上げ",ROUNDUP(ROUND($M165*8/108,6),0),ROUND($M165*8/108,0))),IF('設定'!$B$12="切り捨て",ROUNDDOWN(ROUND($M165*8/100,6),0),IF('設定'!$B$12="切り上げ",ROUNDUP(ROUND($M165*8/100,6),0),ROUND($M165*8/100,0)))))</f>
        <v/>
      </c>
      <c r="Q165" s="26">
        <f>IF($B165="","",IF('設定'!$B$11="税込",$L165+$M165+$N165,$L165+$O165+$M165+$P165+$N165))</f>
        <v/>
      </c>
      <c r="R165" s="26">
        <f>IF($B165="","",IF($X165="",0,IF(INDEX('支払先'!$I$5:$I$104,$X165)&lt;&gt;"する",0,IF(INDEX('支払先'!$J$5:$J$104,$X165)="税抜",IF('設定'!$B$11="税込",($Y165-IF('設定'!$B$12="切り捨て",ROUNDDOWN(ROUND($Y165*10/110,6),0),IF('設定'!$B$12="切り上げ",ROUNDUP(ROUND($Y165*10/110,6),0),ROUND($Y165*10/110,0)))+$Z165-IF('設定'!$B$12="切り捨て",ROUNDDOWN(ROUND($Z165*8/108,6),0),IF('設定'!$B$12="切り上げ",ROUNDUP(ROUND($Z165*8/108,6),0),ROUND($Z165*8/108,0)))+$AA165),$Y165+$Z165+$AA165),IF('設定'!$B$11="税込",$Y165+$Z165+$AA165,($Y165+IF('設定'!$B$12="切り捨て",ROUNDDOWN(ROUND($Y165*10/100,6),0),IF('設定'!$B$12="切り上げ",ROUNDUP(ROUND($Y165*10/100,6),0),ROUND($Y165*10/100,0)))+$Z165+IF('設定'!$B$12="切り捨て",ROUNDDOWN(ROUND($Z165*8/100,6),0),IF('設定'!$B$12="切り上げ",ROUNDUP(ROUND($Z165*8/100,6),0),ROUND($Z165*8/100,0)))+$AA165))))))</f>
        <v/>
      </c>
      <c r="S165" s="26">
        <f>IF($B165="","",IF(N($R165)&lt;=0,0,IF($R165&lt;='設定'!$B$18,ROUNDDOWN(ROUND($R165*'設定'!$B$17,6),0),ROUNDDOWN(ROUND(($R165-'設定'!$B$18)*'設定'!$B$19,6),0)+'設定'!$B$20)))</f>
        <v/>
      </c>
      <c r="T165" s="26">
        <f>IF($B165="","",IF($X165="",0,IF(INDEX('支払先'!$K$5:$K$104,$X165)="差し引く",N(INDEX('支払先'!$L$5:$L$104,$X165)),0)))</f>
        <v/>
      </c>
      <c r="U165" s="26">
        <f>IF($B165="","",$Q165-$S165-$T165)</f>
        <v/>
      </c>
      <c r="V165" s="22">
        <f>IF($B165="","",MID(IF($C165="","／支払先コードが空",IF($X165="","／支払先にないコード",""))&amp;IF($K165=0,"／明細がない","")&amp;IF($AC165&gt;0,"／税率が空の明細 "&amp;$AC165&amp;"件（合計に入っていない）","")&amp;IF($X165="","",IF(INDEX('支払先'!$G$5:$G$104,$X165)="","／登録番号なし（仕入明細書にならない）",""))&amp;IF($AB165&gt;0,"／60日（2か月）を超える明細 "&amp;$AB165&amp;"件","")&amp;IF($X165="","",IF(AND(INDEX('支払先'!$K$5:$K$104,$X165)="差し引く",OR(INDEX('支払先'!$M$5:$M$104,$X165)&lt;&gt;"対象外",INDEX('支払先'!$N$5:$N$104,$X165)&lt;&gt;"対象外")),"／手数料を差し引けない取引か確かめる",""))&amp;IF(COUNTIF($B$5:$B$204,$B165)&gt;1,"／通知Noが重複","")&amp;IF(AND(ISNUMBER($D165),ISNUMBER($F165),$F165&lt;$D165),"／支払予定日が発行日より前",""),2,300))</f>
        <v/>
      </c>
      <c r="W165" s="67" t="n"/>
      <c r="X165" s="31">
        <f>IF(OR($B165="",$C165=""),"",IFERROR(MATCH($C165,'支払先'!$B$5:$B$104,0),""))</f>
        <v/>
      </c>
      <c r="Y165" s="31">
        <f>IF($B165="","",SUMIFS('支払明細'!$I$5:$I$1004,'支払明細'!$A$5:$A$1004,$B165,'支払明細'!$G$5:$G$1004,"10%（標準）",'支払明細'!$H$5:$H$1004,"&lt;&gt;対象外"))</f>
        <v/>
      </c>
      <c r="Z165" s="31">
        <f>IF($B165="","",SUMIFS('支払明細'!$I$5:$I$1004,'支払明細'!$A$5:$A$1004,$B165,'支払明細'!$G$5:$G$1004,"8%（軽減）",'支払明細'!$H$5:$H$1004,"&lt;&gt;対象外"))</f>
        <v/>
      </c>
      <c r="AA165" s="31">
        <f>IF($B165="","",SUMIFS('支払明細'!$I$5:$I$1004,'支払明細'!$A$5:$A$1004,$B165,'支払明細'!$G$5:$G$1004,"対象外",'支払明細'!$H$5:$H$1004,"&lt;&gt;対象外"))</f>
        <v/>
      </c>
      <c r="AB165" s="31">
        <f>IF($B165="","",COUNTIFS('支払明細'!$A$5:$A$1004,$B165,'支払明細'!$M$5:$M$1004,"超える"))</f>
        <v/>
      </c>
      <c r="AC165" s="31">
        <f>IF($B165="","",COUNTIFS('支払明細'!$A$5:$A$1004,$B165,'支払明細'!$G$5:$G$1004,""))</f>
        <v/>
      </c>
    </row>
    <row r="166" ht="18" customHeight="1">
      <c r="A166" s="17" t="n">
        <v>162</v>
      </c>
      <c r="B166" s="18" t="n"/>
      <c r="C166" s="18" t="n"/>
      <c r="D166" s="24" t="n"/>
      <c r="E166" s="19" t="n"/>
      <c r="F166" s="24" t="n"/>
      <c r="G166" s="28">
        <f>IF(AND($B166&lt;&gt;"",ISNUMBER($D166)),$D166+N('設定'!$B$13),"")</f>
        <v/>
      </c>
      <c r="H166" s="18" t="n"/>
      <c r="I166" s="19" t="n"/>
      <c r="J166" s="27">
        <f>IF($B166="","",IF($C166="","（支払先コードが空）",IF($X166="","※支払先にないコード",INDEX('支払先'!$C$5:$C$104,$X166)&amp;"")))</f>
        <v/>
      </c>
      <c r="K166" s="30">
        <f>IF($B166="","",COUNTIF('支払明細'!$A$5:$A$1004,$B166))</f>
        <v/>
      </c>
      <c r="L166" s="26">
        <f>IF($B166="","",SUMIFS('支払明細'!$I$5:$I$1004,'支払明細'!$A$5:$A$1004,$B166,'支払明細'!$G$5:$G$1004,"10%（標準）"))</f>
        <v/>
      </c>
      <c r="M166" s="26">
        <f>IF($B166="","",SUMIFS('支払明細'!$I$5:$I$1004,'支払明細'!$A$5:$A$1004,$B166,'支払明細'!$G$5:$G$1004,"8%（軽減）"))</f>
        <v/>
      </c>
      <c r="N166" s="26">
        <f>IF($B166="","",SUMIFS('支払明細'!$I$5:$I$1004,'支払明細'!$A$5:$A$1004,$B166,'支払明細'!$G$5:$G$1004,"対象外"))</f>
        <v/>
      </c>
      <c r="O166" s="26">
        <f>IF($B166="","",IF('設定'!$B$11="税込",IF('設定'!$B$12="切り捨て",ROUNDDOWN(ROUND($L166*10/110,6),0),IF('設定'!$B$12="切り上げ",ROUNDUP(ROUND($L166*10/110,6),0),ROUND($L166*10/110,0))),IF('設定'!$B$12="切り捨て",ROUNDDOWN(ROUND($L166*10/100,6),0),IF('設定'!$B$12="切り上げ",ROUNDUP(ROUND($L166*10/100,6),0),ROUND($L166*10/100,0)))))</f>
        <v/>
      </c>
      <c r="P166" s="26">
        <f>IF($B166="","",IF('設定'!$B$11="税込",IF('設定'!$B$12="切り捨て",ROUNDDOWN(ROUND($M166*8/108,6),0),IF('設定'!$B$12="切り上げ",ROUNDUP(ROUND($M166*8/108,6),0),ROUND($M166*8/108,0))),IF('設定'!$B$12="切り捨て",ROUNDDOWN(ROUND($M166*8/100,6),0),IF('設定'!$B$12="切り上げ",ROUNDUP(ROUND($M166*8/100,6),0),ROUND($M166*8/100,0)))))</f>
        <v/>
      </c>
      <c r="Q166" s="26">
        <f>IF($B166="","",IF('設定'!$B$11="税込",$L166+$M166+$N166,$L166+$O166+$M166+$P166+$N166))</f>
        <v/>
      </c>
      <c r="R166" s="26">
        <f>IF($B166="","",IF($X166="",0,IF(INDEX('支払先'!$I$5:$I$104,$X166)&lt;&gt;"する",0,IF(INDEX('支払先'!$J$5:$J$104,$X166)="税抜",IF('設定'!$B$11="税込",($Y166-IF('設定'!$B$12="切り捨て",ROUNDDOWN(ROUND($Y166*10/110,6),0),IF('設定'!$B$12="切り上げ",ROUNDUP(ROUND($Y166*10/110,6),0),ROUND($Y166*10/110,0)))+$Z166-IF('設定'!$B$12="切り捨て",ROUNDDOWN(ROUND($Z166*8/108,6),0),IF('設定'!$B$12="切り上げ",ROUNDUP(ROUND($Z166*8/108,6),0),ROUND($Z166*8/108,0)))+$AA166),$Y166+$Z166+$AA166),IF('設定'!$B$11="税込",$Y166+$Z166+$AA166,($Y166+IF('設定'!$B$12="切り捨て",ROUNDDOWN(ROUND($Y166*10/100,6),0),IF('設定'!$B$12="切り上げ",ROUNDUP(ROUND($Y166*10/100,6),0),ROUND($Y166*10/100,0)))+$Z166+IF('設定'!$B$12="切り捨て",ROUNDDOWN(ROUND($Z166*8/100,6),0),IF('設定'!$B$12="切り上げ",ROUNDUP(ROUND($Z166*8/100,6),0),ROUND($Z166*8/100,0)))+$AA166))))))</f>
        <v/>
      </c>
      <c r="S166" s="26">
        <f>IF($B166="","",IF(N($R166)&lt;=0,0,IF($R166&lt;='設定'!$B$18,ROUNDDOWN(ROUND($R166*'設定'!$B$17,6),0),ROUNDDOWN(ROUND(($R166-'設定'!$B$18)*'設定'!$B$19,6),0)+'設定'!$B$20)))</f>
        <v/>
      </c>
      <c r="T166" s="26">
        <f>IF($B166="","",IF($X166="",0,IF(INDEX('支払先'!$K$5:$K$104,$X166)="差し引く",N(INDEX('支払先'!$L$5:$L$104,$X166)),0)))</f>
        <v/>
      </c>
      <c r="U166" s="26">
        <f>IF($B166="","",$Q166-$S166-$T166)</f>
        <v/>
      </c>
      <c r="V166" s="22">
        <f>IF($B166="","",MID(IF($C166="","／支払先コードが空",IF($X166="","／支払先にないコード",""))&amp;IF($K166=0,"／明細がない","")&amp;IF($AC166&gt;0,"／税率が空の明細 "&amp;$AC166&amp;"件（合計に入っていない）","")&amp;IF($X166="","",IF(INDEX('支払先'!$G$5:$G$104,$X166)="","／登録番号なし（仕入明細書にならない）",""))&amp;IF($AB166&gt;0,"／60日（2か月）を超える明細 "&amp;$AB166&amp;"件","")&amp;IF($X166="","",IF(AND(INDEX('支払先'!$K$5:$K$104,$X166)="差し引く",OR(INDEX('支払先'!$M$5:$M$104,$X166)&lt;&gt;"対象外",INDEX('支払先'!$N$5:$N$104,$X166)&lt;&gt;"対象外")),"／手数料を差し引けない取引か確かめる",""))&amp;IF(COUNTIF($B$5:$B$204,$B166)&gt;1,"／通知Noが重複","")&amp;IF(AND(ISNUMBER($D166),ISNUMBER($F166),$F166&lt;$D166),"／支払予定日が発行日より前",""),2,300))</f>
        <v/>
      </c>
      <c r="W166" s="67" t="n"/>
      <c r="X166" s="31">
        <f>IF(OR($B166="",$C166=""),"",IFERROR(MATCH($C166,'支払先'!$B$5:$B$104,0),""))</f>
        <v/>
      </c>
      <c r="Y166" s="31">
        <f>IF($B166="","",SUMIFS('支払明細'!$I$5:$I$1004,'支払明細'!$A$5:$A$1004,$B166,'支払明細'!$G$5:$G$1004,"10%（標準）",'支払明細'!$H$5:$H$1004,"&lt;&gt;対象外"))</f>
        <v/>
      </c>
      <c r="Z166" s="31">
        <f>IF($B166="","",SUMIFS('支払明細'!$I$5:$I$1004,'支払明細'!$A$5:$A$1004,$B166,'支払明細'!$G$5:$G$1004,"8%（軽減）",'支払明細'!$H$5:$H$1004,"&lt;&gt;対象外"))</f>
        <v/>
      </c>
      <c r="AA166" s="31">
        <f>IF($B166="","",SUMIFS('支払明細'!$I$5:$I$1004,'支払明細'!$A$5:$A$1004,$B166,'支払明細'!$G$5:$G$1004,"対象外",'支払明細'!$H$5:$H$1004,"&lt;&gt;対象外"))</f>
        <v/>
      </c>
      <c r="AB166" s="31">
        <f>IF($B166="","",COUNTIFS('支払明細'!$A$5:$A$1004,$B166,'支払明細'!$M$5:$M$1004,"超える"))</f>
        <v/>
      </c>
      <c r="AC166" s="31">
        <f>IF($B166="","",COUNTIFS('支払明細'!$A$5:$A$1004,$B166,'支払明細'!$G$5:$G$1004,""))</f>
        <v/>
      </c>
    </row>
    <row r="167" ht="18" customHeight="1">
      <c r="A167" s="17" t="n">
        <v>163</v>
      </c>
      <c r="B167" s="18" t="n"/>
      <c r="C167" s="18" t="n"/>
      <c r="D167" s="24" t="n"/>
      <c r="E167" s="19" t="n"/>
      <c r="F167" s="24" t="n"/>
      <c r="G167" s="28">
        <f>IF(AND($B167&lt;&gt;"",ISNUMBER($D167)),$D167+N('設定'!$B$13),"")</f>
        <v/>
      </c>
      <c r="H167" s="18" t="n"/>
      <c r="I167" s="19" t="n"/>
      <c r="J167" s="27">
        <f>IF($B167="","",IF($C167="","（支払先コードが空）",IF($X167="","※支払先にないコード",INDEX('支払先'!$C$5:$C$104,$X167)&amp;"")))</f>
        <v/>
      </c>
      <c r="K167" s="30">
        <f>IF($B167="","",COUNTIF('支払明細'!$A$5:$A$1004,$B167))</f>
        <v/>
      </c>
      <c r="L167" s="26">
        <f>IF($B167="","",SUMIFS('支払明細'!$I$5:$I$1004,'支払明細'!$A$5:$A$1004,$B167,'支払明細'!$G$5:$G$1004,"10%（標準）"))</f>
        <v/>
      </c>
      <c r="M167" s="26">
        <f>IF($B167="","",SUMIFS('支払明細'!$I$5:$I$1004,'支払明細'!$A$5:$A$1004,$B167,'支払明細'!$G$5:$G$1004,"8%（軽減）"))</f>
        <v/>
      </c>
      <c r="N167" s="26">
        <f>IF($B167="","",SUMIFS('支払明細'!$I$5:$I$1004,'支払明細'!$A$5:$A$1004,$B167,'支払明細'!$G$5:$G$1004,"対象外"))</f>
        <v/>
      </c>
      <c r="O167" s="26">
        <f>IF($B167="","",IF('設定'!$B$11="税込",IF('設定'!$B$12="切り捨て",ROUNDDOWN(ROUND($L167*10/110,6),0),IF('設定'!$B$12="切り上げ",ROUNDUP(ROUND($L167*10/110,6),0),ROUND($L167*10/110,0))),IF('設定'!$B$12="切り捨て",ROUNDDOWN(ROUND($L167*10/100,6),0),IF('設定'!$B$12="切り上げ",ROUNDUP(ROUND($L167*10/100,6),0),ROUND($L167*10/100,0)))))</f>
        <v/>
      </c>
      <c r="P167" s="26">
        <f>IF($B167="","",IF('設定'!$B$11="税込",IF('設定'!$B$12="切り捨て",ROUNDDOWN(ROUND($M167*8/108,6),0),IF('設定'!$B$12="切り上げ",ROUNDUP(ROUND($M167*8/108,6),0),ROUND($M167*8/108,0))),IF('設定'!$B$12="切り捨て",ROUNDDOWN(ROUND($M167*8/100,6),0),IF('設定'!$B$12="切り上げ",ROUNDUP(ROUND($M167*8/100,6),0),ROUND($M167*8/100,0)))))</f>
        <v/>
      </c>
      <c r="Q167" s="26">
        <f>IF($B167="","",IF('設定'!$B$11="税込",$L167+$M167+$N167,$L167+$O167+$M167+$P167+$N167))</f>
        <v/>
      </c>
      <c r="R167" s="26">
        <f>IF($B167="","",IF($X167="",0,IF(INDEX('支払先'!$I$5:$I$104,$X167)&lt;&gt;"する",0,IF(INDEX('支払先'!$J$5:$J$104,$X167)="税抜",IF('設定'!$B$11="税込",($Y167-IF('設定'!$B$12="切り捨て",ROUNDDOWN(ROUND($Y167*10/110,6),0),IF('設定'!$B$12="切り上げ",ROUNDUP(ROUND($Y167*10/110,6),0),ROUND($Y167*10/110,0)))+$Z167-IF('設定'!$B$12="切り捨て",ROUNDDOWN(ROUND($Z167*8/108,6),0),IF('設定'!$B$12="切り上げ",ROUNDUP(ROUND($Z167*8/108,6),0),ROUND($Z167*8/108,0)))+$AA167),$Y167+$Z167+$AA167),IF('設定'!$B$11="税込",$Y167+$Z167+$AA167,($Y167+IF('設定'!$B$12="切り捨て",ROUNDDOWN(ROUND($Y167*10/100,6),0),IF('設定'!$B$12="切り上げ",ROUNDUP(ROUND($Y167*10/100,6),0),ROUND($Y167*10/100,0)))+$Z167+IF('設定'!$B$12="切り捨て",ROUNDDOWN(ROUND($Z167*8/100,6),0),IF('設定'!$B$12="切り上げ",ROUNDUP(ROUND($Z167*8/100,6),0),ROUND($Z167*8/100,0)))+$AA167))))))</f>
        <v/>
      </c>
      <c r="S167" s="26">
        <f>IF($B167="","",IF(N($R167)&lt;=0,0,IF($R167&lt;='設定'!$B$18,ROUNDDOWN(ROUND($R167*'設定'!$B$17,6),0),ROUNDDOWN(ROUND(($R167-'設定'!$B$18)*'設定'!$B$19,6),0)+'設定'!$B$20)))</f>
        <v/>
      </c>
      <c r="T167" s="26">
        <f>IF($B167="","",IF($X167="",0,IF(INDEX('支払先'!$K$5:$K$104,$X167)="差し引く",N(INDEX('支払先'!$L$5:$L$104,$X167)),0)))</f>
        <v/>
      </c>
      <c r="U167" s="26">
        <f>IF($B167="","",$Q167-$S167-$T167)</f>
        <v/>
      </c>
      <c r="V167" s="22">
        <f>IF($B167="","",MID(IF($C167="","／支払先コードが空",IF($X167="","／支払先にないコード",""))&amp;IF($K167=0,"／明細がない","")&amp;IF($AC167&gt;0,"／税率が空の明細 "&amp;$AC167&amp;"件（合計に入っていない）","")&amp;IF($X167="","",IF(INDEX('支払先'!$G$5:$G$104,$X167)="","／登録番号なし（仕入明細書にならない）",""))&amp;IF($AB167&gt;0,"／60日（2か月）を超える明細 "&amp;$AB167&amp;"件","")&amp;IF($X167="","",IF(AND(INDEX('支払先'!$K$5:$K$104,$X167)="差し引く",OR(INDEX('支払先'!$M$5:$M$104,$X167)&lt;&gt;"対象外",INDEX('支払先'!$N$5:$N$104,$X167)&lt;&gt;"対象外")),"／手数料を差し引けない取引か確かめる",""))&amp;IF(COUNTIF($B$5:$B$204,$B167)&gt;1,"／通知Noが重複","")&amp;IF(AND(ISNUMBER($D167),ISNUMBER($F167),$F167&lt;$D167),"／支払予定日が発行日より前",""),2,300))</f>
        <v/>
      </c>
      <c r="W167" s="67" t="n"/>
      <c r="X167" s="31">
        <f>IF(OR($B167="",$C167=""),"",IFERROR(MATCH($C167,'支払先'!$B$5:$B$104,0),""))</f>
        <v/>
      </c>
      <c r="Y167" s="31">
        <f>IF($B167="","",SUMIFS('支払明細'!$I$5:$I$1004,'支払明細'!$A$5:$A$1004,$B167,'支払明細'!$G$5:$G$1004,"10%（標準）",'支払明細'!$H$5:$H$1004,"&lt;&gt;対象外"))</f>
        <v/>
      </c>
      <c r="Z167" s="31">
        <f>IF($B167="","",SUMIFS('支払明細'!$I$5:$I$1004,'支払明細'!$A$5:$A$1004,$B167,'支払明細'!$G$5:$G$1004,"8%（軽減）",'支払明細'!$H$5:$H$1004,"&lt;&gt;対象外"))</f>
        <v/>
      </c>
      <c r="AA167" s="31">
        <f>IF($B167="","",SUMIFS('支払明細'!$I$5:$I$1004,'支払明細'!$A$5:$A$1004,$B167,'支払明細'!$G$5:$G$1004,"対象外",'支払明細'!$H$5:$H$1004,"&lt;&gt;対象外"))</f>
        <v/>
      </c>
      <c r="AB167" s="31">
        <f>IF($B167="","",COUNTIFS('支払明細'!$A$5:$A$1004,$B167,'支払明細'!$M$5:$M$1004,"超える"))</f>
        <v/>
      </c>
      <c r="AC167" s="31">
        <f>IF($B167="","",COUNTIFS('支払明細'!$A$5:$A$1004,$B167,'支払明細'!$G$5:$G$1004,""))</f>
        <v/>
      </c>
    </row>
    <row r="168" ht="18" customHeight="1">
      <c r="A168" s="17" t="n">
        <v>164</v>
      </c>
      <c r="B168" s="18" t="n"/>
      <c r="C168" s="18" t="n"/>
      <c r="D168" s="24" t="n"/>
      <c r="E168" s="19" t="n"/>
      <c r="F168" s="24" t="n"/>
      <c r="G168" s="28">
        <f>IF(AND($B168&lt;&gt;"",ISNUMBER($D168)),$D168+N('設定'!$B$13),"")</f>
        <v/>
      </c>
      <c r="H168" s="18" t="n"/>
      <c r="I168" s="19" t="n"/>
      <c r="J168" s="27">
        <f>IF($B168="","",IF($C168="","（支払先コードが空）",IF($X168="","※支払先にないコード",INDEX('支払先'!$C$5:$C$104,$X168)&amp;"")))</f>
        <v/>
      </c>
      <c r="K168" s="30">
        <f>IF($B168="","",COUNTIF('支払明細'!$A$5:$A$1004,$B168))</f>
        <v/>
      </c>
      <c r="L168" s="26">
        <f>IF($B168="","",SUMIFS('支払明細'!$I$5:$I$1004,'支払明細'!$A$5:$A$1004,$B168,'支払明細'!$G$5:$G$1004,"10%（標準）"))</f>
        <v/>
      </c>
      <c r="M168" s="26">
        <f>IF($B168="","",SUMIFS('支払明細'!$I$5:$I$1004,'支払明細'!$A$5:$A$1004,$B168,'支払明細'!$G$5:$G$1004,"8%（軽減）"))</f>
        <v/>
      </c>
      <c r="N168" s="26">
        <f>IF($B168="","",SUMIFS('支払明細'!$I$5:$I$1004,'支払明細'!$A$5:$A$1004,$B168,'支払明細'!$G$5:$G$1004,"対象外"))</f>
        <v/>
      </c>
      <c r="O168" s="26">
        <f>IF($B168="","",IF('設定'!$B$11="税込",IF('設定'!$B$12="切り捨て",ROUNDDOWN(ROUND($L168*10/110,6),0),IF('設定'!$B$12="切り上げ",ROUNDUP(ROUND($L168*10/110,6),0),ROUND($L168*10/110,0))),IF('設定'!$B$12="切り捨て",ROUNDDOWN(ROUND($L168*10/100,6),0),IF('設定'!$B$12="切り上げ",ROUNDUP(ROUND($L168*10/100,6),0),ROUND($L168*10/100,0)))))</f>
        <v/>
      </c>
      <c r="P168" s="26">
        <f>IF($B168="","",IF('設定'!$B$11="税込",IF('設定'!$B$12="切り捨て",ROUNDDOWN(ROUND($M168*8/108,6),0),IF('設定'!$B$12="切り上げ",ROUNDUP(ROUND($M168*8/108,6),0),ROUND($M168*8/108,0))),IF('設定'!$B$12="切り捨て",ROUNDDOWN(ROUND($M168*8/100,6),0),IF('設定'!$B$12="切り上げ",ROUNDUP(ROUND($M168*8/100,6),0),ROUND($M168*8/100,0)))))</f>
        <v/>
      </c>
      <c r="Q168" s="26">
        <f>IF($B168="","",IF('設定'!$B$11="税込",$L168+$M168+$N168,$L168+$O168+$M168+$P168+$N168))</f>
        <v/>
      </c>
      <c r="R168" s="26">
        <f>IF($B168="","",IF($X168="",0,IF(INDEX('支払先'!$I$5:$I$104,$X168)&lt;&gt;"する",0,IF(INDEX('支払先'!$J$5:$J$104,$X168)="税抜",IF('設定'!$B$11="税込",($Y168-IF('設定'!$B$12="切り捨て",ROUNDDOWN(ROUND($Y168*10/110,6),0),IF('設定'!$B$12="切り上げ",ROUNDUP(ROUND($Y168*10/110,6),0),ROUND($Y168*10/110,0)))+$Z168-IF('設定'!$B$12="切り捨て",ROUNDDOWN(ROUND($Z168*8/108,6),0),IF('設定'!$B$12="切り上げ",ROUNDUP(ROUND($Z168*8/108,6),0),ROUND($Z168*8/108,0)))+$AA168),$Y168+$Z168+$AA168),IF('設定'!$B$11="税込",$Y168+$Z168+$AA168,($Y168+IF('設定'!$B$12="切り捨て",ROUNDDOWN(ROUND($Y168*10/100,6),0),IF('設定'!$B$12="切り上げ",ROUNDUP(ROUND($Y168*10/100,6),0),ROUND($Y168*10/100,0)))+$Z168+IF('設定'!$B$12="切り捨て",ROUNDDOWN(ROUND($Z168*8/100,6),0),IF('設定'!$B$12="切り上げ",ROUNDUP(ROUND($Z168*8/100,6),0),ROUND($Z168*8/100,0)))+$AA168))))))</f>
        <v/>
      </c>
      <c r="S168" s="26">
        <f>IF($B168="","",IF(N($R168)&lt;=0,0,IF($R168&lt;='設定'!$B$18,ROUNDDOWN(ROUND($R168*'設定'!$B$17,6),0),ROUNDDOWN(ROUND(($R168-'設定'!$B$18)*'設定'!$B$19,6),0)+'設定'!$B$20)))</f>
        <v/>
      </c>
      <c r="T168" s="26">
        <f>IF($B168="","",IF($X168="",0,IF(INDEX('支払先'!$K$5:$K$104,$X168)="差し引く",N(INDEX('支払先'!$L$5:$L$104,$X168)),0)))</f>
        <v/>
      </c>
      <c r="U168" s="26">
        <f>IF($B168="","",$Q168-$S168-$T168)</f>
        <v/>
      </c>
      <c r="V168" s="22">
        <f>IF($B168="","",MID(IF($C168="","／支払先コードが空",IF($X168="","／支払先にないコード",""))&amp;IF($K168=0,"／明細がない","")&amp;IF($AC168&gt;0,"／税率が空の明細 "&amp;$AC168&amp;"件（合計に入っていない）","")&amp;IF($X168="","",IF(INDEX('支払先'!$G$5:$G$104,$X168)="","／登録番号なし（仕入明細書にならない）",""))&amp;IF($AB168&gt;0,"／60日（2か月）を超える明細 "&amp;$AB168&amp;"件","")&amp;IF($X168="","",IF(AND(INDEX('支払先'!$K$5:$K$104,$X168)="差し引く",OR(INDEX('支払先'!$M$5:$M$104,$X168)&lt;&gt;"対象外",INDEX('支払先'!$N$5:$N$104,$X168)&lt;&gt;"対象外")),"／手数料を差し引けない取引か確かめる",""))&amp;IF(COUNTIF($B$5:$B$204,$B168)&gt;1,"／通知Noが重複","")&amp;IF(AND(ISNUMBER($D168),ISNUMBER($F168),$F168&lt;$D168),"／支払予定日が発行日より前",""),2,300))</f>
        <v/>
      </c>
      <c r="W168" s="67" t="n"/>
      <c r="X168" s="31">
        <f>IF(OR($B168="",$C168=""),"",IFERROR(MATCH($C168,'支払先'!$B$5:$B$104,0),""))</f>
        <v/>
      </c>
      <c r="Y168" s="31">
        <f>IF($B168="","",SUMIFS('支払明細'!$I$5:$I$1004,'支払明細'!$A$5:$A$1004,$B168,'支払明細'!$G$5:$G$1004,"10%（標準）",'支払明細'!$H$5:$H$1004,"&lt;&gt;対象外"))</f>
        <v/>
      </c>
      <c r="Z168" s="31">
        <f>IF($B168="","",SUMIFS('支払明細'!$I$5:$I$1004,'支払明細'!$A$5:$A$1004,$B168,'支払明細'!$G$5:$G$1004,"8%（軽減）",'支払明細'!$H$5:$H$1004,"&lt;&gt;対象外"))</f>
        <v/>
      </c>
      <c r="AA168" s="31">
        <f>IF($B168="","",SUMIFS('支払明細'!$I$5:$I$1004,'支払明細'!$A$5:$A$1004,$B168,'支払明細'!$G$5:$G$1004,"対象外",'支払明細'!$H$5:$H$1004,"&lt;&gt;対象外"))</f>
        <v/>
      </c>
      <c r="AB168" s="31">
        <f>IF($B168="","",COUNTIFS('支払明細'!$A$5:$A$1004,$B168,'支払明細'!$M$5:$M$1004,"超える"))</f>
        <v/>
      </c>
      <c r="AC168" s="31">
        <f>IF($B168="","",COUNTIFS('支払明細'!$A$5:$A$1004,$B168,'支払明細'!$G$5:$G$1004,""))</f>
        <v/>
      </c>
    </row>
    <row r="169" ht="18" customHeight="1">
      <c r="A169" s="17" t="n">
        <v>165</v>
      </c>
      <c r="B169" s="18" t="n"/>
      <c r="C169" s="18" t="n"/>
      <c r="D169" s="24" t="n"/>
      <c r="E169" s="19" t="n"/>
      <c r="F169" s="24" t="n"/>
      <c r="G169" s="28">
        <f>IF(AND($B169&lt;&gt;"",ISNUMBER($D169)),$D169+N('設定'!$B$13),"")</f>
        <v/>
      </c>
      <c r="H169" s="18" t="n"/>
      <c r="I169" s="19" t="n"/>
      <c r="J169" s="27">
        <f>IF($B169="","",IF($C169="","（支払先コードが空）",IF($X169="","※支払先にないコード",INDEX('支払先'!$C$5:$C$104,$X169)&amp;"")))</f>
        <v/>
      </c>
      <c r="K169" s="30">
        <f>IF($B169="","",COUNTIF('支払明細'!$A$5:$A$1004,$B169))</f>
        <v/>
      </c>
      <c r="L169" s="26">
        <f>IF($B169="","",SUMIFS('支払明細'!$I$5:$I$1004,'支払明細'!$A$5:$A$1004,$B169,'支払明細'!$G$5:$G$1004,"10%（標準）"))</f>
        <v/>
      </c>
      <c r="M169" s="26">
        <f>IF($B169="","",SUMIFS('支払明細'!$I$5:$I$1004,'支払明細'!$A$5:$A$1004,$B169,'支払明細'!$G$5:$G$1004,"8%（軽減）"))</f>
        <v/>
      </c>
      <c r="N169" s="26">
        <f>IF($B169="","",SUMIFS('支払明細'!$I$5:$I$1004,'支払明細'!$A$5:$A$1004,$B169,'支払明細'!$G$5:$G$1004,"対象外"))</f>
        <v/>
      </c>
      <c r="O169" s="26">
        <f>IF($B169="","",IF('設定'!$B$11="税込",IF('設定'!$B$12="切り捨て",ROUNDDOWN(ROUND($L169*10/110,6),0),IF('設定'!$B$12="切り上げ",ROUNDUP(ROUND($L169*10/110,6),0),ROUND($L169*10/110,0))),IF('設定'!$B$12="切り捨て",ROUNDDOWN(ROUND($L169*10/100,6),0),IF('設定'!$B$12="切り上げ",ROUNDUP(ROUND($L169*10/100,6),0),ROUND($L169*10/100,0)))))</f>
        <v/>
      </c>
      <c r="P169" s="26">
        <f>IF($B169="","",IF('設定'!$B$11="税込",IF('設定'!$B$12="切り捨て",ROUNDDOWN(ROUND($M169*8/108,6),0),IF('設定'!$B$12="切り上げ",ROUNDUP(ROUND($M169*8/108,6),0),ROUND($M169*8/108,0))),IF('設定'!$B$12="切り捨て",ROUNDDOWN(ROUND($M169*8/100,6),0),IF('設定'!$B$12="切り上げ",ROUNDUP(ROUND($M169*8/100,6),0),ROUND($M169*8/100,0)))))</f>
        <v/>
      </c>
      <c r="Q169" s="26">
        <f>IF($B169="","",IF('設定'!$B$11="税込",$L169+$M169+$N169,$L169+$O169+$M169+$P169+$N169))</f>
        <v/>
      </c>
      <c r="R169" s="26">
        <f>IF($B169="","",IF($X169="",0,IF(INDEX('支払先'!$I$5:$I$104,$X169)&lt;&gt;"する",0,IF(INDEX('支払先'!$J$5:$J$104,$X169)="税抜",IF('設定'!$B$11="税込",($Y169-IF('設定'!$B$12="切り捨て",ROUNDDOWN(ROUND($Y169*10/110,6),0),IF('設定'!$B$12="切り上げ",ROUNDUP(ROUND($Y169*10/110,6),0),ROUND($Y169*10/110,0)))+$Z169-IF('設定'!$B$12="切り捨て",ROUNDDOWN(ROUND($Z169*8/108,6),0),IF('設定'!$B$12="切り上げ",ROUNDUP(ROUND($Z169*8/108,6),0),ROUND($Z169*8/108,0)))+$AA169),$Y169+$Z169+$AA169),IF('設定'!$B$11="税込",$Y169+$Z169+$AA169,($Y169+IF('設定'!$B$12="切り捨て",ROUNDDOWN(ROUND($Y169*10/100,6),0),IF('設定'!$B$12="切り上げ",ROUNDUP(ROUND($Y169*10/100,6),0),ROUND($Y169*10/100,0)))+$Z169+IF('設定'!$B$12="切り捨て",ROUNDDOWN(ROUND($Z169*8/100,6),0),IF('設定'!$B$12="切り上げ",ROUNDUP(ROUND($Z169*8/100,6),0),ROUND($Z169*8/100,0)))+$AA169))))))</f>
        <v/>
      </c>
      <c r="S169" s="26">
        <f>IF($B169="","",IF(N($R169)&lt;=0,0,IF($R169&lt;='設定'!$B$18,ROUNDDOWN(ROUND($R169*'設定'!$B$17,6),0),ROUNDDOWN(ROUND(($R169-'設定'!$B$18)*'設定'!$B$19,6),0)+'設定'!$B$20)))</f>
        <v/>
      </c>
      <c r="T169" s="26">
        <f>IF($B169="","",IF($X169="",0,IF(INDEX('支払先'!$K$5:$K$104,$X169)="差し引く",N(INDEX('支払先'!$L$5:$L$104,$X169)),0)))</f>
        <v/>
      </c>
      <c r="U169" s="26">
        <f>IF($B169="","",$Q169-$S169-$T169)</f>
        <v/>
      </c>
      <c r="V169" s="22">
        <f>IF($B169="","",MID(IF($C169="","／支払先コードが空",IF($X169="","／支払先にないコード",""))&amp;IF($K169=0,"／明細がない","")&amp;IF($AC169&gt;0,"／税率が空の明細 "&amp;$AC169&amp;"件（合計に入っていない）","")&amp;IF($X169="","",IF(INDEX('支払先'!$G$5:$G$104,$X169)="","／登録番号なし（仕入明細書にならない）",""))&amp;IF($AB169&gt;0,"／60日（2か月）を超える明細 "&amp;$AB169&amp;"件","")&amp;IF($X169="","",IF(AND(INDEX('支払先'!$K$5:$K$104,$X169)="差し引く",OR(INDEX('支払先'!$M$5:$M$104,$X169)&lt;&gt;"対象外",INDEX('支払先'!$N$5:$N$104,$X169)&lt;&gt;"対象外")),"／手数料を差し引けない取引か確かめる",""))&amp;IF(COUNTIF($B$5:$B$204,$B169)&gt;1,"／通知Noが重複","")&amp;IF(AND(ISNUMBER($D169),ISNUMBER($F169),$F169&lt;$D169),"／支払予定日が発行日より前",""),2,300))</f>
        <v/>
      </c>
      <c r="W169" s="67" t="n"/>
      <c r="X169" s="31">
        <f>IF(OR($B169="",$C169=""),"",IFERROR(MATCH($C169,'支払先'!$B$5:$B$104,0),""))</f>
        <v/>
      </c>
      <c r="Y169" s="31">
        <f>IF($B169="","",SUMIFS('支払明細'!$I$5:$I$1004,'支払明細'!$A$5:$A$1004,$B169,'支払明細'!$G$5:$G$1004,"10%（標準）",'支払明細'!$H$5:$H$1004,"&lt;&gt;対象外"))</f>
        <v/>
      </c>
      <c r="Z169" s="31">
        <f>IF($B169="","",SUMIFS('支払明細'!$I$5:$I$1004,'支払明細'!$A$5:$A$1004,$B169,'支払明細'!$G$5:$G$1004,"8%（軽減）",'支払明細'!$H$5:$H$1004,"&lt;&gt;対象外"))</f>
        <v/>
      </c>
      <c r="AA169" s="31">
        <f>IF($B169="","",SUMIFS('支払明細'!$I$5:$I$1004,'支払明細'!$A$5:$A$1004,$B169,'支払明細'!$G$5:$G$1004,"対象外",'支払明細'!$H$5:$H$1004,"&lt;&gt;対象外"))</f>
        <v/>
      </c>
      <c r="AB169" s="31">
        <f>IF($B169="","",COUNTIFS('支払明細'!$A$5:$A$1004,$B169,'支払明細'!$M$5:$M$1004,"超える"))</f>
        <v/>
      </c>
      <c r="AC169" s="31">
        <f>IF($B169="","",COUNTIFS('支払明細'!$A$5:$A$1004,$B169,'支払明細'!$G$5:$G$1004,""))</f>
        <v/>
      </c>
    </row>
    <row r="170" ht="18" customHeight="1">
      <c r="A170" s="17" t="n">
        <v>166</v>
      </c>
      <c r="B170" s="18" t="n"/>
      <c r="C170" s="18" t="n"/>
      <c r="D170" s="24" t="n"/>
      <c r="E170" s="19" t="n"/>
      <c r="F170" s="24" t="n"/>
      <c r="G170" s="28">
        <f>IF(AND($B170&lt;&gt;"",ISNUMBER($D170)),$D170+N('設定'!$B$13),"")</f>
        <v/>
      </c>
      <c r="H170" s="18" t="n"/>
      <c r="I170" s="19" t="n"/>
      <c r="J170" s="27">
        <f>IF($B170="","",IF($C170="","（支払先コードが空）",IF($X170="","※支払先にないコード",INDEX('支払先'!$C$5:$C$104,$X170)&amp;"")))</f>
        <v/>
      </c>
      <c r="K170" s="30">
        <f>IF($B170="","",COUNTIF('支払明細'!$A$5:$A$1004,$B170))</f>
        <v/>
      </c>
      <c r="L170" s="26">
        <f>IF($B170="","",SUMIFS('支払明細'!$I$5:$I$1004,'支払明細'!$A$5:$A$1004,$B170,'支払明細'!$G$5:$G$1004,"10%（標準）"))</f>
        <v/>
      </c>
      <c r="M170" s="26">
        <f>IF($B170="","",SUMIFS('支払明細'!$I$5:$I$1004,'支払明細'!$A$5:$A$1004,$B170,'支払明細'!$G$5:$G$1004,"8%（軽減）"))</f>
        <v/>
      </c>
      <c r="N170" s="26">
        <f>IF($B170="","",SUMIFS('支払明細'!$I$5:$I$1004,'支払明細'!$A$5:$A$1004,$B170,'支払明細'!$G$5:$G$1004,"対象外"))</f>
        <v/>
      </c>
      <c r="O170" s="26">
        <f>IF($B170="","",IF('設定'!$B$11="税込",IF('設定'!$B$12="切り捨て",ROUNDDOWN(ROUND($L170*10/110,6),0),IF('設定'!$B$12="切り上げ",ROUNDUP(ROUND($L170*10/110,6),0),ROUND($L170*10/110,0))),IF('設定'!$B$12="切り捨て",ROUNDDOWN(ROUND($L170*10/100,6),0),IF('設定'!$B$12="切り上げ",ROUNDUP(ROUND($L170*10/100,6),0),ROUND($L170*10/100,0)))))</f>
        <v/>
      </c>
      <c r="P170" s="26">
        <f>IF($B170="","",IF('設定'!$B$11="税込",IF('設定'!$B$12="切り捨て",ROUNDDOWN(ROUND($M170*8/108,6),0),IF('設定'!$B$12="切り上げ",ROUNDUP(ROUND($M170*8/108,6),0),ROUND($M170*8/108,0))),IF('設定'!$B$12="切り捨て",ROUNDDOWN(ROUND($M170*8/100,6),0),IF('設定'!$B$12="切り上げ",ROUNDUP(ROUND($M170*8/100,6),0),ROUND($M170*8/100,0)))))</f>
        <v/>
      </c>
      <c r="Q170" s="26">
        <f>IF($B170="","",IF('設定'!$B$11="税込",$L170+$M170+$N170,$L170+$O170+$M170+$P170+$N170))</f>
        <v/>
      </c>
      <c r="R170" s="26">
        <f>IF($B170="","",IF($X170="",0,IF(INDEX('支払先'!$I$5:$I$104,$X170)&lt;&gt;"する",0,IF(INDEX('支払先'!$J$5:$J$104,$X170)="税抜",IF('設定'!$B$11="税込",($Y170-IF('設定'!$B$12="切り捨て",ROUNDDOWN(ROUND($Y170*10/110,6),0),IF('設定'!$B$12="切り上げ",ROUNDUP(ROUND($Y170*10/110,6),0),ROUND($Y170*10/110,0)))+$Z170-IF('設定'!$B$12="切り捨て",ROUNDDOWN(ROUND($Z170*8/108,6),0),IF('設定'!$B$12="切り上げ",ROUNDUP(ROUND($Z170*8/108,6),0),ROUND($Z170*8/108,0)))+$AA170),$Y170+$Z170+$AA170),IF('設定'!$B$11="税込",$Y170+$Z170+$AA170,($Y170+IF('設定'!$B$12="切り捨て",ROUNDDOWN(ROUND($Y170*10/100,6),0),IF('設定'!$B$12="切り上げ",ROUNDUP(ROUND($Y170*10/100,6),0),ROUND($Y170*10/100,0)))+$Z170+IF('設定'!$B$12="切り捨て",ROUNDDOWN(ROUND($Z170*8/100,6),0),IF('設定'!$B$12="切り上げ",ROUNDUP(ROUND($Z170*8/100,6),0),ROUND($Z170*8/100,0)))+$AA170))))))</f>
        <v/>
      </c>
      <c r="S170" s="26">
        <f>IF($B170="","",IF(N($R170)&lt;=0,0,IF($R170&lt;='設定'!$B$18,ROUNDDOWN(ROUND($R170*'設定'!$B$17,6),0),ROUNDDOWN(ROUND(($R170-'設定'!$B$18)*'設定'!$B$19,6),0)+'設定'!$B$20)))</f>
        <v/>
      </c>
      <c r="T170" s="26">
        <f>IF($B170="","",IF($X170="",0,IF(INDEX('支払先'!$K$5:$K$104,$X170)="差し引く",N(INDEX('支払先'!$L$5:$L$104,$X170)),0)))</f>
        <v/>
      </c>
      <c r="U170" s="26">
        <f>IF($B170="","",$Q170-$S170-$T170)</f>
        <v/>
      </c>
      <c r="V170" s="22">
        <f>IF($B170="","",MID(IF($C170="","／支払先コードが空",IF($X170="","／支払先にないコード",""))&amp;IF($K170=0,"／明細がない","")&amp;IF($AC170&gt;0,"／税率が空の明細 "&amp;$AC170&amp;"件（合計に入っていない）","")&amp;IF($X170="","",IF(INDEX('支払先'!$G$5:$G$104,$X170)="","／登録番号なし（仕入明細書にならない）",""))&amp;IF($AB170&gt;0,"／60日（2か月）を超える明細 "&amp;$AB170&amp;"件","")&amp;IF($X170="","",IF(AND(INDEX('支払先'!$K$5:$K$104,$X170)="差し引く",OR(INDEX('支払先'!$M$5:$M$104,$X170)&lt;&gt;"対象外",INDEX('支払先'!$N$5:$N$104,$X170)&lt;&gt;"対象外")),"／手数料を差し引けない取引か確かめる",""))&amp;IF(COUNTIF($B$5:$B$204,$B170)&gt;1,"／通知Noが重複","")&amp;IF(AND(ISNUMBER($D170),ISNUMBER($F170),$F170&lt;$D170),"／支払予定日が発行日より前",""),2,300))</f>
        <v/>
      </c>
      <c r="W170" s="67" t="n"/>
      <c r="X170" s="31">
        <f>IF(OR($B170="",$C170=""),"",IFERROR(MATCH($C170,'支払先'!$B$5:$B$104,0),""))</f>
        <v/>
      </c>
      <c r="Y170" s="31">
        <f>IF($B170="","",SUMIFS('支払明細'!$I$5:$I$1004,'支払明細'!$A$5:$A$1004,$B170,'支払明細'!$G$5:$G$1004,"10%（標準）",'支払明細'!$H$5:$H$1004,"&lt;&gt;対象外"))</f>
        <v/>
      </c>
      <c r="Z170" s="31">
        <f>IF($B170="","",SUMIFS('支払明細'!$I$5:$I$1004,'支払明細'!$A$5:$A$1004,$B170,'支払明細'!$G$5:$G$1004,"8%（軽減）",'支払明細'!$H$5:$H$1004,"&lt;&gt;対象外"))</f>
        <v/>
      </c>
      <c r="AA170" s="31">
        <f>IF($B170="","",SUMIFS('支払明細'!$I$5:$I$1004,'支払明細'!$A$5:$A$1004,$B170,'支払明細'!$G$5:$G$1004,"対象外",'支払明細'!$H$5:$H$1004,"&lt;&gt;対象外"))</f>
        <v/>
      </c>
      <c r="AB170" s="31">
        <f>IF($B170="","",COUNTIFS('支払明細'!$A$5:$A$1004,$B170,'支払明細'!$M$5:$M$1004,"超える"))</f>
        <v/>
      </c>
      <c r="AC170" s="31">
        <f>IF($B170="","",COUNTIFS('支払明細'!$A$5:$A$1004,$B170,'支払明細'!$G$5:$G$1004,""))</f>
        <v/>
      </c>
    </row>
    <row r="171" ht="18" customHeight="1">
      <c r="A171" s="17" t="n">
        <v>167</v>
      </c>
      <c r="B171" s="18" t="n"/>
      <c r="C171" s="18" t="n"/>
      <c r="D171" s="24" t="n"/>
      <c r="E171" s="19" t="n"/>
      <c r="F171" s="24" t="n"/>
      <c r="G171" s="28">
        <f>IF(AND($B171&lt;&gt;"",ISNUMBER($D171)),$D171+N('設定'!$B$13),"")</f>
        <v/>
      </c>
      <c r="H171" s="18" t="n"/>
      <c r="I171" s="19" t="n"/>
      <c r="J171" s="27">
        <f>IF($B171="","",IF($C171="","（支払先コードが空）",IF($X171="","※支払先にないコード",INDEX('支払先'!$C$5:$C$104,$X171)&amp;"")))</f>
        <v/>
      </c>
      <c r="K171" s="30">
        <f>IF($B171="","",COUNTIF('支払明細'!$A$5:$A$1004,$B171))</f>
        <v/>
      </c>
      <c r="L171" s="26">
        <f>IF($B171="","",SUMIFS('支払明細'!$I$5:$I$1004,'支払明細'!$A$5:$A$1004,$B171,'支払明細'!$G$5:$G$1004,"10%（標準）"))</f>
        <v/>
      </c>
      <c r="M171" s="26">
        <f>IF($B171="","",SUMIFS('支払明細'!$I$5:$I$1004,'支払明細'!$A$5:$A$1004,$B171,'支払明細'!$G$5:$G$1004,"8%（軽減）"))</f>
        <v/>
      </c>
      <c r="N171" s="26">
        <f>IF($B171="","",SUMIFS('支払明細'!$I$5:$I$1004,'支払明細'!$A$5:$A$1004,$B171,'支払明細'!$G$5:$G$1004,"対象外"))</f>
        <v/>
      </c>
      <c r="O171" s="26">
        <f>IF($B171="","",IF('設定'!$B$11="税込",IF('設定'!$B$12="切り捨て",ROUNDDOWN(ROUND($L171*10/110,6),0),IF('設定'!$B$12="切り上げ",ROUNDUP(ROUND($L171*10/110,6),0),ROUND($L171*10/110,0))),IF('設定'!$B$12="切り捨て",ROUNDDOWN(ROUND($L171*10/100,6),0),IF('設定'!$B$12="切り上げ",ROUNDUP(ROUND($L171*10/100,6),0),ROUND($L171*10/100,0)))))</f>
        <v/>
      </c>
      <c r="P171" s="26">
        <f>IF($B171="","",IF('設定'!$B$11="税込",IF('設定'!$B$12="切り捨て",ROUNDDOWN(ROUND($M171*8/108,6),0),IF('設定'!$B$12="切り上げ",ROUNDUP(ROUND($M171*8/108,6),0),ROUND($M171*8/108,0))),IF('設定'!$B$12="切り捨て",ROUNDDOWN(ROUND($M171*8/100,6),0),IF('設定'!$B$12="切り上げ",ROUNDUP(ROUND($M171*8/100,6),0),ROUND($M171*8/100,0)))))</f>
        <v/>
      </c>
      <c r="Q171" s="26">
        <f>IF($B171="","",IF('設定'!$B$11="税込",$L171+$M171+$N171,$L171+$O171+$M171+$P171+$N171))</f>
        <v/>
      </c>
      <c r="R171" s="26">
        <f>IF($B171="","",IF($X171="",0,IF(INDEX('支払先'!$I$5:$I$104,$X171)&lt;&gt;"する",0,IF(INDEX('支払先'!$J$5:$J$104,$X171)="税抜",IF('設定'!$B$11="税込",($Y171-IF('設定'!$B$12="切り捨て",ROUNDDOWN(ROUND($Y171*10/110,6),0),IF('設定'!$B$12="切り上げ",ROUNDUP(ROUND($Y171*10/110,6),0),ROUND($Y171*10/110,0)))+$Z171-IF('設定'!$B$12="切り捨て",ROUNDDOWN(ROUND($Z171*8/108,6),0),IF('設定'!$B$12="切り上げ",ROUNDUP(ROUND($Z171*8/108,6),0),ROUND($Z171*8/108,0)))+$AA171),$Y171+$Z171+$AA171),IF('設定'!$B$11="税込",$Y171+$Z171+$AA171,($Y171+IF('設定'!$B$12="切り捨て",ROUNDDOWN(ROUND($Y171*10/100,6),0),IF('設定'!$B$12="切り上げ",ROUNDUP(ROUND($Y171*10/100,6),0),ROUND($Y171*10/100,0)))+$Z171+IF('設定'!$B$12="切り捨て",ROUNDDOWN(ROUND($Z171*8/100,6),0),IF('設定'!$B$12="切り上げ",ROUNDUP(ROUND($Z171*8/100,6),0),ROUND($Z171*8/100,0)))+$AA171))))))</f>
        <v/>
      </c>
      <c r="S171" s="26">
        <f>IF($B171="","",IF(N($R171)&lt;=0,0,IF($R171&lt;='設定'!$B$18,ROUNDDOWN(ROUND($R171*'設定'!$B$17,6),0),ROUNDDOWN(ROUND(($R171-'設定'!$B$18)*'設定'!$B$19,6),0)+'設定'!$B$20)))</f>
        <v/>
      </c>
      <c r="T171" s="26">
        <f>IF($B171="","",IF($X171="",0,IF(INDEX('支払先'!$K$5:$K$104,$X171)="差し引く",N(INDEX('支払先'!$L$5:$L$104,$X171)),0)))</f>
        <v/>
      </c>
      <c r="U171" s="26">
        <f>IF($B171="","",$Q171-$S171-$T171)</f>
        <v/>
      </c>
      <c r="V171" s="22">
        <f>IF($B171="","",MID(IF($C171="","／支払先コードが空",IF($X171="","／支払先にないコード",""))&amp;IF($K171=0,"／明細がない","")&amp;IF($AC171&gt;0,"／税率が空の明細 "&amp;$AC171&amp;"件（合計に入っていない）","")&amp;IF($X171="","",IF(INDEX('支払先'!$G$5:$G$104,$X171)="","／登録番号なし（仕入明細書にならない）",""))&amp;IF($AB171&gt;0,"／60日（2か月）を超える明細 "&amp;$AB171&amp;"件","")&amp;IF($X171="","",IF(AND(INDEX('支払先'!$K$5:$K$104,$X171)="差し引く",OR(INDEX('支払先'!$M$5:$M$104,$X171)&lt;&gt;"対象外",INDEX('支払先'!$N$5:$N$104,$X171)&lt;&gt;"対象外")),"／手数料を差し引けない取引か確かめる",""))&amp;IF(COUNTIF($B$5:$B$204,$B171)&gt;1,"／通知Noが重複","")&amp;IF(AND(ISNUMBER($D171),ISNUMBER($F171),$F171&lt;$D171),"／支払予定日が発行日より前",""),2,300))</f>
        <v/>
      </c>
      <c r="W171" s="67" t="n"/>
      <c r="X171" s="31">
        <f>IF(OR($B171="",$C171=""),"",IFERROR(MATCH($C171,'支払先'!$B$5:$B$104,0),""))</f>
        <v/>
      </c>
      <c r="Y171" s="31">
        <f>IF($B171="","",SUMIFS('支払明細'!$I$5:$I$1004,'支払明細'!$A$5:$A$1004,$B171,'支払明細'!$G$5:$G$1004,"10%（標準）",'支払明細'!$H$5:$H$1004,"&lt;&gt;対象外"))</f>
        <v/>
      </c>
      <c r="Z171" s="31">
        <f>IF($B171="","",SUMIFS('支払明細'!$I$5:$I$1004,'支払明細'!$A$5:$A$1004,$B171,'支払明細'!$G$5:$G$1004,"8%（軽減）",'支払明細'!$H$5:$H$1004,"&lt;&gt;対象外"))</f>
        <v/>
      </c>
      <c r="AA171" s="31">
        <f>IF($B171="","",SUMIFS('支払明細'!$I$5:$I$1004,'支払明細'!$A$5:$A$1004,$B171,'支払明細'!$G$5:$G$1004,"対象外",'支払明細'!$H$5:$H$1004,"&lt;&gt;対象外"))</f>
        <v/>
      </c>
      <c r="AB171" s="31">
        <f>IF($B171="","",COUNTIFS('支払明細'!$A$5:$A$1004,$B171,'支払明細'!$M$5:$M$1004,"超える"))</f>
        <v/>
      </c>
      <c r="AC171" s="31">
        <f>IF($B171="","",COUNTIFS('支払明細'!$A$5:$A$1004,$B171,'支払明細'!$G$5:$G$1004,""))</f>
        <v/>
      </c>
    </row>
    <row r="172" ht="18" customHeight="1">
      <c r="A172" s="17" t="n">
        <v>168</v>
      </c>
      <c r="B172" s="18" t="n"/>
      <c r="C172" s="18" t="n"/>
      <c r="D172" s="24" t="n"/>
      <c r="E172" s="19" t="n"/>
      <c r="F172" s="24" t="n"/>
      <c r="G172" s="28">
        <f>IF(AND($B172&lt;&gt;"",ISNUMBER($D172)),$D172+N('設定'!$B$13),"")</f>
        <v/>
      </c>
      <c r="H172" s="18" t="n"/>
      <c r="I172" s="19" t="n"/>
      <c r="J172" s="27">
        <f>IF($B172="","",IF($C172="","（支払先コードが空）",IF($X172="","※支払先にないコード",INDEX('支払先'!$C$5:$C$104,$X172)&amp;"")))</f>
        <v/>
      </c>
      <c r="K172" s="30">
        <f>IF($B172="","",COUNTIF('支払明細'!$A$5:$A$1004,$B172))</f>
        <v/>
      </c>
      <c r="L172" s="26">
        <f>IF($B172="","",SUMIFS('支払明細'!$I$5:$I$1004,'支払明細'!$A$5:$A$1004,$B172,'支払明細'!$G$5:$G$1004,"10%（標準）"))</f>
        <v/>
      </c>
      <c r="M172" s="26">
        <f>IF($B172="","",SUMIFS('支払明細'!$I$5:$I$1004,'支払明細'!$A$5:$A$1004,$B172,'支払明細'!$G$5:$G$1004,"8%（軽減）"))</f>
        <v/>
      </c>
      <c r="N172" s="26">
        <f>IF($B172="","",SUMIFS('支払明細'!$I$5:$I$1004,'支払明細'!$A$5:$A$1004,$B172,'支払明細'!$G$5:$G$1004,"対象外"))</f>
        <v/>
      </c>
      <c r="O172" s="26">
        <f>IF($B172="","",IF('設定'!$B$11="税込",IF('設定'!$B$12="切り捨て",ROUNDDOWN(ROUND($L172*10/110,6),0),IF('設定'!$B$12="切り上げ",ROUNDUP(ROUND($L172*10/110,6),0),ROUND($L172*10/110,0))),IF('設定'!$B$12="切り捨て",ROUNDDOWN(ROUND($L172*10/100,6),0),IF('設定'!$B$12="切り上げ",ROUNDUP(ROUND($L172*10/100,6),0),ROUND($L172*10/100,0)))))</f>
        <v/>
      </c>
      <c r="P172" s="26">
        <f>IF($B172="","",IF('設定'!$B$11="税込",IF('設定'!$B$12="切り捨て",ROUNDDOWN(ROUND($M172*8/108,6),0),IF('設定'!$B$12="切り上げ",ROUNDUP(ROUND($M172*8/108,6),0),ROUND($M172*8/108,0))),IF('設定'!$B$12="切り捨て",ROUNDDOWN(ROUND($M172*8/100,6),0),IF('設定'!$B$12="切り上げ",ROUNDUP(ROUND($M172*8/100,6),0),ROUND($M172*8/100,0)))))</f>
        <v/>
      </c>
      <c r="Q172" s="26">
        <f>IF($B172="","",IF('設定'!$B$11="税込",$L172+$M172+$N172,$L172+$O172+$M172+$P172+$N172))</f>
        <v/>
      </c>
      <c r="R172" s="26">
        <f>IF($B172="","",IF($X172="",0,IF(INDEX('支払先'!$I$5:$I$104,$X172)&lt;&gt;"する",0,IF(INDEX('支払先'!$J$5:$J$104,$X172)="税抜",IF('設定'!$B$11="税込",($Y172-IF('設定'!$B$12="切り捨て",ROUNDDOWN(ROUND($Y172*10/110,6),0),IF('設定'!$B$12="切り上げ",ROUNDUP(ROUND($Y172*10/110,6),0),ROUND($Y172*10/110,0)))+$Z172-IF('設定'!$B$12="切り捨て",ROUNDDOWN(ROUND($Z172*8/108,6),0),IF('設定'!$B$12="切り上げ",ROUNDUP(ROUND($Z172*8/108,6),0),ROUND($Z172*8/108,0)))+$AA172),$Y172+$Z172+$AA172),IF('設定'!$B$11="税込",$Y172+$Z172+$AA172,($Y172+IF('設定'!$B$12="切り捨て",ROUNDDOWN(ROUND($Y172*10/100,6),0),IF('設定'!$B$12="切り上げ",ROUNDUP(ROUND($Y172*10/100,6),0),ROUND($Y172*10/100,0)))+$Z172+IF('設定'!$B$12="切り捨て",ROUNDDOWN(ROUND($Z172*8/100,6),0),IF('設定'!$B$12="切り上げ",ROUNDUP(ROUND($Z172*8/100,6),0),ROUND($Z172*8/100,0)))+$AA172))))))</f>
        <v/>
      </c>
      <c r="S172" s="26">
        <f>IF($B172="","",IF(N($R172)&lt;=0,0,IF($R172&lt;='設定'!$B$18,ROUNDDOWN(ROUND($R172*'設定'!$B$17,6),0),ROUNDDOWN(ROUND(($R172-'設定'!$B$18)*'設定'!$B$19,6),0)+'設定'!$B$20)))</f>
        <v/>
      </c>
      <c r="T172" s="26">
        <f>IF($B172="","",IF($X172="",0,IF(INDEX('支払先'!$K$5:$K$104,$X172)="差し引く",N(INDEX('支払先'!$L$5:$L$104,$X172)),0)))</f>
        <v/>
      </c>
      <c r="U172" s="26">
        <f>IF($B172="","",$Q172-$S172-$T172)</f>
        <v/>
      </c>
      <c r="V172" s="22">
        <f>IF($B172="","",MID(IF($C172="","／支払先コードが空",IF($X172="","／支払先にないコード",""))&amp;IF($K172=0,"／明細がない","")&amp;IF($AC172&gt;0,"／税率が空の明細 "&amp;$AC172&amp;"件（合計に入っていない）","")&amp;IF($X172="","",IF(INDEX('支払先'!$G$5:$G$104,$X172)="","／登録番号なし（仕入明細書にならない）",""))&amp;IF($AB172&gt;0,"／60日（2か月）を超える明細 "&amp;$AB172&amp;"件","")&amp;IF($X172="","",IF(AND(INDEX('支払先'!$K$5:$K$104,$X172)="差し引く",OR(INDEX('支払先'!$M$5:$M$104,$X172)&lt;&gt;"対象外",INDEX('支払先'!$N$5:$N$104,$X172)&lt;&gt;"対象外")),"／手数料を差し引けない取引か確かめる",""))&amp;IF(COUNTIF($B$5:$B$204,$B172)&gt;1,"／通知Noが重複","")&amp;IF(AND(ISNUMBER($D172),ISNUMBER($F172),$F172&lt;$D172),"／支払予定日が発行日より前",""),2,300))</f>
        <v/>
      </c>
      <c r="W172" s="67" t="n"/>
      <c r="X172" s="31">
        <f>IF(OR($B172="",$C172=""),"",IFERROR(MATCH($C172,'支払先'!$B$5:$B$104,0),""))</f>
        <v/>
      </c>
      <c r="Y172" s="31">
        <f>IF($B172="","",SUMIFS('支払明細'!$I$5:$I$1004,'支払明細'!$A$5:$A$1004,$B172,'支払明細'!$G$5:$G$1004,"10%（標準）",'支払明細'!$H$5:$H$1004,"&lt;&gt;対象外"))</f>
        <v/>
      </c>
      <c r="Z172" s="31">
        <f>IF($B172="","",SUMIFS('支払明細'!$I$5:$I$1004,'支払明細'!$A$5:$A$1004,$B172,'支払明細'!$G$5:$G$1004,"8%（軽減）",'支払明細'!$H$5:$H$1004,"&lt;&gt;対象外"))</f>
        <v/>
      </c>
      <c r="AA172" s="31">
        <f>IF($B172="","",SUMIFS('支払明細'!$I$5:$I$1004,'支払明細'!$A$5:$A$1004,$B172,'支払明細'!$G$5:$G$1004,"対象外",'支払明細'!$H$5:$H$1004,"&lt;&gt;対象外"))</f>
        <v/>
      </c>
      <c r="AB172" s="31">
        <f>IF($B172="","",COUNTIFS('支払明細'!$A$5:$A$1004,$B172,'支払明細'!$M$5:$M$1004,"超える"))</f>
        <v/>
      </c>
      <c r="AC172" s="31">
        <f>IF($B172="","",COUNTIFS('支払明細'!$A$5:$A$1004,$B172,'支払明細'!$G$5:$G$1004,""))</f>
        <v/>
      </c>
    </row>
    <row r="173" ht="18" customHeight="1">
      <c r="A173" s="17" t="n">
        <v>169</v>
      </c>
      <c r="B173" s="18" t="n"/>
      <c r="C173" s="18" t="n"/>
      <c r="D173" s="24" t="n"/>
      <c r="E173" s="19" t="n"/>
      <c r="F173" s="24" t="n"/>
      <c r="G173" s="28">
        <f>IF(AND($B173&lt;&gt;"",ISNUMBER($D173)),$D173+N('設定'!$B$13),"")</f>
        <v/>
      </c>
      <c r="H173" s="18" t="n"/>
      <c r="I173" s="19" t="n"/>
      <c r="J173" s="27">
        <f>IF($B173="","",IF($C173="","（支払先コードが空）",IF($X173="","※支払先にないコード",INDEX('支払先'!$C$5:$C$104,$X173)&amp;"")))</f>
        <v/>
      </c>
      <c r="K173" s="30">
        <f>IF($B173="","",COUNTIF('支払明細'!$A$5:$A$1004,$B173))</f>
        <v/>
      </c>
      <c r="L173" s="26">
        <f>IF($B173="","",SUMIFS('支払明細'!$I$5:$I$1004,'支払明細'!$A$5:$A$1004,$B173,'支払明細'!$G$5:$G$1004,"10%（標準）"))</f>
        <v/>
      </c>
      <c r="M173" s="26">
        <f>IF($B173="","",SUMIFS('支払明細'!$I$5:$I$1004,'支払明細'!$A$5:$A$1004,$B173,'支払明細'!$G$5:$G$1004,"8%（軽減）"))</f>
        <v/>
      </c>
      <c r="N173" s="26">
        <f>IF($B173="","",SUMIFS('支払明細'!$I$5:$I$1004,'支払明細'!$A$5:$A$1004,$B173,'支払明細'!$G$5:$G$1004,"対象外"))</f>
        <v/>
      </c>
      <c r="O173" s="26">
        <f>IF($B173="","",IF('設定'!$B$11="税込",IF('設定'!$B$12="切り捨て",ROUNDDOWN(ROUND($L173*10/110,6),0),IF('設定'!$B$12="切り上げ",ROUNDUP(ROUND($L173*10/110,6),0),ROUND($L173*10/110,0))),IF('設定'!$B$12="切り捨て",ROUNDDOWN(ROUND($L173*10/100,6),0),IF('設定'!$B$12="切り上げ",ROUNDUP(ROUND($L173*10/100,6),0),ROUND($L173*10/100,0)))))</f>
        <v/>
      </c>
      <c r="P173" s="26">
        <f>IF($B173="","",IF('設定'!$B$11="税込",IF('設定'!$B$12="切り捨て",ROUNDDOWN(ROUND($M173*8/108,6),0),IF('設定'!$B$12="切り上げ",ROUNDUP(ROUND($M173*8/108,6),0),ROUND($M173*8/108,0))),IF('設定'!$B$12="切り捨て",ROUNDDOWN(ROUND($M173*8/100,6),0),IF('設定'!$B$12="切り上げ",ROUNDUP(ROUND($M173*8/100,6),0),ROUND($M173*8/100,0)))))</f>
        <v/>
      </c>
      <c r="Q173" s="26">
        <f>IF($B173="","",IF('設定'!$B$11="税込",$L173+$M173+$N173,$L173+$O173+$M173+$P173+$N173))</f>
        <v/>
      </c>
      <c r="R173" s="26">
        <f>IF($B173="","",IF($X173="",0,IF(INDEX('支払先'!$I$5:$I$104,$X173)&lt;&gt;"する",0,IF(INDEX('支払先'!$J$5:$J$104,$X173)="税抜",IF('設定'!$B$11="税込",($Y173-IF('設定'!$B$12="切り捨て",ROUNDDOWN(ROUND($Y173*10/110,6),0),IF('設定'!$B$12="切り上げ",ROUNDUP(ROUND($Y173*10/110,6),0),ROUND($Y173*10/110,0)))+$Z173-IF('設定'!$B$12="切り捨て",ROUNDDOWN(ROUND($Z173*8/108,6),0),IF('設定'!$B$12="切り上げ",ROUNDUP(ROUND($Z173*8/108,6),0),ROUND($Z173*8/108,0)))+$AA173),$Y173+$Z173+$AA173),IF('設定'!$B$11="税込",$Y173+$Z173+$AA173,($Y173+IF('設定'!$B$12="切り捨て",ROUNDDOWN(ROUND($Y173*10/100,6),0),IF('設定'!$B$12="切り上げ",ROUNDUP(ROUND($Y173*10/100,6),0),ROUND($Y173*10/100,0)))+$Z173+IF('設定'!$B$12="切り捨て",ROUNDDOWN(ROUND($Z173*8/100,6),0),IF('設定'!$B$12="切り上げ",ROUNDUP(ROUND($Z173*8/100,6),0),ROUND($Z173*8/100,0)))+$AA173))))))</f>
        <v/>
      </c>
      <c r="S173" s="26">
        <f>IF($B173="","",IF(N($R173)&lt;=0,0,IF($R173&lt;='設定'!$B$18,ROUNDDOWN(ROUND($R173*'設定'!$B$17,6),0),ROUNDDOWN(ROUND(($R173-'設定'!$B$18)*'設定'!$B$19,6),0)+'設定'!$B$20)))</f>
        <v/>
      </c>
      <c r="T173" s="26">
        <f>IF($B173="","",IF($X173="",0,IF(INDEX('支払先'!$K$5:$K$104,$X173)="差し引く",N(INDEX('支払先'!$L$5:$L$104,$X173)),0)))</f>
        <v/>
      </c>
      <c r="U173" s="26">
        <f>IF($B173="","",$Q173-$S173-$T173)</f>
        <v/>
      </c>
      <c r="V173" s="22">
        <f>IF($B173="","",MID(IF($C173="","／支払先コードが空",IF($X173="","／支払先にないコード",""))&amp;IF($K173=0,"／明細がない","")&amp;IF($AC173&gt;0,"／税率が空の明細 "&amp;$AC173&amp;"件（合計に入っていない）","")&amp;IF($X173="","",IF(INDEX('支払先'!$G$5:$G$104,$X173)="","／登録番号なし（仕入明細書にならない）",""))&amp;IF($AB173&gt;0,"／60日（2か月）を超える明細 "&amp;$AB173&amp;"件","")&amp;IF($X173="","",IF(AND(INDEX('支払先'!$K$5:$K$104,$X173)="差し引く",OR(INDEX('支払先'!$M$5:$M$104,$X173)&lt;&gt;"対象外",INDEX('支払先'!$N$5:$N$104,$X173)&lt;&gt;"対象外")),"／手数料を差し引けない取引か確かめる",""))&amp;IF(COUNTIF($B$5:$B$204,$B173)&gt;1,"／通知Noが重複","")&amp;IF(AND(ISNUMBER($D173),ISNUMBER($F173),$F173&lt;$D173),"／支払予定日が発行日より前",""),2,300))</f>
        <v/>
      </c>
      <c r="W173" s="67" t="n"/>
      <c r="X173" s="31">
        <f>IF(OR($B173="",$C173=""),"",IFERROR(MATCH($C173,'支払先'!$B$5:$B$104,0),""))</f>
        <v/>
      </c>
      <c r="Y173" s="31">
        <f>IF($B173="","",SUMIFS('支払明細'!$I$5:$I$1004,'支払明細'!$A$5:$A$1004,$B173,'支払明細'!$G$5:$G$1004,"10%（標準）",'支払明細'!$H$5:$H$1004,"&lt;&gt;対象外"))</f>
        <v/>
      </c>
      <c r="Z173" s="31">
        <f>IF($B173="","",SUMIFS('支払明細'!$I$5:$I$1004,'支払明細'!$A$5:$A$1004,$B173,'支払明細'!$G$5:$G$1004,"8%（軽減）",'支払明細'!$H$5:$H$1004,"&lt;&gt;対象外"))</f>
        <v/>
      </c>
      <c r="AA173" s="31">
        <f>IF($B173="","",SUMIFS('支払明細'!$I$5:$I$1004,'支払明細'!$A$5:$A$1004,$B173,'支払明細'!$G$5:$G$1004,"対象外",'支払明細'!$H$5:$H$1004,"&lt;&gt;対象外"))</f>
        <v/>
      </c>
      <c r="AB173" s="31">
        <f>IF($B173="","",COUNTIFS('支払明細'!$A$5:$A$1004,$B173,'支払明細'!$M$5:$M$1004,"超える"))</f>
        <v/>
      </c>
      <c r="AC173" s="31">
        <f>IF($B173="","",COUNTIFS('支払明細'!$A$5:$A$1004,$B173,'支払明細'!$G$5:$G$1004,""))</f>
        <v/>
      </c>
    </row>
    <row r="174" ht="18" customHeight="1">
      <c r="A174" s="17" t="n">
        <v>170</v>
      </c>
      <c r="B174" s="18" t="n"/>
      <c r="C174" s="18" t="n"/>
      <c r="D174" s="24" t="n"/>
      <c r="E174" s="19" t="n"/>
      <c r="F174" s="24" t="n"/>
      <c r="G174" s="28">
        <f>IF(AND($B174&lt;&gt;"",ISNUMBER($D174)),$D174+N('設定'!$B$13),"")</f>
        <v/>
      </c>
      <c r="H174" s="18" t="n"/>
      <c r="I174" s="19" t="n"/>
      <c r="J174" s="27">
        <f>IF($B174="","",IF($C174="","（支払先コードが空）",IF($X174="","※支払先にないコード",INDEX('支払先'!$C$5:$C$104,$X174)&amp;"")))</f>
        <v/>
      </c>
      <c r="K174" s="30">
        <f>IF($B174="","",COUNTIF('支払明細'!$A$5:$A$1004,$B174))</f>
        <v/>
      </c>
      <c r="L174" s="26">
        <f>IF($B174="","",SUMIFS('支払明細'!$I$5:$I$1004,'支払明細'!$A$5:$A$1004,$B174,'支払明細'!$G$5:$G$1004,"10%（標準）"))</f>
        <v/>
      </c>
      <c r="M174" s="26">
        <f>IF($B174="","",SUMIFS('支払明細'!$I$5:$I$1004,'支払明細'!$A$5:$A$1004,$B174,'支払明細'!$G$5:$G$1004,"8%（軽減）"))</f>
        <v/>
      </c>
      <c r="N174" s="26">
        <f>IF($B174="","",SUMIFS('支払明細'!$I$5:$I$1004,'支払明細'!$A$5:$A$1004,$B174,'支払明細'!$G$5:$G$1004,"対象外"))</f>
        <v/>
      </c>
      <c r="O174" s="26">
        <f>IF($B174="","",IF('設定'!$B$11="税込",IF('設定'!$B$12="切り捨て",ROUNDDOWN(ROUND($L174*10/110,6),0),IF('設定'!$B$12="切り上げ",ROUNDUP(ROUND($L174*10/110,6),0),ROUND($L174*10/110,0))),IF('設定'!$B$12="切り捨て",ROUNDDOWN(ROUND($L174*10/100,6),0),IF('設定'!$B$12="切り上げ",ROUNDUP(ROUND($L174*10/100,6),0),ROUND($L174*10/100,0)))))</f>
        <v/>
      </c>
      <c r="P174" s="26">
        <f>IF($B174="","",IF('設定'!$B$11="税込",IF('設定'!$B$12="切り捨て",ROUNDDOWN(ROUND($M174*8/108,6),0),IF('設定'!$B$12="切り上げ",ROUNDUP(ROUND($M174*8/108,6),0),ROUND($M174*8/108,0))),IF('設定'!$B$12="切り捨て",ROUNDDOWN(ROUND($M174*8/100,6),0),IF('設定'!$B$12="切り上げ",ROUNDUP(ROUND($M174*8/100,6),0),ROUND($M174*8/100,0)))))</f>
        <v/>
      </c>
      <c r="Q174" s="26">
        <f>IF($B174="","",IF('設定'!$B$11="税込",$L174+$M174+$N174,$L174+$O174+$M174+$P174+$N174))</f>
        <v/>
      </c>
      <c r="R174" s="26">
        <f>IF($B174="","",IF($X174="",0,IF(INDEX('支払先'!$I$5:$I$104,$X174)&lt;&gt;"する",0,IF(INDEX('支払先'!$J$5:$J$104,$X174)="税抜",IF('設定'!$B$11="税込",($Y174-IF('設定'!$B$12="切り捨て",ROUNDDOWN(ROUND($Y174*10/110,6),0),IF('設定'!$B$12="切り上げ",ROUNDUP(ROUND($Y174*10/110,6),0),ROUND($Y174*10/110,0)))+$Z174-IF('設定'!$B$12="切り捨て",ROUNDDOWN(ROUND($Z174*8/108,6),0),IF('設定'!$B$12="切り上げ",ROUNDUP(ROUND($Z174*8/108,6),0),ROUND($Z174*8/108,0)))+$AA174),$Y174+$Z174+$AA174),IF('設定'!$B$11="税込",$Y174+$Z174+$AA174,($Y174+IF('設定'!$B$12="切り捨て",ROUNDDOWN(ROUND($Y174*10/100,6),0),IF('設定'!$B$12="切り上げ",ROUNDUP(ROUND($Y174*10/100,6),0),ROUND($Y174*10/100,0)))+$Z174+IF('設定'!$B$12="切り捨て",ROUNDDOWN(ROUND($Z174*8/100,6),0),IF('設定'!$B$12="切り上げ",ROUNDUP(ROUND($Z174*8/100,6),0),ROUND($Z174*8/100,0)))+$AA174))))))</f>
        <v/>
      </c>
      <c r="S174" s="26">
        <f>IF($B174="","",IF(N($R174)&lt;=0,0,IF($R174&lt;='設定'!$B$18,ROUNDDOWN(ROUND($R174*'設定'!$B$17,6),0),ROUNDDOWN(ROUND(($R174-'設定'!$B$18)*'設定'!$B$19,6),0)+'設定'!$B$20)))</f>
        <v/>
      </c>
      <c r="T174" s="26">
        <f>IF($B174="","",IF($X174="",0,IF(INDEX('支払先'!$K$5:$K$104,$X174)="差し引く",N(INDEX('支払先'!$L$5:$L$104,$X174)),0)))</f>
        <v/>
      </c>
      <c r="U174" s="26">
        <f>IF($B174="","",$Q174-$S174-$T174)</f>
        <v/>
      </c>
      <c r="V174" s="22">
        <f>IF($B174="","",MID(IF($C174="","／支払先コードが空",IF($X174="","／支払先にないコード",""))&amp;IF($K174=0,"／明細がない","")&amp;IF($AC174&gt;0,"／税率が空の明細 "&amp;$AC174&amp;"件（合計に入っていない）","")&amp;IF($X174="","",IF(INDEX('支払先'!$G$5:$G$104,$X174)="","／登録番号なし（仕入明細書にならない）",""))&amp;IF($AB174&gt;0,"／60日（2か月）を超える明細 "&amp;$AB174&amp;"件","")&amp;IF($X174="","",IF(AND(INDEX('支払先'!$K$5:$K$104,$X174)="差し引く",OR(INDEX('支払先'!$M$5:$M$104,$X174)&lt;&gt;"対象外",INDEX('支払先'!$N$5:$N$104,$X174)&lt;&gt;"対象外")),"／手数料を差し引けない取引か確かめる",""))&amp;IF(COUNTIF($B$5:$B$204,$B174)&gt;1,"／通知Noが重複","")&amp;IF(AND(ISNUMBER($D174),ISNUMBER($F174),$F174&lt;$D174),"／支払予定日が発行日より前",""),2,300))</f>
        <v/>
      </c>
      <c r="W174" s="67" t="n"/>
      <c r="X174" s="31">
        <f>IF(OR($B174="",$C174=""),"",IFERROR(MATCH($C174,'支払先'!$B$5:$B$104,0),""))</f>
        <v/>
      </c>
      <c r="Y174" s="31">
        <f>IF($B174="","",SUMIFS('支払明細'!$I$5:$I$1004,'支払明細'!$A$5:$A$1004,$B174,'支払明細'!$G$5:$G$1004,"10%（標準）",'支払明細'!$H$5:$H$1004,"&lt;&gt;対象外"))</f>
        <v/>
      </c>
      <c r="Z174" s="31">
        <f>IF($B174="","",SUMIFS('支払明細'!$I$5:$I$1004,'支払明細'!$A$5:$A$1004,$B174,'支払明細'!$G$5:$G$1004,"8%（軽減）",'支払明細'!$H$5:$H$1004,"&lt;&gt;対象外"))</f>
        <v/>
      </c>
      <c r="AA174" s="31">
        <f>IF($B174="","",SUMIFS('支払明細'!$I$5:$I$1004,'支払明細'!$A$5:$A$1004,$B174,'支払明細'!$G$5:$G$1004,"対象外",'支払明細'!$H$5:$H$1004,"&lt;&gt;対象外"))</f>
        <v/>
      </c>
      <c r="AB174" s="31">
        <f>IF($B174="","",COUNTIFS('支払明細'!$A$5:$A$1004,$B174,'支払明細'!$M$5:$M$1004,"超える"))</f>
        <v/>
      </c>
      <c r="AC174" s="31">
        <f>IF($B174="","",COUNTIFS('支払明細'!$A$5:$A$1004,$B174,'支払明細'!$G$5:$G$1004,""))</f>
        <v/>
      </c>
    </row>
    <row r="175" ht="18" customHeight="1">
      <c r="A175" s="17" t="n">
        <v>171</v>
      </c>
      <c r="B175" s="18" t="n"/>
      <c r="C175" s="18" t="n"/>
      <c r="D175" s="24" t="n"/>
      <c r="E175" s="19" t="n"/>
      <c r="F175" s="24" t="n"/>
      <c r="G175" s="28">
        <f>IF(AND($B175&lt;&gt;"",ISNUMBER($D175)),$D175+N('設定'!$B$13),"")</f>
        <v/>
      </c>
      <c r="H175" s="18" t="n"/>
      <c r="I175" s="19" t="n"/>
      <c r="J175" s="27">
        <f>IF($B175="","",IF($C175="","（支払先コードが空）",IF($X175="","※支払先にないコード",INDEX('支払先'!$C$5:$C$104,$X175)&amp;"")))</f>
        <v/>
      </c>
      <c r="K175" s="30">
        <f>IF($B175="","",COUNTIF('支払明細'!$A$5:$A$1004,$B175))</f>
        <v/>
      </c>
      <c r="L175" s="26">
        <f>IF($B175="","",SUMIFS('支払明細'!$I$5:$I$1004,'支払明細'!$A$5:$A$1004,$B175,'支払明細'!$G$5:$G$1004,"10%（標準）"))</f>
        <v/>
      </c>
      <c r="M175" s="26">
        <f>IF($B175="","",SUMIFS('支払明細'!$I$5:$I$1004,'支払明細'!$A$5:$A$1004,$B175,'支払明細'!$G$5:$G$1004,"8%（軽減）"))</f>
        <v/>
      </c>
      <c r="N175" s="26">
        <f>IF($B175="","",SUMIFS('支払明細'!$I$5:$I$1004,'支払明細'!$A$5:$A$1004,$B175,'支払明細'!$G$5:$G$1004,"対象外"))</f>
        <v/>
      </c>
      <c r="O175" s="26">
        <f>IF($B175="","",IF('設定'!$B$11="税込",IF('設定'!$B$12="切り捨て",ROUNDDOWN(ROUND($L175*10/110,6),0),IF('設定'!$B$12="切り上げ",ROUNDUP(ROUND($L175*10/110,6),0),ROUND($L175*10/110,0))),IF('設定'!$B$12="切り捨て",ROUNDDOWN(ROUND($L175*10/100,6),0),IF('設定'!$B$12="切り上げ",ROUNDUP(ROUND($L175*10/100,6),0),ROUND($L175*10/100,0)))))</f>
        <v/>
      </c>
      <c r="P175" s="26">
        <f>IF($B175="","",IF('設定'!$B$11="税込",IF('設定'!$B$12="切り捨て",ROUNDDOWN(ROUND($M175*8/108,6),0),IF('設定'!$B$12="切り上げ",ROUNDUP(ROUND($M175*8/108,6),0),ROUND($M175*8/108,0))),IF('設定'!$B$12="切り捨て",ROUNDDOWN(ROUND($M175*8/100,6),0),IF('設定'!$B$12="切り上げ",ROUNDUP(ROUND($M175*8/100,6),0),ROUND($M175*8/100,0)))))</f>
        <v/>
      </c>
      <c r="Q175" s="26">
        <f>IF($B175="","",IF('設定'!$B$11="税込",$L175+$M175+$N175,$L175+$O175+$M175+$P175+$N175))</f>
        <v/>
      </c>
      <c r="R175" s="26">
        <f>IF($B175="","",IF($X175="",0,IF(INDEX('支払先'!$I$5:$I$104,$X175)&lt;&gt;"する",0,IF(INDEX('支払先'!$J$5:$J$104,$X175)="税抜",IF('設定'!$B$11="税込",($Y175-IF('設定'!$B$12="切り捨て",ROUNDDOWN(ROUND($Y175*10/110,6),0),IF('設定'!$B$12="切り上げ",ROUNDUP(ROUND($Y175*10/110,6),0),ROUND($Y175*10/110,0)))+$Z175-IF('設定'!$B$12="切り捨て",ROUNDDOWN(ROUND($Z175*8/108,6),0),IF('設定'!$B$12="切り上げ",ROUNDUP(ROUND($Z175*8/108,6),0),ROUND($Z175*8/108,0)))+$AA175),$Y175+$Z175+$AA175),IF('設定'!$B$11="税込",$Y175+$Z175+$AA175,($Y175+IF('設定'!$B$12="切り捨て",ROUNDDOWN(ROUND($Y175*10/100,6),0),IF('設定'!$B$12="切り上げ",ROUNDUP(ROUND($Y175*10/100,6),0),ROUND($Y175*10/100,0)))+$Z175+IF('設定'!$B$12="切り捨て",ROUNDDOWN(ROUND($Z175*8/100,6),0),IF('設定'!$B$12="切り上げ",ROUNDUP(ROUND($Z175*8/100,6),0),ROUND($Z175*8/100,0)))+$AA175))))))</f>
        <v/>
      </c>
      <c r="S175" s="26">
        <f>IF($B175="","",IF(N($R175)&lt;=0,0,IF($R175&lt;='設定'!$B$18,ROUNDDOWN(ROUND($R175*'設定'!$B$17,6),0),ROUNDDOWN(ROUND(($R175-'設定'!$B$18)*'設定'!$B$19,6),0)+'設定'!$B$20)))</f>
        <v/>
      </c>
      <c r="T175" s="26">
        <f>IF($B175="","",IF($X175="",0,IF(INDEX('支払先'!$K$5:$K$104,$X175)="差し引く",N(INDEX('支払先'!$L$5:$L$104,$X175)),0)))</f>
        <v/>
      </c>
      <c r="U175" s="26">
        <f>IF($B175="","",$Q175-$S175-$T175)</f>
        <v/>
      </c>
      <c r="V175" s="22">
        <f>IF($B175="","",MID(IF($C175="","／支払先コードが空",IF($X175="","／支払先にないコード",""))&amp;IF($K175=0,"／明細がない","")&amp;IF($AC175&gt;0,"／税率が空の明細 "&amp;$AC175&amp;"件（合計に入っていない）","")&amp;IF($X175="","",IF(INDEX('支払先'!$G$5:$G$104,$X175)="","／登録番号なし（仕入明細書にならない）",""))&amp;IF($AB175&gt;0,"／60日（2か月）を超える明細 "&amp;$AB175&amp;"件","")&amp;IF($X175="","",IF(AND(INDEX('支払先'!$K$5:$K$104,$X175)="差し引く",OR(INDEX('支払先'!$M$5:$M$104,$X175)&lt;&gt;"対象外",INDEX('支払先'!$N$5:$N$104,$X175)&lt;&gt;"対象外")),"／手数料を差し引けない取引か確かめる",""))&amp;IF(COUNTIF($B$5:$B$204,$B175)&gt;1,"／通知Noが重複","")&amp;IF(AND(ISNUMBER($D175),ISNUMBER($F175),$F175&lt;$D175),"／支払予定日が発行日より前",""),2,300))</f>
        <v/>
      </c>
      <c r="W175" s="67" t="n"/>
      <c r="X175" s="31">
        <f>IF(OR($B175="",$C175=""),"",IFERROR(MATCH($C175,'支払先'!$B$5:$B$104,0),""))</f>
        <v/>
      </c>
      <c r="Y175" s="31">
        <f>IF($B175="","",SUMIFS('支払明細'!$I$5:$I$1004,'支払明細'!$A$5:$A$1004,$B175,'支払明細'!$G$5:$G$1004,"10%（標準）",'支払明細'!$H$5:$H$1004,"&lt;&gt;対象外"))</f>
        <v/>
      </c>
      <c r="Z175" s="31">
        <f>IF($B175="","",SUMIFS('支払明細'!$I$5:$I$1004,'支払明細'!$A$5:$A$1004,$B175,'支払明細'!$G$5:$G$1004,"8%（軽減）",'支払明細'!$H$5:$H$1004,"&lt;&gt;対象外"))</f>
        <v/>
      </c>
      <c r="AA175" s="31">
        <f>IF($B175="","",SUMIFS('支払明細'!$I$5:$I$1004,'支払明細'!$A$5:$A$1004,$B175,'支払明細'!$G$5:$G$1004,"対象外",'支払明細'!$H$5:$H$1004,"&lt;&gt;対象外"))</f>
        <v/>
      </c>
      <c r="AB175" s="31">
        <f>IF($B175="","",COUNTIFS('支払明細'!$A$5:$A$1004,$B175,'支払明細'!$M$5:$M$1004,"超える"))</f>
        <v/>
      </c>
      <c r="AC175" s="31">
        <f>IF($B175="","",COUNTIFS('支払明細'!$A$5:$A$1004,$B175,'支払明細'!$G$5:$G$1004,""))</f>
        <v/>
      </c>
    </row>
    <row r="176" ht="18" customHeight="1">
      <c r="A176" s="17" t="n">
        <v>172</v>
      </c>
      <c r="B176" s="18" t="n"/>
      <c r="C176" s="18" t="n"/>
      <c r="D176" s="24" t="n"/>
      <c r="E176" s="19" t="n"/>
      <c r="F176" s="24" t="n"/>
      <c r="G176" s="28">
        <f>IF(AND($B176&lt;&gt;"",ISNUMBER($D176)),$D176+N('設定'!$B$13),"")</f>
        <v/>
      </c>
      <c r="H176" s="18" t="n"/>
      <c r="I176" s="19" t="n"/>
      <c r="J176" s="27">
        <f>IF($B176="","",IF($C176="","（支払先コードが空）",IF($X176="","※支払先にないコード",INDEX('支払先'!$C$5:$C$104,$X176)&amp;"")))</f>
        <v/>
      </c>
      <c r="K176" s="30">
        <f>IF($B176="","",COUNTIF('支払明細'!$A$5:$A$1004,$B176))</f>
        <v/>
      </c>
      <c r="L176" s="26">
        <f>IF($B176="","",SUMIFS('支払明細'!$I$5:$I$1004,'支払明細'!$A$5:$A$1004,$B176,'支払明細'!$G$5:$G$1004,"10%（標準）"))</f>
        <v/>
      </c>
      <c r="M176" s="26">
        <f>IF($B176="","",SUMIFS('支払明細'!$I$5:$I$1004,'支払明細'!$A$5:$A$1004,$B176,'支払明細'!$G$5:$G$1004,"8%（軽減）"))</f>
        <v/>
      </c>
      <c r="N176" s="26">
        <f>IF($B176="","",SUMIFS('支払明細'!$I$5:$I$1004,'支払明細'!$A$5:$A$1004,$B176,'支払明細'!$G$5:$G$1004,"対象外"))</f>
        <v/>
      </c>
      <c r="O176" s="26">
        <f>IF($B176="","",IF('設定'!$B$11="税込",IF('設定'!$B$12="切り捨て",ROUNDDOWN(ROUND($L176*10/110,6),0),IF('設定'!$B$12="切り上げ",ROUNDUP(ROUND($L176*10/110,6),0),ROUND($L176*10/110,0))),IF('設定'!$B$12="切り捨て",ROUNDDOWN(ROUND($L176*10/100,6),0),IF('設定'!$B$12="切り上げ",ROUNDUP(ROUND($L176*10/100,6),0),ROUND($L176*10/100,0)))))</f>
        <v/>
      </c>
      <c r="P176" s="26">
        <f>IF($B176="","",IF('設定'!$B$11="税込",IF('設定'!$B$12="切り捨て",ROUNDDOWN(ROUND($M176*8/108,6),0),IF('設定'!$B$12="切り上げ",ROUNDUP(ROUND($M176*8/108,6),0),ROUND($M176*8/108,0))),IF('設定'!$B$12="切り捨て",ROUNDDOWN(ROUND($M176*8/100,6),0),IF('設定'!$B$12="切り上げ",ROUNDUP(ROUND($M176*8/100,6),0),ROUND($M176*8/100,0)))))</f>
        <v/>
      </c>
      <c r="Q176" s="26">
        <f>IF($B176="","",IF('設定'!$B$11="税込",$L176+$M176+$N176,$L176+$O176+$M176+$P176+$N176))</f>
        <v/>
      </c>
      <c r="R176" s="26">
        <f>IF($B176="","",IF($X176="",0,IF(INDEX('支払先'!$I$5:$I$104,$X176)&lt;&gt;"する",0,IF(INDEX('支払先'!$J$5:$J$104,$X176)="税抜",IF('設定'!$B$11="税込",($Y176-IF('設定'!$B$12="切り捨て",ROUNDDOWN(ROUND($Y176*10/110,6),0),IF('設定'!$B$12="切り上げ",ROUNDUP(ROUND($Y176*10/110,6),0),ROUND($Y176*10/110,0)))+$Z176-IF('設定'!$B$12="切り捨て",ROUNDDOWN(ROUND($Z176*8/108,6),0),IF('設定'!$B$12="切り上げ",ROUNDUP(ROUND($Z176*8/108,6),0),ROUND($Z176*8/108,0)))+$AA176),$Y176+$Z176+$AA176),IF('設定'!$B$11="税込",$Y176+$Z176+$AA176,($Y176+IF('設定'!$B$12="切り捨て",ROUNDDOWN(ROUND($Y176*10/100,6),0),IF('設定'!$B$12="切り上げ",ROUNDUP(ROUND($Y176*10/100,6),0),ROUND($Y176*10/100,0)))+$Z176+IF('設定'!$B$12="切り捨て",ROUNDDOWN(ROUND($Z176*8/100,6),0),IF('設定'!$B$12="切り上げ",ROUNDUP(ROUND($Z176*8/100,6),0),ROUND($Z176*8/100,0)))+$AA176))))))</f>
        <v/>
      </c>
      <c r="S176" s="26">
        <f>IF($B176="","",IF(N($R176)&lt;=0,0,IF($R176&lt;='設定'!$B$18,ROUNDDOWN(ROUND($R176*'設定'!$B$17,6),0),ROUNDDOWN(ROUND(($R176-'設定'!$B$18)*'設定'!$B$19,6),0)+'設定'!$B$20)))</f>
        <v/>
      </c>
      <c r="T176" s="26">
        <f>IF($B176="","",IF($X176="",0,IF(INDEX('支払先'!$K$5:$K$104,$X176)="差し引く",N(INDEX('支払先'!$L$5:$L$104,$X176)),0)))</f>
        <v/>
      </c>
      <c r="U176" s="26">
        <f>IF($B176="","",$Q176-$S176-$T176)</f>
        <v/>
      </c>
      <c r="V176" s="22">
        <f>IF($B176="","",MID(IF($C176="","／支払先コードが空",IF($X176="","／支払先にないコード",""))&amp;IF($K176=0,"／明細がない","")&amp;IF($AC176&gt;0,"／税率が空の明細 "&amp;$AC176&amp;"件（合計に入っていない）","")&amp;IF($X176="","",IF(INDEX('支払先'!$G$5:$G$104,$X176)="","／登録番号なし（仕入明細書にならない）",""))&amp;IF($AB176&gt;0,"／60日（2か月）を超える明細 "&amp;$AB176&amp;"件","")&amp;IF($X176="","",IF(AND(INDEX('支払先'!$K$5:$K$104,$X176)="差し引く",OR(INDEX('支払先'!$M$5:$M$104,$X176)&lt;&gt;"対象外",INDEX('支払先'!$N$5:$N$104,$X176)&lt;&gt;"対象外")),"／手数料を差し引けない取引か確かめる",""))&amp;IF(COUNTIF($B$5:$B$204,$B176)&gt;1,"／通知Noが重複","")&amp;IF(AND(ISNUMBER($D176),ISNUMBER($F176),$F176&lt;$D176),"／支払予定日が発行日より前",""),2,300))</f>
        <v/>
      </c>
      <c r="W176" s="67" t="n"/>
      <c r="X176" s="31">
        <f>IF(OR($B176="",$C176=""),"",IFERROR(MATCH($C176,'支払先'!$B$5:$B$104,0),""))</f>
        <v/>
      </c>
      <c r="Y176" s="31">
        <f>IF($B176="","",SUMIFS('支払明細'!$I$5:$I$1004,'支払明細'!$A$5:$A$1004,$B176,'支払明細'!$G$5:$G$1004,"10%（標準）",'支払明細'!$H$5:$H$1004,"&lt;&gt;対象外"))</f>
        <v/>
      </c>
      <c r="Z176" s="31">
        <f>IF($B176="","",SUMIFS('支払明細'!$I$5:$I$1004,'支払明細'!$A$5:$A$1004,$B176,'支払明細'!$G$5:$G$1004,"8%（軽減）",'支払明細'!$H$5:$H$1004,"&lt;&gt;対象外"))</f>
        <v/>
      </c>
      <c r="AA176" s="31">
        <f>IF($B176="","",SUMIFS('支払明細'!$I$5:$I$1004,'支払明細'!$A$5:$A$1004,$B176,'支払明細'!$G$5:$G$1004,"対象外",'支払明細'!$H$5:$H$1004,"&lt;&gt;対象外"))</f>
        <v/>
      </c>
      <c r="AB176" s="31">
        <f>IF($B176="","",COUNTIFS('支払明細'!$A$5:$A$1004,$B176,'支払明細'!$M$5:$M$1004,"超える"))</f>
        <v/>
      </c>
      <c r="AC176" s="31">
        <f>IF($B176="","",COUNTIFS('支払明細'!$A$5:$A$1004,$B176,'支払明細'!$G$5:$G$1004,""))</f>
        <v/>
      </c>
    </row>
    <row r="177" ht="18" customHeight="1">
      <c r="A177" s="17" t="n">
        <v>173</v>
      </c>
      <c r="B177" s="18" t="n"/>
      <c r="C177" s="18" t="n"/>
      <c r="D177" s="24" t="n"/>
      <c r="E177" s="19" t="n"/>
      <c r="F177" s="24" t="n"/>
      <c r="G177" s="28">
        <f>IF(AND($B177&lt;&gt;"",ISNUMBER($D177)),$D177+N('設定'!$B$13),"")</f>
        <v/>
      </c>
      <c r="H177" s="18" t="n"/>
      <c r="I177" s="19" t="n"/>
      <c r="J177" s="27">
        <f>IF($B177="","",IF($C177="","（支払先コードが空）",IF($X177="","※支払先にないコード",INDEX('支払先'!$C$5:$C$104,$X177)&amp;"")))</f>
        <v/>
      </c>
      <c r="K177" s="30">
        <f>IF($B177="","",COUNTIF('支払明細'!$A$5:$A$1004,$B177))</f>
        <v/>
      </c>
      <c r="L177" s="26">
        <f>IF($B177="","",SUMIFS('支払明細'!$I$5:$I$1004,'支払明細'!$A$5:$A$1004,$B177,'支払明細'!$G$5:$G$1004,"10%（標準）"))</f>
        <v/>
      </c>
      <c r="M177" s="26">
        <f>IF($B177="","",SUMIFS('支払明細'!$I$5:$I$1004,'支払明細'!$A$5:$A$1004,$B177,'支払明細'!$G$5:$G$1004,"8%（軽減）"))</f>
        <v/>
      </c>
      <c r="N177" s="26">
        <f>IF($B177="","",SUMIFS('支払明細'!$I$5:$I$1004,'支払明細'!$A$5:$A$1004,$B177,'支払明細'!$G$5:$G$1004,"対象外"))</f>
        <v/>
      </c>
      <c r="O177" s="26">
        <f>IF($B177="","",IF('設定'!$B$11="税込",IF('設定'!$B$12="切り捨て",ROUNDDOWN(ROUND($L177*10/110,6),0),IF('設定'!$B$12="切り上げ",ROUNDUP(ROUND($L177*10/110,6),0),ROUND($L177*10/110,0))),IF('設定'!$B$12="切り捨て",ROUNDDOWN(ROUND($L177*10/100,6),0),IF('設定'!$B$12="切り上げ",ROUNDUP(ROUND($L177*10/100,6),0),ROUND($L177*10/100,0)))))</f>
        <v/>
      </c>
      <c r="P177" s="26">
        <f>IF($B177="","",IF('設定'!$B$11="税込",IF('設定'!$B$12="切り捨て",ROUNDDOWN(ROUND($M177*8/108,6),0),IF('設定'!$B$12="切り上げ",ROUNDUP(ROUND($M177*8/108,6),0),ROUND($M177*8/108,0))),IF('設定'!$B$12="切り捨て",ROUNDDOWN(ROUND($M177*8/100,6),0),IF('設定'!$B$12="切り上げ",ROUNDUP(ROUND($M177*8/100,6),0),ROUND($M177*8/100,0)))))</f>
        <v/>
      </c>
      <c r="Q177" s="26">
        <f>IF($B177="","",IF('設定'!$B$11="税込",$L177+$M177+$N177,$L177+$O177+$M177+$P177+$N177))</f>
        <v/>
      </c>
      <c r="R177" s="26">
        <f>IF($B177="","",IF($X177="",0,IF(INDEX('支払先'!$I$5:$I$104,$X177)&lt;&gt;"する",0,IF(INDEX('支払先'!$J$5:$J$104,$X177)="税抜",IF('設定'!$B$11="税込",($Y177-IF('設定'!$B$12="切り捨て",ROUNDDOWN(ROUND($Y177*10/110,6),0),IF('設定'!$B$12="切り上げ",ROUNDUP(ROUND($Y177*10/110,6),0),ROUND($Y177*10/110,0)))+$Z177-IF('設定'!$B$12="切り捨て",ROUNDDOWN(ROUND($Z177*8/108,6),0),IF('設定'!$B$12="切り上げ",ROUNDUP(ROUND($Z177*8/108,6),0),ROUND($Z177*8/108,0)))+$AA177),$Y177+$Z177+$AA177),IF('設定'!$B$11="税込",$Y177+$Z177+$AA177,($Y177+IF('設定'!$B$12="切り捨て",ROUNDDOWN(ROUND($Y177*10/100,6),0),IF('設定'!$B$12="切り上げ",ROUNDUP(ROUND($Y177*10/100,6),0),ROUND($Y177*10/100,0)))+$Z177+IF('設定'!$B$12="切り捨て",ROUNDDOWN(ROUND($Z177*8/100,6),0),IF('設定'!$B$12="切り上げ",ROUNDUP(ROUND($Z177*8/100,6),0),ROUND($Z177*8/100,0)))+$AA177))))))</f>
        <v/>
      </c>
      <c r="S177" s="26">
        <f>IF($B177="","",IF(N($R177)&lt;=0,0,IF($R177&lt;='設定'!$B$18,ROUNDDOWN(ROUND($R177*'設定'!$B$17,6),0),ROUNDDOWN(ROUND(($R177-'設定'!$B$18)*'設定'!$B$19,6),0)+'設定'!$B$20)))</f>
        <v/>
      </c>
      <c r="T177" s="26">
        <f>IF($B177="","",IF($X177="",0,IF(INDEX('支払先'!$K$5:$K$104,$X177)="差し引く",N(INDEX('支払先'!$L$5:$L$104,$X177)),0)))</f>
        <v/>
      </c>
      <c r="U177" s="26">
        <f>IF($B177="","",$Q177-$S177-$T177)</f>
        <v/>
      </c>
      <c r="V177" s="22">
        <f>IF($B177="","",MID(IF($C177="","／支払先コードが空",IF($X177="","／支払先にないコード",""))&amp;IF($K177=0,"／明細がない","")&amp;IF($AC177&gt;0,"／税率が空の明細 "&amp;$AC177&amp;"件（合計に入っていない）","")&amp;IF($X177="","",IF(INDEX('支払先'!$G$5:$G$104,$X177)="","／登録番号なし（仕入明細書にならない）",""))&amp;IF($AB177&gt;0,"／60日（2か月）を超える明細 "&amp;$AB177&amp;"件","")&amp;IF($X177="","",IF(AND(INDEX('支払先'!$K$5:$K$104,$X177)="差し引く",OR(INDEX('支払先'!$M$5:$M$104,$X177)&lt;&gt;"対象外",INDEX('支払先'!$N$5:$N$104,$X177)&lt;&gt;"対象外")),"／手数料を差し引けない取引か確かめる",""))&amp;IF(COUNTIF($B$5:$B$204,$B177)&gt;1,"／通知Noが重複","")&amp;IF(AND(ISNUMBER($D177),ISNUMBER($F177),$F177&lt;$D177),"／支払予定日が発行日より前",""),2,300))</f>
        <v/>
      </c>
      <c r="W177" s="67" t="n"/>
      <c r="X177" s="31">
        <f>IF(OR($B177="",$C177=""),"",IFERROR(MATCH($C177,'支払先'!$B$5:$B$104,0),""))</f>
        <v/>
      </c>
      <c r="Y177" s="31">
        <f>IF($B177="","",SUMIFS('支払明細'!$I$5:$I$1004,'支払明細'!$A$5:$A$1004,$B177,'支払明細'!$G$5:$G$1004,"10%（標準）",'支払明細'!$H$5:$H$1004,"&lt;&gt;対象外"))</f>
        <v/>
      </c>
      <c r="Z177" s="31">
        <f>IF($B177="","",SUMIFS('支払明細'!$I$5:$I$1004,'支払明細'!$A$5:$A$1004,$B177,'支払明細'!$G$5:$G$1004,"8%（軽減）",'支払明細'!$H$5:$H$1004,"&lt;&gt;対象外"))</f>
        <v/>
      </c>
      <c r="AA177" s="31">
        <f>IF($B177="","",SUMIFS('支払明細'!$I$5:$I$1004,'支払明細'!$A$5:$A$1004,$B177,'支払明細'!$G$5:$G$1004,"対象外",'支払明細'!$H$5:$H$1004,"&lt;&gt;対象外"))</f>
        <v/>
      </c>
      <c r="AB177" s="31">
        <f>IF($B177="","",COUNTIFS('支払明細'!$A$5:$A$1004,$B177,'支払明細'!$M$5:$M$1004,"超える"))</f>
        <v/>
      </c>
      <c r="AC177" s="31">
        <f>IF($B177="","",COUNTIFS('支払明細'!$A$5:$A$1004,$B177,'支払明細'!$G$5:$G$1004,""))</f>
        <v/>
      </c>
    </row>
    <row r="178" ht="18" customHeight="1">
      <c r="A178" s="17" t="n">
        <v>174</v>
      </c>
      <c r="B178" s="18" t="n"/>
      <c r="C178" s="18" t="n"/>
      <c r="D178" s="24" t="n"/>
      <c r="E178" s="19" t="n"/>
      <c r="F178" s="24" t="n"/>
      <c r="G178" s="28">
        <f>IF(AND($B178&lt;&gt;"",ISNUMBER($D178)),$D178+N('設定'!$B$13),"")</f>
        <v/>
      </c>
      <c r="H178" s="18" t="n"/>
      <c r="I178" s="19" t="n"/>
      <c r="J178" s="27">
        <f>IF($B178="","",IF($C178="","（支払先コードが空）",IF($X178="","※支払先にないコード",INDEX('支払先'!$C$5:$C$104,$X178)&amp;"")))</f>
        <v/>
      </c>
      <c r="K178" s="30">
        <f>IF($B178="","",COUNTIF('支払明細'!$A$5:$A$1004,$B178))</f>
        <v/>
      </c>
      <c r="L178" s="26">
        <f>IF($B178="","",SUMIFS('支払明細'!$I$5:$I$1004,'支払明細'!$A$5:$A$1004,$B178,'支払明細'!$G$5:$G$1004,"10%（標準）"))</f>
        <v/>
      </c>
      <c r="M178" s="26">
        <f>IF($B178="","",SUMIFS('支払明細'!$I$5:$I$1004,'支払明細'!$A$5:$A$1004,$B178,'支払明細'!$G$5:$G$1004,"8%（軽減）"))</f>
        <v/>
      </c>
      <c r="N178" s="26">
        <f>IF($B178="","",SUMIFS('支払明細'!$I$5:$I$1004,'支払明細'!$A$5:$A$1004,$B178,'支払明細'!$G$5:$G$1004,"対象外"))</f>
        <v/>
      </c>
      <c r="O178" s="26">
        <f>IF($B178="","",IF('設定'!$B$11="税込",IF('設定'!$B$12="切り捨て",ROUNDDOWN(ROUND($L178*10/110,6),0),IF('設定'!$B$12="切り上げ",ROUNDUP(ROUND($L178*10/110,6),0),ROUND($L178*10/110,0))),IF('設定'!$B$12="切り捨て",ROUNDDOWN(ROUND($L178*10/100,6),0),IF('設定'!$B$12="切り上げ",ROUNDUP(ROUND($L178*10/100,6),0),ROUND($L178*10/100,0)))))</f>
        <v/>
      </c>
      <c r="P178" s="26">
        <f>IF($B178="","",IF('設定'!$B$11="税込",IF('設定'!$B$12="切り捨て",ROUNDDOWN(ROUND($M178*8/108,6),0),IF('設定'!$B$12="切り上げ",ROUNDUP(ROUND($M178*8/108,6),0),ROUND($M178*8/108,0))),IF('設定'!$B$12="切り捨て",ROUNDDOWN(ROUND($M178*8/100,6),0),IF('設定'!$B$12="切り上げ",ROUNDUP(ROUND($M178*8/100,6),0),ROUND($M178*8/100,0)))))</f>
        <v/>
      </c>
      <c r="Q178" s="26">
        <f>IF($B178="","",IF('設定'!$B$11="税込",$L178+$M178+$N178,$L178+$O178+$M178+$P178+$N178))</f>
        <v/>
      </c>
      <c r="R178" s="26">
        <f>IF($B178="","",IF($X178="",0,IF(INDEX('支払先'!$I$5:$I$104,$X178)&lt;&gt;"する",0,IF(INDEX('支払先'!$J$5:$J$104,$X178)="税抜",IF('設定'!$B$11="税込",($Y178-IF('設定'!$B$12="切り捨て",ROUNDDOWN(ROUND($Y178*10/110,6),0),IF('設定'!$B$12="切り上げ",ROUNDUP(ROUND($Y178*10/110,6),0),ROUND($Y178*10/110,0)))+$Z178-IF('設定'!$B$12="切り捨て",ROUNDDOWN(ROUND($Z178*8/108,6),0),IF('設定'!$B$12="切り上げ",ROUNDUP(ROUND($Z178*8/108,6),0),ROUND($Z178*8/108,0)))+$AA178),$Y178+$Z178+$AA178),IF('設定'!$B$11="税込",$Y178+$Z178+$AA178,($Y178+IF('設定'!$B$12="切り捨て",ROUNDDOWN(ROUND($Y178*10/100,6),0),IF('設定'!$B$12="切り上げ",ROUNDUP(ROUND($Y178*10/100,6),0),ROUND($Y178*10/100,0)))+$Z178+IF('設定'!$B$12="切り捨て",ROUNDDOWN(ROUND($Z178*8/100,6),0),IF('設定'!$B$12="切り上げ",ROUNDUP(ROUND($Z178*8/100,6),0),ROUND($Z178*8/100,0)))+$AA178))))))</f>
        <v/>
      </c>
      <c r="S178" s="26">
        <f>IF($B178="","",IF(N($R178)&lt;=0,0,IF($R178&lt;='設定'!$B$18,ROUNDDOWN(ROUND($R178*'設定'!$B$17,6),0),ROUNDDOWN(ROUND(($R178-'設定'!$B$18)*'設定'!$B$19,6),0)+'設定'!$B$20)))</f>
        <v/>
      </c>
      <c r="T178" s="26">
        <f>IF($B178="","",IF($X178="",0,IF(INDEX('支払先'!$K$5:$K$104,$X178)="差し引く",N(INDEX('支払先'!$L$5:$L$104,$X178)),0)))</f>
        <v/>
      </c>
      <c r="U178" s="26">
        <f>IF($B178="","",$Q178-$S178-$T178)</f>
        <v/>
      </c>
      <c r="V178" s="22">
        <f>IF($B178="","",MID(IF($C178="","／支払先コードが空",IF($X178="","／支払先にないコード",""))&amp;IF($K178=0,"／明細がない","")&amp;IF($AC178&gt;0,"／税率が空の明細 "&amp;$AC178&amp;"件（合計に入っていない）","")&amp;IF($X178="","",IF(INDEX('支払先'!$G$5:$G$104,$X178)="","／登録番号なし（仕入明細書にならない）",""))&amp;IF($AB178&gt;0,"／60日（2か月）を超える明細 "&amp;$AB178&amp;"件","")&amp;IF($X178="","",IF(AND(INDEX('支払先'!$K$5:$K$104,$X178)="差し引く",OR(INDEX('支払先'!$M$5:$M$104,$X178)&lt;&gt;"対象外",INDEX('支払先'!$N$5:$N$104,$X178)&lt;&gt;"対象外")),"／手数料を差し引けない取引か確かめる",""))&amp;IF(COUNTIF($B$5:$B$204,$B178)&gt;1,"／通知Noが重複","")&amp;IF(AND(ISNUMBER($D178),ISNUMBER($F178),$F178&lt;$D178),"／支払予定日が発行日より前",""),2,300))</f>
        <v/>
      </c>
      <c r="W178" s="67" t="n"/>
      <c r="X178" s="31">
        <f>IF(OR($B178="",$C178=""),"",IFERROR(MATCH($C178,'支払先'!$B$5:$B$104,0),""))</f>
        <v/>
      </c>
      <c r="Y178" s="31">
        <f>IF($B178="","",SUMIFS('支払明細'!$I$5:$I$1004,'支払明細'!$A$5:$A$1004,$B178,'支払明細'!$G$5:$G$1004,"10%（標準）",'支払明細'!$H$5:$H$1004,"&lt;&gt;対象外"))</f>
        <v/>
      </c>
      <c r="Z178" s="31">
        <f>IF($B178="","",SUMIFS('支払明細'!$I$5:$I$1004,'支払明細'!$A$5:$A$1004,$B178,'支払明細'!$G$5:$G$1004,"8%（軽減）",'支払明細'!$H$5:$H$1004,"&lt;&gt;対象外"))</f>
        <v/>
      </c>
      <c r="AA178" s="31">
        <f>IF($B178="","",SUMIFS('支払明細'!$I$5:$I$1004,'支払明細'!$A$5:$A$1004,$B178,'支払明細'!$G$5:$G$1004,"対象外",'支払明細'!$H$5:$H$1004,"&lt;&gt;対象外"))</f>
        <v/>
      </c>
      <c r="AB178" s="31">
        <f>IF($B178="","",COUNTIFS('支払明細'!$A$5:$A$1004,$B178,'支払明細'!$M$5:$M$1004,"超える"))</f>
        <v/>
      </c>
      <c r="AC178" s="31">
        <f>IF($B178="","",COUNTIFS('支払明細'!$A$5:$A$1004,$B178,'支払明細'!$G$5:$G$1004,""))</f>
        <v/>
      </c>
    </row>
    <row r="179" ht="18" customHeight="1">
      <c r="A179" s="17" t="n">
        <v>175</v>
      </c>
      <c r="B179" s="18" t="n"/>
      <c r="C179" s="18" t="n"/>
      <c r="D179" s="24" t="n"/>
      <c r="E179" s="19" t="n"/>
      <c r="F179" s="24" t="n"/>
      <c r="G179" s="28">
        <f>IF(AND($B179&lt;&gt;"",ISNUMBER($D179)),$D179+N('設定'!$B$13),"")</f>
        <v/>
      </c>
      <c r="H179" s="18" t="n"/>
      <c r="I179" s="19" t="n"/>
      <c r="J179" s="27">
        <f>IF($B179="","",IF($C179="","（支払先コードが空）",IF($X179="","※支払先にないコード",INDEX('支払先'!$C$5:$C$104,$X179)&amp;"")))</f>
        <v/>
      </c>
      <c r="K179" s="30">
        <f>IF($B179="","",COUNTIF('支払明細'!$A$5:$A$1004,$B179))</f>
        <v/>
      </c>
      <c r="L179" s="26">
        <f>IF($B179="","",SUMIFS('支払明細'!$I$5:$I$1004,'支払明細'!$A$5:$A$1004,$B179,'支払明細'!$G$5:$G$1004,"10%（標準）"))</f>
        <v/>
      </c>
      <c r="M179" s="26">
        <f>IF($B179="","",SUMIFS('支払明細'!$I$5:$I$1004,'支払明細'!$A$5:$A$1004,$B179,'支払明細'!$G$5:$G$1004,"8%（軽減）"))</f>
        <v/>
      </c>
      <c r="N179" s="26">
        <f>IF($B179="","",SUMIFS('支払明細'!$I$5:$I$1004,'支払明細'!$A$5:$A$1004,$B179,'支払明細'!$G$5:$G$1004,"対象外"))</f>
        <v/>
      </c>
      <c r="O179" s="26">
        <f>IF($B179="","",IF('設定'!$B$11="税込",IF('設定'!$B$12="切り捨て",ROUNDDOWN(ROUND($L179*10/110,6),0),IF('設定'!$B$12="切り上げ",ROUNDUP(ROUND($L179*10/110,6),0),ROUND($L179*10/110,0))),IF('設定'!$B$12="切り捨て",ROUNDDOWN(ROUND($L179*10/100,6),0),IF('設定'!$B$12="切り上げ",ROUNDUP(ROUND($L179*10/100,6),0),ROUND($L179*10/100,0)))))</f>
        <v/>
      </c>
      <c r="P179" s="26">
        <f>IF($B179="","",IF('設定'!$B$11="税込",IF('設定'!$B$12="切り捨て",ROUNDDOWN(ROUND($M179*8/108,6),0),IF('設定'!$B$12="切り上げ",ROUNDUP(ROUND($M179*8/108,6),0),ROUND($M179*8/108,0))),IF('設定'!$B$12="切り捨て",ROUNDDOWN(ROUND($M179*8/100,6),0),IF('設定'!$B$12="切り上げ",ROUNDUP(ROUND($M179*8/100,6),0),ROUND($M179*8/100,0)))))</f>
        <v/>
      </c>
      <c r="Q179" s="26">
        <f>IF($B179="","",IF('設定'!$B$11="税込",$L179+$M179+$N179,$L179+$O179+$M179+$P179+$N179))</f>
        <v/>
      </c>
      <c r="R179" s="26">
        <f>IF($B179="","",IF($X179="",0,IF(INDEX('支払先'!$I$5:$I$104,$X179)&lt;&gt;"する",0,IF(INDEX('支払先'!$J$5:$J$104,$X179)="税抜",IF('設定'!$B$11="税込",($Y179-IF('設定'!$B$12="切り捨て",ROUNDDOWN(ROUND($Y179*10/110,6),0),IF('設定'!$B$12="切り上げ",ROUNDUP(ROUND($Y179*10/110,6),0),ROUND($Y179*10/110,0)))+$Z179-IF('設定'!$B$12="切り捨て",ROUNDDOWN(ROUND($Z179*8/108,6),0),IF('設定'!$B$12="切り上げ",ROUNDUP(ROUND($Z179*8/108,6),0),ROUND($Z179*8/108,0)))+$AA179),$Y179+$Z179+$AA179),IF('設定'!$B$11="税込",$Y179+$Z179+$AA179,($Y179+IF('設定'!$B$12="切り捨て",ROUNDDOWN(ROUND($Y179*10/100,6),0),IF('設定'!$B$12="切り上げ",ROUNDUP(ROUND($Y179*10/100,6),0),ROUND($Y179*10/100,0)))+$Z179+IF('設定'!$B$12="切り捨て",ROUNDDOWN(ROUND($Z179*8/100,6),0),IF('設定'!$B$12="切り上げ",ROUNDUP(ROUND($Z179*8/100,6),0),ROUND($Z179*8/100,0)))+$AA179))))))</f>
        <v/>
      </c>
      <c r="S179" s="26">
        <f>IF($B179="","",IF(N($R179)&lt;=0,0,IF($R179&lt;='設定'!$B$18,ROUNDDOWN(ROUND($R179*'設定'!$B$17,6),0),ROUNDDOWN(ROUND(($R179-'設定'!$B$18)*'設定'!$B$19,6),0)+'設定'!$B$20)))</f>
        <v/>
      </c>
      <c r="T179" s="26">
        <f>IF($B179="","",IF($X179="",0,IF(INDEX('支払先'!$K$5:$K$104,$X179)="差し引く",N(INDEX('支払先'!$L$5:$L$104,$X179)),0)))</f>
        <v/>
      </c>
      <c r="U179" s="26">
        <f>IF($B179="","",$Q179-$S179-$T179)</f>
        <v/>
      </c>
      <c r="V179" s="22">
        <f>IF($B179="","",MID(IF($C179="","／支払先コードが空",IF($X179="","／支払先にないコード",""))&amp;IF($K179=0,"／明細がない","")&amp;IF($AC179&gt;0,"／税率が空の明細 "&amp;$AC179&amp;"件（合計に入っていない）","")&amp;IF($X179="","",IF(INDEX('支払先'!$G$5:$G$104,$X179)="","／登録番号なし（仕入明細書にならない）",""))&amp;IF($AB179&gt;0,"／60日（2か月）を超える明細 "&amp;$AB179&amp;"件","")&amp;IF($X179="","",IF(AND(INDEX('支払先'!$K$5:$K$104,$X179)="差し引く",OR(INDEX('支払先'!$M$5:$M$104,$X179)&lt;&gt;"対象外",INDEX('支払先'!$N$5:$N$104,$X179)&lt;&gt;"対象外")),"／手数料を差し引けない取引か確かめる",""))&amp;IF(COUNTIF($B$5:$B$204,$B179)&gt;1,"／通知Noが重複","")&amp;IF(AND(ISNUMBER($D179),ISNUMBER($F179),$F179&lt;$D179),"／支払予定日が発行日より前",""),2,300))</f>
        <v/>
      </c>
      <c r="W179" s="67" t="n"/>
      <c r="X179" s="31">
        <f>IF(OR($B179="",$C179=""),"",IFERROR(MATCH($C179,'支払先'!$B$5:$B$104,0),""))</f>
        <v/>
      </c>
      <c r="Y179" s="31">
        <f>IF($B179="","",SUMIFS('支払明細'!$I$5:$I$1004,'支払明細'!$A$5:$A$1004,$B179,'支払明細'!$G$5:$G$1004,"10%（標準）",'支払明細'!$H$5:$H$1004,"&lt;&gt;対象外"))</f>
        <v/>
      </c>
      <c r="Z179" s="31">
        <f>IF($B179="","",SUMIFS('支払明細'!$I$5:$I$1004,'支払明細'!$A$5:$A$1004,$B179,'支払明細'!$G$5:$G$1004,"8%（軽減）",'支払明細'!$H$5:$H$1004,"&lt;&gt;対象外"))</f>
        <v/>
      </c>
      <c r="AA179" s="31">
        <f>IF($B179="","",SUMIFS('支払明細'!$I$5:$I$1004,'支払明細'!$A$5:$A$1004,$B179,'支払明細'!$G$5:$G$1004,"対象外",'支払明細'!$H$5:$H$1004,"&lt;&gt;対象外"))</f>
        <v/>
      </c>
      <c r="AB179" s="31">
        <f>IF($B179="","",COUNTIFS('支払明細'!$A$5:$A$1004,$B179,'支払明細'!$M$5:$M$1004,"超える"))</f>
        <v/>
      </c>
      <c r="AC179" s="31">
        <f>IF($B179="","",COUNTIFS('支払明細'!$A$5:$A$1004,$B179,'支払明細'!$G$5:$G$1004,""))</f>
        <v/>
      </c>
    </row>
    <row r="180" ht="18" customHeight="1">
      <c r="A180" s="17" t="n">
        <v>176</v>
      </c>
      <c r="B180" s="18" t="n"/>
      <c r="C180" s="18" t="n"/>
      <c r="D180" s="24" t="n"/>
      <c r="E180" s="19" t="n"/>
      <c r="F180" s="24" t="n"/>
      <c r="G180" s="28">
        <f>IF(AND($B180&lt;&gt;"",ISNUMBER($D180)),$D180+N('設定'!$B$13),"")</f>
        <v/>
      </c>
      <c r="H180" s="18" t="n"/>
      <c r="I180" s="19" t="n"/>
      <c r="J180" s="27">
        <f>IF($B180="","",IF($C180="","（支払先コードが空）",IF($X180="","※支払先にないコード",INDEX('支払先'!$C$5:$C$104,$X180)&amp;"")))</f>
        <v/>
      </c>
      <c r="K180" s="30">
        <f>IF($B180="","",COUNTIF('支払明細'!$A$5:$A$1004,$B180))</f>
        <v/>
      </c>
      <c r="L180" s="26">
        <f>IF($B180="","",SUMIFS('支払明細'!$I$5:$I$1004,'支払明細'!$A$5:$A$1004,$B180,'支払明細'!$G$5:$G$1004,"10%（標準）"))</f>
        <v/>
      </c>
      <c r="M180" s="26">
        <f>IF($B180="","",SUMIFS('支払明細'!$I$5:$I$1004,'支払明細'!$A$5:$A$1004,$B180,'支払明細'!$G$5:$G$1004,"8%（軽減）"))</f>
        <v/>
      </c>
      <c r="N180" s="26">
        <f>IF($B180="","",SUMIFS('支払明細'!$I$5:$I$1004,'支払明細'!$A$5:$A$1004,$B180,'支払明細'!$G$5:$G$1004,"対象外"))</f>
        <v/>
      </c>
      <c r="O180" s="26">
        <f>IF($B180="","",IF('設定'!$B$11="税込",IF('設定'!$B$12="切り捨て",ROUNDDOWN(ROUND($L180*10/110,6),0),IF('設定'!$B$12="切り上げ",ROUNDUP(ROUND($L180*10/110,6),0),ROUND($L180*10/110,0))),IF('設定'!$B$12="切り捨て",ROUNDDOWN(ROUND($L180*10/100,6),0),IF('設定'!$B$12="切り上げ",ROUNDUP(ROUND($L180*10/100,6),0),ROUND($L180*10/100,0)))))</f>
        <v/>
      </c>
      <c r="P180" s="26">
        <f>IF($B180="","",IF('設定'!$B$11="税込",IF('設定'!$B$12="切り捨て",ROUNDDOWN(ROUND($M180*8/108,6),0),IF('設定'!$B$12="切り上げ",ROUNDUP(ROUND($M180*8/108,6),0),ROUND($M180*8/108,0))),IF('設定'!$B$12="切り捨て",ROUNDDOWN(ROUND($M180*8/100,6),0),IF('設定'!$B$12="切り上げ",ROUNDUP(ROUND($M180*8/100,6),0),ROUND($M180*8/100,0)))))</f>
        <v/>
      </c>
      <c r="Q180" s="26">
        <f>IF($B180="","",IF('設定'!$B$11="税込",$L180+$M180+$N180,$L180+$O180+$M180+$P180+$N180))</f>
        <v/>
      </c>
      <c r="R180" s="26">
        <f>IF($B180="","",IF($X180="",0,IF(INDEX('支払先'!$I$5:$I$104,$X180)&lt;&gt;"する",0,IF(INDEX('支払先'!$J$5:$J$104,$X180)="税抜",IF('設定'!$B$11="税込",($Y180-IF('設定'!$B$12="切り捨て",ROUNDDOWN(ROUND($Y180*10/110,6),0),IF('設定'!$B$12="切り上げ",ROUNDUP(ROUND($Y180*10/110,6),0),ROUND($Y180*10/110,0)))+$Z180-IF('設定'!$B$12="切り捨て",ROUNDDOWN(ROUND($Z180*8/108,6),0),IF('設定'!$B$12="切り上げ",ROUNDUP(ROUND($Z180*8/108,6),0),ROUND($Z180*8/108,0)))+$AA180),$Y180+$Z180+$AA180),IF('設定'!$B$11="税込",$Y180+$Z180+$AA180,($Y180+IF('設定'!$B$12="切り捨て",ROUNDDOWN(ROUND($Y180*10/100,6),0),IF('設定'!$B$12="切り上げ",ROUNDUP(ROUND($Y180*10/100,6),0),ROUND($Y180*10/100,0)))+$Z180+IF('設定'!$B$12="切り捨て",ROUNDDOWN(ROUND($Z180*8/100,6),0),IF('設定'!$B$12="切り上げ",ROUNDUP(ROUND($Z180*8/100,6),0),ROUND($Z180*8/100,0)))+$AA180))))))</f>
        <v/>
      </c>
      <c r="S180" s="26">
        <f>IF($B180="","",IF(N($R180)&lt;=0,0,IF($R180&lt;='設定'!$B$18,ROUNDDOWN(ROUND($R180*'設定'!$B$17,6),0),ROUNDDOWN(ROUND(($R180-'設定'!$B$18)*'設定'!$B$19,6),0)+'設定'!$B$20)))</f>
        <v/>
      </c>
      <c r="T180" s="26">
        <f>IF($B180="","",IF($X180="",0,IF(INDEX('支払先'!$K$5:$K$104,$X180)="差し引く",N(INDEX('支払先'!$L$5:$L$104,$X180)),0)))</f>
        <v/>
      </c>
      <c r="U180" s="26">
        <f>IF($B180="","",$Q180-$S180-$T180)</f>
        <v/>
      </c>
      <c r="V180" s="22">
        <f>IF($B180="","",MID(IF($C180="","／支払先コードが空",IF($X180="","／支払先にないコード",""))&amp;IF($K180=0,"／明細がない","")&amp;IF($AC180&gt;0,"／税率が空の明細 "&amp;$AC180&amp;"件（合計に入っていない）","")&amp;IF($X180="","",IF(INDEX('支払先'!$G$5:$G$104,$X180)="","／登録番号なし（仕入明細書にならない）",""))&amp;IF($AB180&gt;0,"／60日（2か月）を超える明細 "&amp;$AB180&amp;"件","")&amp;IF($X180="","",IF(AND(INDEX('支払先'!$K$5:$K$104,$X180)="差し引く",OR(INDEX('支払先'!$M$5:$M$104,$X180)&lt;&gt;"対象外",INDEX('支払先'!$N$5:$N$104,$X180)&lt;&gt;"対象外")),"／手数料を差し引けない取引か確かめる",""))&amp;IF(COUNTIF($B$5:$B$204,$B180)&gt;1,"／通知Noが重複","")&amp;IF(AND(ISNUMBER($D180),ISNUMBER($F180),$F180&lt;$D180),"／支払予定日が発行日より前",""),2,300))</f>
        <v/>
      </c>
      <c r="W180" s="67" t="n"/>
      <c r="X180" s="31">
        <f>IF(OR($B180="",$C180=""),"",IFERROR(MATCH($C180,'支払先'!$B$5:$B$104,0),""))</f>
        <v/>
      </c>
      <c r="Y180" s="31">
        <f>IF($B180="","",SUMIFS('支払明細'!$I$5:$I$1004,'支払明細'!$A$5:$A$1004,$B180,'支払明細'!$G$5:$G$1004,"10%（標準）",'支払明細'!$H$5:$H$1004,"&lt;&gt;対象外"))</f>
        <v/>
      </c>
      <c r="Z180" s="31">
        <f>IF($B180="","",SUMIFS('支払明細'!$I$5:$I$1004,'支払明細'!$A$5:$A$1004,$B180,'支払明細'!$G$5:$G$1004,"8%（軽減）",'支払明細'!$H$5:$H$1004,"&lt;&gt;対象外"))</f>
        <v/>
      </c>
      <c r="AA180" s="31">
        <f>IF($B180="","",SUMIFS('支払明細'!$I$5:$I$1004,'支払明細'!$A$5:$A$1004,$B180,'支払明細'!$G$5:$G$1004,"対象外",'支払明細'!$H$5:$H$1004,"&lt;&gt;対象外"))</f>
        <v/>
      </c>
      <c r="AB180" s="31">
        <f>IF($B180="","",COUNTIFS('支払明細'!$A$5:$A$1004,$B180,'支払明細'!$M$5:$M$1004,"超える"))</f>
        <v/>
      </c>
      <c r="AC180" s="31">
        <f>IF($B180="","",COUNTIFS('支払明細'!$A$5:$A$1004,$B180,'支払明細'!$G$5:$G$1004,""))</f>
        <v/>
      </c>
    </row>
    <row r="181" ht="18" customHeight="1">
      <c r="A181" s="17" t="n">
        <v>177</v>
      </c>
      <c r="B181" s="18" t="n"/>
      <c r="C181" s="18" t="n"/>
      <c r="D181" s="24" t="n"/>
      <c r="E181" s="19" t="n"/>
      <c r="F181" s="24" t="n"/>
      <c r="G181" s="28">
        <f>IF(AND($B181&lt;&gt;"",ISNUMBER($D181)),$D181+N('設定'!$B$13),"")</f>
        <v/>
      </c>
      <c r="H181" s="18" t="n"/>
      <c r="I181" s="19" t="n"/>
      <c r="J181" s="27">
        <f>IF($B181="","",IF($C181="","（支払先コードが空）",IF($X181="","※支払先にないコード",INDEX('支払先'!$C$5:$C$104,$X181)&amp;"")))</f>
        <v/>
      </c>
      <c r="K181" s="30">
        <f>IF($B181="","",COUNTIF('支払明細'!$A$5:$A$1004,$B181))</f>
        <v/>
      </c>
      <c r="L181" s="26">
        <f>IF($B181="","",SUMIFS('支払明細'!$I$5:$I$1004,'支払明細'!$A$5:$A$1004,$B181,'支払明細'!$G$5:$G$1004,"10%（標準）"))</f>
        <v/>
      </c>
      <c r="M181" s="26">
        <f>IF($B181="","",SUMIFS('支払明細'!$I$5:$I$1004,'支払明細'!$A$5:$A$1004,$B181,'支払明細'!$G$5:$G$1004,"8%（軽減）"))</f>
        <v/>
      </c>
      <c r="N181" s="26">
        <f>IF($B181="","",SUMIFS('支払明細'!$I$5:$I$1004,'支払明細'!$A$5:$A$1004,$B181,'支払明細'!$G$5:$G$1004,"対象外"))</f>
        <v/>
      </c>
      <c r="O181" s="26">
        <f>IF($B181="","",IF('設定'!$B$11="税込",IF('設定'!$B$12="切り捨て",ROUNDDOWN(ROUND($L181*10/110,6),0),IF('設定'!$B$12="切り上げ",ROUNDUP(ROUND($L181*10/110,6),0),ROUND($L181*10/110,0))),IF('設定'!$B$12="切り捨て",ROUNDDOWN(ROUND($L181*10/100,6),0),IF('設定'!$B$12="切り上げ",ROUNDUP(ROUND($L181*10/100,6),0),ROUND($L181*10/100,0)))))</f>
        <v/>
      </c>
      <c r="P181" s="26">
        <f>IF($B181="","",IF('設定'!$B$11="税込",IF('設定'!$B$12="切り捨て",ROUNDDOWN(ROUND($M181*8/108,6),0),IF('設定'!$B$12="切り上げ",ROUNDUP(ROUND($M181*8/108,6),0),ROUND($M181*8/108,0))),IF('設定'!$B$12="切り捨て",ROUNDDOWN(ROUND($M181*8/100,6),0),IF('設定'!$B$12="切り上げ",ROUNDUP(ROUND($M181*8/100,6),0),ROUND($M181*8/100,0)))))</f>
        <v/>
      </c>
      <c r="Q181" s="26">
        <f>IF($B181="","",IF('設定'!$B$11="税込",$L181+$M181+$N181,$L181+$O181+$M181+$P181+$N181))</f>
        <v/>
      </c>
      <c r="R181" s="26">
        <f>IF($B181="","",IF($X181="",0,IF(INDEX('支払先'!$I$5:$I$104,$X181)&lt;&gt;"する",0,IF(INDEX('支払先'!$J$5:$J$104,$X181)="税抜",IF('設定'!$B$11="税込",($Y181-IF('設定'!$B$12="切り捨て",ROUNDDOWN(ROUND($Y181*10/110,6),0),IF('設定'!$B$12="切り上げ",ROUNDUP(ROUND($Y181*10/110,6),0),ROUND($Y181*10/110,0)))+$Z181-IF('設定'!$B$12="切り捨て",ROUNDDOWN(ROUND($Z181*8/108,6),0),IF('設定'!$B$12="切り上げ",ROUNDUP(ROUND($Z181*8/108,6),0),ROUND($Z181*8/108,0)))+$AA181),$Y181+$Z181+$AA181),IF('設定'!$B$11="税込",$Y181+$Z181+$AA181,($Y181+IF('設定'!$B$12="切り捨て",ROUNDDOWN(ROUND($Y181*10/100,6),0),IF('設定'!$B$12="切り上げ",ROUNDUP(ROUND($Y181*10/100,6),0),ROUND($Y181*10/100,0)))+$Z181+IF('設定'!$B$12="切り捨て",ROUNDDOWN(ROUND($Z181*8/100,6),0),IF('設定'!$B$12="切り上げ",ROUNDUP(ROUND($Z181*8/100,6),0),ROUND($Z181*8/100,0)))+$AA181))))))</f>
        <v/>
      </c>
      <c r="S181" s="26">
        <f>IF($B181="","",IF(N($R181)&lt;=0,0,IF($R181&lt;='設定'!$B$18,ROUNDDOWN(ROUND($R181*'設定'!$B$17,6),0),ROUNDDOWN(ROUND(($R181-'設定'!$B$18)*'設定'!$B$19,6),0)+'設定'!$B$20)))</f>
        <v/>
      </c>
      <c r="T181" s="26">
        <f>IF($B181="","",IF($X181="",0,IF(INDEX('支払先'!$K$5:$K$104,$X181)="差し引く",N(INDEX('支払先'!$L$5:$L$104,$X181)),0)))</f>
        <v/>
      </c>
      <c r="U181" s="26">
        <f>IF($B181="","",$Q181-$S181-$T181)</f>
        <v/>
      </c>
      <c r="V181" s="22">
        <f>IF($B181="","",MID(IF($C181="","／支払先コードが空",IF($X181="","／支払先にないコード",""))&amp;IF($K181=0,"／明細がない","")&amp;IF($AC181&gt;0,"／税率が空の明細 "&amp;$AC181&amp;"件（合計に入っていない）","")&amp;IF($X181="","",IF(INDEX('支払先'!$G$5:$G$104,$X181)="","／登録番号なし（仕入明細書にならない）",""))&amp;IF($AB181&gt;0,"／60日（2か月）を超える明細 "&amp;$AB181&amp;"件","")&amp;IF($X181="","",IF(AND(INDEX('支払先'!$K$5:$K$104,$X181)="差し引く",OR(INDEX('支払先'!$M$5:$M$104,$X181)&lt;&gt;"対象外",INDEX('支払先'!$N$5:$N$104,$X181)&lt;&gt;"対象外")),"／手数料を差し引けない取引か確かめる",""))&amp;IF(COUNTIF($B$5:$B$204,$B181)&gt;1,"／通知Noが重複","")&amp;IF(AND(ISNUMBER($D181),ISNUMBER($F181),$F181&lt;$D181),"／支払予定日が発行日より前",""),2,300))</f>
        <v/>
      </c>
      <c r="W181" s="67" t="n"/>
      <c r="X181" s="31">
        <f>IF(OR($B181="",$C181=""),"",IFERROR(MATCH($C181,'支払先'!$B$5:$B$104,0),""))</f>
        <v/>
      </c>
      <c r="Y181" s="31">
        <f>IF($B181="","",SUMIFS('支払明細'!$I$5:$I$1004,'支払明細'!$A$5:$A$1004,$B181,'支払明細'!$G$5:$G$1004,"10%（標準）",'支払明細'!$H$5:$H$1004,"&lt;&gt;対象外"))</f>
        <v/>
      </c>
      <c r="Z181" s="31">
        <f>IF($B181="","",SUMIFS('支払明細'!$I$5:$I$1004,'支払明細'!$A$5:$A$1004,$B181,'支払明細'!$G$5:$G$1004,"8%（軽減）",'支払明細'!$H$5:$H$1004,"&lt;&gt;対象外"))</f>
        <v/>
      </c>
      <c r="AA181" s="31">
        <f>IF($B181="","",SUMIFS('支払明細'!$I$5:$I$1004,'支払明細'!$A$5:$A$1004,$B181,'支払明細'!$G$5:$G$1004,"対象外",'支払明細'!$H$5:$H$1004,"&lt;&gt;対象外"))</f>
        <v/>
      </c>
      <c r="AB181" s="31">
        <f>IF($B181="","",COUNTIFS('支払明細'!$A$5:$A$1004,$B181,'支払明細'!$M$5:$M$1004,"超える"))</f>
        <v/>
      </c>
      <c r="AC181" s="31">
        <f>IF($B181="","",COUNTIFS('支払明細'!$A$5:$A$1004,$B181,'支払明細'!$G$5:$G$1004,""))</f>
        <v/>
      </c>
    </row>
    <row r="182" ht="18" customHeight="1">
      <c r="A182" s="17" t="n">
        <v>178</v>
      </c>
      <c r="B182" s="18" t="n"/>
      <c r="C182" s="18" t="n"/>
      <c r="D182" s="24" t="n"/>
      <c r="E182" s="19" t="n"/>
      <c r="F182" s="24" t="n"/>
      <c r="G182" s="28">
        <f>IF(AND($B182&lt;&gt;"",ISNUMBER($D182)),$D182+N('設定'!$B$13),"")</f>
        <v/>
      </c>
      <c r="H182" s="18" t="n"/>
      <c r="I182" s="19" t="n"/>
      <c r="J182" s="27">
        <f>IF($B182="","",IF($C182="","（支払先コードが空）",IF($X182="","※支払先にないコード",INDEX('支払先'!$C$5:$C$104,$X182)&amp;"")))</f>
        <v/>
      </c>
      <c r="K182" s="30">
        <f>IF($B182="","",COUNTIF('支払明細'!$A$5:$A$1004,$B182))</f>
        <v/>
      </c>
      <c r="L182" s="26">
        <f>IF($B182="","",SUMIFS('支払明細'!$I$5:$I$1004,'支払明細'!$A$5:$A$1004,$B182,'支払明細'!$G$5:$G$1004,"10%（標準）"))</f>
        <v/>
      </c>
      <c r="M182" s="26">
        <f>IF($B182="","",SUMIFS('支払明細'!$I$5:$I$1004,'支払明細'!$A$5:$A$1004,$B182,'支払明細'!$G$5:$G$1004,"8%（軽減）"))</f>
        <v/>
      </c>
      <c r="N182" s="26">
        <f>IF($B182="","",SUMIFS('支払明細'!$I$5:$I$1004,'支払明細'!$A$5:$A$1004,$B182,'支払明細'!$G$5:$G$1004,"対象外"))</f>
        <v/>
      </c>
      <c r="O182" s="26">
        <f>IF($B182="","",IF('設定'!$B$11="税込",IF('設定'!$B$12="切り捨て",ROUNDDOWN(ROUND($L182*10/110,6),0),IF('設定'!$B$12="切り上げ",ROUNDUP(ROUND($L182*10/110,6),0),ROUND($L182*10/110,0))),IF('設定'!$B$12="切り捨て",ROUNDDOWN(ROUND($L182*10/100,6),0),IF('設定'!$B$12="切り上げ",ROUNDUP(ROUND($L182*10/100,6),0),ROUND($L182*10/100,0)))))</f>
        <v/>
      </c>
      <c r="P182" s="26">
        <f>IF($B182="","",IF('設定'!$B$11="税込",IF('設定'!$B$12="切り捨て",ROUNDDOWN(ROUND($M182*8/108,6),0),IF('設定'!$B$12="切り上げ",ROUNDUP(ROUND($M182*8/108,6),0),ROUND($M182*8/108,0))),IF('設定'!$B$12="切り捨て",ROUNDDOWN(ROUND($M182*8/100,6),0),IF('設定'!$B$12="切り上げ",ROUNDUP(ROUND($M182*8/100,6),0),ROUND($M182*8/100,0)))))</f>
        <v/>
      </c>
      <c r="Q182" s="26">
        <f>IF($B182="","",IF('設定'!$B$11="税込",$L182+$M182+$N182,$L182+$O182+$M182+$P182+$N182))</f>
        <v/>
      </c>
      <c r="R182" s="26">
        <f>IF($B182="","",IF($X182="",0,IF(INDEX('支払先'!$I$5:$I$104,$X182)&lt;&gt;"する",0,IF(INDEX('支払先'!$J$5:$J$104,$X182)="税抜",IF('設定'!$B$11="税込",($Y182-IF('設定'!$B$12="切り捨て",ROUNDDOWN(ROUND($Y182*10/110,6),0),IF('設定'!$B$12="切り上げ",ROUNDUP(ROUND($Y182*10/110,6),0),ROUND($Y182*10/110,0)))+$Z182-IF('設定'!$B$12="切り捨て",ROUNDDOWN(ROUND($Z182*8/108,6),0),IF('設定'!$B$12="切り上げ",ROUNDUP(ROUND($Z182*8/108,6),0),ROUND($Z182*8/108,0)))+$AA182),$Y182+$Z182+$AA182),IF('設定'!$B$11="税込",$Y182+$Z182+$AA182,($Y182+IF('設定'!$B$12="切り捨て",ROUNDDOWN(ROUND($Y182*10/100,6),0),IF('設定'!$B$12="切り上げ",ROUNDUP(ROUND($Y182*10/100,6),0),ROUND($Y182*10/100,0)))+$Z182+IF('設定'!$B$12="切り捨て",ROUNDDOWN(ROUND($Z182*8/100,6),0),IF('設定'!$B$12="切り上げ",ROUNDUP(ROUND($Z182*8/100,6),0),ROUND($Z182*8/100,0)))+$AA182))))))</f>
        <v/>
      </c>
      <c r="S182" s="26">
        <f>IF($B182="","",IF(N($R182)&lt;=0,0,IF($R182&lt;='設定'!$B$18,ROUNDDOWN(ROUND($R182*'設定'!$B$17,6),0),ROUNDDOWN(ROUND(($R182-'設定'!$B$18)*'設定'!$B$19,6),0)+'設定'!$B$20)))</f>
        <v/>
      </c>
      <c r="T182" s="26">
        <f>IF($B182="","",IF($X182="",0,IF(INDEX('支払先'!$K$5:$K$104,$X182)="差し引く",N(INDEX('支払先'!$L$5:$L$104,$X182)),0)))</f>
        <v/>
      </c>
      <c r="U182" s="26">
        <f>IF($B182="","",$Q182-$S182-$T182)</f>
        <v/>
      </c>
      <c r="V182" s="22">
        <f>IF($B182="","",MID(IF($C182="","／支払先コードが空",IF($X182="","／支払先にないコード",""))&amp;IF($K182=0,"／明細がない","")&amp;IF($AC182&gt;0,"／税率が空の明細 "&amp;$AC182&amp;"件（合計に入っていない）","")&amp;IF($X182="","",IF(INDEX('支払先'!$G$5:$G$104,$X182)="","／登録番号なし（仕入明細書にならない）",""))&amp;IF($AB182&gt;0,"／60日（2か月）を超える明細 "&amp;$AB182&amp;"件","")&amp;IF($X182="","",IF(AND(INDEX('支払先'!$K$5:$K$104,$X182)="差し引く",OR(INDEX('支払先'!$M$5:$M$104,$X182)&lt;&gt;"対象外",INDEX('支払先'!$N$5:$N$104,$X182)&lt;&gt;"対象外")),"／手数料を差し引けない取引か確かめる",""))&amp;IF(COUNTIF($B$5:$B$204,$B182)&gt;1,"／通知Noが重複","")&amp;IF(AND(ISNUMBER($D182),ISNUMBER($F182),$F182&lt;$D182),"／支払予定日が発行日より前",""),2,300))</f>
        <v/>
      </c>
      <c r="W182" s="67" t="n"/>
      <c r="X182" s="31">
        <f>IF(OR($B182="",$C182=""),"",IFERROR(MATCH($C182,'支払先'!$B$5:$B$104,0),""))</f>
        <v/>
      </c>
      <c r="Y182" s="31">
        <f>IF($B182="","",SUMIFS('支払明細'!$I$5:$I$1004,'支払明細'!$A$5:$A$1004,$B182,'支払明細'!$G$5:$G$1004,"10%（標準）",'支払明細'!$H$5:$H$1004,"&lt;&gt;対象外"))</f>
        <v/>
      </c>
      <c r="Z182" s="31">
        <f>IF($B182="","",SUMIFS('支払明細'!$I$5:$I$1004,'支払明細'!$A$5:$A$1004,$B182,'支払明細'!$G$5:$G$1004,"8%（軽減）",'支払明細'!$H$5:$H$1004,"&lt;&gt;対象外"))</f>
        <v/>
      </c>
      <c r="AA182" s="31">
        <f>IF($B182="","",SUMIFS('支払明細'!$I$5:$I$1004,'支払明細'!$A$5:$A$1004,$B182,'支払明細'!$G$5:$G$1004,"対象外",'支払明細'!$H$5:$H$1004,"&lt;&gt;対象外"))</f>
        <v/>
      </c>
      <c r="AB182" s="31">
        <f>IF($B182="","",COUNTIFS('支払明細'!$A$5:$A$1004,$B182,'支払明細'!$M$5:$M$1004,"超える"))</f>
        <v/>
      </c>
      <c r="AC182" s="31">
        <f>IF($B182="","",COUNTIFS('支払明細'!$A$5:$A$1004,$B182,'支払明細'!$G$5:$G$1004,""))</f>
        <v/>
      </c>
    </row>
    <row r="183" ht="18" customHeight="1">
      <c r="A183" s="17" t="n">
        <v>179</v>
      </c>
      <c r="B183" s="18" t="n"/>
      <c r="C183" s="18" t="n"/>
      <c r="D183" s="24" t="n"/>
      <c r="E183" s="19" t="n"/>
      <c r="F183" s="24" t="n"/>
      <c r="G183" s="28">
        <f>IF(AND($B183&lt;&gt;"",ISNUMBER($D183)),$D183+N('設定'!$B$13),"")</f>
        <v/>
      </c>
      <c r="H183" s="18" t="n"/>
      <c r="I183" s="19" t="n"/>
      <c r="J183" s="27">
        <f>IF($B183="","",IF($C183="","（支払先コードが空）",IF($X183="","※支払先にないコード",INDEX('支払先'!$C$5:$C$104,$X183)&amp;"")))</f>
        <v/>
      </c>
      <c r="K183" s="30">
        <f>IF($B183="","",COUNTIF('支払明細'!$A$5:$A$1004,$B183))</f>
        <v/>
      </c>
      <c r="L183" s="26">
        <f>IF($B183="","",SUMIFS('支払明細'!$I$5:$I$1004,'支払明細'!$A$5:$A$1004,$B183,'支払明細'!$G$5:$G$1004,"10%（標準）"))</f>
        <v/>
      </c>
      <c r="M183" s="26">
        <f>IF($B183="","",SUMIFS('支払明細'!$I$5:$I$1004,'支払明細'!$A$5:$A$1004,$B183,'支払明細'!$G$5:$G$1004,"8%（軽減）"))</f>
        <v/>
      </c>
      <c r="N183" s="26">
        <f>IF($B183="","",SUMIFS('支払明細'!$I$5:$I$1004,'支払明細'!$A$5:$A$1004,$B183,'支払明細'!$G$5:$G$1004,"対象外"))</f>
        <v/>
      </c>
      <c r="O183" s="26">
        <f>IF($B183="","",IF('設定'!$B$11="税込",IF('設定'!$B$12="切り捨て",ROUNDDOWN(ROUND($L183*10/110,6),0),IF('設定'!$B$12="切り上げ",ROUNDUP(ROUND($L183*10/110,6),0),ROUND($L183*10/110,0))),IF('設定'!$B$12="切り捨て",ROUNDDOWN(ROUND($L183*10/100,6),0),IF('設定'!$B$12="切り上げ",ROUNDUP(ROUND($L183*10/100,6),0),ROUND($L183*10/100,0)))))</f>
        <v/>
      </c>
      <c r="P183" s="26">
        <f>IF($B183="","",IF('設定'!$B$11="税込",IF('設定'!$B$12="切り捨て",ROUNDDOWN(ROUND($M183*8/108,6),0),IF('設定'!$B$12="切り上げ",ROUNDUP(ROUND($M183*8/108,6),0),ROUND($M183*8/108,0))),IF('設定'!$B$12="切り捨て",ROUNDDOWN(ROUND($M183*8/100,6),0),IF('設定'!$B$12="切り上げ",ROUNDUP(ROUND($M183*8/100,6),0),ROUND($M183*8/100,0)))))</f>
        <v/>
      </c>
      <c r="Q183" s="26">
        <f>IF($B183="","",IF('設定'!$B$11="税込",$L183+$M183+$N183,$L183+$O183+$M183+$P183+$N183))</f>
        <v/>
      </c>
      <c r="R183" s="26">
        <f>IF($B183="","",IF($X183="",0,IF(INDEX('支払先'!$I$5:$I$104,$X183)&lt;&gt;"する",0,IF(INDEX('支払先'!$J$5:$J$104,$X183)="税抜",IF('設定'!$B$11="税込",($Y183-IF('設定'!$B$12="切り捨て",ROUNDDOWN(ROUND($Y183*10/110,6),0),IF('設定'!$B$12="切り上げ",ROUNDUP(ROUND($Y183*10/110,6),0),ROUND($Y183*10/110,0)))+$Z183-IF('設定'!$B$12="切り捨て",ROUNDDOWN(ROUND($Z183*8/108,6),0),IF('設定'!$B$12="切り上げ",ROUNDUP(ROUND($Z183*8/108,6),0),ROUND($Z183*8/108,0)))+$AA183),$Y183+$Z183+$AA183),IF('設定'!$B$11="税込",$Y183+$Z183+$AA183,($Y183+IF('設定'!$B$12="切り捨て",ROUNDDOWN(ROUND($Y183*10/100,6),0),IF('設定'!$B$12="切り上げ",ROUNDUP(ROUND($Y183*10/100,6),0),ROUND($Y183*10/100,0)))+$Z183+IF('設定'!$B$12="切り捨て",ROUNDDOWN(ROUND($Z183*8/100,6),0),IF('設定'!$B$12="切り上げ",ROUNDUP(ROUND($Z183*8/100,6),0),ROUND($Z183*8/100,0)))+$AA183))))))</f>
        <v/>
      </c>
      <c r="S183" s="26">
        <f>IF($B183="","",IF(N($R183)&lt;=0,0,IF($R183&lt;='設定'!$B$18,ROUNDDOWN(ROUND($R183*'設定'!$B$17,6),0),ROUNDDOWN(ROUND(($R183-'設定'!$B$18)*'設定'!$B$19,6),0)+'設定'!$B$20)))</f>
        <v/>
      </c>
      <c r="T183" s="26">
        <f>IF($B183="","",IF($X183="",0,IF(INDEX('支払先'!$K$5:$K$104,$X183)="差し引く",N(INDEX('支払先'!$L$5:$L$104,$X183)),0)))</f>
        <v/>
      </c>
      <c r="U183" s="26">
        <f>IF($B183="","",$Q183-$S183-$T183)</f>
        <v/>
      </c>
      <c r="V183" s="22">
        <f>IF($B183="","",MID(IF($C183="","／支払先コードが空",IF($X183="","／支払先にないコード",""))&amp;IF($K183=0,"／明細がない","")&amp;IF($AC183&gt;0,"／税率が空の明細 "&amp;$AC183&amp;"件（合計に入っていない）","")&amp;IF($X183="","",IF(INDEX('支払先'!$G$5:$G$104,$X183)="","／登録番号なし（仕入明細書にならない）",""))&amp;IF($AB183&gt;0,"／60日（2か月）を超える明細 "&amp;$AB183&amp;"件","")&amp;IF($X183="","",IF(AND(INDEX('支払先'!$K$5:$K$104,$X183)="差し引く",OR(INDEX('支払先'!$M$5:$M$104,$X183)&lt;&gt;"対象外",INDEX('支払先'!$N$5:$N$104,$X183)&lt;&gt;"対象外")),"／手数料を差し引けない取引か確かめる",""))&amp;IF(COUNTIF($B$5:$B$204,$B183)&gt;1,"／通知Noが重複","")&amp;IF(AND(ISNUMBER($D183),ISNUMBER($F183),$F183&lt;$D183),"／支払予定日が発行日より前",""),2,300))</f>
        <v/>
      </c>
      <c r="W183" s="67" t="n"/>
      <c r="X183" s="31">
        <f>IF(OR($B183="",$C183=""),"",IFERROR(MATCH($C183,'支払先'!$B$5:$B$104,0),""))</f>
        <v/>
      </c>
      <c r="Y183" s="31">
        <f>IF($B183="","",SUMIFS('支払明細'!$I$5:$I$1004,'支払明細'!$A$5:$A$1004,$B183,'支払明細'!$G$5:$G$1004,"10%（標準）",'支払明細'!$H$5:$H$1004,"&lt;&gt;対象外"))</f>
        <v/>
      </c>
      <c r="Z183" s="31">
        <f>IF($B183="","",SUMIFS('支払明細'!$I$5:$I$1004,'支払明細'!$A$5:$A$1004,$B183,'支払明細'!$G$5:$G$1004,"8%（軽減）",'支払明細'!$H$5:$H$1004,"&lt;&gt;対象外"))</f>
        <v/>
      </c>
      <c r="AA183" s="31">
        <f>IF($B183="","",SUMIFS('支払明細'!$I$5:$I$1004,'支払明細'!$A$5:$A$1004,$B183,'支払明細'!$G$5:$G$1004,"対象外",'支払明細'!$H$5:$H$1004,"&lt;&gt;対象外"))</f>
        <v/>
      </c>
      <c r="AB183" s="31">
        <f>IF($B183="","",COUNTIFS('支払明細'!$A$5:$A$1004,$B183,'支払明細'!$M$5:$M$1004,"超える"))</f>
        <v/>
      </c>
      <c r="AC183" s="31">
        <f>IF($B183="","",COUNTIFS('支払明細'!$A$5:$A$1004,$B183,'支払明細'!$G$5:$G$1004,""))</f>
        <v/>
      </c>
    </row>
    <row r="184" ht="18" customHeight="1">
      <c r="A184" s="17" t="n">
        <v>180</v>
      </c>
      <c r="B184" s="18" t="n"/>
      <c r="C184" s="18" t="n"/>
      <c r="D184" s="24" t="n"/>
      <c r="E184" s="19" t="n"/>
      <c r="F184" s="24" t="n"/>
      <c r="G184" s="28">
        <f>IF(AND($B184&lt;&gt;"",ISNUMBER($D184)),$D184+N('設定'!$B$13),"")</f>
        <v/>
      </c>
      <c r="H184" s="18" t="n"/>
      <c r="I184" s="19" t="n"/>
      <c r="J184" s="27">
        <f>IF($B184="","",IF($C184="","（支払先コードが空）",IF($X184="","※支払先にないコード",INDEX('支払先'!$C$5:$C$104,$X184)&amp;"")))</f>
        <v/>
      </c>
      <c r="K184" s="30">
        <f>IF($B184="","",COUNTIF('支払明細'!$A$5:$A$1004,$B184))</f>
        <v/>
      </c>
      <c r="L184" s="26">
        <f>IF($B184="","",SUMIFS('支払明細'!$I$5:$I$1004,'支払明細'!$A$5:$A$1004,$B184,'支払明細'!$G$5:$G$1004,"10%（標準）"))</f>
        <v/>
      </c>
      <c r="M184" s="26">
        <f>IF($B184="","",SUMIFS('支払明細'!$I$5:$I$1004,'支払明細'!$A$5:$A$1004,$B184,'支払明細'!$G$5:$G$1004,"8%（軽減）"))</f>
        <v/>
      </c>
      <c r="N184" s="26">
        <f>IF($B184="","",SUMIFS('支払明細'!$I$5:$I$1004,'支払明細'!$A$5:$A$1004,$B184,'支払明細'!$G$5:$G$1004,"対象外"))</f>
        <v/>
      </c>
      <c r="O184" s="26">
        <f>IF($B184="","",IF('設定'!$B$11="税込",IF('設定'!$B$12="切り捨て",ROUNDDOWN(ROUND($L184*10/110,6),0),IF('設定'!$B$12="切り上げ",ROUNDUP(ROUND($L184*10/110,6),0),ROUND($L184*10/110,0))),IF('設定'!$B$12="切り捨て",ROUNDDOWN(ROUND($L184*10/100,6),0),IF('設定'!$B$12="切り上げ",ROUNDUP(ROUND($L184*10/100,6),0),ROUND($L184*10/100,0)))))</f>
        <v/>
      </c>
      <c r="P184" s="26">
        <f>IF($B184="","",IF('設定'!$B$11="税込",IF('設定'!$B$12="切り捨て",ROUNDDOWN(ROUND($M184*8/108,6),0),IF('設定'!$B$12="切り上げ",ROUNDUP(ROUND($M184*8/108,6),0),ROUND($M184*8/108,0))),IF('設定'!$B$12="切り捨て",ROUNDDOWN(ROUND($M184*8/100,6),0),IF('設定'!$B$12="切り上げ",ROUNDUP(ROUND($M184*8/100,6),0),ROUND($M184*8/100,0)))))</f>
        <v/>
      </c>
      <c r="Q184" s="26">
        <f>IF($B184="","",IF('設定'!$B$11="税込",$L184+$M184+$N184,$L184+$O184+$M184+$P184+$N184))</f>
        <v/>
      </c>
      <c r="R184" s="26">
        <f>IF($B184="","",IF($X184="",0,IF(INDEX('支払先'!$I$5:$I$104,$X184)&lt;&gt;"する",0,IF(INDEX('支払先'!$J$5:$J$104,$X184)="税抜",IF('設定'!$B$11="税込",($Y184-IF('設定'!$B$12="切り捨て",ROUNDDOWN(ROUND($Y184*10/110,6),0),IF('設定'!$B$12="切り上げ",ROUNDUP(ROUND($Y184*10/110,6),0),ROUND($Y184*10/110,0)))+$Z184-IF('設定'!$B$12="切り捨て",ROUNDDOWN(ROUND($Z184*8/108,6),0),IF('設定'!$B$12="切り上げ",ROUNDUP(ROUND($Z184*8/108,6),0),ROUND($Z184*8/108,0)))+$AA184),$Y184+$Z184+$AA184),IF('設定'!$B$11="税込",$Y184+$Z184+$AA184,($Y184+IF('設定'!$B$12="切り捨て",ROUNDDOWN(ROUND($Y184*10/100,6),0),IF('設定'!$B$12="切り上げ",ROUNDUP(ROUND($Y184*10/100,6),0),ROUND($Y184*10/100,0)))+$Z184+IF('設定'!$B$12="切り捨て",ROUNDDOWN(ROUND($Z184*8/100,6),0),IF('設定'!$B$12="切り上げ",ROUNDUP(ROUND($Z184*8/100,6),0),ROUND($Z184*8/100,0)))+$AA184))))))</f>
        <v/>
      </c>
      <c r="S184" s="26">
        <f>IF($B184="","",IF(N($R184)&lt;=0,0,IF($R184&lt;='設定'!$B$18,ROUNDDOWN(ROUND($R184*'設定'!$B$17,6),0),ROUNDDOWN(ROUND(($R184-'設定'!$B$18)*'設定'!$B$19,6),0)+'設定'!$B$20)))</f>
        <v/>
      </c>
      <c r="T184" s="26">
        <f>IF($B184="","",IF($X184="",0,IF(INDEX('支払先'!$K$5:$K$104,$X184)="差し引く",N(INDEX('支払先'!$L$5:$L$104,$X184)),0)))</f>
        <v/>
      </c>
      <c r="U184" s="26">
        <f>IF($B184="","",$Q184-$S184-$T184)</f>
        <v/>
      </c>
      <c r="V184" s="22">
        <f>IF($B184="","",MID(IF($C184="","／支払先コードが空",IF($X184="","／支払先にないコード",""))&amp;IF($K184=0,"／明細がない","")&amp;IF($AC184&gt;0,"／税率が空の明細 "&amp;$AC184&amp;"件（合計に入っていない）","")&amp;IF($X184="","",IF(INDEX('支払先'!$G$5:$G$104,$X184)="","／登録番号なし（仕入明細書にならない）",""))&amp;IF($AB184&gt;0,"／60日（2か月）を超える明細 "&amp;$AB184&amp;"件","")&amp;IF($X184="","",IF(AND(INDEX('支払先'!$K$5:$K$104,$X184)="差し引く",OR(INDEX('支払先'!$M$5:$M$104,$X184)&lt;&gt;"対象外",INDEX('支払先'!$N$5:$N$104,$X184)&lt;&gt;"対象外")),"／手数料を差し引けない取引か確かめる",""))&amp;IF(COUNTIF($B$5:$B$204,$B184)&gt;1,"／通知Noが重複","")&amp;IF(AND(ISNUMBER($D184),ISNUMBER($F184),$F184&lt;$D184),"／支払予定日が発行日より前",""),2,300))</f>
        <v/>
      </c>
      <c r="W184" s="67" t="n"/>
      <c r="X184" s="31">
        <f>IF(OR($B184="",$C184=""),"",IFERROR(MATCH($C184,'支払先'!$B$5:$B$104,0),""))</f>
        <v/>
      </c>
      <c r="Y184" s="31">
        <f>IF($B184="","",SUMIFS('支払明細'!$I$5:$I$1004,'支払明細'!$A$5:$A$1004,$B184,'支払明細'!$G$5:$G$1004,"10%（標準）",'支払明細'!$H$5:$H$1004,"&lt;&gt;対象外"))</f>
        <v/>
      </c>
      <c r="Z184" s="31">
        <f>IF($B184="","",SUMIFS('支払明細'!$I$5:$I$1004,'支払明細'!$A$5:$A$1004,$B184,'支払明細'!$G$5:$G$1004,"8%（軽減）",'支払明細'!$H$5:$H$1004,"&lt;&gt;対象外"))</f>
        <v/>
      </c>
      <c r="AA184" s="31">
        <f>IF($B184="","",SUMIFS('支払明細'!$I$5:$I$1004,'支払明細'!$A$5:$A$1004,$B184,'支払明細'!$G$5:$G$1004,"対象外",'支払明細'!$H$5:$H$1004,"&lt;&gt;対象外"))</f>
        <v/>
      </c>
      <c r="AB184" s="31">
        <f>IF($B184="","",COUNTIFS('支払明細'!$A$5:$A$1004,$B184,'支払明細'!$M$5:$M$1004,"超える"))</f>
        <v/>
      </c>
      <c r="AC184" s="31">
        <f>IF($B184="","",COUNTIFS('支払明細'!$A$5:$A$1004,$B184,'支払明細'!$G$5:$G$1004,""))</f>
        <v/>
      </c>
    </row>
    <row r="185" ht="18" customHeight="1">
      <c r="A185" s="17" t="n">
        <v>181</v>
      </c>
      <c r="B185" s="18" t="n"/>
      <c r="C185" s="18" t="n"/>
      <c r="D185" s="24" t="n"/>
      <c r="E185" s="19" t="n"/>
      <c r="F185" s="24" t="n"/>
      <c r="G185" s="28">
        <f>IF(AND($B185&lt;&gt;"",ISNUMBER($D185)),$D185+N('設定'!$B$13),"")</f>
        <v/>
      </c>
      <c r="H185" s="18" t="n"/>
      <c r="I185" s="19" t="n"/>
      <c r="J185" s="27">
        <f>IF($B185="","",IF($C185="","（支払先コードが空）",IF($X185="","※支払先にないコード",INDEX('支払先'!$C$5:$C$104,$X185)&amp;"")))</f>
        <v/>
      </c>
      <c r="K185" s="30">
        <f>IF($B185="","",COUNTIF('支払明細'!$A$5:$A$1004,$B185))</f>
        <v/>
      </c>
      <c r="L185" s="26">
        <f>IF($B185="","",SUMIFS('支払明細'!$I$5:$I$1004,'支払明細'!$A$5:$A$1004,$B185,'支払明細'!$G$5:$G$1004,"10%（標準）"))</f>
        <v/>
      </c>
      <c r="M185" s="26">
        <f>IF($B185="","",SUMIFS('支払明細'!$I$5:$I$1004,'支払明細'!$A$5:$A$1004,$B185,'支払明細'!$G$5:$G$1004,"8%（軽減）"))</f>
        <v/>
      </c>
      <c r="N185" s="26">
        <f>IF($B185="","",SUMIFS('支払明細'!$I$5:$I$1004,'支払明細'!$A$5:$A$1004,$B185,'支払明細'!$G$5:$G$1004,"対象外"))</f>
        <v/>
      </c>
      <c r="O185" s="26">
        <f>IF($B185="","",IF('設定'!$B$11="税込",IF('設定'!$B$12="切り捨て",ROUNDDOWN(ROUND($L185*10/110,6),0),IF('設定'!$B$12="切り上げ",ROUNDUP(ROUND($L185*10/110,6),0),ROUND($L185*10/110,0))),IF('設定'!$B$12="切り捨て",ROUNDDOWN(ROUND($L185*10/100,6),0),IF('設定'!$B$12="切り上げ",ROUNDUP(ROUND($L185*10/100,6),0),ROUND($L185*10/100,0)))))</f>
        <v/>
      </c>
      <c r="P185" s="26">
        <f>IF($B185="","",IF('設定'!$B$11="税込",IF('設定'!$B$12="切り捨て",ROUNDDOWN(ROUND($M185*8/108,6),0),IF('設定'!$B$12="切り上げ",ROUNDUP(ROUND($M185*8/108,6),0),ROUND($M185*8/108,0))),IF('設定'!$B$12="切り捨て",ROUNDDOWN(ROUND($M185*8/100,6),0),IF('設定'!$B$12="切り上げ",ROUNDUP(ROUND($M185*8/100,6),0),ROUND($M185*8/100,0)))))</f>
        <v/>
      </c>
      <c r="Q185" s="26">
        <f>IF($B185="","",IF('設定'!$B$11="税込",$L185+$M185+$N185,$L185+$O185+$M185+$P185+$N185))</f>
        <v/>
      </c>
      <c r="R185" s="26">
        <f>IF($B185="","",IF($X185="",0,IF(INDEX('支払先'!$I$5:$I$104,$X185)&lt;&gt;"する",0,IF(INDEX('支払先'!$J$5:$J$104,$X185)="税抜",IF('設定'!$B$11="税込",($Y185-IF('設定'!$B$12="切り捨て",ROUNDDOWN(ROUND($Y185*10/110,6),0),IF('設定'!$B$12="切り上げ",ROUNDUP(ROUND($Y185*10/110,6),0),ROUND($Y185*10/110,0)))+$Z185-IF('設定'!$B$12="切り捨て",ROUNDDOWN(ROUND($Z185*8/108,6),0),IF('設定'!$B$12="切り上げ",ROUNDUP(ROUND($Z185*8/108,6),0),ROUND($Z185*8/108,0)))+$AA185),$Y185+$Z185+$AA185),IF('設定'!$B$11="税込",$Y185+$Z185+$AA185,($Y185+IF('設定'!$B$12="切り捨て",ROUNDDOWN(ROUND($Y185*10/100,6),0),IF('設定'!$B$12="切り上げ",ROUNDUP(ROUND($Y185*10/100,6),0),ROUND($Y185*10/100,0)))+$Z185+IF('設定'!$B$12="切り捨て",ROUNDDOWN(ROUND($Z185*8/100,6),0),IF('設定'!$B$12="切り上げ",ROUNDUP(ROUND($Z185*8/100,6),0),ROUND($Z185*8/100,0)))+$AA185))))))</f>
        <v/>
      </c>
      <c r="S185" s="26">
        <f>IF($B185="","",IF(N($R185)&lt;=0,0,IF($R185&lt;='設定'!$B$18,ROUNDDOWN(ROUND($R185*'設定'!$B$17,6),0),ROUNDDOWN(ROUND(($R185-'設定'!$B$18)*'設定'!$B$19,6),0)+'設定'!$B$20)))</f>
        <v/>
      </c>
      <c r="T185" s="26">
        <f>IF($B185="","",IF($X185="",0,IF(INDEX('支払先'!$K$5:$K$104,$X185)="差し引く",N(INDEX('支払先'!$L$5:$L$104,$X185)),0)))</f>
        <v/>
      </c>
      <c r="U185" s="26">
        <f>IF($B185="","",$Q185-$S185-$T185)</f>
        <v/>
      </c>
      <c r="V185" s="22">
        <f>IF($B185="","",MID(IF($C185="","／支払先コードが空",IF($X185="","／支払先にないコード",""))&amp;IF($K185=0,"／明細がない","")&amp;IF($AC185&gt;0,"／税率が空の明細 "&amp;$AC185&amp;"件（合計に入っていない）","")&amp;IF($X185="","",IF(INDEX('支払先'!$G$5:$G$104,$X185)="","／登録番号なし（仕入明細書にならない）",""))&amp;IF($AB185&gt;0,"／60日（2か月）を超える明細 "&amp;$AB185&amp;"件","")&amp;IF($X185="","",IF(AND(INDEX('支払先'!$K$5:$K$104,$X185)="差し引く",OR(INDEX('支払先'!$M$5:$M$104,$X185)&lt;&gt;"対象外",INDEX('支払先'!$N$5:$N$104,$X185)&lt;&gt;"対象外")),"／手数料を差し引けない取引か確かめる",""))&amp;IF(COUNTIF($B$5:$B$204,$B185)&gt;1,"／通知Noが重複","")&amp;IF(AND(ISNUMBER($D185),ISNUMBER($F185),$F185&lt;$D185),"／支払予定日が発行日より前",""),2,300))</f>
        <v/>
      </c>
      <c r="W185" s="67" t="n"/>
      <c r="X185" s="31">
        <f>IF(OR($B185="",$C185=""),"",IFERROR(MATCH($C185,'支払先'!$B$5:$B$104,0),""))</f>
        <v/>
      </c>
      <c r="Y185" s="31">
        <f>IF($B185="","",SUMIFS('支払明細'!$I$5:$I$1004,'支払明細'!$A$5:$A$1004,$B185,'支払明細'!$G$5:$G$1004,"10%（標準）",'支払明細'!$H$5:$H$1004,"&lt;&gt;対象外"))</f>
        <v/>
      </c>
      <c r="Z185" s="31">
        <f>IF($B185="","",SUMIFS('支払明細'!$I$5:$I$1004,'支払明細'!$A$5:$A$1004,$B185,'支払明細'!$G$5:$G$1004,"8%（軽減）",'支払明細'!$H$5:$H$1004,"&lt;&gt;対象外"))</f>
        <v/>
      </c>
      <c r="AA185" s="31">
        <f>IF($B185="","",SUMIFS('支払明細'!$I$5:$I$1004,'支払明細'!$A$5:$A$1004,$B185,'支払明細'!$G$5:$G$1004,"対象外",'支払明細'!$H$5:$H$1004,"&lt;&gt;対象外"))</f>
        <v/>
      </c>
      <c r="AB185" s="31">
        <f>IF($B185="","",COUNTIFS('支払明細'!$A$5:$A$1004,$B185,'支払明細'!$M$5:$M$1004,"超える"))</f>
        <v/>
      </c>
      <c r="AC185" s="31">
        <f>IF($B185="","",COUNTIFS('支払明細'!$A$5:$A$1004,$B185,'支払明細'!$G$5:$G$1004,""))</f>
        <v/>
      </c>
    </row>
    <row r="186" ht="18" customHeight="1">
      <c r="A186" s="17" t="n">
        <v>182</v>
      </c>
      <c r="B186" s="18" t="n"/>
      <c r="C186" s="18" t="n"/>
      <c r="D186" s="24" t="n"/>
      <c r="E186" s="19" t="n"/>
      <c r="F186" s="24" t="n"/>
      <c r="G186" s="28">
        <f>IF(AND($B186&lt;&gt;"",ISNUMBER($D186)),$D186+N('設定'!$B$13),"")</f>
        <v/>
      </c>
      <c r="H186" s="18" t="n"/>
      <c r="I186" s="19" t="n"/>
      <c r="J186" s="27">
        <f>IF($B186="","",IF($C186="","（支払先コードが空）",IF($X186="","※支払先にないコード",INDEX('支払先'!$C$5:$C$104,$X186)&amp;"")))</f>
        <v/>
      </c>
      <c r="K186" s="30">
        <f>IF($B186="","",COUNTIF('支払明細'!$A$5:$A$1004,$B186))</f>
        <v/>
      </c>
      <c r="L186" s="26">
        <f>IF($B186="","",SUMIFS('支払明細'!$I$5:$I$1004,'支払明細'!$A$5:$A$1004,$B186,'支払明細'!$G$5:$G$1004,"10%（標準）"))</f>
        <v/>
      </c>
      <c r="M186" s="26">
        <f>IF($B186="","",SUMIFS('支払明細'!$I$5:$I$1004,'支払明細'!$A$5:$A$1004,$B186,'支払明細'!$G$5:$G$1004,"8%（軽減）"))</f>
        <v/>
      </c>
      <c r="N186" s="26">
        <f>IF($B186="","",SUMIFS('支払明細'!$I$5:$I$1004,'支払明細'!$A$5:$A$1004,$B186,'支払明細'!$G$5:$G$1004,"対象外"))</f>
        <v/>
      </c>
      <c r="O186" s="26">
        <f>IF($B186="","",IF('設定'!$B$11="税込",IF('設定'!$B$12="切り捨て",ROUNDDOWN(ROUND($L186*10/110,6),0),IF('設定'!$B$12="切り上げ",ROUNDUP(ROUND($L186*10/110,6),0),ROUND($L186*10/110,0))),IF('設定'!$B$12="切り捨て",ROUNDDOWN(ROUND($L186*10/100,6),0),IF('設定'!$B$12="切り上げ",ROUNDUP(ROUND($L186*10/100,6),0),ROUND($L186*10/100,0)))))</f>
        <v/>
      </c>
      <c r="P186" s="26">
        <f>IF($B186="","",IF('設定'!$B$11="税込",IF('設定'!$B$12="切り捨て",ROUNDDOWN(ROUND($M186*8/108,6),0),IF('設定'!$B$12="切り上げ",ROUNDUP(ROUND($M186*8/108,6),0),ROUND($M186*8/108,0))),IF('設定'!$B$12="切り捨て",ROUNDDOWN(ROUND($M186*8/100,6),0),IF('設定'!$B$12="切り上げ",ROUNDUP(ROUND($M186*8/100,6),0),ROUND($M186*8/100,0)))))</f>
        <v/>
      </c>
      <c r="Q186" s="26">
        <f>IF($B186="","",IF('設定'!$B$11="税込",$L186+$M186+$N186,$L186+$O186+$M186+$P186+$N186))</f>
        <v/>
      </c>
      <c r="R186" s="26">
        <f>IF($B186="","",IF($X186="",0,IF(INDEX('支払先'!$I$5:$I$104,$X186)&lt;&gt;"する",0,IF(INDEX('支払先'!$J$5:$J$104,$X186)="税抜",IF('設定'!$B$11="税込",($Y186-IF('設定'!$B$12="切り捨て",ROUNDDOWN(ROUND($Y186*10/110,6),0),IF('設定'!$B$12="切り上げ",ROUNDUP(ROUND($Y186*10/110,6),0),ROUND($Y186*10/110,0)))+$Z186-IF('設定'!$B$12="切り捨て",ROUNDDOWN(ROUND($Z186*8/108,6),0),IF('設定'!$B$12="切り上げ",ROUNDUP(ROUND($Z186*8/108,6),0),ROUND($Z186*8/108,0)))+$AA186),$Y186+$Z186+$AA186),IF('設定'!$B$11="税込",$Y186+$Z186+$AA186,($Y186+IF('設定'!$B$12="切り捨て",ROUNDDOWN(ROUND($Y186*10/100,6),0),IF('設定'!$B$12="切り上げ",ROUNDUP(ROUND($Y186*10/100,6),0),ROUND($Y186*10/100,0)))+$Z186+IF('設定'!$B$12="切り捨て",ROUNDDOWN(ROUND($Z186*8/100,6),0),IF('設定'!$B$12="切り上げ",ROUNDUP(ROUND($Z186*8/100,6),0),ROUND($Z186*8/100,0)))+$AA186))))))</f>
        <v/>
      </c>
      <c r="S186" s="26">
        <f>IF($B186="","",IF(N($R186)&lt;=0,0,IF($R186&lt;='設定'!$B$18,ROUNDDOWN(ROUND($R186*'設定'!$B$17,6),0),ROUNDDOWN(ROUND(($R186-'設定'!$B$18)*'設定'!$B$19,6),0)+'設定'!$B$20)))</f>
        <v/>
      </c>
      <c r="T186" s="26">
        <f>IF($B186="","",IF($X186="",0,IF(INDEX('支払先'!$K$5:$K$104,$X186)="差し引く",N(INDEX('支払先'!$L$5:$L$104,$X186)),0)))</f>
        <v/>
      </c>
      <c r="U186" s="26">
        <f>IF($B186="","",$Q186-$S186-$T186)</f>
        <v/>
      </c>
      <c r="V186" s="22">
        <f>IF($B186="","",MID(IF($C186="","／支払先コードが空",IF($X186="","／支払先にないコード",""))&amp;IF($K186=0,"／明細がない","")&amp;IF($AC186&gt;0,"／税率が空の明細 "&amp;$AC186&amp;"件（合計に入っていない）","")&amp;IF($X186="","",IF(INDEX('支払先'!$G$5:$G$104,$X186)="","／登録番号なし（仕入明細書にならない）",""))&amp;IF($AB186&gt;0,"／60日（2か月）を超える明細 "&amp;$AB186&amp;"件","")&amp;IF($X186="","",IF(AND(INDEX('支払先'!$K$5:$K$104,$X186)="差し引く",OR(INDEX('支払先'!$M$5:$M$104,$X186)&lt;&gt;"対象外",INDEX('支払先'!$N$5:$N$104,$X186)&lt;&gt;"対象外")),"／手数料を差し引けない取引か確かめる",""))&amp;IF(COUNTIF($B$5:$B$204,$B186)&gt;1,"／通知Noが重複","")&amp;IF(AND(ISNUMBER($D186),ISNUMBER($F186),$F186&lt;$D186),"／支払予定日が発行日より前",""),2,300))</f>
        <v/>
      </c>
      <c r="W186" s="67" t="n"/>
      <c r="X186" s="31">
        <f>IF(OR($B186="",$C186=""),"",IFERROR(MATCH($C186,'支払先'!$B$5:$B$104,0),""))</f>
        <v/>
      </c>
      <c r="Y186" s="31">
        <f>IF($B186="","",SUMIFS('支払明細'!$I$5:$I$1004,'支払明細'!$A$5:$A$1004,$B186,'支払明細'!$G$5:$G$1004,"10%（標準）",'支払明細'!$H$5:$H$1004,"&lt;&gt;対象外"))</f>
        <v/>
      </c>
      <c r="Z186" s="31">
        <f>IF($B186="","",SUMIFS('支払明細'!$I$5:$I$1004,'支払明細'!$A$5:$A$1004,$B186,'支払明細'!$G$5:$G$1004,"8%（軽減）",'支払明細'!$H$5:$H$1004,"&lt;&gt;対象外"))</f>
        <v/>
      </c>
      <c r="AA186" s="31">
        <f>IF($B186="","",SUMIFS('支払明細'!$I$5:$I$1004,'支払明細'!$A$5:$A$1004,$B186,'支払明細'!$G$5:$G$1004,"対象外",'支払明細'!$H$5:$H$1004,"&lt;&gt;対象外"))</f>
        <v/>
      </c>
      <c r="AB186" s="31">
        <f>IF($B186="","",COUNTIFS('支払明細'!$A$5:$A$1004,$B186,'支払明細'!$M$5:$M$1004,"超える"))</f>
        <v/>
      </c>
      <c r="AC186" s="31">
        <f>IF($B186="","",COUNTIFS('支払明細'!$A$5:$A$1004,$B186,'支払明細'!$G$5:$G$1004,""))</f>
        <v/>
      </c>
    </row>
    <row r="187" ht="18" customHeight="1">
      <c r="A187" s="17" t="n">
        <v>183</v>
      </c>
      <c r="B187" s="18" t="n"/>
      <c r="C187" s="18" t="n"/>
      <c r="D187" s="24" t="n"/>
      <c r="E187" s="19" t="n"/>
      <c r="F187" s="24" t="n"/>
      <c r="G187" s="28">
        <f>IF(AND($B187&lt;&gt;"",ISNUMBER($D187)),$D187+N('設定'!$B$13),"")</f>
        <v/>
      </c>
      <c r="H187" s="18" t="n"/>
      <c r="I187" s="19" t="n"/>
      <c r="J187" s="27">
        <f>IF($B187="","",IF($C187="","（支払先コードが空）",IF($X187="","※支払先にないコード",INDEX('支払先'!$C$5:$C$104,$X187)&amp;"")))</f>
        <v/>
      </c>
      <c r="K187" s="30">
        <f>IF($B187="","",COUNTIF('支払明細'!$A$5:$A$1004,$B187))</f>
        <v/>
      </c>
      <c r="L187" s="26">
        <f>IF($B187="","",SUMIFS('支払明細'!$I$5:$I$1004,'支払明細'!$A$5:$A$1004,$B187,'支払明細'!$G$5:$G$1004,"10%（標準）"))</f>
        <v/>
      </c>
      <c r="M187" s="26">
        <f>IF($B187="","",SUMIFS('支払明細'!$I$5:$I$1004,'支払明細'!$A$5:$A$1004,$B187,'支払明細'!$G$5:$G$1004,"8%（軽減）"))</f>
        <v/>
      </c>
      <c r="N187" s="26">
        <f>IF($B187="","",SUMIFS('支払明細'!$I$5:$I$1004,'支払明細'!$A$5:$A$1004,$B187,'支払明細'!$G$5:$G$1004,"対象外"))</f>
        <v/>
      </c>
      <c r="O187" s="26">
        <f>IF($B187="","",IF('設定'!$B$11="税込",IF('設定'!$B$12="切り捨て",ROUNDDOWN(ROUND($L187*10/110,6),0),IF('設定'!$B$12="切り上げ",ROUNDUP(ROUND($L187*10/110,6),0),ROUND($L187*10/110,0))),IF('設定'!$B$12="切り捨て",ROUNDDOWN(ROUND($L187*10/100,6),0),IF('設定'!$B$12="切り上げ",ROUNDUP(ROUND($L187*10/100,6),0),ROUND($L187*10/100,0)))))</f>
        <v/>
      </c>
      <c r="P187" s="26">
        <f>IF($B187="","",IF('設定'!$B$11="税込",IF('設定'!$B$12="切り捨て",ROUNDDOWN(ROUND($M187*8/108,6),0),IF('設定'!$B$12="切り上げ",ROUNDUP(ROUND($M187*8/108,6),0),ROUND($M187*8/108,0))),IF('設定'!$B$12="切り捨て",ROUNDDOWN(ROUND($M187*8/100,6),0),IF('設定'!$B$12="切り上げ",ROUNDUP(ROUND($M187*8/100,6),0),ROUND($M187*8/100,0)))))</f>
        <v/>
      </c>
      <c r="Q187" s="26">
        <f>IF($B187="","",IF('設定'!$B$11="税込",$L187+$M187+$N187,$L187+$O187+$M187+$P187+$N187))</f>
        <v/>
      </c>
      <c r="R187" s="26">
        <f>IF($B187="","",IF($X187="",0,IF(INDEX('支払先'!$I$5:$I$104,$X187)&lt;&gt;"する",0,IF(INDEX('支払先'!$J$5:$J$104,$X187)="税抜",IF('設定'!$B$11="税込",($Y187-IF('設定'!$B$12="切り捨て",ROUNDDOWN(ROUND($Y187*10/110,6),0),IF('設定'!$B$12="切り上げ",ROUNDUP(ROUND($Y187*10/110,6),0),ROUND($Y187*10/110,0)))+$Z187-IF('設定'!$B$12="切り捨て",ROUNDDOWN(ROUND($Z187*8/108,6),0),IF('設定'!$B$12="切り上げ",ROUNDUP(ROUND($Z187*8/108,6),0),ROUND($Z187*8/108,0)))+$AA187),$Y187+$Z187+$AA187),IF('設定'!$B$11="税込",$Y187+$Z187+$AA187,($Y187+IF('設定'!$B$12="切り捨て",ROUNDDOWN(ROUND($Y187*10/100,6),0),IF('設定'!$B$12="切り上げ",ROUNDUP(ROUND($Y187*10/100,6),0),ROUND($Y187*10/100,0)))+$Z187+IF('設定'!$B$12="切り捨て",ROUNDDOWN(ROUND($Z187*8/100,6),0),IF('設定'!$B$12="切り上げ",ROUNDUP(ROUND($Z187*8/100,6),0),ROUND($Z187*8/100,0)))+$AA187))))))</f>
        <v/>
      </c>
      <c r="S187" s="26">
        <f>IF($B187="","",IF(N($R187)&lt;=0,0,IF($R187&lt;='設定'!$B$18,ROUNDDOWN(ROUND($R187*'設定'!$B$17,6),0),ROUNDDOWN(ROUND(($R187-'設定'!$B$18)*'設定'!$B$19,6),0)+'設定'!$B$20)))</f>
        <v/>
      </c>
      <c r="T187" s="26">
        <f>IF($B187="","",IF($X187="",0,IF(INDEX('支払先'!$K$5:$K$104,$X187)="差し引く",N(INDEX('支払先'!$L$5:$L$104,$X187)),0)))</f>
        <v/>
      </c>
      <c r="U187" s="26">
        <f>IF($B187="","",$Q187-$S187-$T187)</f>
        <v/>
      </c>
      <c r="V187" s="22">
        <f>IF($B187="","",MID(IF($C187="","／支払先コードが空",IF($X187="","／支払先にないコード",""))&amp;IF($K187=0,"／明細がない","")&amp;IF($AC187&gt;0,"／税率が空の明細 "&amp;$AC187&amp;"件（合計に入っていない）","")&amp;IF($X187="","",IF(INDEX('支払先'!$G$5:$G$104,$X187)="","／登録番号なし（仕入明細書にならない）",""))&amp;IF($AB187&gt;0,"／60日（2か月）を超える明細 "&amp;$AB187&amp;"件","")&amp;IF($X187="","",IF(AND(INDEX('支払先'!$K$5:$K$104,$X187)="差し引く",OR(INDEX('支払先'!$M$5:$M$104,$X187)&lt;&gt;"対象外",INDEX('支払先'!$N$5:$N$104,$X187)&lt;&gt;"対象外")),"／手数料を差し引けない取引か確かめる",""))&amp;IF(COUNTIF($B$5:$B$204,$B187)&gt;1,"／通知Noが重複","")&amp;IF(AND(ISNUMBER($D187),ISNUMBER($F187),$F187&lt;$D187),"／支払予定日が発行日より前",""),2,300))</f>
        <v/>
      </c>
      <c r="W187" s="67" t="n"/>
      <c r="X187" s="31">
        <f>IF(OR($B187="",$C187=""),"",IFERROR(MATCH($C187,'支払先'!$B$5:$B$104,0),""))</f>
        <v/>
      </c>
      <c r="Y187" s="31">
        <f>IF($B187="","",SUMIFS('支払明細'!$I$5:$I$1004,'支払明細'!$A$5:$A$1004,$B187,'支払明細'!$G$5:$G$1004,"10%（標準）",'支払明細'!$H$5:$H$1004,"&lt;&gt;対象外"))</f>
        <v/>
      </c>
      <c r="Z187" s="31">
        <f>IF($B187="","",SUMIFS('支払明細'!$I$5:$I$1004,'支払明細'!$A$5:$A$1004,$B187,'支払明細'!$G$5:$G$1004,"8%（軽減）",'支払明細'!$H$5:$H$1004,"&lt;&gt;対象外"))</f>
        <v/>
      </c>
      <c r="AA187" s="31">
        <f>IF($B187="","",SUMIFS('支払明細'!$I$5:$I$1004,'支払明細'!$A$5:$A$1004,$B187,'支払明細'!$G$5:$G$1004,"対象外",'支払明細'!$H$5:$H$1004,"&lt;&gt;対象外"))</f>
        <v/>
      </c>
      <c r="AB187" s="31">
        <f>IF($B187="","",COUNTIFS('支払明細'!$A$5:$A$1004,$B187,'支払明細'!$M$5:$M$1004,"超える"))</f>
        <v/>
      </c>
      <c r="AC187" s="31">
        <f>IF($B187="","",COUNTIFS('支払明細'!$A$5:$A$1004,$B187,'支払明細'!$G$5:$G$1004,""))</f>
        <v/>
      </c>
    </row>
    <row r="188" ht="18" customHeight="1">
      <c r="A188" s="17" t="n">
        <v>184</v>
      </c>
      <c r="B188" s="18" t="n"/>
      <c r="C188" s="18" t="n"/>
      <c r="D188" s="24" t="n"/>
      <c r="E188" s="19" t="n"/>
      <c r="F188" s="24" t="n"/>
      <c r="G188" s="28">
        <f>IF(AND($B188&lt;&gt;"",ISNUMBER($D188)),$D188+N('設定'!$B$13),"")</f>
        <v/>
      </c>
      <c r="H188" s="18" t="n"/>
      <c r="I188" s="19" t="n"/>
      <c r="J188" s="27">
        <f>IF($B188="","",IF($C188="","（支払先コードが空）",IF($X188="","※支払先にないコード",INDEX('支払先'!$C$5:$C$104,$X188)&amp;"")))</f>
        <v/>
      </c>
      <c r="K188" s="30">
        <f>IF($B188="","",COUNTIF('支払明細'!$A$5:$A$1004,$B188))</f>
        <v/>
      </c>
      <c r="L188" s="26">
        <f>IF($B188="","",SUMIFS('支払明細'!$I$5:$I$1004,'支払明細'!$A$5:$A$1004,$B188,'支払明細'!$G$5:$G$1004,"10%（標準）"))</f>
        <v/>
      </c>
      <c r="M188" s="26">
        <f>IF($B188="","",SUMIFS('支払明細'!$I$5:$I$1004,'支払明細'!$A$5:$A$1004,$B188,'支払明細'!$G$5:$G$1004,"8%（軽減）"))</f>
        <v/>
      </c>
      <c r="N188" s="26">
        <f>IF($B188="","",SUMIFS('支払明細'!$I$5:$I$1004,'支払明細'!$A$5:$A$1004,$B188,'支払明細'!$G$5:$G$1004,"対象外"))</f>
        <v/>
      </c>
      <c r="O188" s="26">
        <f>IF($B188="","",IF('設定'!$B$11="税込",IF('設定'!$B$12="切り捨て",ROUNDDOWN(ROUND($L188*10/110,6),0),IF('設定'!$B$12="切り上げ",ROUNDUP(ROUND($L188*10/110,6),0),ROUND($L188*10/110,0))),IF('設定'!$B$12="切り捨て",ROUNDDOWN(ROUND($L188*10/100,6),0),IF('設定'!$B$12="切り上げ",ROUNDUP(ROUND($L188*10/100,6),0),ROUND($L188*10/100,0)))))</f>
        <v/>
      </c>
      <c r="P188" s="26">
        <f>IF($B188="","",IF('設定'!$B$11="税込",IF('設定'!$B$12="切り捨て",ROUNDDOWN(ROUND($M188*8/108,6),0),IF('設定'!$B$12="切り上げ",ROUNDUP(ROUND($M188*8/108,6),0),ROUND($M188*8/108,0))),IF('設定'!$B$12="切り捨て",ROUNDDOWN(ROUND($M188*8/100,6),0),IF('設定'!$B$12="切り上げ",ROUNDUP(ROUND($M188*8/100,6),0),ROUND($M188*8/100,0)))))</f>
        <v/>
      </c>
      <c r="Q188" s="26">
        <f>IF($B188="","",IF('設定'!$B$11="税込",$L188+$M188+$N188,$L188+$O188+$M188+$P188+$N188))</f>
        <v/>
      </c>
      <c r="R188" s="26">
        <f>IF($B188="","",IF($X188="",0,IF(INDEX('支払先'!$I$5:$I$104,$X188)&lt;&gt;"する",0,IF(INDEX('支払先'!$J$5:$J$104,$X188)="税抜",IF('設定'!$B$11="税込",($Y188-IF('設定'!$B$12="切り捨て",ROUNDDOWN(ROUND($Y188*10/110,6),0),IF('設定'!$B$12="切り上げ",ROUNDUP(ROUND($Y188*10/110,6),0),ROUND($Y188*10/110,0)))+$Z188-IF('設定'!$B$12="切り捨て",ROUNDDOWN(ROUND($Z188*8/108,6),0),IF('設定'!$B$12="切り上げ",ROUNDUP(ROUND($Z188*8/108,6),0),ROUND($Z188*8/108,0)))+$AA188),$Y188+$Z188+$AA188),IF('設定'!$B$11="税込",$Y188+$Z188+$AA188,($Y188+IF('設定'!$B$12="切り捨て",ROUNDDOWN(ROUND($Y188*10/100,6),0),IF('設定'!$B$12="切り上げ",ROUNDUP(ROUND($Y188*10/100,6),0),ROUND($Y188*10/100,0)))+$Z188+IF('設定'!$B$12="切り捨て",ROUNDDOWN(ROUND($Z188*8/100,6),0),IF('設定'!$B$12="切り上げ",ROUNDUP(ROUND($Z188*8/100,6),0),ROUND($Z188*8/100,0)))+$AA188))))))</f>
        <v/>
      </c>
      <c r="S188" s="26">
        <f>IF($B188="","",IF(N($R188)&lt;=0,0,IF($R188&lt;='設定'!$B$18,ROUNDDOWN(ROUND($R188*'設定'!$B$17,6),0),ROUNDDOWN(ROUND(($R188-'設定'!$B$18)*'設定'!$B$19,6),0)+'設定'!$B$20)))</f>
        <v/>
      </c>
      <c r="T188" s="26">
        <f>IF($B188="","",IF($X188="",0,IF(INDEX('支払先'!$K$5:$K$104,$X188)="差し引く",N(INDEX('支払先'!$L$5:$L$104,$X188)),0)))</f>
        <v/>
      </c>
      <c r="U188" s="26">
        <f>IF($B188="","",$Q188-$S188-$T188)</f>
        <v/>
      </c>
      <c r="V188" s="22">
        <f>IF($B188="","",MID(IF($C188="","／支払先コードが空",IF($X188="","／支払先にないコード",""))&amp;IF($K188=0,"／明細がない","")&amp;IF($AC188&gt;0,"／税率が空の明細 "&amp;$AC188&amp;"件（合計に入っていない）","")&amp;IF($X188="","",IF(INDEX('支払先'!$G$5:$G$104,$X188)="","／登録番号なし（仕入明細書にならない）",""))&amp;IF($AB188&gt;0,"／60日（2か月）を超える明細 "&amp;$AB188&amp;"件","")&amp;IF($X188="","",IF(AND(INDEX('支払先'!$K$5:$K$104,$X188)="差し引く",OR(INDEX('支払先'!$M$5:$M$104,$X188)&lt;&gt;"対象外",INDEX('支払先'!$N$5:$N$104,$X188)&lt;&gt;"対象外")),"／手数料を差し引けない取引か確かめる",""))&amp;IF(COUNTIF($B$5:$B$204,$B188)&gt;1,"／通知Noが重複","")&amp;IF(AND(ISNUMBER($D188),ISNUMBER($F188),$F188&lt;$D188),"／支払予定日が発行日より前",""),2,300))</f>
        <v/>
      </c>
      <c r="W188" s="67" t="n"/>
      <c r="X188" s="31">
        <f>IF(OR($B188="",$C188=""),"",IFERROR(MATCH($C188,'支払先'!$B$5:$B$104,0),""))</f>
        <v/>
      </c>
      <c r="Y188" s="31">
        <f>IF($B188="","",SUMIFS('支払明細'!$I$5:$I$1004,'支払明細'!$A$5:$A$1004,$B188,'支払明細'!$G$5:$G$1004,"10%（標準）",'支払明細'!$H$5:$H$1004,"&lt;&gt;対象外"))</f>
        <v/>
      </c>
      <c r="Z188" s="31">
        <f>IF($B188="","",SUMIFS('支払明細'!$I$5:$I$1004,'支払明細'!$A$5:$A$1004,$B188,'支払明細'!$G$5:$G$1004,"8%（軽減）",'支払明細'!$H$5:$H$1004,"&lt;&gt;対象外"))</f>
        <v/>
      </c>
      <c r="AA188" s="31">
        <f>IF($B188="","",SUMIFS('支払明細'!$I$5:$I$1004,'支払明細'!$A$5:$A$1004,$B188,'支払明細'!$G$5:$G$1004,"対象外",'支払明細'!$H$5:$H$1004,"&lt;&gt;対象外"))</f>
        <v/>
      </c>
      <c r="AB188" s="31">
        <f>IF($B188="","",COUNTIFS('支払明細'!$A$5:$A$1004,$B188,'支払明細'!$M$5:$M$1004,"超える"))</f>
        <v/>
      </c>
      <c r="AC188" s="31">
        <f>IF($B188="","",COUNTIFS('支払明細'!$A$5:$A$1004,$B188,'支払明細'!$G$5:$G$1004,""))</f>
        <v/>
      </c>
    </row>
    <row r="189" ht="18" customHeight="1">
      <c r="A189" s="17" t="n">
        <v>185</v>
      </c>
      <c r="B189" s="18" t="n"/>
      <c r="C189" s="18" t="n"/>
      <c r="D189" s="24" t="n"/>
      <c r="E189" s="19" t="n"/>
      <c r="F189" s="24" t="n"/>
      <c r="G189" s="28">
        <f>IF(AND($B189&lt;&gt;"",ISNUMBER($D189)),$D189+N('設定'!$B$13),"")</f>
        <v/>
      </c>
      <c r="H189" s="18" t="n"/>
      <c r="I189" s="19" t="n"/>
      <c r="J189" s="27">
        <f>IF($B189="","",IF($C189="","（支払先コードが空）",IF($X189="","※支払先にないコード",INDEX('支払先'!$C$5:$C$104,$X189)&amp;"")))</f>
        <v/>
      </c>
      <c r="K189" s="30">
        <f>IF($B189="","",COUNTIF('支払明細'!$A$5:$A$1004,$B189))</f>
        <v/>
      </c>
      <c r="L189" s="26">
        <f>IF($B189="","",SUMIFS('支払明細'!$I$5:$I$1004,'支払明細'!$A$5:$A$1004,$B189,'支払明細'!$G$5:$G$1004,"10%（標準）"))</f>
        <v/>
      </c>
      <c r="M189" s="26">
        <f>IF($B189="","",SUMIFS('支払明細'!$I$5:$I$1004,'支払明細'!$A$5:$A$1004,$B189,'支払明細'!$G$5:$G$1004,"8%（軽減）"))</f>
        <v/>
      </c>
      <c r="N189" s="26">
        <f>IF($B189="","",SUMIFS('支払明細'!$I$5:$I$1004,'支払明細'!$A$5:$A$1004,$B189,'支払明細'!$G$5:$G$1004,"対象外"))</f>
        <v/>
      </c>
      <c r="O189" s="26">
        <f>IF($B189="","",IF('設定'!$B$11="税込",IF('設定'!$B$12="切り捨て",ROUNDDOWN(ROUND($L189*10/110,6),0),IF('設定'!$B$12="切り上げ",ROUNDUP(ROUND($L189*10/110,6),0),ROUND($L189*10/110,0))),IF('設定'!$B$12="切り捨て",ROUNDDOWN(ROUND($L189*10/100,6),0),IF('設定'!$B$12="切り上げ",ROUNDUP(ROUND($L189*10/100,6),0),ROUND($L189*10/100,0)))))</f>
        <v/>
      </c>
      <c r="P189" s="26">
        <f>IF($B189="","",IF('設定'!$B$11="税込",IF('設定'!$B$12="切り捨て",ROUNDDOWN(ROUND($M189*8/108,6),0),IF('設定'!$B$12="切り上げ",ROUNDUP(ROUND($M189*8/108,6),0),ROUND($M189*8/108,0))),IF('設定'!$B$12="切り捨て",ROUNDDOWN(ROUND($M189*8/100,6),0),IF('設定'!$B$12="切り上げ",ROUNDUP(ROUND($M189*8/100,6),0),ROUND($M189*8/100,0)))))</f>
        <v/>
      </c>
      <c r="Q189" s="26">
        <f>IF($B189="","",IF('設定'!$B$11="税込",$L189+$M189+$N189,$L189+$O189+$M189+$P189+$N189))</f>
        <v/>
      </c>
      <c r="R189" s="26">
        <f>IF($B189="","",IF($X189="",0,IF(INDEX('支払先'!$I$5:$I$104,$X189)&lt;&gt;"する",0,IF(INDEX('支払先'!$J$5:$J$104,$X189)="税抜",IF('設定'!$B$11="税込",($Y189-IF('設定'!$B$12="切り捨て",ROUNDDOWN(ROUND($Y189*10/110,6),0),IF('設定'!$B$12="切り上げ",ROUNDUP(ROUND($Y189*10/110,6),0),ROUND($Y189*10/110,0)))+$Z189-IF('設定'!$B$12="切り捨て",ROUNDDOWN(ROUND($Z189*8/108,6),0),IF('設定'!$B$12="切り上げ",ROUNDUP(ROUND($Z189*8/108,6),0),ROUND($Z189*8/108,0)))+$AA189),$Y189+$Z189+$AA189),IF('設定'!$B$11="税込",$Y189+$Z189+$AA189,($Y189+IF('設定'!$B$12="切り捨て",ROUNDDOWN(ROUND($Y189*10/100,6),0),IF('設定'!$B$12="切り上げ",ROUNDUP(ROUND($Y189*10/100,6),0),ROUND($Y189*10/100,0)))+$Z189+IF('設定'!$B$12="切り捨て",ROUNDDOWN(ROUND($Z189*8/100,6),0),IF('設定'!$B$12="切り上げ",ROUNDUP(ROUND($Z189*8/100,6),0),ROUND($Z189*8/100,0)))+$AA189))))))</f>
        <v/>
      </c>
      <c r="S189" s="26">
        <f>IF($B189="","",IF(N($R189)&lt;=0,0,IF($R189&lt;='設定'!$B$18,ROUNDDOWN(ROUND($R189*'設定'!$B$17,6),0),ROUNDDOWN(ROUND(($R189-'設定'!$B$18)*'設定'!$B$19,6),0)+'設定'!$B$20)))</f>
        <v/>
      </c>
      <c r="T189" s="26">
        <f>IF($B189="","",IF($X189="",0,IF(INDEX('支払先'!$K$5:$K$104,$X189)="差し引く",N(INDEX('支払先'!$L$5:$L$104,$X189)),0)))</f>
        <v/>
      </c>
      <c r="U189" s="26">
        <f>IF($B189="","",$Q189-$S189-$T189)</f>
        <v/>
      </c>
      <c r="V189" s="22">
        <f>IF($B189="","",MID(IF($C189="","／支払先コードが空",IF($X189="","／支払先にないコード",""))&amp;IF($K189=0,"／明細がない","")&amp;IF($AC189&gt;0,"／税率が空の明細 "&amp;$AC189&amp;"件（合計に入っていない）","")&amp;IF($X189="","",IF(INDEX('支払先'!$G$5:$G$104,$X189)="","／登録番号なし（仕入明細書にならない）",""))&amp;IF($AB189&gt;0,"／60日（2か月）を超える明細 "&amp;$AB189&amp;"件","")&amp;IF($X189="","",IF(AND(INDEX('支払先'!$K$5:$K$104,$X189)="差し引く",OR(INDEX('支払先'!$M$5:$M$104,$X189)&lt;&gt;"対象外",INDEX('支払先'!$N$5:$N$104,$X189)&lt;&gt;"対象外")),"／手数料を差し引けない取引か確かめる",""))&amp;IF(COUNTIF($B$5:$B$204,$B189)&gt;1,"／通知Noが重複","")&amp;IF(AND(ISNUMBER($D189),ISNUMBER($F189),$F189&lt;$D189),"／支払予定日が発行日より前",""),2,300))</f>
        <v/>
      </c>
      <c r="W189" s="67" t="n"/>
      <c r="X189" s="31">
        <f>IF(OR($B189="",$C189=""),"",IFERROR(MATCH($C189,'支払先'!$B$5:$B$104,0),""))</f>
        <v/>
      </c>
      <c r="Y189" s="31">
        <f>IF($B189="","",SUMIFS('支払明細'!$I$5:$I$1004,'支払明細'!$A$5:$A$1004,$B189,'支払明細'!$G$5:$G$1004,"10%（標準）",'支払明細'!$H$5:$H$1004,"&lt;&gt;対象外"))</f>
        <v/>
      </c>
      <c r="Z189" s="31">
        <f>IF($B189="","",SUMIFS('支払明細'!$I$5:$I$1004,'支払明細'!$A$5:$A$1004,$B189,'支払明細'!$G$5:$G$1004,"8%（軽減）",'支払明細'!$H$5:$H$1004,"&lt;&gt;対象外"))</f>
        <v/>
      </c>
      <c r="AA189" s="31">
        <f>IF($B189="","",SUMIFS('支払明細'!$I$5:$I$1004,'支払明細'!$A$5:$A$1004,$B189,'支払明細'!$G$5:$G$1004,"対象外",'支払明細'!$H$5:$H$1004,"&lt;&gt;対象外"))</f>
        <v/>
      </c>
      <c r="AB189" s="31">
        <f>IF($B189="","",COUNTIFS('支払明細'!$A$5:$A$1004,$B189,'支払明細'!$M$5:$M$1004,"超える"))</f>
        <v/>
      </c>
      <c r="AC189" s="31">
        <f>IF($B189="","",COUNTIFS('支払明細'!$A$5:$A$1004,$B189,'支払明細'!$G$5:$G$1004,""))</f>
        <v/>
      </c>
    </row>
    <row r="190" ht="18" customHeight="1">
      <c r="A190" s="17" t="n">
        <v>186</v>
      </c>
      <c r="B190" s="18" t="n"/>
      <c r="C190" s="18" t="n"/>
      <c r="D190" s="24" t="n"/>
      <c r="E190" s="19" t="n"/>
      <c r="F190" s="24" t="n"/>
      <c r="G190" s="28">
        <f>IF(AND($B190&lt;&gt;"",ISNUMBER($D190)),$D190+N('設定'!$B$13),"")</f>
        <v/>
      </c>
      <c r="H190" s="18" t="n"/>
      <c r="I190" s="19" t="n"/>
      <c r="J190" s="27">
        <f>IF($B190="","",IF($C190="","（支払先コードが空）",IF($X190="","※支払先にないコード",INDEX('支払先'!$C$5:$C$104,$X190)&amp;"")))</f>
        <v/>
      </c>
      <c r="K190" s="30">
        <f>IF($B190="","",COUNTIF('支払明細'!$A$5:$A$1004,$B190))</f>
        <v/>
      </c>
      <c r="L190" s="26">
        <f>IF($B190="","",SUMIFS('支払明細'!$I$5:$I$1004,'支払明細'!$A$5:$A$1004,$B190,'支払明細'!$G$5:$G$1004,"10%（標準）"))</f>
        <v/>
      </c>
      <c r="M190" s="26">
        <f>IF($B190="","",SUMIFS('支払明細'!$I$5:$I$1004,'支払明細'!$A$5:$A$1004,$B190,'支払明細'!$G$5:$G$1004,"8%（軽減）"))</f>
        <v/>
      </c>
      <c r="N190" s="26">
        <f>IF($B190="","",SUMIFS('支払明細'!$I$5:$I$1004,'支払明細'!$A$5:$A$1004,$B190,'支払明細'!$G$5:$G$1004,"対象外"))</f>
        <v/>
      </c>
      <c r="O190" s="26">
        <f>IF($B190="","",IF('設定'!$B$11="税込",IF('設定'!$B$12="切り捨て",ROUNDDOWN(ROUND($L190*10/110,6),0),IF('設定'!$B$12="切り上げ",ROUNDUP(ROUND($L190*10/110,6),0),ROUND($L190*10/110,0))),IF('設定'!$B$12="切り捨て",ROUNDDOWN(ROUND($L190*10/100,6),0),IF('設定'!$B$12="切り上げ",ROUNDUP(ROUND($L190*10/100,6),0),ROUND($L190*10/100,0)))))</f>
        <v/>
      </c>
      <c r="P190" s="26">
        <f>IF($B190="","",IF('設定'!$B$11="税込",IF('設定'!$B$12="切り捨て",ROUNDDOWN(ROUND($M190*8/108,6),0),IF('設定'!$B$12="切り上げ",ROUNDUP(ROUND($M190*8/108,6),0),ROUND($M190*8/108,0))),IF('設定'!$B$12="切り捨て",ROUNDDOWN(ROUND($M190*8/100,6),0),IF('設定'!$B$12="切り上げ",ROUNDUP(ROUND($M190*8/100,6),0),ROUND($M190*8/100,0)))))</f>
        <v/>
      </c>
      <c r="Q190" s="26">
        <f>IF($B190="","",IF('設定'!$B$11="税込",$L190+$M190+$N190,$L190+$O190+$M190+$P190+$N190))</f>
        <v/>
      </c>
      <c r="R190" s="26">
        <f>IF($B190="","",IF($X190="",0,IF(INDEX('支払先'!$I$5:$I$104,$X190)&lt;&gt;"する",0,IF(INDEX('支払先'!$J$5:$J$104,$X190)="税抜",IF('設定'!$B$11="税込",($Y190-IF('設定'!$B$12="切り捨て",ROUNDDOWN(ROUND($Y190*10/110,6),0),IF('設定'!$B$12="切り上げ",ROUNDUP(ROUND($Y190*10/110,6),0),ROUND($Y190*10/110,0)))+$Z190-IF('設定'!$B$12="切り捨て",ROUNDDOWN(ROUND($Z190*8/108,6),0),IF('設定'!$B$12="切り上げ",ROUNDUP(ROUND($Z190*8/108,6),0),ROUND($Z190*8/108,0)))+$AA190),$Y190+$Z190+$AA190),IF('設定'!$B$11="税込",$Y190+$Z190+$AA190,($Y190+IF('設定'!$B$12="切り捨て",ROUNDDOWN(ROUND($Y190*10/100,6),0),IF('設定'!$B$12="切り上げ",ROUNDUP(ROUND($Y190*10/100,6),0),ROUND($Y190*10/100,0)))+$Z190+IF('設定'!$B$12="切り捨て",ROUNDDOWN(ROUND($Z190*8/100,6),0),IF('設定'!$B$12="切り上げ",ROUNDUP(ROUND($Z190*8/100,6),0),ROUND($Z190*8/100,0)))+$AA190))))))</f>
        <v/>
      </c>
      <c r="S190" s="26">
        <f>IF($B190="","",IF(N($R190)&lt;=0,0,IF($R190&lt;='設定'!$B$18,ROUNDDOWN(ROUND($R190*'設定'!$B$17,6),0),ROUNDDOWN(ROUND(($R190-'設定'!$B$18)*'設定'!$B$19,6),0)+'設定'!$B$20)))</f>
        <v/>
      </c>
      <c r="T190" s="26">
        <f>IF($B190="","",IF($X190="",0,IF(INDEX('支払先'!$K$5:$K$104,$X190)="差し引く",N(INDEX('支払先'!$L$5:$L$104,$X190)),0)))</f>
        <v/>
      </c>
      <c r="U190" s="26">
        <f>IF($B190="","",$Q190-$S190-$T190)</f>
        <v/>
      </c>
      <c r="V190" s="22">
        <f>IF($B190="","",MID(IF($C190="","／支払先コードが空",IF($X190="","／支払先にないコード",""))&amp;IF($K190=0,"／明細がない","")&amp;IF($AC190&gt;0,"／税率が空の明細 "&amp;$AC190&amp;"件（合計に入っていない）","")&amp;IF($X190="","",IF(INDEX('支払先'!$G$5:$G$104,$X190)="","／登録番号なし（仕入明細書にならない）",""))&amp;IF($AB190&gt;0,"／60日（2か月）を超える明細 "&amp;$AB190&amp;"件","")&amp;IF($X190="","",IF(AND(INDEX('支払先'!$K$5:$K$104,$X190)="差し引く",OR(INDEX('支払先'!$M$5:$M$104,$X190)&lt;&gt;"対象外",INDEX('支払先'!$N$5:$N$104,$X190)&lt;&gt;"対象外")),"／手数料を差し引けない取引か確かめる",""))&amp;IF(COUNTIF($B$5:$B$204,$B190)&gt;1,"／通知Noが重複","")&amp;IF(AND(ISNUMBER($D190),ISNUMBER($F190),$F190&lt;$D190),"／支払予定日が発行日より前",""),2,300))</f>
        <v/>
      </c>
      <c r="W190" s="67" t="n"/>
      <c r="X190" s="31">
        <f>IF(OR($B190="",$C190=""),"",IFERROR(MATCH($C190,'支払先'!$B$5:$B$104,0),""))</f>
        <v/>
      </c>
      <c r="Y190" s="31">
        <f>IF($B190="","",SUMIFS('支払明細'!$I$5:$I$1004,'支払明細'!$A$5:$A$1004,$B190,'支払明細'!$G$5:$G$1004,"10%（標準）",'支払明細'!$H$5:$H$1004,"&lt;&gt;対象外"))</f>
        <v/>
      </c>
      <c r="Z190" s="31">
        <f>IF($B190="","",SUMIFS('支払明細'!$I$5:$I$1004,'支払明細'!$A$5:$A$1004,$B190,'支払明細'!$G$5:$G$1004,"8%（軽減）",'支払明細'!$H$5:$H$1004,"&lt;&gt;対象外"))</f>
        <v/>
      </c>
      <c r="AA190" s="31">
        <f>IF($B190="","",SUMIFS('支払明細'!$I$5:$I$1004,'支払明細'!$A$5:$A$1004,$B190,'支払明細'!$G$5:$G$1004,"対象外",'支払明細'!$H$5:$H$1004,"&lt;&gt;対象外"))</f>
        <v/>
      </c>
      <c r="AB190" s="31">
        <f>IF($B190="","",COUNTIFS('支払明細'!$A$5:$A$1004,$B190,'支払明細'!$M$5:$M$1004,"超える"))</f>
        <v/>
      </c>
      <c r="AC190" s="31">
        <f>IF($B190="","",COUNTIFS('支払明細'!$A$5:$A$1004,$B190,'支払明細'!$G$5:$G$1004,""))</f>
        <v/>
      </c>
    </row>
    <row r="191" ht="18" customHeight="1">
      <c r="A191" s="17" t="n">
        <v>187</v>
      </c>
      <c r="B191" s="18" t="n"/>
      <c r="C191" s="18" t="n"/>
      <c r="D191" s="24" t="n"/>
      <c r="E191" s="19" t="n"/>
      <c r="F191" s="24" t="n"/>
      <c r="G191" s="28">
        <f>IF(AND($B191&lt;&gt;"",ISNUMBER($D191)),$D191+N('設定'!$B$13),"")</f>
        <v/>
      </c>
      <c r="H191" s="18" t="n"/>
      <c r="I191" s="19" t="n"/>
      <c r="J191" s="27">
        <f>IF($B191="","",IF($C191="","（支払先コードが空）",IF($X191="","※支払先にないコード",INDEX('支払先'!$C$5:$C$104,$X191)&amp;"")))</f>
        <v/>
      </c>
      <c r="K191" s="30">
        <f>IF($B191="","",COUNTIF('支払明細'!$A$5:$A$1004,$B191))</f>
        <v/>
      </c>
      <c r="L191" s="26">
        <f>IF($B191="","",SUMIFS('支払明細'!$I$5:$I$1004,'支払明細'!$A$5:$A$1004,$B191,'支払明細'!$G$5:$G$1004,"10%（標準）"))</f>
        <v/>
      </c>
      <c r="M191" s="26">
        <f>IF($B191="","",SUMIFS('支払明細'!$I$5:$I$1004,'支払明細'!$A$5:$A$1004,$B191,'支払明細'!$G$5:$G$1004,"8%（軽減）"))</f>
        <v/>
      </c>
      <c r="N191" s="26">
        <f>IF($B191="","",SUMIFS('支払明細'!$I$5:$I$1004,'支払明細'!$A$5:$A$1004,$B191,'支払明細'!$G$5:$G$1004,"対象外"))</f>
        <v/>
      </c>
      <c r="O191" s="26">
        <f>IF($B191="","",IF('設定'!$B$11="税込",IF('設定'!$B$12="切り捨て",ROUNDDOWN(ROUND($L191*10/110,6),0),IF('設定'!$B$12="切り上げ",ROUNDUP(ROUND($L191*10/110,6),0),ROUND($L191*10/110,0))),IF('設定'!$B$12="切り捨て",ROUNDDOWN(ROUND($L191*10/100,6),0),IF('設定'!$B$12="切り上げ",ROUNDUP(ROUND($L191*10/100,6),0),ROUND($L191*10/100,0)))))</f>
        <v/>
      </c>
      <c r="P191" s="26">
        <f>IF($B191="","",IF('設定'!$B$11="税込",IF('設定'!$B$12="切り捨て",ROUNDDOWN(ROUND($M191*8/108,6),0),IF('設定'!$B$12="切り上げ",ROUNDUP(ROUND($M191*8/108,6),0),ROUND($M191*8/108,0))),IF('設定'!$B$12="切り捨て",ROUNDDOWN(ROUND($M191*8/100,6),0),IF('設定'!$B$12="切り上げ",ROUNDUP(ROUND($M191*8/100,6),0),ROUND($M191*8/100,0)))))</f>
        <v/>
      </c>
      <c r="Q191" s="26">
        <f>IF($B191="","",IF('設定'!$B$11="税込",$L191+$M191+$N191,$L191+$O191+$M191+$P191+$N191))</f>
        <v/>
      </c>
      <c r="R191" s="26">
        <f>IF($B191="","",IF($X191="",0,IF(INDEX('支払先'!$I$5:$I$104,$X191)&lt;&gt;"する",0,IF(INDEX('支払先'!$J$5:$J$104,$X191)="税抜",IF('設定'!$B$11="税込",($Y191-IF('設定'!$B$12="切り捨て",ROUNDDOWN(ROUND($Y191*10/110,6),0),IF('設定'!$B$12="切り上げ",ROUNDUP(ROUND($Y191*10/110,6),0),ROUND($Y191*10/110,0)))+$Z191-IF('設定'!$B$12="切り捨て",ROUNDDOWN(ROUND($Z191*8/108,6),0),IF('設定'!$B$12="切り上げ",ROUNDUP(ROUND($Z191*8/108,6),0),ROUND($Z191*8/108,0)))+$AA191),$Y191+$Z191+$AA191),IF('設定'!$B$11="税込",$Y191+$Z191+$AA191,($Y191+IF('設定'!$B$12="切り捨て",ROUNDDOWN(ROUND($Y191*10/100,6),0),IF('設定'!$B$12="切り上げ",ROUNDUP(ROUND($Y191*10/100,6),0),ROUND($Y191*10/100,0)))+$Z191+IF('設定'!$B$12="切り捨て",ROUNDDOWN(ROUND($Z191*8/100,6),0),IF('設定'!$B$12="切り上げ",ROUNDUP(ROUND($Z191*8/100,6),0),ROUND($Z191*8/100,0)))+$AA191))))))</f>
        <v/>
      </c>
      <c r="S191" s="26">
        <f>IF($B191="","",IF(N($R191)&lt;=0,0,IF($R191&lt;='設定'!$B$18,ROUNDDOWN(ROUND($R191*'設定'!$B$17,6),0),ROUNDDOWN(ROUND(($R191-'設定'!$B$18)*'設定'!$B$19,6),0)+'設定'!$B$20)))</f>
        <v/>
      </c>
      <c r="T191" s="26">
        <f>IF($B191="","",IF($X191="",0,IF(INDEX('支払先'!$K$5:$K$104,$X191)="差し引く",N(INDEX('支払先'!$L$5:$L$104,$X191)),0)))</f>
        <v/>
      </c>
      <c r="U191" s="26">
        <f>IF($B191="","",$Q191-$S191-$T191)</f>
        <v/>
      </c>
      <c r="V191" s="22">
        <f>IF($B191="","",MID(IF($C191="","／支払先コードが空",IF($X191="","／支払先にないコード",""))&amp;IF($K191=0,"／明細がない","")&amp;IF($AC191&gt;0,"／税率が空の明細 "&amp;$AC191&amp;"件（合計に入っていない）","")&amp;IF($X191="","",IF(INDEX('支払先'!$G$5:$G$104,$X191)="","／登録番号なし（仕入明細書にならない）",""))&amp;IF($AB191&gt;0,"／60日（2か月）を超える明細 "&amp;$AB191&amp;"件","")&amp;IF($X191="","",IF(AND(INDEX('支払先'!$K$5:$K$104,$X191)="差し引く",OR(INDEX('支払先'!$M$5:$M$104,$X191)&lt;&gt;"対象外",INDEX('支払先'!$N$5:$N$104,$X191)&lt;&gt;"対象外")),"／手数料を差し引けない取引か確かめる",""))&amp;IF(COUNTIF($B$5:$B$204,$B191)&gt;1,"／通知Noが重複","")&amp;IF(AND(ISNUMBER($D191),ISNUMBER($F191),$F191&lt;$D191),"／支払予定日が発行日より前",""),2,300))</f>
        <v/>
      </c>
      <c r="W191" s="67" t="n"/>
      <c r="X191" s="31">
        <f>IF(OR($B191="",$C191=""),"",IFERROR(MATCH($C191,'支払先'!$B$5:$B$104,0),""))</f>
        <v/>
      </c>
      <c r="Y191" s="31">
        <f>IF($B191="","",SUMIFS('支払明細'!$I$5:$I$1004,'支払明細'!$A$5:$A$1004,$B191,'支払明細'!$G$5:$G$1004,"10%（標準）",'支払明細'!$H$5:$H$1004,"&lt;&gt;対象外"))</f>
        <v/>
      </c>
      <c r="Z191" s="31">
        <f>IF($B191="","",SUMIFS('支払明細'!$I$5:$I$1004,'支払明細'!$A$5:$A$1004,$B191,'支払明細'!$G$5:$G$1004,"8%（軽減）",'支払明細'!$H$5:$H$1004,"&lt;&gt;対象外"))</f>
        <v/>
      </c>
      <c r="AA191" s="31">
        <f>IF($B191="","",SUMIFS('支払明細'!$I$5:$I$1004,'支払明細'!$A$5:$A$1004,$B191,'支払明細'!$G$5:$G$1004,"対象外",'支払明細'!$H$5:$H$1004,"&lt;&gt;対象外"))</f>
        <v/>
      </c>
      <c r="AB191" s="31">
        <f>IF($B191="","",COUNTIFS('支払明細'!$A$5:$A$1004,$B191,'支払明細'!$M$5:$M$1004,"超える"))</f>
        <v/>
      </c>
      <c r="AC191" s="31">
        <f>IF($B191="","",COUNTIFS('支払明細'!$A$5:$A$1004,$B191,'支払明細'!$G$5:$G$1004,""))</f>
        <v/>
      </c>
    </row>
    <row r="192" ht="18" customHeight="1">
      <c r="A192" s="17" t="n">
        <v>188</v>
      </c>
      <c r="B192" s="18" t="n"/>
      <c r="C192" s="18" t="n"/>
      <c r="D192" s="24" t="n"/>
      <c r="E192" s="19" t="n"/>
      <c r="F192" s="24" t="n"/>
      <c r="G192" s="28">
        <f>IF(AND($B192&lt;&gt;"",ISNUMBER($D192)),$D192+N('設定'!$B$13),"")</f>
        <v/>
      </c>
      <c r="H192" s="18" t="n"/>
      <c r="I192" s="19" t="n"/>
      <c r="J192" s="27">
        <f>IF($B192="","",IF($C192="","（支払先コードが空）",IF($X192="","※支払先にないコード",INDEX('支払先'!$C$5:$C$104,$X192)&amp;"")))</f>
        <v/>
      </c>
      <c r="K192" s="30">
        <f>IF($B192="","",COUNTIF('支払明細'!$A$5:$A$1004,$B192))</f>
        <v/>
      </c>
      <c r="L192" s="26">
        <f>IF($B192="","",SUMIFS('支払明細'!$I$5:$I$1004,'支払明細'!$A$5:$A$1004,$B192,'支払明細'!$G$5:$G$1004,"10%（標準）"))</f>
        <v/>
      </c>
      <c r="M192" s="26">
        <f>IF($B192="","",SUMIFS('支払明細'!$I$5:$I$1004,'支払明細'!$A$5:$A$1004,$B192,'支払明細'!$G$5:$G$1004,"8%（軽減）"))</f>
        <v/>
      </c>
      <c r="N192" s="26">
        <f>IF($B192="","",SUMIFS('支払明細'!$I$5:$I$1004,'支払明細'!$A$5:$A$1004,$B192,'支払明細'!$G$5:$G$1004,"対象外"))</f>
        <v/>
      </c>
      <c r="O192" s="26">
        <f>IF($B192="","",IF('設定'!$B$11="税込",IF('設定'!$B$12="切り捨て",ROUNDDOWN(ROUND($L192*10/110,6),0),IF('設定'!$B$12="切り上げ",ROUNDUP(ROUND($L192*10/110,6),0),ROUND($L192*10/110,0))),IF('設定'!$B$12="切り捨て",ROUNDDOWN(ROUND($L192*10/100,6),0),IF('設定'!$B$12="切り上げ",ROUNDUP(ROUND($L192*10/100,6),0),ROUND($L192*10/100,0)))))</f>
        <v/>
      </c>
      <c r="P192" s="26">
        <f>IF($B192="","",IF('設定'!$B$11="税込",IF('設定'!$B$12="切り捨て",ROUNDDOWN(ROUND($M192*8/108,6),0),IF('設定'!$B$12="切り上げ",ROUNDUP(ROUND($M192*8/108,6),0),ROUND($M192*8/108,0))),IF('設定'!$B$12="切り捨て",ROUNDDOWN(ROUND($M192*8/100,6),0),IF('設定'!$B$12="切り上げ",ROUNDUP(ROUND($M192*8/100,6),0),ROUND($M192*8/100,0)))))</f>
        <v/>
      </c>
      <c r="Q192" s="26">
        <f>IF($B192="","",IF('設定'!$B$11="税込",$L192+$M192+$N192,$L192+$O192+$M192+$P192+$N192))</f>
        <v/>
      </c>
      <c r="R192" s="26">
        <f>IF($B192="","",IF($X192="",0,IF(INDEX('支払先'!$I$5:$I$104,$X192)&lt;&gt;"する",0,IF(INDEX('支払先'!$J$5:$J$104,$X192)="税抜",IF('設定'!$B$11="税込",($Y192-IF('設定'!$B$12="切り捨て",ROUNDDOWN(ROUND($Y192*10/110,6),0),IF('設定'!$B$12="切り上げ",ROUNDUP(ROUND($Y192*10/110,6),0),ROUND($Y192*10/110,0)))+$Z192-IF('設定'!$B$12="切り捨て",ROUNDDOWN(ROUND($Z192*8/108,6),0),IF('設定'!$B$12="切り上げ",ROUNDUP(ROUND($Z192*8/108,6),0),ROUND($Z192*8/108,0)))+$AA192),$Y192+$Z192+$AA192),IF('設定'!$B$11="税込",$Y192+$Z192+$AA192,($Y192+IF('設定'!$B$12="切り捨て",ROUNDDOWN(ROUND($Y192*10/100,6),0),IF('設定'!$B$12="切り上げ",ROUNDUP(ROUND($Y192*10/100,6),0),ROUND($Y192*10/100,0)))+$Z192+IF('設定'!$B$12="切り捨て",ROUNDDOWN(ROUND($Z192*8/100,6),0),IF('設定'!$B$12="切り上げ",ROUNDUP(ROUND($Z192*8/100,6),0),ROUND($Z192*8/100,0)))+$AA192))))))</f>
        <v/>
      </c>
      <c r="S192" s="26">
        <f>IF($B192="","",IF(N($R192)&lt;=0,0,IF($R192&lt;='設定'!$B$18,ROUNDDOWN(ROUND($R192*'設定'!$B$17,6),0),ROUNDDOWN(ROUND(($R192-'設定'!$B$18)*'設定'!$B$19,6),0)+'設定'!$B$20)))</f>
        <v/>
      </c>
      <c r="T192" s="26">
        <f>IF($B192="","",IF($X192="",0,IF(INDEX('支払先'!$K$5:$K$104,$X192)="差し引く",N(INDEX('支払先'!$L$5:$L$104,$X192)),0)))</f>
        <v/>
      </c>
      <c r="U192" s="26">
        <f>IF($B192="","",$Q192-$S192-$T192)</f>
        <v/>
      </c>
      <c r="V192" s="22">
        <f>IF($B192="","",MID(IF($C192="","／支払先コードが空",IF($X192="","／支払先にないコード",""))&amp;IF($K192=0,"／明細がない","")&amp;IF($AC192&gt;0,"／税率が空の明細 "&amp;$AC192&amp;"件（合計に入っていない）","")&amp;IF($X192="","",IF(INDEX('支払先'!$G$5:$G$104,$X192)="","／登録番号なし（仕入明細書にならない）",""))&amp;IF($AB192&gt;0,"／60日（2か月）を超える明細 "&amp;$AB192&amp;"件","")&amp;IF($X192="","",IF(AND(INDEX('支払先'!$K$5:$K$104,$X192)="差し引く",OR(INDEX('支払先'!$M$5:$M$104,$X192)&lt;&gt;"対象外",INDEX('支払先'!$N$5:$N$104,$X192)&lt;&gt;"対象外")),"／手数料を差し引けない取引か確かめる",""))&amp;IF(COUNTIF($B$5:$B$204,$B192)&gt;1,"／通知Noが重複","")&amp;IF(AND(ISNUMBER($D192),ISNUMBER($F192),$F192&lt;$D192),"／支払予定日が発行日より前",""),2,300))</f>
        <v/>
      </c>
      <c r="W192" s="67" t="n"/>
      <c r="X192" s="31">
        <f>IF(OR($B192="",$C192=""),"",IFERROR(MATCH($C192,'支払先'!$B$5:$B$104,0),""))</f>
        <v/>
      </c>
      <c r="Y192" s="31">
        <f>IF($B192="","",SUMIFS('支払明細'!$I$5:$I$1004,'支払明細'!$A$5:$A$1004,$B192,'支払明細'!$G$5:$G$1004,"10%（標準）",'支払明細'!$H$5:$H$1004,"&lt;&gt;対象外"))</f>
        <v/>
      </c>
      <c r="Z192" s="31">
        <f>IF($B192="","",SUMIFS('支払明細'!$I$5:$I$1004,'支払明細'!$A$5:$A$1004,$B192,'支払明細'!$G$5:$G$1004,"8%（軽減）",'支払明細'!$H$5:$H$1004,"&lt;&gt;対象外"))</f>
        <v/>
      </c>
      <c r="AA192" s="31">
        <f>IF($B192="","",SUMIFS('支払明細'!$I$5:$I$1004,'支払明細'!$A$5:$A$1004,$B192,'支払明細'!$G$5:$G$1004,"対象外",'支払明細'!$H$5:$H$1004,"&lt;&gt;対象外"))</f>
        <v/>
      </c>
      <c r="AB192" s="31">
        <f>IF($B192="","",COUNTIFS('支払明細'!$A$5:$A$1004,$B192,'支払明細'!$M$5:$M$1004,"超える"))</f>
        <v/>
      </c>
      <c r="AC192" s="31">
        <f>IF($B192="","",COUNTIFS('支払明細'!$A$5:$A$1004,$B192,'支払明細'!$G$5:$G$1004,""))</f>
        <v/>
      </c>
    </row>
    <row r="193" ht="18" customHeight="1">
      <c r="A193" s="17" t="n">
        <v>189</v>
      </c>
      <c r="B193" s="18" t="n"/>
      <c r="C193" s="18" t="n"/>
      <c r="D193" s="24" t="n"/>
      <c r="E193" s="19" t="n"/>
      <c r="F193" s="24" t="n"/>
      <c r="G193" s="28">
        <f>IF(AND($B193&lt;&gt;"",ISNUMBER($D193)),$D193+N('設定'!$B$13),"")</f>
        <v/>
      </c>
      <c r="H193" s="18" t="n"/>
      <c r="I193" s="19" t="n"/>
      <c r="J193" s="27">
        <f>IF($B193="","",IF($C193="","（支払先コードが空）",IF($X193="","※支払先にないコード",INDEX('支払先'!$C$5:$C$104,$X193)&amp;"")))</f>
        <v/>
      </c>
      <c r="K193" s="30">
        <f>IF($B193="","",COUNTIF('支払明細'!$A$5:$A$1004,$B193))</f>
        <v/>
      </c>
      <c r="L193" s="26">
        <f>IF($B193="","",SUMIFS('支払明細'!$I$5:$I$1004,'支払明細'!$A$5:$A$1004,$B193,'支払明細'!$G$5:$G$1004,"10%（標準）"))</f>
        <v/>
      </c>
      <c r="M193" s="26">
        <f>IF($B193="","",SUMIFS('支払明細'!$I$5:$I$1004,'支払明細'!$A$5:$A$1004,$B193,'支払明細'!$G$5:$G$1004,"8%（軽減）"))</f>
        <v/>
      </c>
      <c r="N193" s="26">
        <f>IF($B193="","",SUMIFS('支払明細'!$I$5:$I$1004,'支払明細'!$A$5:$A$1004,$B193,'支払明細'!$G$5:$G$1004,"対象外"))</f>
        <v/>
      </c>
      <c r="O193" s="26">
        <f>IF($B193="","",IF('設定'!$B$11="税込",IF('設定'!$B$12="切り捨て",ROUNDDOWN(ROUND($L193*10/110,6),0),IF('設定'!$B$12="切り上げ",ROUNDUP(ROUND($L193*10/110,6),0),ROUND($L193*10/110,0))),IF('設定'!$B$12="切り捨て",ROUNDDOWN(ROUND($L193*10/100,6),0),IF('設定'!$B$12="切り上げ",ROUNDUP(ROUND($L193*10/100,6),0),ROUND($L193*10/100,0)))))</f>
        <v/>
      </c>
      <c r="P193" s="26">
        <f>IF($B193="","",IF('設定'!$B$11="税込",IF('設定'!$B$12="切り捨て",ROUNDDOWN(ROUND($M193*8/108,6),0),IF('設定'!$B$12="切り上げ",ROUNDUP(ROUND($M193*8/108,6),0),ROUND($M193*8/108,0))),IF('設定'!$B$12="切り捨て",ROUNDDOWN(ROUND($M193*8/100,6),0),IF('設定'!$B$12="切り上げ",ROUNDUP(ROUND($M193*8/100,6),0),ROUND($M193*8/100,0)))))</f>
        <v/>
      </c>
      <c r="Q193" s="26">
        <f>IF($B193="","",IF('設定'!$B$11="税込",$L193+$M193+$N193,$L193+$O193+$M193+$P193+$N193))</f>
        <v/>
      </c>
      <c r="R193" s="26">
        <f>IF($B193="","",IF($X193="",0,IF(INDEX('支払先'!$I$5:$I$104,$X193)&lt;&gt;"する",0,IF(INDEX('支払先'!$J$5:$J$104,$X193)="税抜",IF('設定'!$B$11="税込",($Y193-IF('設定'!$B$12="切り捨て",ROUNDDOWN(ROUND($Y193*10/110,6),0),IF('設定'!$B$12="切り上げ",ROUNDUP(ROUND($Y193*10/110,6),0),ROUND($Y193*10/110,0)))+$Z193-IF('設定'!$B$12="切り捨て",ROUNDDOWN(ROUND($Z193*8/108,6),0),IF('設定'!$B$12="切り上げ",ROUNDUP(ROUND($Z193*8/108,6),0),ROUND($Z193*8/108,0)))+$AA193),$Y193+$Z193+$AA193),IF('設定'!$B$11="税込",$Y193+$Z193+$AA193,($Y193+IF('設定'!$B$12="切り捨て",ROUNDDOWN(ROUND($Y193*10/100,6),0),IF('設定'!$B$12="切り上げ",ROUNDUP(ROUND($Y193*10/100,6),0),ROUND($Y193*10/100,0)))+$Z193+IF('設定'!$B$12="切り捨て",ROUNDDOWN(ROUND($Z193*8/100,6),0),IF('設定'!$B$12="切り上げ",ROUNDUP(ROUND($Z193*8/100,6),0),ROUND($Z193*8/100,0)))+$AA193))))))</f>
        <v/>
      </c>
      <c r="S193" s="26">
        <f>IF($B193="","",IF(N($R193)&lt;=0,0,IF($R193&lt;='設定'!$B$18,ROUNDDOWN(ROUND($R193*'設定'!$B$17,6),0),ROUNDDOWN(ROUND(($R193-'設定'!$B$18)*'設定'!$B$19,6),0)+'設定'!$B$20)))</f>
        <v/>
      </c>
      <c r="T193" s="26">
        <f>IF($B193="","",IF($X193="",0,IF(INDEX('支払先'!$K$5:$K$104,$X193)="差し引く",N(INDEX('支払先'!$L$5:$L$104,$X193)),0)))</f>
        <v/>
      </c>
      <c r="U193" s="26">
        <f>IF($B193="","",$Q193-$S193-$T193)</f>
        <v/>
      </c>
      <c r="V193" s="22">
        <f>IF($B193="","",MID(IF($C193="","／支払先コードが空",IF($X193="","／支払先にないコード",""))&amp;IF($K193=0,"／明細がない","")&amp;IF($AC193&gt;0,"／税率が空の明細 "&amp;$AC193&amp;"件（合計に入っていない）","")&amp;IF($X193="","",IF(INDEX('支払先'!$G$5:$G$104,$X193)="","／登録番号なし（仕入明細書にならない）",""))&amp;IF($AB193&gt;0,"／60日（2か月）を超える明細 "&amp;$AB193&amp;"件","")&amp;IF($X193="","",IF(AND(INDEX('支払先'!$K$5:$K$104,$X193)="差し引く",OR(INDEX('支払先'!$M$5:$M$104,$X193)&lt;&gt;"対象外",INDEX('支払先'!$N$5:$N$104,$X193)&lt;&gt;"対象外")),"／手数料を差し引けない取引か確かめる",""))&amp;IF(COUNTIF($B$5:$B$204,$B193)&gt;1,"／通知Noが重複","")&amp;IF(AND(ISNUMBER($D193),ISNUMBER($F193),$F193&lt;$D193),"／支払予定日が発行日より前",""),2,300))</f>
        <v/>
      </c>
      <c r="W193" s="67" t="n"/>
      <c r="X193" s="31">
        <f>IF(OR($B193="",$C193=""),"",IFERROR(MATCH($C193,'支払先'!$B$5:$B$104,0),""))</f>
        <v/>
      </c>
      <c r="Y193" s="31">
        <f>IF($B193="","",SUMIFS('支払明細'!$I$5:$I$1004,'支払明細'!$A$5:$A$1004,$B193,'支払明細'!$G$5:$G$1004,"10%（標準）",'支払明細'!$H$5:$H$1004,"&lt;&gt;対象外"))</f>
        <v/>
      </c>
      <c r="Z193" s="31">
        <f>IF($B193="","",SUMIFS('支払明細'!$I$5:$I$1004,'支払明細'!$A$5:$A$1004,$B193,'支払明細'!$G$5:$G$1004,"8%（軽減）",'支払明細'!$H$5:$H$1004,"&lt;&gt;対象外"))</f>
        <v/>
      </c>
      <c r="AA193" s="31">
        <f>IF($B193="","",SUMIFS('支払明細'!$I$5:$I$1004,'支払明細'!$A$5:$A$1004,$B193,'支払明細'!$G$5:$G$1004,"対象外",'支払明細'!$H$5:$H$1004,"&lt;&gt;対象外"))</f>
        <v/>
      </c>
      <c r="AB193" s="31">
        <f>IF($B193="","",COUNTIFS('支払明細'!$A$5:$A$1004,$B193,'支払明細'!$M$5:$M$1004,"超える"))</f>
        <v/>
      </c>
      <c r="AC193" s="31">
        <f>IF($B193="","",COUNTIFS('支払明細'!$A$5:$A$1004,$B193,'支払明細'!$G$5:$G$1004,""))</f>
        <v/>
      </c>
    </row>
    <row r="194" ht="18" customHeight="1">
      <c r="A194" s="17" t="n">
        <v>190</v>
      </c>
      <c r="B194" s="18" t="n"/>
      <c r="C194" s="18" t="n"/>
      <c r="D194" s="24" t="n"/>
      <c r="E194" s="19" t="n"/>
      <c r="F194" s="24" t="n"/>
      <c r="G194" s="28">
        <f>IF(AND($B194&lt;&gt;"",ISNUMBER($D194)),$D194+N('設定'!$B$13),"")</f>
        <v/>
      </c>
      <c r="H194" s="18" t="n"/>
      <c r="I194" s="19" t="n"/>
      <c r="J194" s="27">
        <f>IF($B194="","",IF($C194="","（支払先コードが空）",IF($X194="","※支払先にないコード",INDEX('支払先'!$C$5:$C$104,$X194)&amp;"")))</f>
        <v/>
      </c>
      <c r="K194" s="30">
        <f>IF($B194="","",COUNTIF('支払明細'!$A$5:$A$1004,$B194))</f>
        <v/>
      </c>
      <c r="L194" s="26">
        <f>IF($B194="","",SUMIFS('支払明細'!$I$5:$I$1004,'支払明細'!$A$5:$A$1004,$B194,'支払明細'!$G$5:$G$1004,"10%（標準）"))</f>
        <v/>
      </c>
      <c r="M194" s="26">
        <f>IF($B194="","",SUMIFS('支払明細'!$I$5:$I$1004,'支払明細'!$A$5:$A$1004,$B194,'支払明細'!$G$5:$G$1004,"8%（軽減）"))</f>
        <v/>
      </c>
      <c r="N194" s="26">
        <f>IF($B194="","",SUMIFS('支払明細'!$I$5:$I$1004,'支払明細'!$A$5:$A$1004,$B194,'支払明細'!$G$5:$G$1004,"対象外"))</f>
        <v/>
      </c>
      <c r="O194" s="26">
        <f>IF($B194="","",IF('設定'!$B$11="税込",IF('設定'!$B$12="切り捨て",ROUNDDOWN(ROUND($L194*10/110,6),0),IF('設定'!$B$12="切り上げ",ROUNDUP(ROUND($L194*10/110,6),0),ROUND($L194*10/110,0))),IF('設定'!$B$12="切り捨て",ROUNDDOWN(ROUND($L194*10/100,6),0),IF('設定'!$B$12="切り上げ",ROUNDUP(ROUND($L194*10/100,6),0),ROUND($L194*10/100,0)))))</f>
        <v/>
      </c>
      <c r="P194" s="26">
        <f>IF($B194="","",IF('設定'!$B$11="税込",IF('設定'!$B$12="切り捨て",ROUNDDOWN(ROUND($M194*8/108,6),0),IF('設定'!$B$12="切り上げ",ROUNDUP(ROUND($M194*8/108,6),0),ROUND($M194*8/108,0))),IF('設定'!$B$12="切り捨て",ROUNDDOWN(ROUND($M194*8/100,6),0),IF('設定'!$B$12="切り上げ",ROUNDUP(ROUND($M194*8/100,6),0),ROUND($M194*8/100,0)))))</f>
        <v/>
      </c>
      <c r="Q194" s="26">
        <f>IF($B194="","",IF('設定'!$B$11="税込",$L194+$M194+$N194,$L194+$O194+$M194+$P194+$N194))</f>
        <v/>
      </c>
      <c r="R194" s="26">
        <f>IF($B194="","",IF($X194="",0,IF(INDEX('支払先'!$I$5:$I$104,$X194)&lt;&gt;"する",0,IF(INDEX('支払先'!$J$5:$J$104,$X194)="税抜",IF('設定'!$B$11="税込",($Y194-IF('設定'!$B$12="切り捨て",ROUNDDOWN(ROUND($Y194*10/110,6),0),IF('設定'!$B$12="切り上げ",ROUNDUP(ROUND($Y194*10/110,6),0),ROUND($Y194*10/110,0)))+$Z194-IF('設定'!$B$12="切り捨て",ROUNDDOWN(ROUND($Z194*8/108,6),0),IF('設定'!$B$12="切り上げ",ROUNDUP(ROUND($Z194*8/108,6),0),ROUND($Z194*8/108,0)))+$AA194),$Y194+$Z194+$AA194),IF('設定'!$B$11="税込",$Y194+$Z194+$AA194,($Y194+IF('設定'!$B$12="切り捨て",ROUNDDOWN(ROUND($Y194*10/100,6),0),IF('設定'!$B$12="切り上げ",ROUNDUP(ROUND($Y194*10/100,6),0),ROUND($Y194*10/100,0)))+$Z194+IF('設定'!$B$12="切り捨て",ROUNDDOWN(ROUND($Z194*8/100,6),0),IF('設定'!$B$12="切り上げ",ROUNDUP(ROUND($Z194*8/100,6),0),ROUND($Z194*8/100,0)))+$AA194))))))</f>
        <v/>
      </c>
      <c r="S194" s="26">
        <f>IF($B194="","",IF(N($R194)&lt;=0,0,IF($R194&lt;='設定'!$B$18,ROUNDDOWN(ROUND($R194*'設定'!$B$17,6),0),ROUNDDOWN(ROUND(($R194-'設定'!$B$18)*'設定'!$B$19,6),0)+'設定'!$B$20)))</f>
        <v/>
      </c>
      <c r="T194" s="26">
        <f>IF($B194="","",IF($X194="",0,IF(INDEX('支払先'!$K$5:$K$104,$X194)="差し引く",N(INDEX('支払先'!$L$5:$L$104,$X194)),0)))</f>
        <v/>
      </c>
      <c r="U194" s="26">
        <f>IF($B194="","",$Q194-$S194-$T194)</f>
        <v/>
      </c>
      <c r="V194" s="22">
        <f>IF($B194="","",MID(IF($C194="","／支払先コードが空",IF($X194="","／支払先にないコード",""))&amp;IF($K194=0,"／明細がない","")&amp;IF($AC194&gt;0,"／税率が空の明細 "&amp;$AC194&amp;"件（合計に入っていない）","")&amp;IF($X194="","",IF(INDEX('支払先'!$G$5:$G$104,$X194)="","／登録番号なし（仕入明細書にならない）",""))&amp;IF($AB194&gt;0,"／60日（2か月）を超える明細 "&amp;$AB194&amp;"件","")&amp;IF($X194="","",IF(AND(INDEX('支払先'!$K$5:$K$104,$X194)="差し引く",OR(INDEX('支払先'!$M$5:$M$104,$X194)&lt;&gt;"対象外",INDEX('支払先'!$N$5:$N$104,$X194)&lt;&gt;"対象外")),"／手数料を差し引けない取引か確かめる",""))&amp;IF(COUNTIF($B$5:$B$204,$B194)&gt;1,"／通知Noが重複","")&amp;IF(AND(ISNUMBER($D194),ISNUMBER($F194),$F194&lt;$D194),"／支払予定日が発行日より前",""),2,300))</f>
        <v/>
      </c>
      <c r="W194" s="67" t="n"/>
      <c r="X194" s="31">
        <f>IF(OR($B194="",$C194=""),"",IFERROR(MATCH($C194,'支払先'!$B$5:$B$104,0),""))</f>
        <v/>
      </c>
      <c r="Y194" s="31">
        <f>IF($B194="","",SUMIFS('支払明細'!$I$5:$I$1004,'支払明細'!$A$5:$A$1004,$B194,'支払明細'!$G$5:$G$1004,"10%（標準）",'支払明細'!$H$5:$H$1004,"&lt;&gt;対象外"))</f>
        <v/>
      </c>
      <c r="Z194" s="31">
        <f>IF($B194="","",SUMIFS('支払明細'!$I$5:$I$1004,'支払明細'!$A$5:$A$1004,$B194,'支払明細'!$G$5:$G$1004,"8%（軽減）",'支払明細'!$H$5:$H$1004,"&lt;&gt;対象外"))</f>
        <v/>
      </c>
      <c r="AA194" s="31">
        <f>IF($B194="","",SUMIFS('支払明細'!$I$5:$I$1004,'支払明細'!$A$5:$A$1004,$B194,'支払明細'!$G$5:$G$1004,"対象外",'支払明細'!$H$5:$H$1004,"&lt;&gt;対象外"))</f>
        <v/>
      </c>
      <c r="AB194" s="31">
        <f>IF($B194="","",COUNTIFS('支払明細'!$A$5:$A$1004,$B194,'支払明細'!$M$5:$M$1004,"超える"))</f>
        <v/>
      </c>
      <c r="AC194" s="31">
        <f>IF($B194="","",COUNTIFS('支払明細'!$A$5:$A$1004,$B194,'支払明細'!$G$5:$G$1004,""))</f>
        <v/>
      </c>
    </row>
    <row r="195" ht="18" customHeight="1">
      <c r="A195" s="17" t="n">
        <v>191</v>
      </c>
      <c r="B195" s="18" t="n"/>
      <c r="C195" s="18" t="n"/>
      <c r="D195" s="24" t="n"/>
      <c r="E195" s="19" t="n"/>
      <c r="F195" s="24" t="n"/>
      <c r="G195" s="28">
        <f>IF(AND($B195&lt;&gt;"",ISNUMBER($D195)),$D195+N('設定'!$B$13),"")</f>
        <v/>
      </c>
      <c r="H195" s="18" t="n"/>
      <c r="I195" s="19" t="n"/>
      <c r="J195" s="27">
        <f>IF($B195="","",IF($C195="","（支払先コードが空）",IF($X195="","※支払先にないコード",INDEX('支払先'!$C$5:$C$104,$X195)&amp;"")))</f>
        <v/>
      </c>
      <c r="K195" s="30">
        <f>IF($B195="","",COUNTIF('支払明細'!$A$5:$A$1004,$B195))</f>
        <v/>
      </c>
      <c r="L195" s="26">
        <f>IF($B195="","",SUMIFS('支払明細'!$I$5:$I$1004,'支払明細'!$A$5:$A$1004,$B195,'支払明細'!$G$5:$G$1004,"10%（標準）"))</f>
        <v/>
      </c>
      <c r="M195" s="26">
        <f>IF($B195="","",SUMIFS('支払明細'!$I$5:$I$1004,'支払明細'!$A$5:$A$1004,$B195,'支払明細'!$G$5:$G$1004,"8%（軽減）"))</f>
        <v/>
      </c>
      <c r="N195" s="26">
        <f>IF($B195="","",SUMIFS('支払明細'!$I$5:$I$1004,'支払明細'!$A$5:$A$1004,$B195,'支払明細'!$G$5:$G$1004,"対象外"))</f>
        <v/>
      </c>
      <c r="O195" s="26">
        <f>IF($B195="","",IF('設定'!$B$11="税込",IF('設定'!$B$12="切り捨て",ROUNDDOWN(ROUND($L195*10/110,6),0),IF('設定'!$B$12="切り上げ",ROUNDUP(ROUND($L195*10/110,6),0),ROUND($L195*10/110,0))),IF('設定'!$B$12="切り捨て",ROUNDDOWN(ROUND($L195*10/100,6),0),IF('設定'!$B$12="切り上げ",ROUNDUP(ROUND($L195*10/100,6),0),ROUND($L195*10/100,0)))))</f>
        <v/>
      </c>
      <c r="P195" s="26">
        <f>IF($B195="","",IF('設定'!$B$11="税込",IF('設定'!$B$12="切り捨て",ROUNDDOWN(ROUND($M195*8/108,6),0),IF('設定'!$B$12="切り上げ",ROUNDUP(ROUND($M195*8/108,6),0),ROUND($M195*8/108,0))),IF('設定'!$B$12="切り捨て",ROUNDDOWN(ROUND($M195*8/100,6),0),IF('設定'!$B$12="切り上げ",ROUNDUP(ROUND($M195*8/100,6),0),ROUND($M195*8/100,0)))))</f>
        <v/>
      </c>
      <c r="Q195" s="26">
        <f>IF($B195="","",IF('設定'!$B$11="税込",$L195+$M195+$N195,$L195+$O195+$M195+$P195+$N195))</f>
        <v/>
      </c>
      <c r="R195" s="26">
        <f>IF($B195="","",IF($X195="",0,IF(INDEX('支払先'!$I$5:$I$104,$X195)&lt;&gt;"する",0,IF(INDEX('支払先'!$J$5:$J$104,$X195)="税抜",IF('設定'!$B$11="税込",($Y195-IF('設定'!$B$12="切り捨て",ROUNDDOWN(ROUND($Y195*10/110,6),0),IF('設定'!$B$12="切り上げ",ROUNDUP(ROUND($Y195*10/110,6),0),ROUND($Y195*10/110,0)))+$Z195-IF('設定'!$B$12="切り捨て",ROUNDDOWN(ROUND($Z195*8/108,6),0),IF('設定'!$B$12="切り上げ",ROUNDUP(ROUND($Z195*8/108,6),0),ROUND($Z195*8/108,0)))+$AA195),$Y195+$Z195+$AA195),IF('設定'!$B$11="税込",$Y195+$Z195+$AA195,($Y195+IF('設定'!$B$12="切り捨て",ROUNDDOWN(ROUND($Y195*10/100,6),0),IF('設定'!$B$12="切り上げ",ROUNDUP(ROUND($Y195*10/100,6),0),ROUND($Y195*10/100,0)))+$Z195+IF('設定'!$B$12="切り捨て",ROUNDDOWN(ROUND($Z195*8/100,6),0),IF('設定'!$B$12="切り上げ",ROUNDUP(ROUND($Z195*8/100,6),0),ROUND($Z195*8/100,0)))+$AA195))))))</f>
        <v/>
      </c>
      <c r="S195" s="26">
        <f>IF($B195="","",IF(N($R195)&lt;=0,0,IF($R195&lt;='設定'!$B$18,ROUNDDOWN(ROUND($R195*'設定'!$B$17,6),0),ROUNDDOWN(ROUND(($R195-'設定'!$B$18)*'設定'!$B$19,6),0)+'設定'!$B$20)))</f>
        <v/>
      </c>
      <c r="T195" s="26">
        <f>IF($B195="","",IF($X195="",0,IF(INDEX('支払先'!$K$5:$K$104,$X195)="差し引く",N(INDEX('支払先'!$L$5:$L$104,$X195)),0)))</f>
        <v/>
      </c>
      <c r="U195" s="26">
        <f>IF($B195="","",$Q195-$S195-$T195)</f>
        <v/>
      </c>
      <c r="V195" s="22">
        <f>IF($B195="","",MID(IF($C195="","／支払先コードが空",IF($X195="","／支払先にないコード",""))&amp;IF($K195=0,"／明細がない","")&amp;IF($AC195&gt;0,"／税率が空の明細 "&amp;$AC195&amp;"件（合計に入っていない）","")&amp;IF($X195="","",IF(INDEX('支払先'!$G$5:$G$104,$X195)="","／登録番号なし（仕入明細書にならない）",""))&amp;IF($AB195&gt;0,"／60日（2か月）を超える明細 "&amp;$AB195&amp;"件","")&amp;IF($X195="","",IF(AND(INDEX('支払先'!$K$5:$K$104,$X195)="差し引く",OR(INDEX('支払先'!$M$5:$M$104,$X195)&lt;&gt;"対象外",INDEX('支払先'!$N$5:$N$104,$X195)&lt;&gt;"対象外")),"／手数料を差し引けない取引か確かめる",""))&amp;IF(COUNTIF($B$5:$B$204,$B195)&gt;1,"／通知Noが重複","")&amp;IF(AND(ISNUMBER($D195),ISNUMBER($F195),$F195&lt;$D195),"／支払予定日が発行日より前",""),2,300))</f>
        <v/>
      </c>
      <c r="W195" s="67" t="n"/>
      <c r="X195" s="31">
        <f>IF(OR($B195="",$C195=""),"",IFERROR(MATCH($C195,'支払先'!$B$5:$B$104,0),""))</f>
        <v/>
      </c>
      <c r="Y195" s="31">
        <f>IF($B195="","",SUMIFS('支払明細'!$I$5:$I$1004,'支払明細'!$A$5:$A$1004,$B195,'支払明細'!$G$5:$G$1004,"10%（標準）",'支払明細'!$H$5:$H$1004,"&lt;&gt;対象外"))</f>
        <v/>
      </c>
      <c r="Z195" s="31">
        <f>IF($B195="","",SUMIFS('支払明細'!$I$5:$I$1004,'支払明細'!$A$5:$A$1004,$B195,'支払明細'!$G$5:$G$1004,"8%（軽減）",'支払明細'!$H$5:$H$1004,"&lt;&gt;対象外"))</f>
        <v/>
      </c>
      <c r="AA195" s="31">
        <f>IF($B195="","",SUMIFS('支払明細'!$I$5:$I$1004,'支払明細'!$A$5:$A$1004,$B195,'支払明細'!$G$5:$G$1004,"対象外",'支払明細'!$H$5:$H$1004,"&lt;&gt;対象外"))</f>
        <v/>
      </c>
      <c r="AB195" s="31">
        <f>IF($B195="","",COUNTIFS('支払明細'!$A$5:$A$1004,$B195,'支払明細'!$M$5:$M$1004,"超える"))</f>
        <v/>
      </c>
      <c r="AC195" s="31">
        <f>IF($B195="","",COUNTIFS('支払明細'!$A$5:$A$1004,$B195,'支払明細'!$G$5:$G$1004,""))</f>
        <v/>
      </c>
    </row>
    <row r="196" ht="18" customHeight="1">
      <c r="A196" s="17" t="n">
        <v>192</v>
      </c>
      <c r="B196" s="18" t="n"/>
      <c r="C196" s="18" t="n"/>
      <c r="D196" s="24" t="n"/>
      <c r="E196" s="19" t="n"/>
      <c r="F196" s="24" t="n"/>
      <c r="G196" s="28">
        <f>IF(AND($B196&lt;&gt;"",ISNUMBER($D196)),$D196+N('設定'!$B$13),"")</f>
        <v/>
      </c>
      <c r="H196" s="18" t="n"/>
      <c r="I196" s="19" t="n"/>
      <c r="J196" s="27">
        <f>IF($B196="","",IF($C196="","（支払先コードが空）",IF($X196="","※支払先にないコード",INDEX('支払先'!$C$5:$C$104,$X196)&amp;"")))</f>
        <v/>
      </c>
      <c r="K196" s="30">
        <f>IF($B196="","",COUNTIF('支払明細'!$A$5:$A$1004,$B196))</f>
        <v/>
      </c>
      <c r="L196" s="26">
        <f>IF($B196="","",SUMIFS('支払明細'!$I$5:$I$1004,'支払明細'!$A$5:$A$1004,$B196,'支払明細'!$G$5:$G$1004,"10%（標準）"))</f>
        <v/>
      </c>
      <c r="M196" s="26">
        <f>IF($B196="","",SUMIFS('支払明細'!$I$5:$I$1004,'支払明細'!$A$5:$A$1004,$B196,'支払明細'!$G$5:$G$1004,"8%（軽減）"))</f>
        <v/>
      </c>
      <c r="N196" s="26">
        <f>IF($B196="","",SUMIFS('支払明細'!$I$5:$I$1004,'支払明細'!$A$5:$A$1004,$B196,'支払明細'!$G$5:$G$1004,"対象外"))</f>
        <v/>
      </c>
      <c r="O196" s="26">
        <f>IF($B196="","",IF('設定'!$B$11="税込",IF('設定'!$B$12="切り捨て",ROUNDDOWN(ROUND($L196*10/110,6),0),IF('設定'!$B$12="切り上げ",ROUNDUP(ROUND($L196*10/110,6),0),ROUND($L196*10/110,0))),IF('設定'!$B$12="切り捨て",ROUNDDOWN(ROUND($L196*10/100,6),0),IF('設定'!$B$12="切り上げ",ROUNDUP(ROUND($L196*10/100,6),0),ROUND($L196*10/100,0)))))</f>
        <v/>
      </c>
      <c r="P196" s="26">
        <f>IF($B196="","",IF('設定'!$B$11="税込",IF('設定'!$B$12="切り捨て",ROUNDDOWN(ROUND($M196*8/108,6),0),IF('設定'!$B$12="切り上げ",ROUNDUP(ROUND($M196*8/108,6),0),ROUND($M196*8/108,0))),IF('設定'!$B$12="切り捨て",ROUNDDOWN(ROUND($M196*8/100,6),0),IF('設定'!$B$12="切り上げ",ROUNDUP(ROUND($M196*8/100,6),0),ROUND($M196*8/100,0)))))</f>
        <v/>
      </c>
      <c r="Q196" s="26">
        <f>IF($B196="","",IF('設定'!$B$11="税込",$L196+$M196+$N196,$L196+$O196+$M196+$P196+$N196))</f>
        <v/>
      </c>
      <c r="R196" s="26">
        <f>IF($B196="","",IF($X196="",0,IF(INDEX('支払先'!$I$5:$I$104,$X196)&lt;&gt;"する",0,IF(INDEX('支払先'!$J$5:$J$104,$X196)="税抜",IF('設定'!$B$11="税込",($Y196-IF('設定'!$B$12="切り捨て",ROUNDDOWN(ROUND($Y196*10/110,6),0),IF('設定'!$B$12="切り上げ",ROUNDUP(ROUND($Y196*10/110,6),0),ROUND($Y196*10/110,0)))+$Z196-IF('設定'!$B$12="切り捨て",ROUNDDOWN(ROUND($Z196*8/108,6),0),IF('設定'!$B$12="切り上げ",ROUNDUP(ROUND($Z196*8/108,6),0),ROUND($Z196*8/108,0)))+$AA196),$Y196+$Z196+$AA196),IF('設定'!$B$11="税込",$Y196+$Z196+$AA196,($Y196+IF('設定'!$B$12="切り捨て",ROUNDDOWN(ROUND($Y196*10/100,6),0),IF('設定'!$B$12="切り上げ",ROUNDUP(ROUND($Y196*10/100,6),0),ROUND($Y196*10/100,0)))+$Z196+IF('設定'!$B$12="切り捨て",ROUNDDOWN(ROUND($Z196*8/100,6),0),IF('設定'!$B$12="切り上げ",ROUNDUP(ROUND($Z196*8/100,6),0),ROUND($Z196*8/100,0)))+$AA196))))))</f>
        <v/>
      </c>
      <c r="S196" s="26">
        <f>IF($B196="","",IF(N($R196)&lt;=0,0,IF($R196&lt;='設定'!$B$18,ROUNDDOWN(ROUND($R196*'設定'!$B$17,6),0),ROUNDDOWN(ROUND(($R196-'設定'!$B$18)*'設定'!$B$19,6),0)+'設定'!$B$20)))</f>
        <v/>
      </c>
      <c r="T196" s="26">
        <f>IF($B196="","",IF($X196="",0,IF(INDEX('支払先'!$K$5:$K$104,$X196)="差し引く",N(INDEX('支払先'!$L$5:$L$104,$X196)),0)))</f>
        <v/>
      </c>
      <c r="U196" s="26">
        <f>IF($B196="","",$Q196-$S196-$T196)</f>
        <v/>
      </c>
      <c r="V196" s="22">
        <f>IF($B196="","",MID(IF($C196="","／支払先コードが空",IF($X196="","／支払先にないコード",""))&amp;IF($K196=0,"／明細がない","")&amp;IF($AC196&gt;0,"／税率が空の明細 "&amp;$AC196&amp;"件（合計に入っていない）","")&amp;IF($X196="","",IF(INDEX('支払先'!$G$5:$G$104,$X196)="","／登録番号なし（仕入明細書にならない）",""))&amp;IF($AB196&gt;0,"／60日（2か月）を超える明細 "&amp;$AB196&amp;"件","")&amp;IF($X196="","",IF(AND(INDEX('支払先'!$K$5:$K$104,$X196)="差し引く",OR(INDEX('支払先'!$M$5:$M$104,$X196)&lt;&gt;"対象外",INDEX('支払先'!$N$5:$N$104,$X196)&lt;&gt;"対象外")),"／手数料を差し引けない取引か確かめる",""))&amp;IF(COUNTIF($B$5:$B$204,$B196)&gt;1,"／通知Noが重複","")&amp;IF(AND(ISNUMBER($D196),ISNUMBER($F196),$F196&lt;$D196),"／支払予定日が発行日より前",""),2,300))</f>
        <v/>
      </c>
      <c r="W196" s="67" t="n"/>
      <c r="X196" s="31">
        <f>IF(OR($B196="",$C196=""),"",IFERROR(MATCH($C196,'支払先'!$B$5:$B$104,0),""))</f>
        <v/>
      </c>
      <c r="Y196" s="31">
        <f>IF($B196="","",SUMIFS('支払明細'!$I$5:$I$1004,'支払明細'!$A$5:$A$1004,$B196,'支払明細'!$G$5:$G$1004,"10%（標準）",'支払明細'!$H$5:$H$1004,"&lt;&gt;対象外"))</f>
        <v/>
      </c>
      <c r="Z196" s="31">
        <f>IF($B196="","",SUMIFS('支払明細'!$I$5:$I$1004,'支払明細'!$A$5:$A$1004,$B196,'支払明細'!$G$5:$G$1004,"8%（軽減）",'支払明細'!$H$5:$H$1004,"&lt;&gt;対象外"))</f>
        <v/>
      </c>
      <c r="AA196" s="31">
        <f>IF($B196="","",SUMIFS('支払明細'!$I$5:$I$1004,'支払明細'!$A$5:$A$1004,$B196,'支払明細'!$G$5:$G$1004,"対象外",'支払明細'!$H$5:$H$1004,"&lt;&gt;対象外"))</f>
        <v/>
      </c>
      <c r="AB196" s="31">
        <f>IF($B196="","",COUNTIFS('支払明細'!$A$5:$A$1004,$B196,'支払明細'!$M$5:$M$1004,"超える"))</f>
        <v/>
      </c>
      <c r="AC196" s="31">
        <f>IF($B196="","",COUNTIFS('支払明細'!$A$5:$A$1004,$B196,'支払明細'!$G$5:$G$1004,""))</f>
        <v/>
      </c>
    </row>
    <row r="197" ht="18" customHeight="1">
      <c r="A197" s="17" t="n">
        <v>193</v>
      </c>
      <c r="B197" s="18" t="n"/>
      <c r="C197" s="18" t="n"/>
      <c r="D197" s="24" t="n"/>
      <c r="E197" s="19" t="n"/>
      <c r="F197" s="24" t="n"/>
      <c r="G197" s="28">
        <f>IF(AND($B197&lt;&gt;"",ISNUMBER($D197)),$D197+N('設定'!$B$13),"")</f>
        <v/>
      </c>
      <c r="H197" s="18" t="n"/>
      <c r="I197" s="19" t="n"/>
      <c r="J197" s="27">
        <f>IF($B197="","",IF($C197="","（支払先コードが空）",IF($X197="","※支払先にないコード",INDEX('支払先'!$C$5:$C$104,$X197)&amp;"")))</f>
        <v/>
      </c>
      <c r="K197" s="30">
        <f>IF($B197="","",COUNTIF('支払明細'!$A$5:$A$1004,$B197))</f>
        <v/>
      </c>
      <c r="L197" s="26">
        <f>IF($B197="","",SUMIFS('支払明細'!$I$5:$I$1004,'支払明細'!$A$5:$A$1004,$B197,'支払明細'!$G$5:$G$1004,"10%（標準）"))</f>
        <v/>
      </c>
      <c r="M197" s="26">
        <f>IF($B197="","",SUMIFS('支払明細'!$I$5:$I$1004,'支払明細'!$A$5:$A$1004,$B197,'支払明細'!$G$5:$G$1004,"8%（軽減）"))</f>
        <v/>
      </c>
      <c r="N197" s="26">
        <f>IF($B197="","",SUMIFS('支払明細'!$I$5:$I$1004,'支払明細'!$A$5:$A$1004,$B197,'支払明細'!$G$5:$G$1004,"対象外"))</f>
        <v/>
      </c>
      <c r="O197" s="26">
        <f>IF($B197="","",IF('設定'!$B$11="税込",IF('設定'!$B$12="切り捨て",ROUNDDOWN(ROUND($L197*10/110,6),0),IF('設定'!$B$12="切り上げ",ROUNDUP(ROUND($L197*10/110,6),0),ROUND($L197*10/110,0))),IF('設定'!$B$12="切り捨て",ROUNDDOWN(ROUND($L197*10/100,6),0),IF('設定'!$B$12="切り上げ",ROUNDUP(ROUND($L197*10/100,6),0),ROUND($L197*10/100,0)))))</f>
        <v/>
      </c>
      <c r="P197" s="26">
        <f>IF($B197="","",IF('設定'!$B$11="税込",IF('設定'!$B$12="切り捨て",ROUNDDOWN(ROUND($M197*8/108,6),0),IF('設定'!$B$12="切り上げ",ROUNDUP(ROUND($M197*8/108,6),0),ROUND($M197*8/108,0))),IF('設定'!$B$12="切り捨て",ROUNDDOWN(ROUND($M197*8/100,6),0),IF('設定'!$B$12="切り上げ",ROUNDUP(ROUND($M197*8/100,6),0),ROUND($M197*8/100,0)))))</f>
        <v/>
      </c>
      <c r="Q197" s="26">
        <f>IF($B197="","",IF('設定'!$B$11="税込",$L197+$M197+$N197,$L197+$O197+$M197+$P197+$N197))</f>
        <v/>
      </c>
      <c r="R197" s="26">
        <f>IF($B197="","",IF($X197="",0,IF(INDEX('支払先'!$I$5:$I$104,$X197)&lt;&gt;"する",0,IF(INDEX('支払先'!$J$5:$J$104,$X197)="税抜",IF('設定'!$B$11="税込",($Y197-IF('設定'!$B$12="切り捨て",ROUNDDOWN(ROUND($Y197*10/110,6),0),IF('設定'!$B$12="切り上げ",ROUNDUP(ROUND($Y197*10/110,6),0),ROUND($Y197*10/110,0)))+$Z197-IF('設定'!$B$12="切り捨て",ROUNDDOWN(ROUND($Z197*8/108,6),0),IF('設定'!$B$12="切り上げ",ROUNDUP(ROUND($Z197*8/108,6),0),ROUND($Z197*8/108,0)))+$AA197),$Y197+$Z197+$AA197),IF('設定'!$B$11="税込",$Y197+$Z197+$AA197,($Y197+IF('設定'!$B$12="切り捨て",ROUNDDOWN(ROUND($Y197*10/100,6),0),IF('設定'!$B$12="切り上げ",ROUNDUP(ROUND($Y197*10/100,6),0),ROUND($Y197*10/100,0)))+$Z197+IF('設定'!$B$12="切り捨て",ROUNDDOWN(ROUND($Z197*8/100,6),0),IF('設定'!$B$12="切り上げ",ROUNDUP(ROUND($Z197*8/100,6),0),ROUND($Z197*8/100,0)))+$AA197))))))</f>
        <v/>
      </c>
      <c r="S197" s="26">
        <f>IF($B197="","",IF(N($R197)&lt;=0,0,IF($R197&lt;='設定'!$B$18,ROUNDDOWN(ROUND($R197*'設定'!$B$17,6),0),ROUNDDOWN(ROUND(($R197-'設定'!$B$18)*'設定'!$B$19,6),0)+'設定'!$B$20)))</f>
        <v/>
      </c>
      <c r="T197" s="26">
        <f>IF($B197="","",IF($X197="",0,IF(INDEX('支払先'!$K$5:$K$104,$X197)="差し引く",N(INDEX('支払先'!$L$5:$L$104,$X197)),0)))</f>
        <v/>
      </c>
      <c r="U197" s="26">
        <f>IF($B197="","",$Q197-$S197-$T197)</f>
        <v/>
      </c>
      <c r="V197" s="22">
        <f>IF($B197="","",MID(IF($C197="","／支払先コードが空",IF($X197="","／支払先にないコード",""))&amp;IF($K197=0,"／明細がない","")&amp;IF($AC197&gt;0,"／税率が空の明細 "&amp;$AC197&amp;"件（合計に入っていない）","")&amp;IF($X197="","",IF(INDEX('支払先'!$G$5:$G$104,$X197)="","／登録番号なし（仕入明細書にならない）",""))&amp;IF($AB197&gt;0,"／60日（2か月）を超える明細 "&amp;$AB197&amp;"件","")&amp;IF($X197="","",IF(AND(INDEX('支払先'!$K$5:$K$104,$X197)="差し引く",OR(INDEX('支払先'!$M$5:$M$104,$X197)&lt;&gt;"対象外",INDEX('支払先'!$N$5:$N$104,$X197)&lt;&gt;"対象外")),"／手数料を差し引けない取引か確かめる",""))&amp;IF(COUNTIF($B$5:$B$204,$B197)&gt;1,"／通知Noが重複","")&amp;IF(AND(ISNUMBER($D197),ISNUMBER($F197),$F197&lt;$D197),"／支払予定日が発行日より前",""),2,300))</f>
        <v/>
      </c>
      <c r="W197" s="67" t="n"/>
      <c r="X197" s="31">
        <f>IF(OR($B197="",$C197=""),"",IFERROR(MATCH($C197,'支払先'!$B$5:$B$104,0),""))</f>
        <v/>
      </c>
      <c r="Y197" s="31">
        <f>IF($B197="","",SUMIFS('支払明細'!$I$5:$I$1004,'支払明細'!$A$5:$A$1004,$B197,'支払明細'!$G$5:$G$1004,"10%（標準）",'支払明細'!$H$5:$H$1004,"&lt;&gt;対象外"))</f>
        <v/>
      </c>
      <c r="Z197" s="31">
        <f>IF($B197="","",SUMIFS('支払明細'!$I$5:$I$1004,'支払明細'!$A$5:$A$1004,$B197,'支払明細'!$G$5:$G$1004,"8%（軽減）",'支払明細'!$H$5:$H$1004,"&lt;&gt;対象外"))</f>
        <v/>
      </c>
      <c r="AA197" s="31">
        <f>IF($B197="","",SUMIFS('支払明細'!$I$5:$I$1004,'支払明細'!$A$5:$A$1004,$B197,'支払明細'!$G$5:$G$1004,"対象外",'支払明細'!$H$5:$H$1004,"&lt;&gt;対象外"))</f>
        <v/>
      </c>
      <c r="AB197" s="31">
        <f>IF($B197="","",COUNTIFS('支払明細'!$A$5:$A$1004,$B197,'支払明細'!$M$5:$M$1004,"超える"))</f>
        <v/>
      </c>
      <c r="AC197" s="31">
        <f>IF($B197="","",COUNTIFS('支払明細'!$A$5:$A$1004,$B197,'支払明細'!$G$5:$G$1004,""))</f>
        <v/>
      </c>
    </row>
    <row r="198" ht="18" customHeight="1">
      <c r="A198" s="17" t="n">
        <v>194</v>
      </c>
      <c r="B198" s="18" t="n"/>
      <c r="C198" s="18" t="n"/>
      <c r="D198" s="24" t="n"/>
      <c r="E198" s="19" t="n"/>
      <c r="F198" s="24" t="n"/>
      <c r="G198" s="28">
        <f>IF(AND($B198&lt;&gt;"",ISNUMBER($D198)),$D198+N('設定'!$B$13),"")</f>
        <v/>
      </c>
      <c r="H198" s="18" t="n"/>
      <c r="I198" s="19" t="n"/>
      <c r="J198" s="27">
        <f>IF($B198="","",IF($C198="","（支払先コードが空）",IF($X198="","※支払先にないコード",INDEX('支払先'!$C$5:$C$104,$X198)&amp;"")))</f>
        <v/>
      </c>
      <c r="K198" s="30">
        <f>IF($B198="","",COUNTIF('支払明細'!$A$5:$A$1004,$B198))</f>
        <v/>
      </c>
      <c r="L198" s="26">
        <f>IF($B198="","",SUMIFS('支払明細'!$I$5:$I$1004,'支払明細'!$A$5:$A$1004,$B198,'支払明細'!$G$5:$G$1004,"10%（標準）"))</f>
        <v/>
      </c>
      <c r="M198" s="26">
        <f>IF($B198="","",SUMIFS('支払明細'!$I$5:$I$1004,'支払明細'!$A$5:$A$1004,$B198,'支払明細'!$G$5:$G$1004,"8%（軽減）"))</f>
        <v/>
      </c>
      <c r="N198" s="26">
        <f>IF($B198="","",SUMIFS('支払明細'!$I$5:$I$1004,'支払明細'!$A$5:$A$1004,$B198,'支払明細'!$G$5:$G$1004,"対象外"))</f>
        <v/>
      </c>
      <c r="O198" s="26">
        <f>IF($B198="","",IF('設定'!$B$11="税込",IF('設定'!$B$12="切り捨て",ROUNDDOWN(ROUND($L198*10/110,6),0),IF('設定'!$B$12="切り上げ",ROUNDUP(ROUND($L198*10/110,6),0),ROUND($L198*10/110,0))),IF('設定'!$B$12="切り捨て",ROUNDDOWN(ROUND($L198*10/100,6),0),IF('設定'!$B$12="切り上げ",ROUNDUP(ROUND($L198*10/100,6),0),ROUND($L198*10/100,0)))))</f>
        <v/>
      </c>
      <c r="P198" s="26">
        <f>IF($B198="","",IF('設定'!$B$11="税込",IF('設定'!$B$12="切り捨て",ROUNDDOWN(ROUND($M198*8/108,6),0),IF('設定'!$B$12="切り上げ",ROUNDUP(ROUND($M198*8/108,6),0),ROUND($M198*8/108,0))),IF('設定'!$B$12="切り捨て",ROUNDDOWN(ROUND($M198*8/100,6),0),IF('設定'!$B$12="切り上げ",ROUNDUP(ROUND($M198*8/100,6),0),ROUND($M198*8/100,0)))))</f>
        <v/>
      </c>
      <c r="Q198" s="26">
        <f>IF($B198="","",IF('設定'!$B$11="税込",$L198+$M198+$N198,$L198+$O198+$M198+$P198+$N198))</f>
        <v/>
      </c>
      <c r="R198" s="26">
        <f>IF($B198="","",IF($X198="",0,IF(INDEX('支払先'!$I$5:$I$104,$X198)&lt;&gt;"する",0,IF(INDEX('支払先'!$J$5:$J$104,$X198)="税抜",IF('設定'!$B$11="税込",($Y198-IF('設定'!$B$12="切り捨て",ROUNDDOWN(ROUND($Y198*10/110,6),0),IF('設定'!$B$12="切り上げ",ROUNDUP(ROUND($Y198*10/110,6),0),ROUND($Y198*10/110,0)))+$Z198-IF('設定'!$B$12="切り捨て",ROUNDDOWN(ROUND($Z198*8/108,6),0),IF('設定'!$B$12="切り上げ",ROUNDUP(ROUND($Z198*8/108,6),0),ROUND($Z198*8/108,0)))+$AA198),$Y198+$Z198+$AA198),IF('設定'!$B$11="税込",$Y198+$Z198+$AA198,($Y198+IF('設定'!$B$12="切り捨て",ROUNDDOWN(ROUND($Y198*10/100,6),0),IF('設定'!$B$12="切り上げ",ROUNDUP(ROUND($Y198*10/100,6),0),ROUND($Y198*10/100,0)))+$Z198+IF('設定'!$B$12="切り捨て",ROUNDDOWN(ROUND($Z198*8/100,6),0),IF('設定'!$B$12="切り上げ",ROUNDUP(ROUND($Z198*8/100,6),0),ROUND($Z198*8/100,0)))+$AA198))))))</f>
        <v/>
      </c>
      <c r="S198" s="26">
        <f>IF($B198="","",IF(N($R198)&lt;=0,0,IF($R198&lt;='設定'!$B$18,ROUNDDOWN(ROUND($R198*'設定'!$B$17,6),0),ROUNDDOWN(ROUND(($R198-'設定'!$B$18)*'設定'!$B$19,6),0)+'設定'!$B$20)))</f>
        <v/>
      </c>
      <c r="T198" s="26">
        <f>IF($B198="","",IF($X198="",0,IF(INDEX('支払先'!$K$5:$K$104,$X198)="差し引く",N(INDEX('支払先'!$L$5:$L$104,$X198)),0)))</f>
        <v/>
      </c>
      <c r="U198" s="26">
        <f>IF($B198="","",$Q198-$S198-$T198)</f>
        <v/>
      </c>
      <c r="V198" s="22">
        <f>IF($B198="","",MID(IF($C198="","／支払先コードが空",IF($X198="","／支払先にないコード",""))&amp;IF($K198=0,"／明細がない","")&amp;IF($AC198&gt;0,"／税率が空の明細 "&amp;$AC198&amp;"件（合計に入っていない）","")&amp;IF($X198="","",IF(INDEX('支払先'!$G$5:$G$104,$X198)="","／登録番号なし（仕入明細書にならない）",""))&amp;IF($AB198&gt;0,"／60日（2か月）を超える明細 "&amp;$AB198&amp;"件","")&amp;IF($X198="","",IF(AND(INDEX('支払先'!$K$5:$K$104,$X198)="差し引く",OR(INDEX('支払先'!$M$5:$M$104,$X198)&lt;&gt;"対象外",INDEX('支払先'!$N$5:$N$104,$X198)&lt;&gt;"対象外")),"／手数料を差し引けない取引か確かめる",""))&amp;IF(COUNTIF($B$5:$B$204,$B198)&gt;1,"／通知Noが重複","")&amp;IF(AND(ISNUMBER($D198),ISNUMBER($F198),$F198&lt;$D198),"／支払予定日が発行日より前",""),2,300))</f>
        <v/>
      </c>
      <c r="W198" s="67" t="n"/>
      <c r="X198" s="31">
        <f>IF(OR($B198="",$C198=""),"",IFERROR(MATCH($C198,'支払先'!$B$5:$B$104,0),""))</f>
        <v/>
      </c>
      <c r="Y198" s="31">
        <f>IF($B198="","",SUMIFS('支払明細'!$I$5:$I$1004,'支払明細'!$A$5:$A$1004,$B198,'支払明細'!$G$5:$G$1004,"10%（標準）",'支払明細'!$H$5:$H$1004,"&lt;&gt;対象外"))</f>
        <v/>
      </c>
      <c r="Z198" s="31">
        <f>IF($B198="","",SUMIFS('支払明細'!$I$5:$I$1004,'支払明細'!$A$5:$A$1004,$B198,'支払明細'!$G$5:$G$1004,"8%（軽減）",'支払明細'!$H$5:$H$1004,"&lt;&gt;対象外"))</f>
        <v/>
      </c>
      <c r="AA198" s="31">
        <f>IF($B198="","",SUMIFS('支払明細'!$I$5:$I$1004,'支払明細'!$A$5:$A$1004,$B198,'支払明細'!$G$5:$G$1004,"対象外",'支払明細'!$H$5:$H$1004,"&lt;&gt;対象外"))</f>
        <v/>
      </c>
      <c r="AB198" s="31">
        <f>IF($B198="","",COUNTIFS('支払明細'!$A$5:$A$1004,$B198,'支払明細'!$M$5:$M$1004,"超える"))</f>
        <v/>
      </c>
      <c r="AC198" s="31">
        <f>IF($B198="","",COUNTIFS('支払明細'!$A$5:$A$1004,$B198,'支払明細'!$G$5:$G$1004,""))</f>
        <v/>
      </c>
    </row>
    <row r="199" ht="18" customHeight="1">
      <c r="A199" s="17" t="n">
        <v>195</v>
      </c>
      <c r="B199" s="18" t="n"/>
      <c r="C199" s="18" t="n"/>
      <c r="D199" s="24" t="n"/>
      <c r="E199" s="19" t="n"/>
      <c r="F199" s="24" t="n"/>
      <c r="G199" s="28">
        <f>IF(AND($B199&lt;&gt;"",ISNUMBER($D199)),$D199+N('設定'!$B$13),"")</f>
        <v/>
      </c>
      <c r="H199" s="18" t="n"/>
      <c r="I199" s="19" t="n"/>
      <c r="J199" s="27">
        <f>IF($B199="","",IF($C199="","（支払先コードが空）",IF($X199="","※支払先にないコード",INDEX('支払先'!$C$5:$C$104,$X199)&amp;"")))</f>
        <v/>
      </c>
      <c r="K199" s="30">
        <f>IF($B199="","",COUNTIF('支払明細'!$A$5:$A$1004,$B199))</f>
        <v/>
      </c>
      <c r="L199" s="26">
        <f>IF($B199="","",SUMIFS('支払明細'!$I$5:$I$1004,'支払明細'!$A$5:$A$1004,$B199,'支払明細'!$G$5:$G$1004,"10%（標準）"))</f>
        <v/>
      </c>
      <c r="M199" s="26">
        <f>IF($B199="","",SUMIFS('支払明細'!$I$5:$I$1004,'支払明細'!$A$5:$A$1004,$B199,'支払明細'!$G$5:$G$1004,"8%（軽減）"))</f>
        <v/>
      </c>
      <c r="N199" s="26">
        <f>IF($B199="","",SUMIFS('支払明細'!$I$5:$I$1004,'支払明細'!$A$5:$A$1004,$B199,'支払明細'!$G$5:$G$1004,"対象外"))</f>
        <v/>
      </c>
      <c r="O199" s="26">
        <f>IF($B199="","",IF('設定'!$B$11="税込",IF('設定'!$B$12="切り捨て",ROUNDDOWN(ROUND($L199*10/110,6),0),IF('設定'!$B$12="切り上げ",ROUNDUP(ROUND($L199*10/110,6),0),ROUND($L199*10/110,0))),IF('設定'!$B$12="切り捨て",ROUNDDOWN(ROUND($L199*10/100,6),0),IF('設定'!$B$12="切り上げ",ROUNDUP(ROUND($L199*10/100,6),0),ROUND($L199*10/100,0)))))</f>
        <v/>
      </c>
      <c r="P199" s="26">
        <f>IF($B199="","",IF('設定'!$B$11="税込",IF('設定'!$B$12="切り捨て",ROUNDDOWN(ROUND($M199*8/108,6),0),IF('設定'!$B$12="切り上げ",ROUNDUP(ROUND($M199*8/108,6),0),ROUND($M199*8/108,0))),IF('設定'!$B$12="切り捨て",ROUNDDOWN(ROUND($M199*8/100,6),0),IF('設定'!$B$12="切り上げ",ROUNDUP(ROUND($M199*8/100,6),0),ROUND($M199*8/100,0)))))</f>
        <v/>
      </c>
      <c r="Q199" s="26">
        <f>IF($B199="","",IF('設定'!$B$11="税込",$L199+$M199+$N199,$L199+$O199+$M199+$P199+$N199))</f>
        <v/>
      </c>
      <c r="R199" s="26">
        <f>IF($B199="","",IF($X199="",0,IF(INDEX('支払先'!$I$5:$I$104,$X199)&lt;&gt;"する",0,IF(INDEX('支払先'!$J$5:$J$104,$X199)="税抜",IF('設定'!$B$11="税込",($Y199-IF('設定'!$B$12="切り捨て",ROUNDDOWN(ROUND($Y199*10/110,6),0),IF('設定'!$B$12="切り上げ",ROUNDUP(ROUND($Y199*10/110,6),0),ROUND($Y199*10/110,0)))+$Z199-IF('設定'!$B$12="切り捨て",ROUNDDOWN(ROUND($Z199*8/108,6),0),IF('設定'!$B$12="切り上げ",ROUNDUP(ROUND($Z199*8/108,6),0),ROUND($Z199*8/108,0)))+$AA199),$Y199+$Z199+$AA199),IF('設定'!$B$11="税込",$Y199+$Z199+$AA199,($Y199+IF('設定'!$B$12="切り捨て",ROUNDDOWN(ROUND($Y199*10/100,6),0),IF('設定'!$B$12="切り上げ",ROUNDUP(ROUND($Y199*10/100,6),0),ROUND($Y199*10/100,0)))+$Z199+IF('設定'!$B$12="切り捨て",ROUNDDOWN(ROUND($Z199*8/100,6),0),IF('設定'!$B$12="切り上げ",ROUNDUP(ROUND($Z199*8/100,6),0),ROUND($Z199*8/100,0)))+$AA199))))))</f>
        <v/>
      </c>
      <c r="S199" s="26">
        <f>IF($B199="","",IF(N($R199)&lt;=0,0,IF($R199&lt;='設定'!$B$18,ROUNDDOWN(ROUND($R199*'設定'!$B$17,6),0),ROUNDDOWN(ROUND(($R199-'設定'!$B$18)*'設定'!$B$19,6),0)+'設定'!$B$20)))</f>
        <v/>
      </c>
      <c r="T199" s="26">
        <f>IF($B199="","",IF($X199="",0,IF(INDEX('支払先'!$K$5:$K$104,$X199)="差し引く",N(INDEX('支払先'!$L$5:$L$104,$X199)),0)))</f>
        <v/>
      </c>
      <c r="U199" s="26">
        <f>IF($B199="","",$Q199-$S199-$T199)</f>
        <v/>
      </c>
      <c r="V199" s="22">
        <f>IF($B199="","",MID(IF($C199="","／支払先コードが空",IF($X199="","／支払先にないコード",""))&amp;IF($K199=0,"／明細がない","")&amp;IF($AC199&gt;0,"／税率が空の明細 "&amp;$AC199&amp;"件（合計に入っていない）","")&amp;IF($X199="","",IF(INDEX('支払先'!$G$5:$G$104,$X199)="","／登録番号なし（仕入明細書にならない）",""))&amp;IF($AB199&gt;0,"／60日（2か月）を超える明細 "&amp;$AB199&amp;"件","")&amp;IF($X199="","",IF(AND(INDEX('支払先'!$K$5:$K$104,$X199)="差し引く",OR(INDEX('支払先'!$M$5:$M$104,$X199)&lt;&gt;"対象外",INDEX('支払先'!$N$5:$N$104,$X199)&lt;&gt;"対象外")),"／手数料を差し引けない取引か確かめる",""))&amp;IF(COUNTIF($B$5:$B$204,$B199)&gt;1,"／通知Noが重複","")&amp;IF(AND(ISNUMBER($D199),ISNUMBER($F199),$F199&lt;$D199),"／支払予定日が発行日より前",""),2,300))</f>
        <v/>
      </c>
      <c r="W199" s="67" t="n"/>
      <c r="X199" s="31">
        <f>IF(OR($B199="",$C199=""),"",IFERROR(MATCH($C199,'支払先'!$B$5:$B$104,0),""))</f>
        <v/>
      </c>
      <c r="Y199" s="31">
        <f>IF($B199="","",SUMIFS('支払明細'!$I$5:$I$1004,'支払明細'!$A$5:$A$1004,$B199,'支払明細'!$G$5:$G$1004,"10%（標準）",'支払明細'!$H$5:$H$1004,"&lt;&gt;対象外"))</f>
        <v/>
      </c>
      <c r="Z199" s="31">
        <f>IF($B199="","",SUMIFS('支払明細'!$I$5:$I$1004,'支払明細'!$A$5:$A$1004,$B199,'支払明細'!$G$5:$G$1004,"8%（軽減）",'支払明細'!$H$5:$H$1004,"&lt;&gt;対象外"))</f>
        <v/>
      </c>
      <c r="AA199" s="31">
        <f>IF($B199="","",SUMIFS('支払明細'!$I$5:$I$1004,'支払明細'!$A$5:$A$1004,$B199,'支払明細'!$G$5:$G$1004,"対象外",'支払明細'!$H$5:$H$1004,"&lt;&gt;対象外"))</f>
        <v/>
      </c>
      <c r="AB199" s="31">
        <f>IF($B199="","",COUNTIFS('支払明細'!$A$5:$A$1004,$B199,'支払明細'!$M$5:$M$1004,"超える"))</f>
        <v/>
      </c>
      <c r="AC199" s="31">
        <f>IF($B199="","",COUNTIFS('支払明細'!$A$5:$A$1004,$B199,'支払明細'!$G$5:$G$1004,""))</f>
        <v/>
      </c>
    </row>
    <row r="200" ht="18" customHeight="1">
      <c r="A200" s="17" t="n">
        <v>196</v>
      </c>
      <c r="B200" s="18" t="n"/>
      <c r="C200" s="18" t="n"/>
      <c r="D200" s="24" t="n"/>
      <c r="E200" s="19" t="n"/>
      <c r="F200" s="24" t="n"/>
      <c r="G200" s="28">
        <f>IF(AND($B200&lt;&gt;"",ISNUMBER($D200)),$D200+N('設定'!$B$13),"")</f>
        <v/>
      </c>
      <c r="H200" s="18" t="n"/>
      <c r="I200" s="19" t="n"/>
      <c r="J200" s="27">
        <f>IF($B200="","",IF($C200="","（支払先コードが空）",IF($X200="","※支払先にないコード",INDEX('支払先'!$C$5:$C$104,$X200)&amp;"")))</f>
        <v/>
      </c>
      <c r="K200" s="30">
        <f>IF($B200="","",COUNTIF('支払明細'!$A$5:$A$1004,$B200))</f>
        <v/>
      </c>
      <c r="L200" s="26">
        <f>IF($B200="","",SUMIFS('支払明細'!$I$5:$I$1004,'支払明細'!$A$5:$A$1004,$B200,'支払明細'!$G$5:$G$1004,"10%（標準）"))</f>
        <v/>
      </c>
      <c r="M200" s="26">
        <f>IF($B200="","",SUMIFS('支払明細'!$I$5:$I$1004,'支払明細'!$A$5:$A$1004,$B200,'支払明細'!$G$5:$G$1004,"8%（軽減）"))</f>
        <v/>
      </c>
      <c r="N200" s="26">
        <f>IF($B200="","",SUMIFS('支払明細'!$I$5:$I$1004,'支払明細'!$A$5:$A$1004,$B200,'支払明細'!$G$5:$G$1004,"対象外"))</f>
        <v/>
      </c>
      <c r="O200" s="26">
        <f>IF($B200="","",IF('設定'!$B$11="税込",IF('設定'!$B$12="切り捨て",ROUNDDOWN(ROUND($L200*10/110,6),0),IF('設定'!$B$12="切り上げ",ROUNDUP(ROUND($L200*10/110,6),0),ROUND($L200*10/110,0))),IF('設定'!$B$12="切り捨て",ROUNDDOWN(ROUND($L200*10/100,6),0),IF('設定'!$B$12="切り上げ",ROUNDUP(ROUND($L200*10/100,6),0),ROUND($L200*10/100,0)))))</f>
        <v/>
      </c>
      <c r="P200" s="26">
        <f>IF($B200="","",IF('設定'!$B$11="税込",IF('設定'!$B$12="切り捨て",ROUNDDOWN(ROUND($M200*8/108,6),0),IF('設定'!$B$12="切り上げ",ROUNDUP(ROUND($M200*8/108,6),0),ROUND($M200*8/108,0))),IF('設定'!$B$12="切り捨て",ROUNDDOWN(ROUND($M200*8/100,6),0),IF('設定'!$B$12="切り上げ",ROUNDUP(ROUND($M200*8/100,6),0),ROUND($M200*8/100,0)))))</f>
        <v/>
      </c>
      <c r="Q200" s="26">
        <f>IF($B200="","",IF('設定'!$B$11="税込",$L200+$M200+$N200,$L200+$O200+$M200+$P200+$N200))</f>
        <v/>
      </c>
      <c r="R200" s="26">
        <f>IF($B200="","",IF($X200="",0,IF(INDEX('支払先'!$I$5:$I$104,$X200)&lt;&gt;"する",0,IF(INDEX('支払先'!$J$5:$J$104,$X200)="税抜",IF('設定'!$B$11="税込",($Y200-IF('設定'!$B$12="切り捨て",ROUNDDOWN(ROUND($Y200*10/110,6),0),IF('設定'!$B$12="切り上げ",ROUNDUP(ROUND($Y200*10/110,6),0),ROUND($Y200*10/110,0)))+$Z200-IF('設定'!$B$12="切り捨て",ROUNDDOWN(ROUND($Z200*8/108,6),0),IF('設定'!$B$12="切り上げ",ROUNDUP(ROUND($Z200*8/108,6),0),ROUND($Z200*8/108,0)))+$AA200),$Y200+$Z200+$AA200),IF('設定'!$B$11="税込",$Y200+$Z200+$AA200,($Y200+IF('設定'!$B$12="切り捨て",ROUNDDOWN(ROUND($Y200*10/100,6),0),IF('設定'!$B$12="切り上げ",ROUNDUP(ROUND($Y200*10/100,6),0),ROUND($Y200*10/100,0)))+$Z200+IF('設定'!$B$12="切り捨て",ROUNDDOWN(ROUND($Z200*8/100,6),0),IF('設定'!$B$12="切り上げ",ROUNDUP(ROUND($Z200*8/100,6),0),ROUND($Z200*8/100,0)))+$AA200))))))</f>
        <v/>
      </c>
      <c r="S200" s="26">
        <f>IF($B200="","",IF(N($R200)&lt;=0,0,IF($R200&lt;='設定'!$B$18,ROUNDDOWN(ROUND($R200*'設定'!$B$17,6),0),ROUNDDOWN(ROUND(($R200-'設定'!$B$18)*'設定'!$B$19,6),0)+'設定'!$B$20)))</f>
        <v/>
      </c>
      <c r="T200" s="26">
        <f>IF($B200="","",IF($X200="",0,IF(INDEX('支払先'!$K$5:$K$104,$X200)="差し引く",N(INDEX('支払先'!$L$5:$L$104,$X200)),0)))</f>
        <v/>
      </c>
      <c r="U200" s="26">
        <f>IF($B200="","",$Q200-$S200-$T200)</f>
        <v/>
      </c>
      <c r="V200" s="22">
        <f>IF($B200="","",MID(IF($C200="","／支払先コードが空",IF($X200="","／支払先にないコード",""))&amp;IF($K200=0,"／明細がない","")&amp;IF($AC200&gt;0,"／税率が空の明細 "&amp;$AC200&amp;"件（合計に入っていない）","")&amp;IF($X200="","",IF(INDEX('支払先'!$G$5:$G$104,$X200)="","／登録番号なし（仕入明細書にならない）",""))&amp;IF($AB200&gt;0,"／60日（2か月）を超える明細 "&amp;$AB200&amp;"件","")&amp;IF($X200="","",IF(AND(INDEX('支払先'!$K$5:$K$104,$X200)="差し引く",OR(INDEX('支払先'!$M$5:$M$104,$X200)&lt;&gt;"対象外",INDEX('支払先'!$N$5:$N$104,$X200)&lt;&gt;"対象外")),"／手数料を差し引けない取引か確かめる",""))&amp;IF(COUNTIF($B$5:$B$204,$B200)&gt;1,"／通知Noが重複","")&amp;IF(AND(ISNUMBER($D200),ISNUMBER($F200),$F200&lt;$D200),"／支払予定日が発行日より前",""),2,300))</f>
        <v/>
      </c>
      <c r="W200" s="67" t="n"/>
      <c r="X200" s="31">
        <f>IF(OR($B200="",$C200=""),"",IFERROR(MATCH($C200,'支払先'!$B$5:$B$104,0),""))</f>
        <v/>
      </c>
      <c r="Y200" s="31">
        <f>IF($B200="","",SUMIFS('支払明細'!$I$5:$I$1004,'支払明細'!$A$5:$A$1004,$B200,'支払明細'!$G$5:$G$1004,"10%（標準）",'支払明細'!$H$5:$H$1004,"&lt;&gt;対象外"))</f>
        <v/>
      </c>
      <c r="Z200" s="31">
        <f>IF($B200="","",SUMIFS('支払明細'!$I$5:$I$1004,'支払明細'!$A$5:$A$1004,$B200,'支払明細'!$G$5:$G$1004,"8%（軽減）",'支払明細'!$H$5:$H$1004,"&lt;&gt;対象外"))</f>
        <v/>
      </c>
      <c r="AA200" s="31">
        <f>IF($B200="","",SUMIFS('支払明細'!$I$5:$I$1004,'支払明細'!$A$5:$A$1004,$B200,'支払明細'!$G$5:$G$1004,"対象外",'支払明細'!$H$5:$H$1004,"&lt;&gt;対象外"))</f>
        <v/>
      </c>
      <c r="AB200" s="31">
        <f>IF($B200="","",COUNTIFS('支払明細'!$A$5:$A$1004,$B200,'支払明細'!$M$5:$M$1004,"超える"))</f>
        <v/>
      </c>
      <c r="AC200" s="31">
        <f>IF($B200="","",COUNTIFS('支払明細'!$A$5:$A$1004,$B200,'支払明細'!$G$5:$G$1004,""))</f>
        <v/>
      </c>
    </row>
    <row r="201" ht="18" customHeight="1">
      <c r="A201" s="17" t="n">
        <v>197</v>
      </c>
      <c r="B201" s="18" t="n"/>
      <c r="C201" s="18" t="n"/>
      <c r="D201" s="24" t="n"/>
      <c r="E201" s="19" t="n"/>
      <c r="F201" s="24" t="n"/>
      <c r="G201" s="28">
        <f>IF(AND($B201&lt;&gt;"",ISNUMBER($D201)),$D201+N('設定'!$B$13),"")</f>
        <v/>
      </c>
      <c r="H201" s="18" t="n"/>
      <c r="I201" s="19" t="n"/>
      <c r="J201" s="27">
        <f>IF($B201="","",IF($C201="","（支払先コードが空）",IF($X201="","※支払先にないコード",INDEX('支払先'!$C$5:$C$104,$X201)&amp;"")))</f>
        <v/>
      </c>
      <c r="K201" s="30">
        <f>IF($B201="","",COUNTIF('支払明細'!$A$5:$A$1004,$B201))</f>
        <v/>
      </c>
      <c r="L201" s="26">
        <f>IF($B201="","",SUMIFS('支払明細'!$I$5:$I$1004,'支払明細'!$A$5:$A$1004,$B201,'支払明細'!$G$5:$G$1004,"10%（標準）"))</f>
        <v/>
      </c>
      <c r="M201" s="26">
        <f>IF($B201="","",SUMIFS('支払明細'!$I$5:$I$1004,'支払明細'!$A$5:$A$1004,$B201,'支払明細'!$G$5:$G$1004,"8%（軽減）"))</f>
        <v/>
      </c>
      <c r="N201" s="26">
        <f>IF($B201="","",SUMIFS('支払明細'!$I$5:$I$1004,'支払明細'!$A$5:$A$1004,$B201,'支払明細'!$G$5:$G$1004,"対象外"))</f>
        <v/>
      </c>
      <c r="O201" s="26">
        <f>IF($B201="","",IF('設定'!$B$11="税込",IF('設定'!$B$12="切り捨て",ROUNDDOWN(ROUND($L201*10/110,6),0),IF('設定'!$B$12="切り上げ",ROUNDUP(ROUND($L201*10/110,6),0),ROUND($L201*10/110,0))),IF('設定'!$B$12="切り捨て",ROUNDDOWN(ROUND($L201*10/100,6),0),IF('設定'!$B$12="切り上げ",ROUNDUP(ROUND($L201*10/100,6),0),ROUND($L201*10/100,0)))))</f>
        <v/>
      </c>
      <c r="P201" s="26">
        <f>IF($B201="","",IF('設定'!$B$11="税込",IF('設定'!$B$12="切り捨て",ROUNDDOWN(ROUND($M201*8/108,6),0),IF('設定'!$B$12="切り上げ",ROUNDUP(ROUND($M201*8/108,6),0),ROUND($M201*8/108,0))),IF('設定'!$B$12="切り捨て",ROUNDDOWN(ROUND($M201*8/100,6),0),IF('設定'!$B$12="切り上げ",ROUNDUP(ROUND($M201*8/100,6),0),ROUND($M201*8/100,0)))))</f>
        <v/>
      </c>
      <c r="Q201" s="26">
        <f>IF($B201="","",IF('設定'!$B$11="税込",$L201+$M201+$N201,$L201+$O201+$M201+$P201+$N201))</f>
        <v/>
      </c>
      <c r="R201" s="26">
        <f>IF($B201="","",IF($X201="",0,IF(INDEX('支払先'!$I$5:$I$104,$X201)&lt;&gt;"する",0,IF(INDEX('支払先'!$J$5:$J$104,$X201)="税抜",IF('設定'!$B$11="税込",($Y201-IF('設定'!$B$12="切り捨て",ROUNDDOWN(ROUND($Y201*10/110,6),0),IF('設定'!$B$12="切り上げ",ROUNDUP(ROUND($Y201*10/110,6),0),ROUND($Y201*10/110,0)))+$Z201-IF('設定'!$B$12="切り捨て",ROUNDDOWN(ROUND($Z201*8/108,6),0),IF('設定'!$B$12="切り上げ",ROUNDUP(ROUND($Z201*8/108,6),0),ROUND($Z201*8/108,0)))+$AA201),$Y201+$Z201+$AA201),IF('設定'!$B$11="税込",$Y201+$Z201+$AA201,($Y201+IF('設定'!$B$12="切り捨て",ROUNDDOWN(ROUND($Y201*10/100,6),0),IF('設定'!$B$12="切り上げ",ROUNDUP(ROUND($Y201*10/100,6),0),ROUND($Y201*10/100,0)))+$Z201+IF('設定'!$B$12="切り捨て",ROUNDDOWN(ROUND($Z201*8/100,6),0),IF('設定'!$B$12="切り上げ",ROUNDUP(ROUND($Z201*8/100,6),0),ROUND($Z201*8/100,0)))+$AA201))))))</f>
        <v/>
      </c>
      <c r="S201" s="26">
        <f>IF($B201="","",IF(N($R201)&lt;=0,0,IF($R201&lt;='設定'!$B$18,ROUNDDOWN(ROUND($R201*'設定'!$B$17,6),0),ROUNDDOWN(ROUND(($R201-'設定'!$B$18)*'設定'!$B$19,6),0)+'設定'!$B$20)))</f>
        <v/>
      </c>
      <c r="T201" s="26">
        <f>IF($B201="","",IF($X201="",0,IF(INDEX('支払先'!$K$5:$K$104,$X201)="差し引く",N(INDEX('支払先'!$L$5:$L$104,$X201)),0)))</f>
        <v/>
      </c>
      <c r="U201" s="26">
        <f>IF($B201="","",$Q201-$S201-$T201)</f>
        <v/>
      </c>
      <c r="V201" s="22">
        <f>IF($B201="","",MID(IF($C201="","／支払先コードが空",IF($X201="","／支払先にないコード",""))&amp;IF($K201=0,"／明細がない","")&amp;IF($AC201&gt;0,"／税率が空の明細 "&amp;$AC201&amp;"件（合計に入っていない）","")&amp;IF($X201="","",IF(INDEX('支払先'!$G$5:$G$104,$X201)="","／登録番号なし（仕入明細書にならない）",""))&amp;IF($AB201&gt;0,"／60日（2か月）を超える明細 "&amp;$AB201&amp;"件","")&amp;IF($X201="","",IF(AND(INDEX('支払先'!$K$5:$K$104,$X201)="差し引く",OR(INDEX('支払先'!$M$5:$M$104,$X201)&lt;&gt;"対象外",INDEX('支払先'!$N$5:$N$104,$X201)&lt;&gt;"対象外")),"／手数料を差し引けない取引か確かめる",""))&amp;IF(COUNTIF($B$5:$B$204,$B201)&gt;1,"／通知Noが重複","")&amp;IF(AND(ISNUMBER($D201),ISNUMBER($F201),$F201&lt;$D201),"／支払予定日が発行日より前",""),2,300))</f>
        <v/>
      </c>
      <c r="W201" s="67" t="n"/>
      <c r="X201" s="31">
        <f>IF(OR($B201="",$C201=""),"",IFERROR(MATCH($C201,'支払先'!$B$5:$B$104,0),""))</f>
        <v/>
      </c>
      <c r="Y201" s="31">
        <f>IF($B201="","",SUMIFS('支払明細'!$I$5:$I$1004,'支払明細'!$A$5:$A$1004,$B201,'支払明細'!$G$5:$G$1004,"10%（標準）",'支払明細'!$H$5:$H$1004,"&lt;&gt;対象外"))</f>
        <v/>
      </c>
      <c r="Z201" s="31">
        <f>IF($B201="","",SUMIFS('支払明細'!$I$5:$I$1004,'支払明細'!$A$5:$A$1004,$B201,'支払明細'!$G$5:$G$1004,"8%（軽減）",'支払明細'!$H$5:$H$1004,"&lt;&gt;対象外"))</f>
        <v/>
      </c>
      <c r="AA201" s="31">
        <f>IF($B201="","",SUMIFS('支払明細'!$I$5:$I$1004,'支払明細'!$A$5:$A$1004,$B201,'支払明細'!$G$5:$G$1004,"対象外",'支払明細'!$H$5:$H$1004,"&lt;&gt;対象外"))</f>
        <v/>
      </c>
      <c r="AB201" s="31">
        <f>IF($B201="","",COUNTIFS('支払明細'!$A$5:$A$1004,$B201,'支払明細'!$M$5:$M$1004,"超える"))</f>
        <v/>
      </c>
      <c r="AC201" s="31">
        <f>IF($B201="","",COUNTIFS('支払明細'!$A$5:$A$1004,$B201,'支払明細'!$G$5:$G$1004,""))</f>
        <v/>
      </c>
    </row>
    <row r="202" ht="18" customHeight="1">
      <c r="A202" s="17" t="n">
        <v>198</v>
      </c>
      <c r="B202" s="18" t="n"/>
      <c r="C202" s="18" t="n"/>
      <c r="D202" s="24" t="n"/>
      <c r="E202" s="19" t="n"/>
      <c r="F202" s="24" t="n"/>
      <c r="G202" s="28">
        <f>IF(AND($B202&lt;&gt;"",ISNUMBER($D202)),$D202+N('設定'!$B$13),"")</f>
        <v/>
      </c>
      <c r="H202" s="18" t="n"/>
      <c r="I202" s="19" t="n"/>
      <c r="J202" s="27">
        <f>IF($B202="","",IF($C202="","（支払先コードが空）",IF($X202="","※支払先にないコード",INDEX('支払先'!$C$5:$C$104,$X202)&amp;"")))</f>
        <v/>
      </c>
      <c r="K202" s="30">
        <f>IF($B202="","",COUNTIF('支払明細'!$A$5:$A$1004,$B202))</f>
        <v/>
      </c>
      <c r="L202" s="26">
        <f>IF($B202="","",SUMIFS('支払明細'!$I$5:$I$1004,'支払明細'!$A$5:$A$1004,$B202,'支払明細'!$G$5:$G$1004,"10%（標準）"))</f>
        <v/>
      </c>
      <c r="M202" s="26">
        <f>IF($B202="","",SUMIFS('支払明細'!$I$5:$I$1004,'支払明細'!$A$5:$A$1004,$B202,'支払明細'!$G$5:$G$1004,"8%（軽減）"))</f>
        <v/>
      </c>
      <c r="N202" s="26">
        <f>IF($B202="","",SUMIFS('支払明細'!$I$5:$I$1004,'支払明細'!$A$5:$A$1004,$B202,'支払明細'!$G$5:$G$1004,"対象外"))</f>
        <v/>
      </c>
      <c r="O202" s="26">
        <f>IF($B202="","",IF('設定'!$B$11="税込",IF('設定'!$B$12="切り捨て",ROUNDDOWN(ROUND($L202*10/110,6),0),IF('設定'!$B$12="切り上げ",ROUNDUP(ROUND($L202*10/110,6),0),ROUND($L202*10/110,0))),IF('設定'!$B$12="切り捨て",ROUNDDOWN(ROUND($L202*10/100,6),0),IF('設定'!$B$12="切り上げ",ROUNDUP(ROUND($L202*10/100,6),0),ROUND($L202*10/100,0)))))</f>
        <v/>
      </c>
      <c r="P202" s="26">
        <f>IF($B202="","",IF('設定'!$B$11="税込",IF('設定'!$B$12="切り捨て",ROUNDDOWN(ROUND($M202*8/108,6),0),IF('設定'!$B$12="切り上げ",ROUNDUP(ROUND($M202*8/108,6),0),ROUND($M202*8/108,0))),IF('設定'!$B$12="切り捨て",ROUNDDOWN(ROUND($M202*8/100,6),0),IF('設定'!$B$12="切り上げ",ROUNDUP(ROUND($M202*8/100,6),0),ROUND($M202*8/100,0)))))</f>
        <v/>
      </c>
      <c r="Q202" s="26">
        <f>IF($B202="","",IF('設定'!$B$11="税込",$L202+$M202+$N202,$L202+$O202+$M202+$P202+$N202))</f>
        <v/>
      </c>
      <c r="R202" s="26">
        <f>IF($B202="","",IF($X202="",0,IF(INDEX('支払先'!$I$5:$I$104,$X202)&lt;&gt;"する",0,IF(INDEX('支払先'!$J$5:$J$104,$X202)="税抜",IF('設定'!$B$11="税込",($Y202-IF('設定'!$B$12="切り捨て",ROUNDDOWN(ROUND($Y202*10/110,6),0),IF('設定'!$B$12="切り上げ",ROUNDUP(ROUND($Y202*10/110,6),0),ROUND($Y202*10/110,0)))+$Z202-IF('設定'!$B$12="切り捨て",ROUNDDOWN(ROUND($Z202*8/108,6),0),IF('設定'!$B$12="切り上げ",ROUNDUP(ROUND($Z202*8/108,6),0),ROUND($Z202*8/108,0)))+$AA202),$Y202+$Z202+$AA202),IF('設定'!$B$11="税込",$Y202+$Z202+$AA202,($Y202+IF('設定'!$B$12="切り捨て",ROUNDDOWN(ROUND($Y202*10/100,6),0),IF('設定'!$B$12="切り上げ",ROUNDUP(ROUND($Y202*10/100,6),0),ROUND($Y202*10/100,0)))+$Z202+IF('設定'!$B$12="切り捨て",ROUNDDOWN(ROUND($Z202*8/100,6),0),IF('設定'!$B$12="切り上げ",ROUNDUP(ROUND($Z202*8/100,6),0),ROUND($Z202*8/100,0)))+$AA202))))))</f>
        <v/>
      </c>
      <c r="S202" s="26">
        <f>IF($B202="","",IF(N($R202)&lt;=0,0,IF($R202&lt;='設定'!$B$18,ROUNDDOWN(ROUND($R202*'設定'!$B$17,6),0),ROUNDDOWN(ROUND(($R202-'設定'!$B$18)*'設定'!$B$19,6),0)+'設定'!$B$20)))</f>
        <v/>
      </c>
      <c r="T202" s="26">
        <f>IF($B202="","",IF($X202="",0,IF(INDEX('支払先'!$K$5:$K$104,$X202)="差し引く",N(INDEX('支払先'!$L$5:$L$104,$X202)),0)))</f>
        <v/>
      </c>
      <c r="U202" s="26">
        <f>IF($B202="","",$Q202-$S202-$T202)</f>
        <v/>
      </c>
      <c r="V202" s="22">
        <f>IF($B202="","",MID(IF($C202="","／支払先コードが空",IF($X202="","／支払先にないコード",""))&amp;IF($K202=0,"／明細がない","")&amp;IF($AC202&gt;0,"／税率が空の明細 "&amp;$AC202&amp;"件（合計に入っていない）","")&amp;IF($X202="","",IF(INDEX('支払先'!$G$5:$G$104,$X202)="","／登録番号なし（仕入明細書にならない）",""))&amp;IF($AB202&gt;0,"／60日（2か月）を超える明細 "&amp;$AB202&amp;"件","")&amp;IF($X202="","",IF(AND(INDEX('支払先'!$K$5:$K$104,$X202)="差し引く",OR(INDEX('支払先'!$M$5:$M$104,$X202)&lt;&gt;"対象外",INDEX('支払先'!$N$5:$N$104,$X202)&lt;&gt;"対象外")),"／手数料を差し引けない取引か確かめる",""))&amp;IF(COUNTIF($B$5:$B$204,$B202)&gt;1,"／通知Noが重複","")&amp;IF(AND(ISNUMBER($D202),ISNUMBER($F202),$F202&lt;$D202),"／支払予定日が発行日より前",""),2,300))</f>
        <v/>
      </c>
      <c r="W202" s="67" t="n"/>
      <c r="X202" s="31">
        <f>IF(OR($B202="",$C202=""),"",IFERROR(MATCH($C202,'支払先'!$B$5:$B$104,0),""))</f>
        <v/>
      </c>
      <c r="Y202" s="31">
        <f>IF($B202="","",SUMIFS('支払明細'!$I$5:$I$1004,'支払明細'!$A$5:$A$1004,$B202,'支払明細'!$G$5:$G$1004,"10%（標準）",'支払明細'!$H$5:$H$1004,"&lt;&gt;対象外"))</f>
        <v/>
      </c>
      <c r="Z202" s="31">
        <f>IF($B202="","",SUMIFS('支払明細'!$I$5:$I$1004,'支払明細'!$A$5:$A$1004,$B202,'支払明細'!$G$5:$G$1004,"8%（軽減）",'支払明細'!$H$5:$H$1004,"&lt;&gt;対象外"))</f>
        <v/>
      </c>
      <c r="AA202" s="31">
        <f>IF($B202="","",SUMIFS('支払明細'!$I$5:$I$1004,'支払明細'!$A$5:$A$1004,$B202,'支払明細'!$G$5:$G$1004,"対象外",'支払明細'!$H$5:$H$1004,"&lt;&gt;対象外"))</f>
        <v/>
      </c>
      <c r="AB202" s="31">
        <f>IF($B202="","",COUNTIFS('支払明細'!$A$5:$A$1004,$B202,'支払明細'!$M$5:$M$1004,"超える"))</f>
        <v/>
      </c>
      <c r="AC202" s="31">
        <f>IF($B202="","",COUNTIFS('支払明細'!$A$5:$A$1004,$B202,'支払明細'!$G$5:$G$1004,""))</f>
        <v/>
      </c>
    </row>
    <row r="203" ht="18" customHeight="1">
      <c r="A203" s="17" t="n">
        <v>199</v>
      </c>
      <c r="B203" s="18" t="n"/>
      <c r="C203" s="18" t="n"/>
      <c r="D203" s="24" t="n"/>
      <c r="E203" s="19" t="n"/>
      <c r="F203" s="24" t="n"/>
      <c r="G203" s="28">
        <f>IF(AND($B203&lt;&gt;"",ISNUMBER($D203)),$D203+N('設定'!$B$13),"")</f>
        <v/>
      </c>
      <c r="H203" s="18" t="n"/>
      <c r="I203" s="19" t="n"/>
      <c r="J203" s="27">
        <f>IF($B203="","",IF($C203="","（支払先コードが空）",IF($X203="","※支払先にないコード",INDEX('支払先'!$C$5:$C$104,$X203)&amp;"")))</f>
        <v/>
      </c>
      <c r="K203" s="30">
        <f>IF($B203="","",COUNTIF('支払明細'!$A$5:$A$1004,$B203))</f>
        <v/>
      </c>
      <c r="L203" s="26">
        <f>IF($B203="","",SUMIFS('支払明細'!$I$5:$I$1004,'支払明細'!$A$5:$A$1004,$B203,'支払明細'!$G$5:$G$1004,"10%（標準）"))</f>
        <v/>
      </c>
      <c r="M203" s="26">
        <f>IF($B203="","",SUMIFS('支払明細'!$I$5:$I$1004,'支払明細'!$A$5:$A$1004,$B203,'支払明細'!$G$5:$G$1004,"8%（軽減）"))</f>
        <v/>
      </c>
      <c r="N203" s="26">
        <f>IF($B203="","",SUMIFS('支払明細'!$I$5:$I$1004,'支払明細'!$A$5:$A$1004,$B203,'支払明細'!$G$5:$G$1004,"対象外"))</f>
        <v/>
      </c>
      <c r="O203" s="26">
        <f>IF($B203="","",IF('設定'!$B$11="税込",IF('設定'!$B$12="切り捨て",ROUNDDOWN(ROUND($L203*10/110,6),0),IF('設定'!$B$12="切り上げ",ROUNDUP(ROUND($L203*10/110,6),0),ROUND($L203*10/110,0))),IF('設定'!$B$12="切り捨て",ROUNDDOWN(ROUND($L203*10/100,6),0),IF('設定'!$B$12="切り上げ",ROUNDUP(ROUND($L203*10/100,6),0),ROUND($L203*10/100,0)))))</f>
        <v/>
      </c>
      <c r="P203" s="26">
        <f>IF($B203="","",IF('設定'!$B$11="税込",IF('設定'!$B$12="切り捨て",ROUNDDOWN(ROUND($M203*8/108,6),0),IF('設定'!$B$12="切り上げ",ROUNDUP(ROUND($M203*8/108,6),0),ROUND($M203*8/108,0))),IF('設定'!$B$12="切り捨て",ROUNDDOWN(ROUND($M203*8/100,6),0),IF('設定'!$B$12="切り上げ",ROUNDUP(ROUND($M203*8/100,6),0),ROUND($M203*8/100,0)))))</f>
        <v/>
      </c>
      <c r="Q203" s="26">
        <f>IF($B203="","",IF('設定'!$B$11="税込",$L203+$M203+$N203,$L203+$O203+$M203+$P203+$N203))</f>
        <v/>
      </c>
      <c r="R203" s="26">
        <f>IF($B203="","",IF($X203="",0,IF(INDEX('支払先'!$I$5:$I$104,$X203)&lt;&gt;"する",0,IF(INDEX('支払先'!$J$5:$J$104,$X203)="税抜",IF('設定'!$B$11="税込",($Y203-IF('設定'!$B$12="切り捨て",ROUNDDOWN(ROUND($Y203*10/110,6),0),IF('設定'!$B$12="切り上げ",ROUNDUP(ROUND($Y203*10/110,6),0),ROUND($Y203*10/110,0)))+$Z203-IF('設定'!$B$12="切り捨て",ROUNDDOWN(ROUND($Z203*8/108,6),0),IF('設定'!$B$12="切り上げ",ROUNDUP(ROUND($Z203*8/108,6),0),ROUND($Z203*8/108,0)))+$AA203),$Y203+$Z203+$AA203),IF('設定'!$B$11="税込",$Y203+$Z203+$AA203,($Y203+IF('設定'!$B$12="切り捨て",ROUNDDOWN(ROUND($Y203*10/100,6),0),IF('設定'!$B$12="切り上げ",ROUNDUP(ROUND($Y203*10/100,6),0),ROUND($Y203*10/100,0)))+$Z203+IF('設定'!$B$12="切り捨て",ROUNDDOWN(ROUND($Z203*8/100,6),0),IF('設定'!$B$12="切り上げ",ROUNDUP(ROUND($Z203*8/100,6),0),ROUND($Z203*8/100,0)))+$AA203))))))</f>
        <v/>
      </c>
      <c r="S203" s="26">
        <f>IF($B203="","",IF(N($R203)&lt;=0,0,IF($R203&lt;='設定'!$B$18,ROUNDDOWN(ROUND($R203*'設定'!$B$17,6),0),ROUNDDOWN(ROUND(($R203-'設定'!$B$18)*'設定'!$B$19,6),0)+'設定'!$B$20)))</f>
        <v/>
      </c>
      <c r="T203" s="26">
        <f>IF($B203="","",IF($X203="",0,IF(INDEX('支払先'!$K$5:$K$104,$X203)="差し引く",N(INDEX('支払先'!$L$5:$L$104,$X203)),0)))</f>
        <v/>
      </c>
      <c r="U203" s="26">
        <f>IF($B203="","",$Q203-$S203-$T203)</f>
        <v/>
      </c>
      <c r="V203" s="22">
        <f>IF($B203="","",MID(IF($C203="","／支払先コードが空",IF($X203="","／支払先にないコード",""))&amp;IF($K203=0,"／明細がない","")&amp;IF($AC203&gt;0,"／税率が空の明細 "&amp;$AC203&amp;"件（合計に入っていない）","")&amp;IF($X203="","",IF(INDEX('支払先'!$G$5:$G$104,$X203)="","／登録番号なし（仕入明細書にならない）",""))&amp;IF($AB203&gt;0,"／60日（2か月）を超える明細 "&amp;$AB203&amp;"件","")&amp;IF($X203="","",IF(AND(INDEX('支払先'!$K$5:$K$104,$X203)="差し引く",OR(INDEX('支払先'!$M$5:$M$104,$X203)&lt;&gt;"対象外",INDEX('支払先'!$N$5:$N$104,$X203)&lt;&gt;"対象外")),"／手数料を差し引けない取引か確かめる",""))&amp;IF(COUNTIF($B$5:$B$204,$B203)&gt;1,"／通知Noが重複","")&amp;IF(AND(ISNUMBER($D203),ISNUMBER($F203),$F203&lt;$D203),"／支払予定日が発行日より前",""),2,300))</f>
        <v/>
      </c>
      <c r="W203" s="67" t="n"/>
      <c r="X203" s="31">
        <f>IF(OR($B203="",$C203=""),"",IFERROR(MATCH($C203,'支払先'!$B$5:$B$104,0),""))</f>
        <v/>
      </c>
      <c r="Y203" s="31">
        <f>IF($B203="","",SUMIFS('支払明細'!$I$5:$I$1004,'支払明細'!$A$5:$A$1004,$B203,'支払明細'!$G$5:$G$1004,"10%（標準）",'支払明細'!$H$5:$H$1004,"&lt;&gt;対象外"))</f>
        <v/>
      </c>
      <c r="Z203" s="31">
        <f>IF($B203="","",SUMIFS('支払明細'!$I$5:$I$1004,'支払明細'!$A$5:$A$1004,$B203,'支払明細'!$G$5:$G$1004,"8%（軽減）",'支払明細'!$H$5:$H$1004,"&lt;&gt;対象外"))</f>
        <v/>
      </c>
      <c r="AA203" s="31">
        <f>IF($B203="","",SUMIFS('支払明細'!$I$5:$I$1004,'支払明細'!$A$5:$A$1004,$B203,'支払明細'!$G$5:$G$1004,"対象外",'支払明細'!$H$5:$H$1004,"&lt;&gt;対象外"))</f>
        <v/>
      </c>
      <c r="AB203" s="31">
        <f>IF($B203="","",COUNTIFS('支払明細'!$A$5:$A$1004,$B203,'支払明細'!$M$5:$M$1004,"超える"))</f>
        <v/>
      </c>
      <c r="AC203" s="31">
        <f>IF($B203="","",COUNTIFS('支払明細'!$A$5:$A$1004,$B203,'支払明細'!$G$5:$G$1004,""))</f>
        <v/>
      </c>
    </row>
    <row r="204" ht="18" customHeight="1">
      <c r="A204" s="17" t="n">
        <v>200</v>
      </c>
      <c r="B204" s="18" t="n"/>
      <c r="C204" s="18" t="n"/>
      <c r="D204" s="24" t="n"/>
      <c r="E204" s="19" t="n"/>
      <c r="F204" s="24" t="n"/>
      <c r="G204" s="28">
        <f>IF(AND($B204&lt;&gt;"",ISNUMBER($D204)),$D204+N('設定'!$B$13),"")</f>
        <v/>
      </c>
      <c r="H204" s="18" t="n"/>
      <c r="I204" s="19" t="n"/>
      <c r="J204" s="27">
        <f>IF($B204="","",IF($C204="","（支払先コードが空）",IF($X204="","※支払先にないコード",INDEX('支払先'!$C$5:$C$104,$X204)&amp;"")))</f>
        <v/>
      </c>
      <c r="K204" s="30">
        <f>IF($B204="","",COUNTIF('支払明細'!$A$5:$A$1004,$B204))</f>
        <v/>
      </c>
      <c r="L204" s="26">
        <f>IF($B204="","",SUMIFS('支払明細'!$I$5:$I$1004,'支払明細'!$A$5:$A$1004,$B204,'支払明細'!$G$5:$G$1004,"10%（標準）"))</f>
        <v/>
      </c>
      <c r="M204" s="26">
        <f>IF($B204="","",SUMIFS('支払明細'!$I$5:$I$1004,'支払明細'!$A$5:$A$1004,$B204,'支払明細'!$G$5:$G$1004,"8%（軽減）"))</f>
        <v/>
      </c>
      <c r="N204" s="26">
        <f>IF($B204="","",SUMIFS('支払明細'!$I$5:$I$1004,'支払明細'!$A$5:$A$1004,$B204,'支払明細'!$G$5:$G$1004,"対象外"))</f>
        <v/>
      </c>
      <c r="O204" s="26">
        <f>IF($B204="","",IF('設定'!$B$11="税込",IF('設定'!$B$12="切り捨て",ROUNDDOWN(ROUND($L204*10/110,6),0),IF('設定'!$B$12="切り上げ",ROUNDUP(ROUND($L204*10/110,6),0),ROUND($L204*10/110,0))),IF('設定'!$B$12="切り捨て",ROUNDDOWN(ROUND($L204*10/100,6),0),IF('設定'!$B$12="切り上げ",ROUNDUP(ROUND($L204*10/100,6),0),ROUND($L204*10/100,0)))))</f>
        <v/>
      </c>
      <c r="P204" s="26">
        <f>IF($B204="","",IF('設定'!$B$11="税込",IF('設定'!$B$12="切り捨て",ROUNDDOWN(ROUND($M204*8/108,6),0),IF('設定'!$B$12="切り上げ",ROUNDUP(ROUND($M204*8/108,6),0),ROUND($M204*8/108,0))),IF('設定'!$B$12="切り捨て",ROUNDDOWN(ROUND($M204*8/100,6),0),IF('設定'!$B$12="切り上げ",ROUNDUP(ROUND($M204*8/100,6),0),ROUND($M204*8/100,0)))))</f>
        <v/>
      </c>
      <c r="Q204" s="26">
        <f>IF($B204="","",IF('設定'!$B$11="税込",$L204+$M204+$N204,$L204+$O204+$M204+$P204+$N204))</f>
        <v/>
      </c>
      <c r="R204" s="26">
        <f>IF($B204="","",IF($X204="",0,IF(INDEX('支払先'!$I$5:$I$104,$X204)&lt;&gt;"する",0,IF(INDEX('支払先'!$J$5:$J$104,$X204)="税抜",IF('設定'!$B$11="税込",($Y204-IF('設定'!$B$12="切り捨て",ROUNDDOWN(ROUND($Y204*10/110,6),0),IF('設定'!$B$12="切り上げ",ROUNDUP(ROUND($Y204*10/110,6),0),ROUND($Y204*10/110,0)))+$Z204-IF('設定'!$B$12="切り捨て",ROUNDDOWN(ROUND($Z204*8/108,6),0),IF('設定'!$B$12="切り上げ",ROUNDUP(ROUND($Z204*8/108,6),0),ROUND($Z204*8/108,0)))+$AA204),$Y204+$Z204+$AA204),IF('設定'!$B$11="税込",$Y204+$Z204+$AA204,($Y204+IF('設定'!$B$12="切り捨て",ROUNDDOWN(ROUND($Y204*10/100,6),0),IF('設定'!$B$12="切り上げ",ROUNDUP(ROUND($Y204*10/100,6),0),ROUND($Y204*10/100,0)))+$Z204+IF('設定'!$B$12="切り捨て",ROUNDDOWN(ROUND($Z204*8/100,6),0),IF('設定'!$B$12="切り上げ",ROUNDUP(ROUND($Z204*8/100,6),0),ROUND($Z204*8/100,0)))+$AA204))))))</f>
        <v/>
      </c>
      <c r="S204" s="26">
        <f>IF($B204="","",IF(N($R204)&lt;=0,0,IF($R204&lt;='設定'!$B$18,ROUNDDOWN(ROUND($R204*'設定'!$B$17,6),0),ROUNDDOWN(ROUND(($R204-'設定'!$B$18)*'設定'!$B$19,6),0)+'設定'!$B$20)))</f>
        <v/>
      </c>
      <c r="T204" s="26">
        <f>IF($B204="","",IF($X204="",0,IF(INDEX('支払先'!$K$5:$K$104,$X204)="差し引く",N(INDEX('支払先'!$L$5:$L$104,$X204)),0)))</f>
        <v/>
      </c>
      <c r="U204" s="26">
        <f>IF($B204="","",$Q204-$S204-$T204)</f>
        <v/>
      </c>
      <c r="V204" s="22">
        <f>IF($B204="","",MID(IF($C204="","／支払先コードが空",IF($X204="","／支払先にないコード",""))&amp;IF($K204=0,"／明細がない","")&amp;IF($AC204&gt;0,"／税率が空の明細 "&amp;$AC204&amp;"件（合計に入っていない）","")&amp;IF($X204="","",IF(INDEX('支払先'!$G$5:$G$104,$X204)="","／登録番号なし（仕入明細書にならない）",""))&amp;IF($AB204&gt;0,"／60日（2か月）を超える明細 "&amp;$AB204&amp;"件","")&amp;IF($X204="","",IF(AND(INDEX('支払先'!$K$5:$K$104,$X204)="差し引く",OR(INDEX('支払先'!$M$5:$M$104,$X204)&lt;&gt;"対象外",INDEX('支払先'!$N$5:$N$104,$X204)&lt;&gt;"対象外")),"／手数料を差し引けない取引か確かめる",""))&amp;IF(COUNTIF($B$5:$B$204,$B204)&gt;1,"／通知Noが重複","")&amp;IF(AND(ISNUMBER($D204),ISNUMBER($F204),$F204&lt;$D204),"／支払予定日が発行日より前",""),2,300))</f>
        <v/>
      </c>
      <c r="W204" s="67" t="n"/>
      <c r="X204" s="31">
        <f>IF(OR($B204="",$C204=""),"",IFERROR(MATCH($C204,'支払先'!$B$5:$B$104,0),""))</f>
        <v/>
      </c>
      <c r="Y204" s="31">
        <f>IF($B204="","",SUMIFS('支払明細'!$I$5:$I$1004,'支払明細'!$A$5:$A$1004,$B204,'支払明細'!$G$5:$G$1004,"10%（標準）",'支払明細'!$H$5:$H$1004,"&lt;&gt;対象外"))</f>
        <v/>
      </c>
      <c r="Z204" s="31">
        <f>IF($B204="","",SUMIFS('支払明細'!$I$5:$I$1004,'支払明細'!$A$5:$A$1004,$B204,'支払明細'!$G$5:$G$1004,"8%（軽減）",'支払明細'!$H$5:$H$1004,"&lt;&gt;対象外"))</f>
        <v/>
      </c>
      <c r="AA204" s="31">
        <f>IF($B204="","",SUMIFS('支払明細'!$I$5:$I$1004,'支払明細'!$A$5:$A$1004,$B204,'支払明細'!$G$5:$G$1004,"対象外",'支払明細'!$H$5:$H$1004,"&lt;&gt;対象外"))</f>
        <v/>
      </c>
      <c r="AB204" s="31">
        <f>IF($B204="","",COUNTIFS('支払明細'!$A$5:$A$1004,$B204,'支払明細'!$M$5:$M$1004,"超える"))</f>
        <v/>
      </c>
      <c r="AC204" s="31">
        <f>IF($B204="","",COUNTIFS('支払明細'!$A$5:$A$1004,$B204,'支払明細'!$G$5:$G$1004,""))</f>
        <v/>
      </c>
    </row>
  </sheetData>
  <autoFilter ref="A4:V204"/>
  <mergeCells count="3">
    <mergeCell ref="A2:V2"/>
    <mergeCell ref="A1:V1"/>
    <mergeCell ref="A3:V3"/>
  </mergeCells>
  <conditionalFormatting sqref="B5:B204">
    <cfRule type="expression" priority="1" dxfId="0">
      <formula>AND($B5&lt;&gt;"",COUNTIF($B$5:$B$204,$B5)&gt;1)</formula>
    </cfRule>
  </conditionalFormatting>
  <conditionalFormatting sqref="H5:H204">
    <cfRule type="expression" priority="2" dxfId="1">
      <formula>OR($H5="未",$H5="訂正あり")</formula>
    </cfRule>
  </conditionalFormatting>
  <dataValidations count="5">
    <dataValidation sqref="B5:B204" showDropDown="0" showInputMessage="0" showErrorMessage="1" allowBlank="1" errorTitle="通知Noが重なっています" error="同じ通知Noがすでにあります。通知Noは1枚に1つです。" type="custom">
      <formula1>COUNTIF($B$5:$B$204,B5)=1</formula1>
    </dataValidation>
    <dataValidation sqref="C5:C204" showDropDown="0" showInputMessage="0" showErrorMessage="1" allowBlank="1" errorTitle="一覧から選んでください" error="「支払先」シートに入れた支払先コードから選んでください。" type="list">
      <formula1>='支払先'!$B$5:$B$104</formula1>
    </dataValidation>
    <dataValidation sqref="D5:D204" showDropDown="0" showInputMessage="0" showErrorMessage="1" allowBlank="1" errorTitle="日付で入力してください" error="2026/10/5 のように、日付として入力してください。" type="date" operator="greaterThanOrEqual">
      <formula1>36526</formula1>
    </dataValidation>
    <dataValidation sqref="F5:F204" showDropDown="0" showInputMessage="0" showErrorMessage="1" allowBlank="1" errorTitle="日付で入力してください" error="2026/10/5 のように、日付として入力してください。" type="date" operator="greaterThanOrEqual">
      <formula1>36526</formula1>
    </dataValidation>
    <dataValidation sqref="H5:H204" showDropDown="0" showInputMessage="0" showErrorMessage="1" allowBlank="1" errorTitle="一覧から選んでください" error="一覧から選んでください" type="list">
      <formula1>"済,未,訂正あり"</formula1>
    </dataValidation>
  </dataValidations>
  <pageMargins left="0.4" right="0.4" top="0.45" bottom="0.45" header="0.2" footer="0.2"/>
  <pageSetup orientation="landscape" paperSize="9" fitToHeight="0" fitToWidth="1"/>
</worksheet>
</file>

<file path=xl/worksheets/sheet6.xml><?xml version="1.0" encoding="utf-8"?>
<worksheet xmlns="http://schemas.openxmlformats.org/spreadsheetml/2006/main">
  <sheetPr>
    <tabColor rgb="00B9C4CF"/>
    <outlinePr summaryBelow="1" summaryRight="1"/>
    <pageSetUpPr fitToPage="1"/>
  </sheetPr>
  <dimension ref="A1:K47"/>
  <sheetViews>
    <sheetView showGridLines="0" tabSelected="0" workbookViewId="0">
      <selection activeCell="A1" sqref="A1"/>
    </sheetView>
  </sheetViews>
  <sheetFormatPr baseColWidth="8" defaultRowHeight="15"/>
  <cols>
    <col width="9" customWidth="1" min="1" max="1"/>
    <col width="31" customWidth="1" min="2" max="2"/>
    <col width="7" customWidth="1" min="3" max="3"/>
    <col width="6" customWidth="1" min="4" max="4"/>
    <col width="10" customWidth="1" min="5" max="5"/>
    <col width="13" customWidth="1" min="6" max="6"/>
    <col width="8" customWidth="1" min="7" max="7"/>
    <col width="7" customWidth="1" min="8" max="8"/>
    <col width="3" customWidth="1" min="9" max="9"/>
    <col width="18" customWidth="1" min="10" max="10"/>
    <col width="14" customWidth="1" min="11" max="11"/>
  </cols>
  <sheetData>
    <row r="1" ht="34" customHeight="1">
      <c r="A1" s="75">
        <f>IF('設定'!$B$8="","支払通知書",'設定'!$B$8)</f>
        <v/>
      </c>
      <c r="B1" s="76" t="n"/>
      <c r="C1" s="76" t="n"/>
      <c r="D1" s="76" t="n"/>
      <c r="E1" s="76" t="n"/>
      <c r="F1" s="76" t="n"/>
      <c r="G1" s="76" t="n"/>
      <c r="H1" s="76" t="n"/>
      <c r="I1" s="67" t="n"/>
      <c r="J1" s="71" t="inlineStr">
        <is>
          <t>表示する通知No</t>
        </is>
      </c>
      <c r="K1" s="77" t="n"/>
    </row>
    <row r="2" ht="18" customHeight="1">
      <c r="A2" s="67" t="n"/>
      <c r="B2" s="67" t="n"/>
      <c r="C2" s="67" t="n"/>
      <c r="D2" s="67" t="n"/>
      <c r="E2" s="67" t="n"/>
      <c r="F2" s="71" t="inlineStr">
        <is>
          <t>通知No</t>
        </is>
      </c>
      <c r="G2" s="35">
        <f>$K$2&amp;""</f>
        <v/>
      </c>
      <c r="H2" s="78" t="n"/>
      <c r="I2" s="67" t="n"/>
      <c r="J2" s="79" t="inlineStr">
        <is>
          <t>通知No を選ぶ →</t>
        </is>
      </c>
      <c r="K2" s="80" t="n"/>
    </row>
    <row r="3" ht="18" customHeight="1">
      <c r="A3" s="67" t="n"/>
      <c r="B3" s="67" t="n"/>
      <c r="C3" s="67" t="n"/>
      <c r="D3" s="67" t="n"/>
      <c r="E3" s="67" t="n"/>
      <c r="F3" s="71" t="inlineStr">
        <is>
          <t>発行日</t>
        </is>
      </c>
      <c r="G3" s="39">
        <f>IF($K$3="","",IF(ISNUMBER(INDEX('通知一覧'!$D$5:$D$204,$K$3)),INDEX('通知一覧'!$D$5:$D$204,$K$3),""))</f>
        <v/>
      </c>
      <c r="H3" s="78" t="n"/>
      <c r="I3" s="67" t="n"/>
      <c r="J3" s="81" t="inlineStr">
        <is>
          <t>通知一覧の行</t>
        </is>
      </c>
      <c r="K3" s="81">
        <f>IF($K$2="","",IFERROR(MATCH($K$2,'通知一覧'!$B$5:$B$204,0),""))</f>
        <v/>
      </c>
    </row>
    <row r="4" ht="22" customHeight="1">
      <c r="A4" s="41">
        <f>IF($K$4="","",INDEX('支払先'!$C$5:$C$104,$K$4)&amp;"")</f>
        <v/>
      </c>
      <c r="B4" s="82" t="n"/>
      <c r="C4" s="82" t="n"/>
      <c r="D4" s="43">
        <f>IF($K$4="","御中・様",INDEX('支払先'!$D$5:$D$104,$K$4)&amp;"")</f>
        <v/>
      </c>
      <c r="E4" s="83">
        <f>IF('設定'!$B$4="","",'設定'!$B$4)</f>
        <v/>
      </c>
      <c r="F4" s="82" t="n"/>
      <c r="G4" s="82" t="n"/>
      <c r="H4" s="82" t="n"/>
      <c r="I4" s="67" t="n"/>
      <c r="J4" s="81" t="inlineStr">
        <is>
          <t>支払先の行</t>
        </is>
      </c>
      <c r="K4" s="81">
        <f>IF($K$3="","",IFERROR(MATCH(INDEX('通知一覧'!$C$5:$C$204,$K$3),'支払先'!$B$5:$B$104,0),""))</f>
        <v/>
      </c>
    </row>
    <row r="5" ht="16" customHeight="1">
      <c r="A5" s="84">
        <f>"登録番号　"&amp;IF($K$4="","T",IF(INDEX('支払先'!$G$5:$G$104,$K$4)="","（記載なし）",INDEX('支払先'!$G$5:$G$104,$K$4)&amp;""))</f>
        <v/>
      </c>
      <c r="B5" s="67" t="n"/>
      <c r="C5" s="67" t="n"/>
      <c r="D5" s="67" t="n"/>
      <c r="E5" s="85">
        <f>IF('設定'!$B$5="","",'設定'!$B$5)</f>
        <v/>
      </c>
      <c r="F5" s="67" t="n"/>
      <c r="G5" s="67" t="n"/>
      <c r="H5" s="67" t="n"/>
      <c r="I5" s="67" t="n"/>
      <c r="J5" s="67" t="n"/>
      <c r="K5" s="67" t="n"/>
    </row>
    <row r="6" ht="16" customHeight="1">
      <c r="A6" s="85">
        <f>IF($K$4="","〒",IF(IF($K$4="","",INDEX('支払先'!$E$5:$E$104,$K$4)&amp;"")="","","〒"&amp;IF($K$4="","",INDEX('支払先'!$E$5:$E$104,$K$4)&amp;"")&amp;"　")&amp;IF($K$4="","",INDEX('支払先'!$F$5:$F$104,$K$4)&amp;""))</f>
        <v/>
      </c>
      <c r="B6" s="67" t="n"/>
      <c r="C6" s="67" t="n"/>
      <c r="D6" s="67" t="n"/>
      <c r="E6" s="85">
        <f>IF('設定'!$B$6="","","TEL "&amp;'設定'!$B$6)</f>
        <v/>
      </c>
      <c r="F6" s="67" t="n"/>
      <c r="G6" s="67" t="n"/>
      <c r="H6" s="67" t="n"/>
      <c r="I6" s="67" t="n"/>
      <c r="J6" s="86" t="inlineStr">
        <is>
          <t>この列は印刷されません。通知No を選ぶと、左の通知書がその内容になります。</t>
        </is>
      </c>
      <c r="K6" s="67" t="n"/>
    </row>
    <row r="7" ht="16" customHeight="1">
      <c r="A7" s="67" t="n"/>
      <c r="B7" s="67" t="n"/>
      <c r="C7" s="67" t="n"/>
      <c r="D7" s="67" t="n"/>
      <c r="E7" s="85">
        <f>IF('設定'!$B$7="","","担当 "&amp;'設定'!$B$7)</f>
        <v/>
      </c>
      <c r="F7" s="67" t="n"/>
      <c r="G7" s="67" t="n"/>
      <c r="H7" s="67" t="n"/>
      <c r="I7" s="67" t="n"/>
      <c r="J7" s="67" t="n"/>
      <c r="K7" s="67" t="n"/>
    </row>
    <row r="8">
      <c r="A8" s="67" t="n"/>
      <c r="B8" s="67" t="n"/>
      <c r="C8" s="67" t="n"/>
      <c r="D8" s="67" t="n"/>
      <c r="E8" s="67" t="n"/>
      <c r="F8" s="67" t="n"/>
      <c r="G8" s="67" t="n"/>
      <c r="H8" s="67" t="n"/>
      <c r="I8" s="67" t="n"/>
      <c r="J8" s="67" t="n"/>
      <c r="K8" s="67" t="n"/>
    </row>
    <row r="9">
      <c r="A9" s="87" t="inlineStr">
        <is>
          <t>下記のとおりお支払いいたします。</t>
        </is>
      </c>
      <c r="B9" s="67" t="n"/>
      <c r="C9" s="67" t="n"/>
      <c r="D9" s="67" t="n"/>
      <c r="E9" s="67" t="n"/>
      <c r="F9" s="67" t="n"/>
      <c r="G9" s="67" t="n"/>
      <c r="H9" s="67" t="n"/>
      <c r="I9" s="67" t="n"/>
      <c r="J9" s="67" t="n"/>
      <c r="K9" s="67" t="n"/>
    </row>
    <row r="10" ht="28" customHeight="1">
      <c r="A10" s="15" t="inlineStr">
        <is>
          <t>お支払額（差引支払額）</t>
        </is>
      </c>
      <c r="B10" s="78" t="n"/>
      <c r="C10" s="88">
        <f>IF($K$3="","",INDEX('通知一覧'!$U$5:$U$204,$K$3))</f>
        <v/>
      </c>
      <c r="D10" s="78" t="n"/>
      <c r="E10" s="71" t="inlineStr">
        <is>
          <t>お支払予定日</t>
        </is>
      </c>
      <c r="F10" s="78" t="n"/>
      <c r="G10" s="39">
        <f>IF($K$3="","",IF(ISNUMBER(INDEX('通知一覧'!$F$5:$F$204,$K$3)),INDEX('通知一覧'!$F$5:$F$204,$K$3),""))</f>
        <v/>
      </c>
      <c r="H10" s="78" t="n"/>
      <c r="I10" s="67" t="n"/>
      <c r="J10" s="67" t="n"/>
      <c r="K10" s="67" t="n"/>
    </row>
    <row r="11" ht="20" customHeight="1">
      <c r="A11" s="71" t="inlineStr">
        <is>
          <t>対象期間・件名</t>
        </is>
      </c>
      <c r="B11" s="78" t="n"/>
      <c r="C11" s="52">
        <f>IF($K$3="","",INDEX('通知一覧'!$E$5:$E$204,$K$3)&amp;"")</f>
        <v/>
      </c>
      <c r="D11" s="78" t="n"/>
      <c r="E11" s="71" t="inlineStr">
        <is>
          <t>確認の期限</t>
        </is>
      </c>
      <c r="F11" s="78" t="n"/>
      <c r="G11" s="39">
        <f>IF($K$3="","",INDEX('通知一覧'!$G$5:$G$204,$K$3))</f>
        <v/>
      </c>
      <c r="H11" s="78" t="n"/>
      <c r="I11" s="67" t="n"/>
      <c r="J11" s="67" t="n"/>
      <c r="K11" s="67" t="n"/>
    </row>
    <row r="12">
      <c r="A12" s="67" t="n"/>
      <c r="B12" s="67" t="n"/>
      <c r="C12" s="67" t="n"/>
      <c r="D12" s="67" t="n"/>
      <c r="E12" s="67" t="n"/>
      <c r="F12" s="67" t="n"/>
      <c r="G12" s="67" t="n"/>
      <c r="H12" s="67" t="n"/>
      <c r="I12" s="67" t="n"/>
      <c r="J12" s="67" t="n"/>
      <c r="K12" s="67" t="n"/>
    </row>
    <row r="13" ht="20" customHeight="1">
      <c r="A13" s="15" t="inlineStr">
        <is>
          <t>日付</t>
        </is>
      </c>
      <c r="B13" s="15" t="inlineStr">
        <is>
          <t>品目・内容</t>
        </is>
      </c>
      <c r="C13" s="15" t="inlineStr">
        <is>
          <t>数量</t>
        </is>
      </c>
      <c r="D13" s="15" t="inlineStr">
        <is>
          <t>単位</t>
        </is>
      </c>
      <c r="E13" s="15" t="inlineStr">
        <is>
          <t>単価</t>
        </is>
      </c>
      <c r="F13" s="15" t="inlineStr">
        <is>
          <t>金額</t>
        </is>
      </c>
      <c r="G13" s="15" t="inlineStr">
        <is>
          <t>税率</t>
        </is>
      </c>
      <c r="H13" s="15" t="inlineStr">
        <is>
          <t>源泉</t>
        </is>
      </c>
      <c r="I13" s="67" t="n"/>
      <c r="J13" s="67" t="n"/>
      <c r="K13" s="67" t="n"/>
    </row>
    <row r="14" ht="19" customHeight="1">
      <c r="A14" s="53">
        <f>IF($J14="","",IF(ISNUMBER(INDEX('支払明細'!$B$1:$B$1004,$J14)),INDEX('支払明細'!$B$1:$B$1004,$J14),""))</f>
        <v/>
      </c>
      <c r="B14" s="52">
        <f>IF($J14="","",INDEX('支払明細'!$C$1:$C$1004,$J14)&amp;IF(INDEX('支払明細'!$G$1:$G$1004,$J14)="8%（軽減）"," ※",""))</f>
        <v/>
      </c>
      <c r="C14" s="54">
        <f>IF($J14="","",IF(INDEX('支払明細'!$D$1:$D$1004,$J14)="","",IF(ISNUMBER(INDEX('支払明細'!$D$1:$D$1004,$J14)),IF(INDEX('支払明細'!$D$1:$D$1004,$J14)=INT(INDEX('支払明細'!$D$1:$D$1004,$J14)),FIXED(INDEX('支払明細'!$D$1:$D$1004,$J14),0),INDEX('支払明細'!$D$1:$D$1004,$J14)&amp;""),INDEX('支払明細'!$D$1:$D$1004,$J14)&amp;"")))</f>
        <v/>
      </c>
      <c r="D14" s="35">
        <f>IF($J14="","",INDEX('支払明細'!$E$1:$E$1004,$J14)&amp;"")</f>
        <v/>
      </c>
      <c r="E14" s="54">
        <f>IF($J14="","",IF(INDEX('支払明細'!$F$1:$F$1004,$J14)="","",IF(ISNUMBER(INDEX('支払明細'!$F$1:$F$1004,$J14)),IF(INDEX('支払明細'!$F$1:$F$1004,$J14)=INT(INDEX('支払明細'!$F$1:$F$1004,$J14)),FIXED(INDEX('支払明細'!$F$1:$F$1004,$J14),0),INDEX('支払明細'!$F$1:$F$1004,$J14)&amp;""),INDEX('支払明細'!$F$1:$F$1004,$J14)&amp;"")))</f>
        <v/>
      </c>
      <c r="F14" s="55">
        <f>IF($J14="","",INDEX('支払明細'!$I$1:$I$1004,$J14))</f>
        <v/>
      </c>
      <c r="G14" s="35">
        <f>IF($J14="","",IF(INDEX('支払明細'!$G$1:$G$1004,$J14)="10%（標準）","10%",IF(INDEX('支払明細'!$G$1:$G$1004,$J14)="8%（軽減）","8%",IF(INDEX('支払明細'!$G$1:$G$1004,$J14)="対象外","対象外",""))))</f>
        <v/>
      </c>
      <c r="H14" s="35">
        <f>IF(OR($J14="",$K$4=""),"",IF(INDEX('支払先'!$I$5:$I$104,$K$4)&lt;&gt;"する","",IF(INDEX('支払明細'!$H$1:$H$1004,$J14)="対象外","－","対象")))</f>
        <v/>
      </c>
      <c r="I14" s="67" t="n"/>
      <c r="J14" s="81">
        <f>IFERROR(SMALL('支払明細'!$Q$5:$Q$1004,1),"")</f>
        <v/>
      </c>
      <c r="K14" s="67" t="n"/>
    </row>
    <row r="15" ht="19" customHeight="1">
      <c r="A15" s="53">
        <f>IF($J15="","",IF(ISNUMBER(INDEX('支払明細'!$B$1:$B$1004,$J15)),INDEX('支払明細'!$B$1:$B$1004,$J15),""))</f>
        <v/>
      </c>
      <c r="B15" s="52">
        <f>IF($J15="","",INDEX('支払明細'!$C$1:$C$1004,$J15)&amp;IF(INDEX('支払明細'!$G$1:$G$1004,$J15)="8%（軽減）"," ※",""))</f>
        <v/>
      </c>
      <c r="C15" s="54">
        <f>IF($J15="","",IF(INDEX('支払明細'!$D$1:$D$1004,$J15)="","",IF(ISNUMBER(INDEX('支払明細'!$D$1:$D$1004,$J15)),IF(INDEX('支払明細'!$D$1:$D$1004,$J15)=INT(INDEX('支払明細'!$D$1:$D$1004,$J15)),FIXED(INDEX('支払明細'!$D$1:$D$1004,$J15),0),INDEX('支払明細'!$D$1:$D$1004,$J15)&amp;""),INDEX('支払明細'!$D$1:$D$1004,$J15)&amp;"")))</f>
        <v/>
      </c>
      <c r="D15" s="35">
        <f>IF($J15="","",INDEX('支払明細'!$E$1:$E$1004,$J15)&amp;"")</f>
        <v/>
      </c>
      <c r="E15" s="54">
        <f>IF($J15="","",IF(INDEX('支払明細'!$F$1:$F$1004,$J15)="","",IF(ISNUMBER(INDEX('支払明細'!$F$1:$F$1004,$J15)),IF(INDEX('支払明細'!$F$1:$F$1004,$J15)=INT(INDEX('支払明細'!$F$1:$F$1004,$J15)),FIXED(INDEX('支払明細'!$F$1:$F$1004,$J15),0),INDEX('支払明細'!$F$1:$F$1004,$J15)&amp;""),INDEX('支払明細'!$F$1:$F$1004,$J15)&amp;"")))</f>
        <v/>
      </c>
      <c r="F15" s="55">
        <f>IF($J15="","",INDEX('支払明細'!$I$1:$I$1004,$J15))</f>
        <v/>
      </c>
      <c r="G15" s="35">
        <f>IF($J15="","",IF(INDEX('支払明細'!$G$1:$G$1004,$J15)="10%（標準）","10%",IF(INDEX('支払明細'!$G$1:$G$1004,$J15)="8%（軽減）","8%",IF(INDEX('支払明細'!$G$1:$G$1004,$J15)="対象外","対象外",""))))</f>
        <v/>
      </c>
      <c r="H15" s="35">
        <f>IF(OR($J15="",$K$4=""),"",IF(INDEX('支払先'!$I$5:$I$104,$K$4)&lt;&gt;"する","",IF(INDEX('支払明細'!$H$1:$H$1004,$J15)="対象外","－","対象")))</f>
        <v/>
      </c>
      <c r="I15" s="67" t="n"/>
      <c r="J15" s="81">
        <f>IFERROR(SMALL('支払明細'!$Q$5:$Q$1004,2),"")</f>
        <v/>
      </c>
      <c r="K15" s="67" t="n"/>
    </row>
    <row r="16" ht="19" customHeight="1">
      <c r="A16" s="53">
        <f>IF($J16="","",IF(ISNUMBER(INDEX('支払明細'!$B$1:$B$1004,$J16)),INDEX('支払明細'!$B$1:$B$1004,$J16),""))</f>
        <v/>
      </c>
      <c r="B16" s="52">
        <f>IF($J16="","",INDEX('支払明細'!$C$1:$C$1004,$J16)&amp;IF(INDEX('支払明細'!$G$1:$G$1004,$J16)="8%（軽減）"," ※",""))</f>
        <v/>
      </c>
      <c r="C16" s="54">
        <f>IF($J16="","",IF(INDEX('支払明細'!$D$1:$D$1004,$J16)="","",IF(ISNUMBER(INDEX('支払明細'!$D$1:$D$1004,$J16)),IF(INDEX('支払明細'!$D$1:$D$1004,$J16)=INT(INDEX('支払明細'!$D$1:$D$1004,$J16)),FIXED(INDEX('支払明細'!$D$1:$D$1004,$J16),0),INDEX('支払明細'!$D$1:$D$1004,$J16)&amp;""),INDEX('支払明細'!$D$1:$D$1004,$J16)&amp;"")))</f>
        <v/>
      </c>
      <c r="D16" s="35">
        <f>IF($J16="","",INDEX('支払明細'!$E$1:$E$1004,$J16)&amp;"")</f>
        <v/>
      </c>
      <c r="E16" s="54">
        <f>IF($J16="","",IF(INDEX('支払明細'!$F$1:$F$1004,$J16)="","",IF(ISNUMBER(INDEX('支払明細'!$F$1:$F$1004,$J16)),IF(INDEX('支払明細'!$F$1:$F$1004,$J16)=INT(INDEX('支払明細'!$F$1:$F$1004,$J16)),FIXED(INDEX('支払明細'!$F$1:$F$1004,$J16),0),INDEX('支払明細'!$F$1:$F$1004,$J16)&amp;""),INDEX('支払明細'!$F$1:$F$1004,$J16)&amp;"")))</f>
        <v/>
      </c>
      <c r="F16" s="55">
        <f>IF($J16="","",INDEX('支払明細'!$I$1:$I$1004,$J16))</f>
        <v/>
      </c>
      <c r="G16" s="35">
        <f>IF($J16="","",IF(INDEX('支払明細'!$G$1:$G$1004,$J16)="10%（標準）","10%",IF(INDEX('支払明細'!$G$1:$G$1004,$J16)="8%（軽減）","8%",IF(INDEX('支払明細'!$G$1:$G$1004,$J16)="対象外","対象外",""))))</f>
        <v/>
      </c>
      <c r="H16" s="35">
        <f>IF(OR($J16="",$K$4=""),"",IF(INDEX('支払先'!$I$5:$I$104,$K$4)&lt;&gt;"する","",IF(INDEX('支払明細'!$H$1:$H$1004,$J16)="対象外","－","対象")))</f>
        <v/>
      </c>
      <c r="I16" s="67" t="n"/>
      <c r="J16" s="81">
        <f>IFERROR(SMALL('支払明細'!$Q$5:$Q$1004,3),"")</f>
        <v/>
      </c>
      <c r="K16" s="67" t="n"/>
    </row>
    <row r="17" ht="19" customHeight="1">
      <c r="A17" s="53">
        <f>IF($J17="","",IF(ISNUMBER(INDEX('支払明細'!$B$1:$B$1004,$J17)),INDEX('支払明細'!$B$1:$B$1004,$J17),""))</f>
        <v/>
      </c>
      <c r="B17" s="52">
        <f>IF($J17="","",INDEX('支払明細'!$C$1:$C$1004,$J17)&amp;IF(INDEX('支払明細'!$G$1:$G$1004,$J17)="8%（軽減）"," ※",""))</f>
        <v/>
      </c>
      <c r="C17" s="54">
        <f>IF($J17="","",IF(INDEX('支払明細'!$D$1:$D$1004,$J17)="","",IF(ISNUMBER(INDEX('支払明細'!$D$1:$D$1004,$J17)),IF(INDEX('支払明細'!$D$1:$D$1004,$J17)=INT(INDEX('支払明細'!$D$1:$D$1004,$J17)),FIXED(INDEX('支払明細'!$D$1:$D$1004,$J17),0),INDEX('支払明細'!$D$1:$D$1004,$J17)&amp;""),INDEX('支払明細'!$D$1:$D$1004,$J17)&amp;"")))</f>
        <v/>
      </c>
      <c r="D17" s="35">
        <f>IF($J17="","",INDEX('支払明細'!$E$1:$E$1004,$J17)&amp;"")</f>
        <v/>
      </c>
      <c r="E17" s="54">
        <f>IF($J17="","",IF(INDEX('支払明細'!$F$1:$F$1004,$J17)="","",IF(ISNUMBER(INDEX('支払明細'!$F$1:$F$1004,$J17)),IF(INDEX('支払明細'!$F$1:$F$1004,$J17)=INT(INDEX('支払明細'!$F$1:$F$1004,$J17)),FIXED(INDEX('支払明細'!$F$1:$F$1004,$J17),0),INDEX('支払明細'!$F$1:$F$1004,$J17)&amp;""),INDEX('支払明細'!$F$1:$F$1004,$J17)&amp;"")))</f>
        <v/>
      </c>
      <c r="F17" s="55">
        <f>IF($J17="","",INDEX('支払明細'!$I$1:$I$1004,$J17))</f>
        <v/>
      </c>
      <c r="G17" s="35">
        <f>IF($J17="","",IF(INDEX('支払明細'!$G$1:$G$1004,$J17)="10%（標準）","10%",IF(INDEX('支払明細'!$G$1:$G$1004,$J17)="8%（軽減）","8%",IF(INDEX('支払明細'!$G$1:$G$1004,$J17)="対象外","対象外",""))))</f>
        <v/>
      </c>
      <c r="H17" s="35">
        <f>IF(OR($J17="",$K$4=""),"",IF(INDEX('支払先'!$I$5:$I$104,$K$4)&lt;&gt;"する","",IF(INDEX('支払明細'!$H$1:$H$1004,$J17)="対象外","－","対象")))</f>
        <v/>
      </c>
      <c r="I17" s="67" t="n"/>
      <c r="J17" s="81">
        <f>IFERROR(SMALL('支払明細'!$Q$5:$Q$1004,4),"")</f>
        <v/>
      </c>
      <c r="K17" s="67" t="n"/>
    </row>
    <row r="18" ht="19" customHeight="1">
      <c r="A18" s="53">
        <f>IF($J18="","",IF(ISNUMBER(INDEX('支払明細'!$B$1:$B$1004,$J18)),INDEX('支払明細'!$B$1:$B$1004,$J18),""))</f>
        <v/>
      </c>
      <c r="B18" s="52">
        <f>IF($J18="","",INDEX('支払明細'!$C$1:$C$1004,$J18)&amp;IF(INDEX('支払明細'!$G$1:$G$1004,$J18)="8%（軽減）"," ※",""))</f>
        <v/>
      </c>
      <c r="C18" s="54">
        <f>IF($J18="","",IF(INDEX('支払明細'!$D$1:$D$1004,$J18)="","",IF(ISNUMBER(INDEX('支払明細'!$D$1:$D$1004,$J18)),IF(INDEX('支払明細'!$D$1:$D$1004,$J18)=INT(INDEX('支払明細'!$D$1:$D$1004,$J18)),FIXED(INDEX('支払明細'!$D$1:$D$1004,$J18),0),INDEX('支払明細'!$D$1:$D$1004,$J18)&amp;""),INDEX('支払明細'!$D$1:$D$1004,$J18)&amp;"")))</f>
        <v/>
      </c>
      <c r="D18" s="35">
        <f>IF($J18="","",INDEX('支払明細'!$E$1:$E$1004,$J18)&amp;"")</f>
        <v/>
      </c>
      <c r="E18" s="54">
        <f>IF($J18="","",IF(INDEX('支払明細'!$F$1:$F$1004,$J18)="","",IF(ISNUMBER(INDEX('支払明細'!$F$1:$F$1004,$J18)),IF(INDEX('支払明細'!$F$1:$F$1004,$J18)=INT(INDEX('支払明細'!$F$1:$F$1004,$J18)),FIXED(INDEX('支払明細'!$F$1:$F$1004,$J18),0),INDEX('支払明細'!$F$1:$F$1004,$J18)&amp;""),INDEX('支払明細'!$F$1:$F$1004,$J18)&amp;"")))</f>
        <v/>
      </c>
      <c r="F18" s="55">
        <f>IF($J18="","",INDEX('支払明細'!$I$1:$I$1004,$J18))</f>
        <v/>
      </c>
      <c r="G18" s="35">
        <f>IF($J18="","",IF(INDEX('支払明細'!$G$1:$G$1004,$J18)="10%（標準）","10%",IF(INDEX('支払明細'!$G$1:$G$1004,$J18)="8%（軽減）","8%",IF(INDEX('支払明細'!$G$1:$G$1004,$J18)="対象外","対象外",""))))</f>
        <v/>
      </c>
      <c r="H18" s="35">
        <f>IF(OR($J18="",$K$4=""),"",IF(INDEX('支払先'!$I$5:$I$104,$K$4)&lt;&gt;"する","",IF(INDEX('支払明細'!$H$1:$H$1004,$J18)="対象外","－","対象")))</f>
        <v/>
      </c>
      <c r="I18" s="67" t="n"/>
      <c r="J18" s="81">
        <f>IFERROR(SMALL('支払明細'!$Q$5:$Q$1004,5),"")</f>
        <v/>
      </c>
      <c r="K18" s="67" t="n"/>
    </row>
    <row r="19" ht="19" customHeight="1">
      <c r="A19" s="53">
        <f>IF($J19="","",IF(ISNUMBER(INDEX('支払明細'!$B$1:$B$1004,$J19)),INDEX('支払明細'!$B$1:$B$1004,$J19),""))</f>
        <v/>
      </c>
      <c r="B19" s="52">
        <f>IF($J19="","",INDEX('支払明細'!$C$1:$C$1004,$J19)&amp;IF(INDEX('支払明細'!$G$1:$G$1004,$J19)="8%（軽減）"," ※",""))</f>
        <v/>
      </c>
      <c r="C19" s="54">
        <f>IF($J19="","",IF(INDEX('支払明細'!$D$1:$D$1004,$J19)="","",IF(ISNUMBER(INDEX('支払明細'!$D$1:$D$1004,$J19)),IF(INDEX('支払明細'!$D$1:$D$1004,$J19)=INT(INDEX('支払明細'!$D$1:$D$1004,$J19)),FIXED(INDEX('支払明細'!$D$1:$D$1004,$J19),0),INDEX('支払明細'!$D$1:$D$1004,$J19)&amp;""),INDEX('支払明細'!$D$1:$D$1004,$J19)&amp;"")))</f>
        <v/>
      </c>
      <c r="D19" s="35">
        <f>IF($J19="","",INDEX('支払明細'!$E$1:$E$1004,$J19)&amp;"")</f>
        <v/>
      </c>
      <c r="E19" s="54">
        <f>IF($J19="","",IF(INDEX('支払明細'!$F$1:$F$1004,$J19)="","",IF(ISNUMBER(INDEX('支払明細'!$F$1:$F$1004,$J19)),IF(INDEX('支払明細'!$F$1:$F$1004,$J19)=INT(INDEX('支払明細'!$F$1:$F$1004,$J19)),FIXED(INDEX('支払明細'!$F$1:$F$1004,$J19),0),INDEX('支払明細'!$F$1:$F$1004,$J19)&amp;""),INDEX('支払明細'!$F$1:$F$1004,$J19)&amp;"")))</f>
        <v/>
      </c>
      <c r="F19" s="55">
        <f>IF($J19="","",INDEX('支払明細'!$I$1:$I$1004,$J19))</f>
        <v/>
      </c>
      <c r="G19" s="35">
        <f>IF($J19="","",IF(INDEX('支払明細'!$G$1:$G$1004,$J19)="10%（標準）","10%",IF(INDEX('支払明細'!$G$1:$G$1004,$J19)="8%（軽減）","8%",IF(INDEX('支払明細'!$G$1:$G$1004,$J19)="対象外","対象外",""))))</f>
        <v/>
      </c>
      <c r="H19" s="35">
        <f>IF(OR($J19="",$K$4=""),"",IF(INDEX('支払先'!$I$5:$I$104,$K$4)&lt;&gt;"する","",IF(INDEX('支払明細'!$H$1:$H$1004,$J19)="対象外","－","対象")))</f>
        <v/>
      </c>
      <c r="I19" s="67" t="n"/>
      <c r="J19" s="81">
        <f>IFERROR(SMALL('支払明細'!$Q$5:$Q$1004,6),"")</f>
        <v/>
      </c>
      <c r="K19" s="67" t="n"/>
    </row>
    <row r="20" ht="19" customHeight="1">
      <c r="A20" s="53">
        <f>IF($J20="","",IF(ISNUMBER(INDEX('支払明細'!$B$1:$B$1004,$J20)),INDEX('支払明細'!$B$1:$B$1004,$J20),""))</f>
        <v/>
      </c>
      <c r="B20" s="52">
        <f>IF($J20="","",INDEX('支払明細'!$C$1:$C$1004,$J20)&amp;IF(INDEX('支払明細'!$G$1:$G$1004,$J20)="8%（軽減）"," ※",""))</f>
        <v/>
      </c>
      <c r="C20" s="54">
        <f>IF($J20="","",IF(INDEX('支払明細'!$D$1:$D$1004,$J20)="","",IF(ISNUMBER(INDEX('支払明細'!$D$1:$D$1004,$J20)),IF(INDEX('支払明細'!$D$1:$D$1004,$J20)=INT(INDEX('支払明細'!$D$1:$D$1004,$J20)),FIXED(INDEX('支払明細'!$D$1:$D$1004,$J20),0),INDEX('支払明細'!$D$1:$D$1004,$J20)&amp;""),INDEX('支払明細'!$D$1:$D$1004,$J20)&amp;"")))</f>
        <v/>
      </c>
      <c r="D20" s="35">
        <f>IF($J20="","",INDEX('支払明細'!$E$1:$E$1004,$J20)&amp;"")</f>
        <v/>
      </c>
      <c r="E20" s="54">
        <f>IF($J20="","",IF(INDEX('支払明細'!$F$1:$F$1004,$J20)="","",IF(ISNUMBER(INDEX('支払明細'!$F$1:$F$1004,$J20)),IF(INDEX('支払明細'!$F$1:$F$1004,$J20)=INT(INDEX('支払明細'!$F$1:$F$1004,$J20)),FIXED(INDEX('支払明細'!$F$1:$F$1004,$J20),0),INDEX('支払明細'!$F$1:$F$1004,$J20)&amp;""),INDEX('支払明細'!$F$1:$F$1004,$J20)&amp;"")))</f>
        <v/>
      </c>
      <c r="F20" s="55">
        <f>IF($J20="","",INDEX('支払明細'!$I$1:$I$1004,$J20))</f>
        <v/>
      </c>
      <c r="G20" s="35">
        <f>IF($J20="","",IF(INDEX('支払明細'!$G$1:$G$1004,$J20)="10%（標準）","10%",IF(INDEX('支払明細'!$G$1:$G$1004,$J20)="8%（軽減）","8%",IF(INDEX('支払明細'!$G$1:$G$1004,$J20)="対象外","対象外",""))))</f>
        <v/>
      </c>
      <c r="H20" s="35">
        <f>IF(OR($J20="",$K$4=""),"",IF(INDEX('支払先'!$I$5:$I$104,$K$4)&lt;&gt;"する","",IF(INDEX('支払明細'!$H$1:$H$1004,$J20)="対象外","－","対象")))</f>
        <v/>
      </c>
      <c r="I20" s="67" t="n"/>
      <c r="J20" s="81">
        <f>IFERROR(SMALL('支払明細'!$Q$5:$Q$1004,7),"")</f>
        <v/>
      </c>
      <c r="K20" s="67" t="n"/>
    </row>
    <row r="21" ht="19" customHeight="1">
      <c r="A21" s="53">
        <f>IF($J21="","",IF(ISNUMBER(INDEX('支払明細'!$B$1:$B$1004,$J21)),INDEX('支払明細'!$B$1:$B$1004,$J21),""))</f>
        <v/>
      </c>
      <c r="B21" s="52">
        <f>IF($J21="","",INDEX('支払明細'!$C$1:$C$1004,$J21)&amp;IF(INDEX('支払明細'!$G$1:$G$1004,$J21)="8%（軽減）"," ※",""))</f>
        <v/>
      </c>
      <c r="C21" s="54">
        <f>IF($J21="","",IF(INDEX('支払明細'!$D$1:$D$1004,$J21)="","",IF(ISNUMBER(INDEX('支払明細'!$D$1:$D$1004,$J21)),IF(INDEX('支払明細'!$D$1:$D$1004,$J21)=INT(INDEX('支払明細'!$D$1:$D$1004,$J21)),FIXED(INDEX('支払明細'!$D$1:$D$1004,$J21),0),INDEX('支払明細'!$D$1:$D$1004,$J21)&amp;""),INDEX('支払明細'!$D$1:$D$1004,$J21)&amp;"")))</f>
        <v/>
      </c>
      <c r="D21" s="35">
        <f>IF($J21="","",INDEX('支払明細'!$E$1:$E$1004,$J21)&amp;"")</f>
        <v/>
      </c>
      <c r="E21" s="54">
        <f>IF($J21="","",IF(INDEX('支払明細'!$F$1:$F$1004,$J21)="","",IF(ISNUMBER(INDEX('支払明細'!$F$1:$F$1004,$J21)),IF(INDEX('支払明細'!$F$1:$F$1004,$J21)=INT(INDEX('支払明細'!$F$1:$F$1004,$J21)),FIXED(INDEX('支払明細'!$F$1:$F$1004,$J21),0),INDEX('支払明細'!$F$1:$F$1004,$J21)&amp;""),INDEX('支払明細'!$F$1:$F$1004,$J21)&amp;"")))</f>
        <v/>
      </c>
      <c r="F21" s="55">
        <f>IF($J21="","",INDEX('支払明細'!$I$1:$I$1004,$J21))</f>
        <v/>
      </c>
      <c r="G21" s="35">
        <f>IF($J21="","",IF(INDEX('支払明細'!$G$1:$G$1004,$J21)="10%（標準）","10%",IF(INDEX('支払明細'!$G$1:$G$1004,$J21)="8%（軽減）","8%",IF(INDEX('支払明細'!$G$1:$G$1004,$J21)="対象外","対象外",""))))</f>
        <v/>
      </c>
      <c r="H21" s="35">
        <f>IF(OR($J21="",$K$4=""),"",IF(INDEX('支払先'!$I$5:$I$104,$K$4)&lt;&gt;"する","",IF(INDEX('支払明細'!$H$1:$H$1004,$J21)="対象外","－","対象")))</f>
        <v/>
      </c>
      <c r="I21" s="67" t="n"/>
      <c r="J21" s="81">
        <f>IFERROR(SMALL('支払明細'!$Q$5:$Q$1004,8),"")</f>
        <v/>
      </c>
      <c r="K21" s="67" t="n"/>
    </row>
    <row r="22" ht="19" customHeight="1">
      <c r="A22" s="53">
        <f>IF($J22="","",IF(ISNUMBER(INDEX('支払明細'!$B$1:$B$1004,$J22)),INDEX('支払明細'!$B$1:$B$1004,$J22),""))</f>
        <v/>
      </c>
      <c r="B22" s="52">
        <f>IF($J22="","",INDEX('支払明細'!$C$1:$C$1004,$J22)&amp;IF(INDEX('支払明細'!$G$1:$G$1004,$J22)="8%（軽減）"," ※",""))</f>
        <v/>
      </c>
      <c r="C22" s="54">
        <f>IF($J22="","",IF(INDEX('支払明細'!$D$1:$D$1004,$J22)="","",IF(ISNUMBER(INDEX('支払明細'!$D$1:$D$1004,$J22)),IF(INDEX('支払明細'!$D$1:$D$1004,$J22)=INT(INDEX('支払明細'!$D$1:$D$1004,$J22)),FIXED(INDEX('支払明細'!$D$1:$D$1004,$J22),0),INDEX('支払明細'!$D$1:$D$1004,$J22)&amp;""),INDEX('支払明細'!$D$1:$D$1004,$J22)&amp;"")))</f>
        <v/>
      </c>
      <c r="D22" s="35">
        <f>IF($J22="","",INDEX('支払明細'!$E$1:$E$1004,$J22)&amp;"")</f>
        <v/>
      </c>
      <c r="E22" s="54">
        <f>IF($J22="","",IF(INDEX('支払明細'!$F$1:$F$1004,$J22)="","",IF(ISNUMBER(INDEX('支払明細'!$F$1:$F$1004,$J22)),IF(INDEX('支払明細'!$F$1:$F$1004,$J22)=INT(INDEX('支払明細'!$F$1:$F$1004,$J22)),FIXED(INDEX('支払明細'!$F$1:$F$1004,$J22),0),INDEX('支払明細'!$F$1:$F$1004,$J22)&amp;""),INDEX('支払明細'!$F$1:$F$1004,$J22)&amp;"")))</f>
        <v/>
      </c>
      <c r="F22" s="55">
        <f>IF($J22="","",INDEX('支払明細'!$I$1:$I$1004,$J22))</f>
        <v/>
      </c>
      <c r="G22" s="35">
        <f>IF($J22="","",IF(INDEX('支払明細'!$G$1:$G$1004,$J22)="10%（標準）","10%",IF(INDEX('支払明細'!$G$1:$G$1004,$J22)="8%（軽減）","8%",IF(INDEX('支払明細'!$G$1:$G$1004,$J22)="対象外","対象外",""))))</f>
        <v/>
      </c>
      <c r="H22" s="35">
        <f>IF(OR($J22="",$K$4=""),"",IF(INDEX('支払先'!$I$5:$I$104,$K$4)&lt;&gt;"する","",IF(INDEX('支払明細'!$H$1:$H$1004,$J22)="対象外","－","対象")))</f>
        <v/>
      </c>
      <c r="I22" s="67" t="n"/>
      <c r="J22" s="81">
        <f>IFERROR(SMALL('支払明細'!$Q$5:$Q$1004,9),"")</f>
        <v/>
      </c>
      <c r="K22" s="67" t="n"/>
    </row>
    <row r="23" ht="19" customHeight="1">
      <c r="A23" s="53">
        <f>IF($J23="","",IF(ISNUMBER(INDEX('支払明細'!$B$1:$B$1004,$J23)),INDEX('支払明細'!$B$1:$B$1004,$J23),""))</f>
        <v/>
      </c>
      <c r="B23" s="52">
        <f>IF($J23="","",INDEX('支払明細'!$C$1:$C$1004,$J23)&amp;IF(INDEX('支払明細'!$G$1:$G$1004,$J23)="8%（軽減）"," ※",""))</f>
        <v/>
      </c>
      <c r="C23" s="54">
        <f>IF($J23="","",IF(INDEX('支払明細'!$D$1:$D$1004,$J23)="","",IF(ISNUMBER(INDEX('支払明細'!$D$1:$D$1004,$J23)),IF(INDEX('支払明細'!$D$1:$D$1004,$J23)=INT(INDEX('支払明細'!$D$1:$D$1004,$J23)),FIXED(INDEX('支払明細'!$D$1:$D$1004,$J23),0),INDEX('支払明細'!$D$1:$D$1004,$J23)&amp;""),INDEX('支払明細'!$D$1:$D$1004,$J23)&amp;"")))</f>
        <v/>
      </c>
      <c r="D23" s="35">
        <f>IF($J23="","",INDEX('支払明細'!$E$1:$E$1004,$J23)&amp;"")</f>
        <v/>
      </c>
      <c r="E23" s="54">
        <f>IF($J23="","",IF(INDEX('支払明細'!$F$1:$F$1004,$J23)="","",IF(ISNUMBER(INDEX('支払明細'!$F$1:$F$1004,$J23)),IF(INDEX('支払明細'!$F$1:$F$1004,$J23)=INT(INDEX('支払明細'!$F$1:$F$1004,$J23)),FIXED(INDEX('支払明細'!$F$1:$F$1004,$J23),0),INDEX('支払明細'!$F$1:$F$1004,$J23)&amp;""),INDEX('支払明細'!$F$1:$F$1004,$J23)&amp;"")))</f>
        <v/>
      </c>
      <c r="F23" s="55">
        <f>IF($J23="","",INDEX('支払明細'!$I$1:$I$1004,$J23))</f>
        <v/>
      </c>
      <c r="G23" s="35">
        <f>IF($J23="","",IF(INDEX('支払明細'!$G$1:$G$1004,$J23)="10%（標準）","10%",IF(INDEX('支払明細'!$G$1:$G$1004,$J23)="8%（軽減）","8%",IF(INDEX('支払明細'!$G$1:$G$1004,$J23)="対象外","対象外",""))))</f>
        <v/>
      </c>
      <c r="H23" s="35">
        <f>IF(OR($J23="",$K$4=""),"",IF(INDEX('支払先'!$I$5:$I$104,$K$4)&lt;&gt;"する","",IF(INDEX('支払明細'!$H$1:$H$1004,$J23)="対象外","－","対象")))</f>
        <v/>
      </c>
      <c r="I23" s="67" t="n"/>
      <c r="J23" s="81">
        <f>IFERROR(SMALL('支払明細'!$Q$5:$Q$1004,10),"")</f>
        <v/>
      </c>
      <c r="K23" s="67" t="n"/>
    </row>
    <row r="24" ht="19" customHeight="1">
      <c r="A24" s="53">
        <f>IF($J24="","",IF(ISNUMBER(INDEX('支払明細'!$B$1:$B$1004,$J24)),INDEX('支払明細'!$B$1:$B$1004,$J24),""))</f>
        <v/>
      </c>
      <c r="B24" s="52">
        <f>IF($J24="","",INDEX('支払明細'!$C$1:$C$1004,$J24)&amp;IF(INDEX('支払明細'!$G$1:$G$1004,$J24)="8%（軽減）"," ※",""))</f>
        <v/>
      </c>
      <c r="C24" s="54">
        <f>IF($J24="","",IF(INDEX('支払明細'!$D$1:$D$1004,$J24)="","",IF(ISNUMBER(INDEX('支払明細'!$D$1:$D$1004,$J24)),IF(INDEX('支払明細'!$D$1:$D$1004,$J24)=INT(INDEX('支払明細'!$D$1:$D$1004,$J24)),FIXED(INDEX('支払明細'!$D$1:$D$1004,$J24),0),INDEX('支払明細'!$D$1:$D$1004,$J24)&amp;""),INDEX('支払明細'!$D$1:$D$1004,$J24)&amp;"")))</f>
        <v/>
      </c>
      <c r="D24" s="35">
        <f>IF($J24="","",INDEX('支払明細'!$E$1:$E$1004,$J24)&amp;"")</f>
        <v/>
      </c>
      <c r="E24" s="54">
        <f>IF($J24="","",IF(INDEX('支払明細'!$F$1:$F$1004,$J24)="","",IF(ISNUMBER(INDEX('支払明細'!$F$1:$F$1004,$J24)),IF(INDEX('支払明細'!$F$1:$F$1004,$J24)=INT(INDEX('支払明細'!$F$1:$F$1004,$J24)),FIXED(INDEX('支払明細'!$F$1:$F$1004,$J24),0),INDEX('支払明細'!$F$1:$F$1004,$J24)&amp;""),INDEX('支払明細'!$F$1:$F$1004,$J24)&amp;"")))</f>
        <v/>
      </c>
      <c r="F24" s="55">
        <f>IF($J24="","",INDEX('支払明細'!$I$1:$I$1004,$J24))</f>
        <v/>
      </c>
      <c r="G24" s="35">
        <f>IF($J24="","",IF(INDEX('支払明細'!$G$1:$G$1004,$J24)="10%（標準）","10%",IF(INDEX('支払明細'!$G$1:$G$1004,$J24)="8%（軽減）","8%",IF(INDEX('支払明細'!$G$1:$G$1004,$J24)="対象外","対象外",""))))</f>
        <v/>
      </c>
      <c r="H24" s="35">
        <f>IF(OR($J24="",$K$4=""),"",IF(INDEX('支払先'!$I$5:$I$104,$K$4)&lt;&gt;"する","",IF(INDEX('支払明細'!$H$1:$H$1004,$J24)="対象外","－","対象")))</f>
        <v/>
      </c>
      <c r="I24" s="67" t="n"/>
      <c r="J24" s="81">
        <f>IFERROR(SMALL('支払明細'!$Q$5:$Q$1004,11),"")</f>
        <v/>
      </c>
      <c r="K24" s="67" t="n"/>
    </row>
    <row r="25" ht="19" customHeight="1">
      <c r="A25" s="53">
        <f>IF($J25="","",IF(ISNUMBER(INDEX('支払明細'!$B$1:$B$1004,$J25)),INDEX('支払明細'!$B$1:$B$1004,$J25),""))</f>
        <v/>
      </c>
      <c r="B25" s="52">
        <f>IF($J25="","",INDEX('支払明細'!$C$1:$C$1004,$J25)&amp;IF(INDEX('支払明細'!$G$1:$G$1004,$J25)="8%（軽減）"," ※",""))</f>
        <v/>
      </c>
      <c r="C25" s="54">
        <f>IF($J25="","",IF(INDEX('支払明細'!$D$1:$D$1004,$J25)="","",IF(ISNUMBER(INDEX('支払明細'!$D$1:$D$1004,$J25)),IF(INDEX('支払明細'!$D$1:$D$1004,$J25)=INT(INDEX('支払明細'!$D$1:$D$1004,$J25)),FIXED(INDEX('支払明細'!$D$1:$D$1004,$J25),0),INDEX('支払明細'!$D$1:$D$1004,$J25)&amp;""),INDEX('支払明細'!$D$1:$D$1004,$J25)&amp;"")))</f>
        <v/>
      </c>
      <c r="D25" s="35">
        <f>IF($J25="","",INDEX('支払明細'!$E$1:$E$1004,$J25)&amp;"")</f>
        <v/>
      </c>
      <c r="E25" s="54">
        <f>IF($J25="","",IF(INDEX('支払明細'!$F$1:$F$1004,$J25)="","",IF(ISNUMBER(INDEX('支払明細'!$F$1:$F$1004,$J25)),IF(INDEX('支払明細'!$F$1:$F$1004,$J25)=INT(INDEX('支払明細'!$F$1:$F$1004,$J25)),FIXED(INDEX('支払明細'!$F$1:$F$1004,$J25),0),INDEX('支払明細'!$F$1:$F$1004,$J25)&amp;""),INDEX('支払明細'!$F$1:$F$1004,$J25)&amp;"")))</f>
        <v/>
      </c>
      <c r="F25" s="55">
        <f>IF($J25="","",INDEX('支払明細'!$I$1:$I$1004,$J25))</f>
        <v/>
      </c>
      <c r="G25" s="35">
        <f>IF($J25="","",IF(INDEX('支払明細'!$G$1:$G$1004,$J25)="10%（標準）","10%",IF(INDEX('支払明細'!$G$1:$G$1004,$J25)="8%（軽減）","8%",IF(INDEX('支払明細'!$G$1:$G$1004,$J25)="対象外","対象外",""))))</f>
        <v/>
      </c>
      <c r="H25" s="35">
        <f>IF(OR($J25="",$K$4=""),"",IF(INDEX('支払先'!$I$5:$I$104,$K$4)&lt;&gt;"する","",IF(INDEX('支払明細'!$H$1:$H$1004,$J25)="対象外","－","対象")))</f>
        <v/>
      </c>
      <c r="I25" s="67" t="n"/>
      <c r="J25" s="81">
        <f>IFERROR(SMALL('支払明細'!$Q$5:$Q$1004,12),"")</f>
        <v/>
      </c>
      <c r="K25" s="67" t="n"/>
    </row>
    <row r="26" ht="19" customHeight="1">
      <c r="A26" s="53">
        <f>IF($J26="","",IF(ISNUMBER(INDEX('支払明細'!$B$1:$B$1004,$J26)),INDEX('支払明細'!$B$1:$B$1004,$J26),""))</f>
        <v/>
      </c>
      <c r="B26" s="52">
        <f>IF($J26="","",INDEX('支払明細'!$C$1:$C$1004,$J26)&amp;IF(INDEX('支払明細'!$G$1:$G$1004,$J26)="8%（軽減）"," ※",""))</f>
        <v/>
      </c>
      <c r="C26" s="54">
        <f>IF($J26="","",IF(INDEX('支払明細'!$D$1:$D$1004,$J26)="","",IF(ISNUMBER(INDEX('支払明細'!$D$1:$D$1004,$J26)),IF(INDEX('支払明細'!$D$1:$D$1004,$J26)=INT(INDEX('支払明細'!$D$1:$D$1004,$J26)),FIXED(INDEX('支払明細'!$D$1:$D$1004,$J26),0),INDEX('支払明細'!$D$1:$D$1004,$J26)&amp;""),INDEX('支払明細'!$D$1:$D$1004,$J26)&amp;"")))</f>
        <v/>
      </c>
      <c r="D26" s="35">
        <f>IF($J26="","",INDEX('支払明細'!$E$1:$E$1004,$J26)&amp;"")</f>
        <v/>
      </c>
      <c r="E26" s="54">
        <f>IF($J26="","",IF(INDEX('支払明細'!$F$1:$F$1004,$J26)="","",IF(ISNUMBER(INDEX('支払明細'!$F$1:$F$1004,$J26)),IF(INDEX('支払明細'!$F$1:$F$1004,$J26)=INT(INDEX('支払明細'!$F$1:$F$1004,$J26)),FIXED(INDEX('支払明細'!$F$1:$F$1004,$J26),0),INDEX('支払明細'!$F$1:$F$1004,$J26)&amp;""),INDEX('支払明細'!$F$1:$F$1004,$J26)&amp;"")))</f>
        <v/>
      </c>
      <c r="F26" s="55">
        <f>IF($J26="","",INDEX('支払明細'!$I$1:$I$1004,$J26))</f>
        <v/>
      </c>
      <c r="G26" s="35">
        <f>IF($J26="","",IF(INDEX('支払明細'!$G$1:$G$1004,$J26)="10%（標準）","10%",IF(INDEX('支払明細'!$G$1:$G$1004,$J26)="8%（軽減）","8%",IF(INDEX('支払明細'!$G$1:$G$1004,$J26)="対象外","対象外",""))))</f>
        <v/>
      </c>
      <c r="H26" s="35">
        <f>IF(OR($J26="",$K$4=""),"",IF(INDEX('支払先'!$I$5:$I$104,$K$4)&lt;&gt;"する","",IF(INDEX('支払明細'!$H$1:$H$1004,$J26)="対象外","－","対象")))</f>
        <v/>
      </c>
      <c r="I26" s="67" t="n"/>
      <c r="J26" s="81">
        <f>IFERROR(SMALL('支払明細'!$Q$5:$Q$1004,13),"")</f>
        <v/>
      </c>
      <c r="K26" s="67" t="n"/>
    </row>
    <row r="27" ht="19" customHeight="1">
      <c r="A27" s="53">
        <f>IF($J27="","",IF(ISNUMBER(INDEX('支払明細'!$B$1:$B$1004,$J27)),INDEX('支払明細'!$B$1:$B$1004,$J27),""))</f>
        <v/>
      </c>
      <c r="B27" s="52">
        <f>IF($J27="","",INDEX('支払明細'!$C$1:$C$1004,$J27)&amp;IF(INDEX('支払明細'!$G$1:$G$1004,$J27)="8%（軽減）"," ※",""))</f>
        <v/>
      </c>
      <c r="C27" s="54">
        <f>IF($J27="","",IF(INDEX('支払明細'!$D$1:$D$1004,$J27)="","",IF(ISNUMBER(INDEX('支払明細'!$D$1:$D$1004,$J27)),IF(INDEX('支払明細'!$D$1:$D$1004,$J27)=INT(INDEX('支払明細'!$D$1:$D$1004,$J27)),FIXED(INDEX('支払明細'!$D$1:$D$1004,$J27),0),INDEX('支払明細'!$D$1:$D$1004,$J27)&amp;""),INDEX('支払明細'!$D$1:$D$1004,$J27)&amp;"")))</f>
        <v/>
      </c>
      <c r="D27" s="35">
        <f>IF($J27="","",INDEX('支払明細'!$E$1:$E$1004,$J27)&amp;"")</f>
        <v/>
      </c>
      <c r="E27" s="54">
        <f>IF($J27="","",IF(INDEX('支払明細'!$F$1:$F$1004,$J27)="","",IF(ISNUMBER(INDEX('支払明細'!$F$1:$F$1004,$J27)),IF(INDEX('支払明細'!$F$1:$F$1004,$J27)=INT(INDEX('支払明細'!$F$1:$F$1004,$J27)),FIXED(INDEX('支払明細'!$F$1:$F$1004,$J27),0),INDEX('支払明細'!$F$1:$F$1004,$J27)&amp;""),INDEX('支払明細'!$F$1:$F$1004,$J27)&amp;"")))</f>
        <v/>
      </c>
      <c r="F27" s="55">
        <f>IF($J27="","",INDEX('支払明細'!$I$1:$I$1004,$J27))</f>
        <v/>
      </c>
      <c r="G27" s="35">
        <f>IF($J27="","",IF(INDEX('支払明細'!$G$1:$G$1004,$J27)="10%（標準）","10%",IF(INDEX('支払明細'!$G$1:$G$1004,$J27)="8%（軽減）","8%",IF(INDEX('支払明細'!$G$1:$G$1004,$J27)="対象外","対象外",""))))</f>
        <v/>
      </c>
      <c r="H27" s="35">
        <f>IF(OR($J27="",$K$4=""),"",IF(INDEX('支払先'!$I$5:$I$104,$K$4)&lt;&gt;"する","",IF(INDEX('支払明細'!$H$1:$H$1004,$J27)="対象外","－","対象")))</f>
        <v/>
      </c>
      <c r="I27" s="67" t="n"/>
      <c r="J27" s="81">
        <f>IFERROR(SMALL('支払明細'!$Q$5:$Q$1004,14),"")</f>
        <v/>
      </c>
      <c r="K27" s="67" t="n"/>
    </row>
    <row r="28" ht="19" customHeight="1">
      <c r="A28" s="53">
        <f>IF($J28="","",IF(ISNUMBER(INDEX('支払明細'!$B$1:$B$1004,$J28)),INDEX('支払明細'!$B$1:$B$1004,$J28),""))</f>
        <v/>
      </c>
      <c r="B28" s="52">
        <f>IF($J28="","",INDEX('支払明細'!$C$1:$C$1004,$J28)&amp;IF(INDEX('支払明細'!$G$1:$G$1004,$J28)="8%（軽減）"," ※",""))</f>
        <v/>
      </c>
      <c r="C28" s="54">
        <f>IF($J28="","",IF(INDEX('支払明細'!$D$1:$D$1004,$J28)="","",IF(ISNUMBER(INDEX('支払明細'!$D$1:$D$1004,$J28)),IF(INDEX('支払明細'!$D$1:$D$1004,$J28)=INT(INDEX('支払明細'!$D$1:$D$1004,$J28)),FIXED(INDEX('支払明細'!$D$1:$D$1004,$J28),0),INDEX('支払明細'!$D$1:$D$1004,$J28)&amp;""),INDEX('支払明細'!$D$1:$D$1004,$J28)&amp;"")))</f>
        <v/>
      </c>
      <c r="D28" s="35">
        <f>IF($J28="","",INDEX('支払明細'!$E$1:$E$1004,$J28)&amp;"")</f>
        <v/>
      </c>
      <c r="E28" s="54">
        <f>IF($J28="","",IF(INDEX('支払明細'!$F$1:$F$1004,$J28)="","",IF(ISNUMBER(INDEX('支払明細'!$F$1:$F$1004,$J28)),IF(INDEX('支払明細'!$F$1:$F$1004,$J28)=INT(INDEX('支払明細'!$F$1:$F$1004,$J28)),FIXED(INDEX('支払明細'!$F$1:$F$1004,$J28),0),INDEX('支払明細'!$F$1:$F$1004,$J28)&amp;""),INDEX('支払明細'!$F$1:$F$1004,$J28)&amp;"")))</f>
        <v/>
      </c>
      <c r="F28" s="55">
        <f>IF($J28="","",INDEX('支払明細'!$I$1:$I$1004,$J28))</f>
        <v/>
      </c>
      <c r="G28" s="35">
        <f>IF($J28="","",IF(INDEX('支払明細'!$G$1:$G$1004,$J28)="10%（標準）","10%",IF(INDEX('支払明細'!$G$1:$G$1004,$J28)="8%（軽減）","8%",IF(INDEX('支払明細'!$G$1:$G$1004,$J28)="対象外","対象外",""))))</f>
        <v/>
      </c>
      <c r="H28" s="35">
        <f>IF(OR($J28="",$K$4=""),"",IF(INDEX('支払先'!$I$5:$I$104,$K$4)&lt;&gt;"する","",IF(INDEX('支払明細'!$H$1:$H$1004,$J28)="対象外","－","対象")))</f>
        <v/>
      </c>
      <c r="I28" s="67" t="n"/>
      <c r="J28" s="81">
        <f>IFERROR(SMALL('支払明細'!$Q$5:$Q$1004,15),"")</f>
        <v/>
      </c>
      <c r="K28" s="67" t="n"/>
    </row>
    <row r="29" ht="19" customHeight="1">
      <c r="A29" s="53">
        <f>IF($J29="","",IF(ISNUMBER(INDEX('支払明細'!$B$1:$B$1004,$J29)),INDEX('支払明細'!$B$1:$B$1004,$J29),""))</f>
        <v/>
      </c>
      <c r="B29" s="52">
        <f>IF($J29="","",INDEX('支払明細'!$C$1:$C$1004,$J29)&amp;IF(INDEX('支払明細'!$G$1:$G$1004,$J29)="8%（軽減）"," ※",""))</f>
        <v/>
      </c>
      <c r="C29" s="54">
        <f>IF($J29="","",IF(INDEX('支払明細'!$D$1:$D$1004,$J29)="","",IF(ISNUMBER(INDEX('支払明細'!$D$1:$D$1004,$J29)),IF(INDEX('支払明細'!$D$1:$D$1004,$J29)=INT(INDEX('支払明細'!$D$1:$D$1004,$J29)),FIXED(INDEX('支払明細'!$D$1:$D$1004,$J29),0),INDEX('支払明細'!$D$1:$D$1004,$J29)&amp;""),INDEX('支払明細'!$D$1:$D$1004,$J29)&amp;"")))</f>
        <v/>
      </c>
      <c r="D29" s="35">
        <f>IF($J29="","",INDEX('支払明細'!$E$1:$E$1004,$J29)&amp;"")</f>
        <v/>
      </c>
      <c r="E29" s="54">
        <f>IF($J29="","",IF(INDEX('支払明細'!$F$1:$F$1004,$J29)="","",IF(ISNUMBER(INDEX('支払明細'!$F$1:$F$1004,$J29)),IF(INDEX('支払明細'!$F$1:$F$1004,$J29)=INT(INDEX('支払明細'!$F$1:$F$1004,$J29)),FIXED(INDEX('支払明細'!$F$1:$F$1004,$J29),0),INDEX('支払明細'!$F$1:$F$1004,$J29)&amp;""),INDEX('支払明細'!$F$1:$F$1004,$J29)&amp;"")))</f>
        <v/>
      </c>
      <c r="F29" s="55">
        <f>IF($J29="","",INDEX('支払明細'!$I$1:$I$1004,$J29))</f>
        <v/>
      </c>
      <c r="G29" s="35">
        <f>IF($J29="","",IF(INDEX('支払明細'!$G$1:$G$1004,$J29)="10%（標準）","10%",IF(INDEX('支払明細'!$G$1:$G$1004,$J29)="8%（軽減）","8%",IF(INDEX('支払明細'!$G$1:$G$1004,$J29)="対象外","対象外",""))))</f>
        <v/>
      </c>
      <c r="H29" s="35">
        <f>IF(OR($J29="",$K$4=""),"",IF(INDEX('支払先'!$I$5:$I$104,$K$4)&lt;&gt;"する","",IF(INDEX('支払明細'!$H$1:$H$1004,$J29)="対象外","－","対象")))</f>
        <v/>
      </c>
      <c r="I29" s="67" t="n"/>
      <c r="J29" s="81">
        <f>IFERROR(SMALL('支払明細'!$Q$5:$Q$1004,16),"")</f>
        <v/>
      </c>
      <c r="K29" s="67" t="n"/>
    </row>
    <row r="30" ht="19" customHeight="1">
      <c r="A30" s="53">
        <f>IF($J30="","",IF(ISNUMBER(INDEX('支払明細'!$B$1:$B$1004,$J30)),INDEX('支払明細'!$B$1:$B$1004,$J30),""))</f>
        <v/>
      </c>
      <c r="B30" s="52">
        <f>IF($J30="","",INDEX('支払明細'!$C$1:$C$1004,$J30)&amp;IF(INDEX('支払明細'!$G$1:$G$1004,$J30)="8%（軽減）"," ※",""))</f>
        <v/>
      </c>
      <c r="C30" s="54">
        <f>IF($J30="","",IF(INDEX('支払明細'!$D$1:$D$1004,$J30)="","",IF(ISNUMBER(INDEX('支払明細'!$D$1:$D$1004,$J30)),IF(INDEX('支払明細'!$D$1:$D$1004,$J30)=INT(INDEX('支払明細'!$D$1:$D$1004,$J30)),FIXED(INDEX('支払明細'!$D$1:$D$1004,$J30),0),INDEX('支払明細'!$D$1:$D$1004,$J30)&amp;""),INDEX('支払明細'!$D$1:$D$1004,$J30)&amp;"")))</f>
        <v/>
      </c>
      <c r="D30" s="35">
        <f>IF($J30="","",INDEX('支払明細'!$E$1:$E$1004,$J30)&amp;"")</f>
        <v/>
      </c>
      <c r="E30" s="54">
        <f>IF($J30="","",IF(INDEX('支払明細'!$F$1:$F$1004,$J30)="","",IF(ISNUMBER(INDEX('支払明細'!$F$1:$F$1004,$J30)),IF(INDEX('支払明細'!$F$1:$F$1004,$J30)=INT(INDEX('支払明細'!$F$1:$F$1004,$J30)),FIXED(INDEX('支払明細'!$F$1:$F$1004,$J30),0),INDEX('支払明細'!$F$1:$F$1004,$J30)&amp;""),INDEX('支払明細'!$F$1:$F$1004,$J30)&amp;"")))</f>
        <v/>
      </c>
      <c r="F30" s="55">
        <f>IF($J30="","",INDEX('支払明細'!$I$1:$I$1004,$J30))</f>
        <v/>
      </c>
      <c r="G30" s="35">
        <f>IF($J30="","",IF(INDEX('支払明細'!$G$1:$G$1004,$J30)="10%（標準）","10%",IF(INDEX('支払明細'!$G$1:$G$1004,$J30)="8%（軽減）","8%",IF(INDEX('支払明細'!$G$1:$G$1004,$J30)="対象外","対象外",""))))</f>
        <v/>
      </c>
      <c r="H30" s="35">
        <f>IF(OR($J30="",$K$4=""),"",IF(INDEX('支払先'!$I$5:$I$104,$K$4)&lt;&gt;"する","",IF(INDEX('支払明細'!$H$1:$H$1004,$J30)="対象外","－","対象")))</f>
        <v/>
      </c>
      <c r="I30" s="67" t="n"/>
      <c r="J30" s="81">
        <f>IFERROR(SMALL('支払明細'!$Q$5:$Q$1004,17),"")</f>
        <v/>
      </c>
      <c r="K30" s="67" t="n"/>
    </row>
    <row r="31" ht="19" customHeight="1">
      <c r="A31" s="53">
        <f>IF($J31="","",IF(ISNUMBER(INDEX('支払明細'!$B$1:$B$1004,$J31)),INDEX('支払明細'!$B$1:$B$1004,$J31),""))</f>
        <v/>
      </c>
      <c r="B31" s="52">
        <f>IF($J31="","",INDEX('支払明細'!$C$1:$C$1004,$J31)&amp;IF(INDEX('支払明細'!$G$1:$G$1004,$J31)="8%（軽減）"," ※",""))</f>
        <v/>
      </c>
      <c r="C31" s="54">
        <f>IF($J31="","",IF(INDEX('支払明細'!$D$1:$D$1004,$J31)="","",IF(ISNUMBER(INDEX('支払明細'!$D$1:$D$1004,$J31)),IF(INDEX('支払明細'!$D$1:$D$1004,$J31)=INT(INDEX('支払明細'!$D$1:$D$1004,$J31)),FIXED(INDEX('支払明細'!$D$1:$D$1004,$J31),0),INDEX('支払明細'!$D$1:$D$1004,$J31)&amp;""),INDEX('支払明細'!$D$1:$D$1004,$J31)&amp;"")))</f>
        <v/>
      </c>
      <c r="D31" s="35">
        <f>IF($J31="","",INDEX('支払明細'!$E$1:$E$1004,$J31)&amp;"")</f>
        <v/>
      </c>
      <c r="E31" s="54">
        <f>IF($J31="","",IF(INDEX('支払明細'!$F$1:$F$1004,$J31)="","",IF(ISNUMBER(INDEX('支払明細'!$F$1:$F$1004,$J31)),IF(INDEX('支払明細'!$F$1:$F$1004,$J31)=INT(INDEX('支払明細'!$F$1:$F$1004,$J31)),FIXED(INDEX('支払明細'!$F$1:$F$1004,$J31),0),INDEX('支払明細'!$F$1:$F$1004,$J31)&amp;""),INDEX('支払明細'!$F$1:$F$1004,$J31)&amp;"")))</f>
        <v/>
      </c>
      <c r="F31" s="55">
        <f>IF($J31="","",INDEX('支払明細'!$I$1:$I$1004,$J31))</f>
        <v/>
      </c>
      <c r="G31" s="35">
        <f>IF($J31="","",IF(INDEX('支払明細'!$G$1:$G$1004,$J31)="10%（標準）","10%",IF(INDEX('支払明細'!$G$1:$G$1004,$J31)="8%（軽減）","8%",IF(INDEX('支払明細'!$G$1:$G$1004,$J31)="対象外","対象外",""))))</f>
        <v/>
      </c>
      <c r="H31" s="35">
        <f>IF(OR($J31="",$K$4=""),"",IF(INDEX('支払先'!$I$5:$I$104,$K$4)&lt;&gt;"する","",IF(INDEX('支払明細'!$H$1:$H$1004,$J31)="対象外","－","対象")))</f>
        <v/>
      </c>
      <c r="I31" s="67" t="n"/>
      <c r="J31" s="81">
        <f>IFERROR(SMALL('支払明細'!$Q$5:$Q$1004,18),"")</f>
        <v/>
      </c>
      <c r="K31" s="67" t="n"/>
    </row>
    <row r="32" ht="19" customHeight="1">
      <c r="A32" s="53">
        <f>IF($J32="","",IF(ISNUMBER(INDEX('支払明細'!$B$1:$B$1004,$J32)),INDEX('支払明細'!$B$1:$B$1004,$J32),""))</f>
        <v/>
      </c>
      <c r="B32" s="52">
        <f>IF($J32="","",INDEX('支払明細'!$C$1:$C$1004,$J32)&amp;IF(INDEX('支払明細'!$G$1:$G$1004,$J32)="8%（軽減）"," ※",""))</f>
        <v/>
      </c>
      <c r="C32" s="54">
        <f>IF($J32="","",IF(INDEX('支払明細'!$D$1:$D$1004,$J32)="","",IF(ISNUMBER(INDEX('支払明細'!$D$1:$D$1004,$J32)),IF(INDEX('支払明細'!$D$1:$D$1004,$J32)=INT(INDEX('支払明細'!$D$1:$D$1004,$J32)),FIXED(INDEX('支払明細'!$D$1:$D$1004,$J32),0),INDEX('支払明細'!$D$1:$D$1004,$J32)&amp;""),INDEX('支払明細'!$D$1:$D$1004,$J32)&amp;"")))</f>
        <v/>
      </c>
      <c r="D32" s="35">
        <f>IF($J32="","",INDEX('支払明細'!$E$1:$E$1004,$J32)&amp;"")</f>
        <v/>
      </c>
      <c r="E32" s="54">
        <f>IF($J32="","",IF(INDEX('支払明細'!$F$1:$F$1004,$J32)="","",IF(ISNUMBER(INDEX('支払明細'!$F$1:$F$1004,$J32)),IF(INDEX('支払明細'!$F$1:$F$1004,$J32)=INT(INDEX('支払明細'!$F$1:$F$1004,$J32)),FIXED(INDEX('支払明細'!$F$1:$F$1004,$J32),0),INDEX('支払明細'!$F$1:$F$1004,$J32)&amp;""),INDEX('支払明細'!$F$1:$F$1004,$J32)&amp;"")))</f>
        <v/>
      </c>
      <c r="F32" s="55">
        <f>IF($J32="","",INDEX('支払明細'!$I$1:$I$1004,$J32))</f>
        <v/>
      </c>
      <c r="G32" s="35">
        <f>IF($J32="","",IF(INDEX('支払明細'!$G$1:$G$1004,$J32)="10%（標準）","10%",IF(INDEX('支払明細'!$G$1:$G$1004,$J32)="8%（軽減）","8%",IF(INDEX('支払明細'!$G$1:$G$1004,$J32)="対象外","対象外",""))))</f>
        <v/>
      </c>
      <c r="H32" s="35">
        <f>IF(OR($J32="",$K$4=""),"",IF(INDEX('支払先'!$I$5:$I$104,$K$4)&lt;&gt;"する","",IF(INDEX('支払明細'!$H$1:$H$1004,$J32)="対象外","－","対象")))</f>
        <v/>
      </c>
      <c r="I32" s="67" t="n"/>
      <c r="J32" s="81">
        <f>IFERROR(SMALL('支払明細'!$Q$5:$Q$1004,19),"")</f>
        <v/>
      </c>
      <c r="K32" s="67" t="n"/>
    </row>
    <row r="33" ht="19" customHeight="1">
      <c r="A33" s="53">
        <f>IF($J33="","",IF(ISNUMBER(INDEX('支払明細'!$B$1:$B$1004,$J33)),INDEX('支払明細'!$B$1:$B$1004,$J33),""))</f>
        <v/>
      </c>
      <c r="B33" s="52">
        <f>IF($J33="","",INDEX('支払明細'!$C$1:$C$1004,$J33)&amp;IF(INDEX('支払明細'!$G$1:$G$1004,$J33)="8%（軽減）"," ※",""))</f>
        <v/>
      </c>
      <c r="C33" s="54">
        <f>IF($J33="","",IF(INDEX('支払明細'!$D$1:$D$1004,$J33)="","",IF(ISNUMBER(INDEX('支払明細'!$D$1:$D$1004,$J33)),IF(INDEX('支払明細'!$D$1:$D$1004,$J33)=INT(INDEX('支払明細'!$D$1:$D$1004,$J33)),FIXED(INDEX('支払明細'!$D$1:$D$1004,$J33),0),INDEX('支払明細'!$D$1:$D$1004,$J33)&amp;""),INDEX('支払明細'!$D$1:$D$1004,$J33)&amp;"")))</f>
        <v/>
      </c>
      <c r="D33" s="35">
        <f>IF($J33="","",INDEX('支払明細'!$E$1:$E$1004,$J33)&amp;"")</f>
        <v/>
      </c>
      <c r="E33" s="54">
        <f>IF($J33="","",IF(INDEX('支払明細'!$F$1:$F$1004,$J33)="","",IF(ISNUMBER(INDEX('支払明細'!$F$1:$F$1004,$J33)),IF(INDEX('支払明細'!$F$1:$F$1004,$J33)=INT(INDEX('支払明細'!$F$1:$F$1004,$J33)),FIXED(INDEX('支払明細'!$F$1:$F$1004,$J33),0),INDEX('支払明細'!$F$1:$F$1004,$J33)&amp;""),INDEX('支払明細'!$F$1:$F$1004,$J33)&amp;"")))</f>
        <v/>
      </c>
      <c r="F33" s="55">
        <f>IF($J33="","",INDEX('支払明細'!$I$1:$I$1004,$J33))</f>
        <v/>
      </c>
      <c r="G33" s="35">
        <f>IF($J33="","",IF(INDEX('支払明細'!$G$1:$G$1004,$J33)="10%（標準）","10%",IF(INDEX('支払明細'!$G$1:$G$1004,$J33)="8%（軽減）","8%",IF(INDEX('支払明細'!$G$1:$G$1004,$J33)="対象外","対象外",""))))</f>
        <v/>
      </c>
      <c r="H33" s="35">
        <f>IF(OR($J33="",$K$4=""),"",IF(INDEX('支払先'!$I$5:$I$104,$K$4)&lt;&gt;"する","",IF(INDEX('支払明細'!$H$1:$H$1004,$J33)="対象外","－","対象")))</f>
        <v/>
      </c>
      <c r="I33" s="67" t="n"/>
      <c r="J33" s="81">
        <f>IFERROR(SMALL('支払明細'!$Q$5:$Q$1004,20),"")</f>
        <v/>
      </c>
      <c r="K33" s="67" t="n"/>
    </row>
    <row r="34" ht="16" customHeight="1">
      <c r="A34" s="89">
        <f>IF($K$2="","",IF(COUNTIF('支払明細'!$A$5:$A$1004,$K$2)&gt;20,"明細が"&amp;COUNTIF('支払明細'!$A$5:$A$1004,$K$2)&amp;"件あります。21件目からはこの用紙に出ません。通知Noを分けてください。",""))</f>
        <v/>
      </c>
      <c r="B34" s="67" t="n"/>
      <c r="C34" s="67" t="n"/>
      <c r="D34" s="67" t="n"/>
      <c r="E34" s="67" t="n"/>
      <c r="F34" s="67" t="n"/>
      <c r="G34" s="67" t="n"/>
      <c r="H34" s="67" t="n"/>
      <c r="I34" s="67" t="n"/>
      <c r="J34" s="67" t="n"/>
      <c r="K34" s="67" t="n"/>
    </row>
    <row r="35" ht="19" customHeight="1">
      <c r="A35" s="71" t="inlineStr">
        <is>
          <t>振込先</t>
        </is>
      </c>
      <c r="B35" s="52">
        <f>IF($K$4="","",INDEX('支払先'!$O$5:$O$104,$K$4)&amp;"")</f>
        <v/>
      </c>
      <c r="C35" s="78" t="n"/>
      <c r="D35" s="67" t="n"/>
      <c r="E35" s="90">
        <f>IF('設定'!$B$11="税込","10%対象（税込）","10%対象（税抜）")</f>
        <v/>
      </c>
      <c r="F35" s="78" t="n"/>
      <c r="G35" s="55">
        <f>IF($K$3="","",INDEX('通知一覧'!$L$5:$L$204,$K$3))</f>
        <v/>
      </c>
      <c r="H35" s="78" t="n"/>
      <c r="I35" s="67" t="n"/>
      <c r="J35" s="67" t="n"/>
      <c r="K35" s="67" t="n"/>
    </row>
    <row r="36" ht="19" customHeight="1">
      <c r="A36" s="71" t="inlineStr">
        <is>
          <t>口座</t>
        </is>
      </c>
      <c r="B36" s="52">
        <f>IF($K$4="","",INDEX('支払先'!$P$5:$P$104,$K$4)&amp;"")</f>
        <v/>
      </c>
      <c r="C36" s="78" t="n"/>
      <c r="D36" s="67" t="n"/>
      <c r="E36" s="90" t="inlineStr">
        <is>
          <t>消費税（10%）</t>
        </is>
      </c>
      <c r="F36" s="78" t="n"/>
      <c r="G36" s="55">
        <f>IF($K$3="","",INDEX('通知一覧'!$O$5:$O$204,$K$3))</f>
        <v/>
      </c>
      <c r="H36" s="78" t="n"/>
      <c r="I36" s="67" t="n"/>
      <c r="J36" s="67" t="n"/>
      <c r="K36" s="67" t="n"/>
    </row>
    <row r="37" ht="19" customHeight="1">
      <c r="A37" s="71" t="inlineStr">
        <is>
          <t>名義</t>
        </is>
      </c>
      <c r="B37" s="52">
        <f>IF($K$4="","",INDEX('支払先'!$Q$5:$Q$104,$K$4)&amp;"")</f>
        <v/>
      </c>
      <c r="C37" s="78" t="n"/>
      <c r="D37" s="67" t="n"/>
      <c r="E37" s="90">
        <f>IF('設定'!$B$11="税込","8%対象（税込）","8%対象（税抜）")</f>
        <v/>
      </c>
      <c r="F37" s="78" t="n"/>
      <c r="G37" s="55">
        <f>IF($K$3="","",INDEX('通知一覧'!$M$5:$M$204,$K$3))</f>
        <v/>
      </c>
      <c r="H37" s="78" t="n"/>
      <c r="I37" s="67" t="n"/>
      <c r="J37" s="67" t="n"/>
      <c r="K37" s="67" t="n"/>
    </row>
    <row r="38" ht="19" customHeight="1">
      <c r="A38" s="67" t="n"/>
      <c r="B38" s="67" t="n"/>
      <c r="C38" s="67" t="n"/>
      <c r="D38" s="67" t="n"/>
      <c r="E38" s="90" t="inlineStr">
        <is>
          <t>消費税（8%）</t>
        </is>
      </c>
      <c r="F38" s="78" t="n"/>
      <c r="G38" s="55">
        <f>IF($K$3="","",INDEX('通知一覧'!$P$5:$P$204,$K$3))</f>
        <v/>
      </c>
      <c r="H38" s="78" t="n"/>
      <c r="I38" s="67" t="n"/>
      <c r="J38" s="67" t="n"/>
      <c r="K38" s="67" t="n"/>
    </row>
    <row r="39" ht="19" customHeight="1">
      <c r="A39" s="85">
        <f>IF($K$3="","",IF(N(INDEX('通知一覧'!$S$5:$S$204,$K$3))=0,"源泉徴収: なし","源泉徴収の対象額 "&amp;FIXED(INDEX('通知一覧'!$R$5:$R$204,$K$3),0)&amp;"円（"&amp;IF(INDEX('支払先'!$J$5:$J$104,$K$4)="税抜","消費税等を含まない額","消費税等を含む額")&amp;"）"))</f>
        <v/>
      </c>
      <c r="B39" s="67" t="n"/>
      <c r="C39" s="67" t="n"/>
      <c r="D39" s="67" t="n"/>
      <c r="E39" s="90" t="inlineStr">
        <is>
          <t>対象外（消費税なし）</t>
        </is>
      </c>
      <c r="F39" s="78" t="n"/>
      <c r="G39" s="55">
        <f>IF($K$3="","",INDEX('通知一覧'!$N$5:$N$204,$K$3))</f>
        <v/>
      </c>
      <c r="H39" s="78" t="n"/>
      <c r="I39" s="67" t="n"/>
      <c r="J39" s="67" t="n"/>
      <c r="K39" s="67" t="n"/>
    </row>
    <row r="40" ht="19" customHeight="1">
      <c r="A40" s="70" t="inlineStr">
        <is>
          <t>※ は軽減税率（8%）の対象です。</t>
        </is>
      </c>
      <c r="B40" s="67" t="n"/>
      <c r="C40" s="67" t="n"/>
      <c r="D40" s="67" t="n"/>
      <c r="E40" s="90" t="inlineStr">
        <is>
          <t>合計（税込）</t>
        </is>
      </c>
      <c r="F40" s="78" t="n"/>
      <c r="G40" s="58">
        <f>IF($K$3="","",INDEX('通知一覧'!$Q$5:$Q$204,$K$3))</f>
        <v/>
      </c>
      <c r="H40" s="78" t="n"/>
      <c r="I40" s="67" t="n"/>
      <c r="J40" s="67" t="n"/>
      <c r="K40" s="67" t="n"/>
    </row>
    <row r="41" ht="19" customHeight="1">
      <c r="A41" s="85">
        <f>IF('設定'!$B$11="税込","消費税は税率ごとの合計×10/110（8/108）。","消費税は税率ごとの合計×10%（8%）。")&amp;"1円未満は"&amp;'設定'!$B$12&amp;"。"</f>
        <v/>
      </c>
      <c r="B41" s="67" t="n"/>
      <c r="C41" s="67" t="n"/>
      <c r="D41" s="67" t="n"/>
      <c r="E41" s="90" t="inlineStr">
        <is>
          <t>源泉徴収税額</t>
        </is>
      </c>
      <c r="F41" s="78" t="n"/>
      <c r="G41" s="55">
        <f>IF($K$3="","",-INDEX('通知一覧'!$S$5:$S$204,$K$3))</f>
        <v/>
      </c>
      <c r="H41" s="78" t="n"/>
      <c r="I41" s="67" t="n"/>
      <c r="J41" s="67" t="n"/>
      <c r="K41" s="67" t="n"/>
    </row>
    <row r="42" ht="19" customHeight="1">
      <c r="A42" s="67" t="n"/>
      <c r="B42" s="67" t="n"/>
      <c r="C42" s="67" t="n"/>
      <c r="D42" s="67" t="n"/>
      <c r="E42" s="90" t="inlineStr">
        <is>
          <t>振込手数料（差し引き）</t>
        </is>
      </c>
      <c r="F42" s="78" t="n"/>
      <c r="G42" s="55">
        <f>IF($K$3="","",-INDEX('通知一覧'!$T$5:$T$204,$K$3))</f>
        <v/>
      </c>
      <c r="H42" s="78" t="n"/>
      <c r="I42" s="67" t="n"/>
      <c r="J42" s="67" t="n"/>
      <c r="K42" s="67" t="n"/>
    </row>
    <row r="43" ht="19" customHeight="1">
      <c r="A43" s="67" t="n"/>
      <c r="B43" s="67" t="n"/>
      <c r="C43" s="67" t="n"/>
      <c r="D43" s="67" t="n"/>
      <c r="E43" s="59" t="inlineStr">
        <is>
          <t>差引支払額</t>
        </is>
      </c>
      <c r="F43" s="78" t="n"/>
      <c r="G43" s="58">
        <f>IF($K$3="","",INDEX('通知一覧'!$U$5:$U$204,$K$3))</f>
        <v/>
      </c>
      <c r="H43" s="78" t="n"/>
      <c r="I43" s="67" t="n"/>
      <c r="J43" s="67" t="n"/>
      <c r="K43" s="67" t="n"/>
    </row>
    <row r="44" ht="8" customHeight="1">
      <c r="A44" s="67" t="n"/>
      <c r="B44" s="67" t="n"/>
      <c r="C44" s="67" t="n"/>
      <c r="D44" s="67" t="n"/>
      <c r="E44" s="67" t="n"/>
      <c r="F44" s="67" t="n"/>
      <c r="G44" s="67" t="n"/>
      <c r="H44" s="67" t="n"/>
      <c r="I44" s="67" t="n"/>
      <c r="J44" s="67" t="n"/>
      <c r="K44" s="67" t="n"/>
    </row>
    <row r="45" ht="16" customHeight="1">
      <c r="A45" s="60">
        <f>SUBSTITUTE('設定'!$B$14,"【期限】",IF($K$3="","　　年　　月　　日",IF(ISNUMBER(INDEX('通知一覧'!$G$5:$G$204,$K$3)),YEAR(INDEX('通知一覧'!$G$5:$G$204,$K$3))&amp;"年"&amp;MONTH(INDEX('通知一覧'!$G$5:$G$204,$K$3))&amp;"月"&amp;DAY(INDEX('通知一覧'!$G$5:$G$204,$K$3))&amp;"日","　　年　　月　　日")))</f>
        <v/>
      </c>
      <c r="B45" s="91" t="n"/>
      <c r="C45" s="91" t="n"/>
      <c r="D45" s="91" t="n"/>
      <c r="E45" s="91" t="n"/>
      <c r="F45" s="91" t="n"/>
      <c r="G45" s="91" t="n"/>
      <c r="H45" s="92" t="n"/>
      <c r="I45" s="67" t="n"/>
      <c r="J45" s="67" t="n"/>
      <c r="K45" s="67" t="n"/>
    </row>
    <row r="46" ht="16" customHeight="1">
      <c r="A46" s="93" t="n"/>
      <c r="B46" s="67" t="n"/>
      <c r="C46" s="67" t="n"/>
      <c r="D46" s="67" t="n"/>
      <c r="E46" s="67" t="n"/>
      <c r="F46" s="67" t="n"/>
      <c r="G46" s="67" t="n"/>
      <c r="H46" s="94" t="n"/>
      <c r="I46" s="67" t="n"/>
      <c r="J46" s="67" t="n"/>
      <c r="K46" s="67" t="n"/>
    </row>
    <row r="47" ht="16" customHeight="1">
      <c r="A47" s="95" t="n"/>
      <c r="B47" s="82" t="n"/>
      <c r="C47" s="82" t="n"/>
      <c r="D47" s="82" t="n"/>
      <c r="E47" s="82" t="n"/>
      <c r="F47" s="82" t="n"/>
      <c r="G47" s="82" t="n"/>
      <c r="H47" s="96" t="n"/>
      <c r="I47" s="67" t="n"/>
      <c r="J47" s="67" t="n"/>
      <c r="K47" s="67" t="n"/>
    </row>
  </sheetData>
  <mergeCells count="46">
    <mergeCell ref="A9:H9"/>
    <mergeCell ref="A5:D5"/>
    <mergeCell ref="E43:F43"/>
    <mergeCell ref="G43:H43"/>
    <mergeCell ref="G2:H2"/>
    <mergeCell ref="A11:B11"/>
    <mergeCell ref="G11:H11"/>
    <mergeCell ref="G42:H42"/>
    <mergeCell ref="E42:F42"/>
    <mergeCell ref="G36:H36"/>
    <mergeCell ref="E7:H7"/>
    <mergeCell ref="A1:H1"/>
    <mergeCell ref="E39:F39"/>
    <mergeCell ref="A45:H47"/>
    <mergeCell ref="G39:H39"/>
    <mergeCell ref="E35:F35"/>
    <mergeCell ref="A40:D40"/>
    <mergeCell ref="E38:F38"/>
    <mergeCell ref="C10:D10"/>
    <mergeCell ref="G38:H38"/>
    <mergeCell ref="J6:K6"/>
    <mergeCell ref="E10:F10"/>
    <mergeCell ref="G10:H10"/>
    <mergeCell ref="A39:D39"/>
    <mergeCell ref="G37:H37"/>
    <mergeCell ref="A4:C4"/>
    <mergeCell ref="E40:F40"/>
    <mergeCell ref="E5:H5"/>
    <mergeCell ref="G3:H3"/>
    <mergeCell ref="A6:D6"/>
    <mergeCell ref="C11:D11"/>
    <mergeCell ref="B37:C37"/>
    <mergeCell ref="E4:H4"/>
    <mergeCell ref="E11:F11"/>
    <mergeCell ref="E36:F36"/>
    <mergeCell ref="A41:D41"/>
    <mergeCell ref="G35:H35"/>
    <mergeCell ref="E41:F41"/>
    <mergeCell ref="A10:B10"/>
    <mergeCell ref="E6:H6"/>
    <mergeCell ref="G41:H41"/>
    <mergeCell ref="E37:F37"/>
    <mergeCell ref="B36:C36"/>
    <mergeCell ref="G40:H40"/>
    <mergeCell ref="B35:C35"/>
    <mergeCell ref="A34:H34"/>
  </mergeCells>
  <dataValidations count="1">
    <dataValidation sqref="K2" showDropDown="0" showInputMessage="0" showErrorMessage="1" allowBlank="1" errorTitle="一覧から選んでください" error="「通知一覧」に入れた通知Noから選んでください。" type="list">
      <formula1>='通知一覧'!$B$5:$B$204</formula1>
    </dataValidation>
  </dataValidations>
  <printOptions horizontalCentered="1"/>
  <pageMargins left="0.5" right="0.5" top="0.5" bottom="0.5" header="0.2" footer="0.2"/>
  <pageSetup orientation="portrait" paperSize="9" fitToHeight="1" fitToWidth="1"/>
</worksheet>
</file>

<file path=xl/worksheets/sheet7.xml><?xml version="1.0" encoding="utf-8"?>
<worksheet xmlns="http://schemas.openxmlformats.org/spreadsheetml/2006/main">
  <sheetPr>
    <tabColor rgb="00B9C4CF"/>
    <outlinePr summaryBelow="1" summaryRight="1"/>
    <pageSetUpPr fitToPage="1"/>
  </sheetPr>
  <dimension ref="A1:H123"/>
  <sheetViews>
    <sheetView showGridLines="0" tabSelected="0" workbookViewId="0">
      <selection activeCell="A1" sqref="A1"/>
    </sheetView>
  </sheetViews>
  <sheetFormatPr baseColWidth="8" defaultRowHeight="15"/>
  <cols>
    <col width="10" customWidth="1" min="1" max="1"/>
    <col width="26" customWidth="1" min="2" max="2"/>
    <col width="10" customWidth="1" min="3" max="3"/>
    <col width="16" customWidth="1" min="4" max="4"/>
    <col width="14" customWidth="1" min="5" max="5"/>
    <col width="14" customWidth="1" min="6" max="6"/>
    <col width="14" customWidth="1" min="7" max="7"/>
    <col width="14" customWidth="1" min="8" max="8"/>
  </cols>
  <sheetData>
    <row r="1" ht="26" customHeight="1">
      <c r="A1" s="66" t="inlineStr">
        <is>
          <t>月別集計（支払予定日の月で集計）</t>
        </is>
      </c>
      <c r="B1" s="67" t="n"/>
      <c r="C1" s="67" t="n"/>
      <c r="D1" s="67" t="n"/>
      <c r="E1" s="67" t="n"/>
      <c r="F1" s="67" t="n"/>
      <c r="G1" s="67" t="n"/>
      <c r="H1" s="67" t="n"/>
    </row>
    <row r="2">
      <c r="A2" s="67" t="n"/>
      <c r="B2" s="67" t="n"/>
      <c r="C2" s="67" t="n"/>
      <c r="D2" s="67" t="n"/>
      <c r="E2" s="67" t="n"/>
      <c r="F2" s="67" t="n"/>
      <c r="G2" s="67" t="n"/>
      <c r="H2" s="67" t="n"/>
    </row>
    <row r="3" ht="22" customHeight="1">
      <c r="A3" s="71" t="inlineStr">
        <is>
          <t>年</t>
        </is>
      </c>
      <c r="B3" s="97" t="n"/>
      <c r="C3" s="70" t="inlineStr">
        <is>
          <t>西暦で入れます（例 2026）。通知一覧の支払予定日がこの年のものを集計します。</t>
        </is>
      </c>
      <c r="D3" s="67" t="n"/>
      <c r="E3" s="67" t="n"/>
      <c r="F3" s="67" t="n"/>
      <c r="G3" s="67" t="n"/>
      <c r="H3" s="67" t="n"/>
    </row>
    <row r="4">
      <c r="A4" s="67" t="n"/>
      <c r="B4" s="67" t="n"/>
      <c r="C4" s="67" t="n"/>
      <c r="D4" s="67" t="n"/>
      <c r="E4" s="67" t="n"/>
      <c r="F4" s="67" t="n"/>
      <c r="G4" s="67" t="n"/>
      <c r="H4" s="67" t="n"/>
    </row>
    <row r="5" ht="30" customHeight="1">
      <c r="A5" s="15" t="inlineStr">
        <is>
          <t>月</t>
        </is>
      </c>
      <c r="B5" s="15" t="inlineStr">
        <is>
          <t>通知の件数</t>
        </is>
      </c>
      <c r="C5" s="78" t="n"/>
      <c r="D5" s="15" t="inlineStr">
        <is>
          <t>支払額の合計（税込）</t>
        </is>
      </c>
      <c r="E5" s="15" t="inlineStr">
        <is>
          <t>源泉徴収税額</t>
        </is>
      </c>
      <c r="F5" s="15" t="inlineStr">
        <is>
          <t>振込手数料</t>
        </is>
      </c>
      <c r="G5" s="15" t="inlineStr">
        <is>
          <t>差引支払額</t>
        </is>
      </c>
      <c r="H5" s="15" t="inlineStr">
        <is>
          <t>納付期限（翌月10日）</t>
        </is>
      </c>
    </row>
    <row r="6" ht="18" customHeight="1">
      <c r="A6" s="71" t="inlineStr">
        <is>
          <t>1月</t>
        </is>
      </c>
      <c r="B6" s="62">
        <f>IF(NOT(ISNUMBER($B$3)),"",COUNTIFS('通知一覧'!$F$5:$F$204,"&gt;="&amp;DATE($B$3,1,1),'通知一覧'!$F$5:$F$204,"&lt;"&amp;DATE($B$3,2,1)))</f>
        <v/>
      </c>
      <c r="C6" s="78" t="n"/>
      <c r="D6" s="26">
        <f>IF(NOT(ISNUMBER($B$3)),"",SUMIFS('通知一覧'!$Q$5:$Q$204,'通知一覧'!$F$5:$F$204,"&gt;="&amp;DATE($B$3,1,1),'通知一覧'!$F$5:$F$204,"&lt;"&amp;DATE($B$3,2,1)))</f>
        <v/>
      </c>
      <c r="E6" s="26">
        <f>IF(NOT(ISNUMBER($B$3)),"",SUMIFS('通知一覧'!$S$5:$S$204,'通知一覧'!$F$5:$F$204,"&gt;="&amp;DATE($B$3,1,1),'通知一覧'!$F$5:$F$204,"&lt;"&amp;DATE($B$3,2,1)))</f>
        <v/>
      </c>
      <c r="F6" s="26">
        <f>IF(NOT(ISNUMBER($B$3)),"",SUMIFS('通知一覧'!$T$5:$T$204,'通知一覧'!$F$5:$F$204,"&gt;="&amp;DATE($B$3,1,1),'通知一覧'!$F$5:$F$204,"&lt;"&amp;DATE($B$3,2,1)))</f>
        <v/>
      </c>
      <c r="G6" s="26">
        <f>IF(NOT(ISNUMBER($B$3)),"",SUMIFS('通知一覧'!$U$5:$U$204,'通知一覧'!$F$5:$F$204,"&gt;="&amp;DATE($B$3,1,1),'通知一覧'!$F$5:$F$204,"&lt;"&amp;DATE($B$3,2,1)))</f>
        <v/>
      </c>
      <c r="H6" s="28">
        <f>IF(NOT(ISNUMBER($B$3)),"",IF(N($E6)=0,"",DATE($B$3,2,10)))</f>
        <v/>
      </c>
    </row>
    <row r="7" ht="18" customHeight="1">
      <c r="A7" s="71" t="inlineStr">
        <is>
          <t>2月</t>
        </is>
      </c>
      <c r="B7" s="62">
        <f>IF(NOT(ISNUMBER($B$3)),"",COUNTIFS('通知一覧'!$F$5:$F$204,"&gt;="&amp;DATE($B$3,2,1),'通知一覧'!$F$5:$F$204,"&lt;"&amp;DATE($B$3,3,1)))</f>
        <v/>
      </c>
      <c r="C7" s="78" t="n"/>
      <c r="D7" s="26">
        <f>IF(NOT(ISNUMBER($B$3)),"",SUMIFS('通知一覧'!$Q$5:$Q$204,'通知一覧'!$F$5:$F$204,"&gt;="&amp;DATE($B$3,2,1),'通知一覧'!$F$5:$F$204,"&lt;"&amp;DATE($B$3,3,1)))</f>
        <v/>
      </c>
      <c r="E7" s="26">
        <f>IF(NOT(ISNUMBER($B$3)),"",SUMIFS('通知一覧'!$S$5:$S$204,'通知一覧'!$F$5:$F$204,"&gt;="&amp;DATE($B$3,2,1),'通知一覧'!$F$5:$F$204,"&lt;"&amp;DATE($B$3,3,1)))</f>
        <v/>
      </c>
      <c r="F7" s="26">
        <f>IF(NOT(ISNUMBER($B$3)),"",SUMIFS('通知一覧'!$T$5:$T$204,'通知一覧'!$F$5:$F$204,"&gt;="&amp;DATE($B$3,2,1),'通知一覧'!$F$5:$F$204,"&lt;"&amp;DATE($B$3,3,1)))</f>
        <v/>
      </c>
      <c r="G7" s="26">
        <f>IF(NOT(ISNUMBER($B$3)),"",SUMIFS('通知一覧'!$U$5:$U$204,'通知一覧'!$F$5:$F$204,"&gt;="&amp;DATE($B$3,2,1),'通知一覧'!$F$5:$F$204,"&lt;"&amp;DATE($B$3,3,1)))</f>
        <v/>
      </c>
      <c r="H7" s="28">
        <f>IF(NOT(ISNUMBER($B$3)),"",IF(N($E7)=0,"",DATE($B$3,3,10)))</f>
        <v/>
      </c>
    </row>
    <row r="8" ht="18" customHeight="1">
      <c r="A8" s="71" t="inlineStr">
        <is>
          <t>3月</t>
        </is>
      </c>
      <c r="B8" s="62">
        <f>IF(NOT(ISNUMBER($B$3)),"",COUNTIFS('通知一覧'!$F$5:$F$204,"&gt;="&amp;DATE($B$3,3,1),'通知一覧'!$F$5:$F$204,"&lt;"&amp;DATE($B$3,4,1)))</f>
        <v/>
      </c>
      <c r="C8" s="78" t="n"/>
      <c r="D8" s="26">
        <f>IF(NOT(ISNUMBER($B$3)),"",SUMIFS('通知一覧'!$Q$5:$Q$204,'通知一覧'!$F$5:$F$204,"&gt;="&amp;DATE($B$3,3,1),'通知一覧'!$F$5:$F$204,"&lt;"&amp;DATE($B$3,4,1)))</f>
        <v/>
      </c>
      <c r="E8" s="26">
        <f>IF(NOT(ISNUMBER($B$3)),"",SUMIFS('通知一覧'!$S$5:$S$204,'通知一覧'!$F$5:$F$204,"&gt;="&amp;DATE($B$3,3,1),'通知一覧'!$F$5:$F$204,"&lt;"&amp;DATE($B$3,4,1)))</f>
        <v/>
      </c>
      <c r="F8" s="26">
        <f>IF(NOT(ISNUMBER($B$3)),"",SUMIFS('通知一覧'!$T$5:$T$204,'通知一覧'!$F$5:$F$204,"&gt;="&amp;DATE($B$3,3,1),'通知一覧'!$F$5:$F$204,"&lt;"&amp;DATE($B$3,4,1)))</f>
        <v/>
      </c>
      <c r="G8" s="26">
        <f>IF(NOT(ISNUMBER($B$3)),"",SUMIFS('通知一覧'!$U$5:$U$204,'通知一覧'!$F$5:$F$204,"&gt;="&amp;DATE($B$3,3,1),'通知一覧'!$F$5:$F$204,"&lt;"&amp;DATE($B$3,4,1)))</f>
        <v/>
      </c>
      <c r="H8" s="28">
        <f>IF(NOT(ISNUMBER($B$3)),"",IF(N($E8)=0,"",DATE($B$3,4,10)))</f>
        <v/>
      </c>
    </row>
    <row r="9" ht="18" customHeight="1">
      <c r="A9" s="71" t="inlineStr">
        <is>
          <t>4月</t>
        </is>
      </c>
      <c r="B9" s="62">
        <f>IF(NOT(ISNUMBER($B$3)),"",COUNTIFS('通知一覧'!$F$5:$F$204,"&gt;="&amp;DATE($B$3,4,1),'通知一覧'!$F$5:$F$204,"&lt;"&amp;DATE($B$3,5,1)))</f>
        <v/>
      </c>
      <c r="C9" s="78" t="n"/>
      <c r="D9" s="26">
        <f>IF(NOT(ISNUMBER($B$3)),"",SUMIFS('通知一覧'!$Q$5:$Q$204,'通知一覧'!$F$5:$F$204,"&gt;="&amp;DATE($B$3,4,1),'通知一覧'!$F$5:$F$204,"&lt;"&amp;DATE($B$3,5,1)))</f>
        <v/>
      </c>
      <c r="E9" s="26">
        <f>IF(NOT(ISNUMBER($B$3)),"",SUMIFS('通知一覧'!$S$5:$S$204,'通知一覧'!$F$5:$F$204,"&gt;="&amp;DATE($B$3,4,1),'通知一覧'!$F$5:$F$204,"&lt;"&amp;DATE($B$3,5,1)))</f>
        <v/>
      </c>
      <c r="F9" s="26">
        <f>IF(NOT(ISNUMBER($B$3)),"",SUMIFS('通知一覧'!$T$5:$T$204,'通知一覧'!$F$5:$F$204,"&gt;="&amp;DATE($B$3,4,1),'通知一覧'!$F$5:$F$204,"&lt;"&amp;DATE($B$3,5,1)))</f>
        <v/>
      </c>
      <c r="G9" s="26">
        <f>IF(NOT(ISNUMBER($B$3)),"",SUMIFS('通知一覧'!$U$5:$U$204,'通知一覧'!$F$5:$F$204,"&gt;="&amp;DATE($B$3,4,1),'通知一覧'!$F$5:$F$204,"&lt;"&amp;DATE($B$3,5,1)))</f>
        <v/>
      </c>
      <c r="H9" s="28">
        <f>IF(NOT(ISNUMBER($B$3)),"",IF(N($E9)=0,"",DATE($B$3,5,10)))</f>
        <v/>
      </c>
    </row>
    <row r="10" ht="18" customHeight="1">
      <c r="A10" s="71" t="inlineStr">
        <is>
          <t>5月</t>
        </is>
      </c>
      <c r="B10" s="62">
        <f>IF(NOT(ISNUMBER($B$3)),"",COUNTIFS('通知一覧'!$F$5:$F$204,"&gt;="&amp;DATE($B$3,5,1),'通知一覧'!$F$5:$F$204,"&lt;"&amp;DATE($B$3,6,1)))</f>
        <v/>
      </c>
      <c r="C10" s="78" t="n"/>
      <c r="D10" s="26">
        <f>IF(NOT(ISNUMBER($B$3)),"",SUMIFS('通知一覧'!$Q$5:$Q$204,'通知一覧'!$F$5:$F$204,"&gt;="&amp;DATE($B$3,5,1),'通知一覧'!$F$5:$F$204,"&lt;"&amp;DATE($B$3,6,1)))</f>
        <v/>
      </c>
      <c r="E10" s="26">
        <f>IF(NOT(ISNUMBER($B$3)),"",SUMIFS('通知一覧'!$S$5:$S$204,'通知一覧'!$F$5:$F$204,"&gt;="&amp;DATE($B$3,5,1),'通知一覧'!$F$5:$F$204,"&lt;"&amp;DATE($B$3,6,1)))</f>
        <v/>
      </c>
      <c r="F10" s="26">
        <f>IF(NOT(ISNUMBER($B$3)),"",SUMIFS('通知一覧'!$T$5:$T$204,'通知一覧'!$F$5:$F$204,"&gt;="&amp;DATE($B$3,5,1),'通知一覧'!$F$5:$F$204,"&lt;"&amp;DATE($B$3,6,1)))</f>
        <v/>
      </c>
      <c r="G10" s="26">
        <f>IF(NOT(ISNUMBER($B$3)),"",SUMIFS('通知一覧'!$U$5:$U$204,'通知一覧'!$F$5:$F$204,"&gt;="&amp;DATE($B$3,5,1),'通知一覧'!$F$5:$F$204,"&lt;"&amp;DATE($B$3,6,1)))</f>
        <v/>
      </c>
      <c r="H10" s="28">
        <f>IF(NOT(ISNUMBER($B$3)),"",IF(N($E10)=0,"",DATE($B$3,6,10)))</f>
        <v/>
      </c>
    </row>
    <row r="11" ht="18" customHeight="1">
      <c r="A11" s="71" t="inlineStr">
        <is>
          <t>6月</t>
        </is>
      </c>
      <c r="B11" s="62">
        <f>IF(NOT(ISNUMBER($B$3)),"",COUNTIFS('通知一覧'!$F$5:$F$204,"&gt;="&amp;DATE($B$3,6,1),'通知一覧'!$F$5:$F$204,"&lt;"&amp;DATE($B$3,7,1)))</f>
        <v/>
      </c>
      <c r="C11" s="78" t="n"/>
      <c r="D11" s="26">
        <f>IF(NOT(ISNUMBER($B$3)),"",SUMIFS('通知一覧'!$Q$5:$Q$204,'通知一覧'!$F$5:$F$204,"&gt;="&amp;DATE($B$3,6,1),'通知一覧'!$F$5:$F$204,"&lt;"&amp;DATE($B$3,7,1)))</f>
        <v/>
      </c>
      <c r="E11" s="26">
        <f>IF(NOT(ISNUMBER($B$3)),"",SUMIFS('通知一覧'!$S$5:$S$204,'通知一覧'!$F$5:$F$204,"&gt;="&amp;DATE($B$3,6,1),'通知一覧'!$F$5:$F$204,"&lt;"&amp;DATE($B$3,7,1)))</f>
        <v/>
      </c>
      <c r="F11" s="26">
        <f>IF(NOT(ISNUMBER($B$3)),"",SUMIFS('通知一覧'!$T$5:$T$204,'通知一覧'!$F$5:$F$204,"&gt;="&amp;DATE($B$3,6,1),'通知一覧'!$F$5:$F$204,"&lt;"&amp;DATE($B$3,7,1)))</f>
        <v/>
      </c>
      <c r="G11" s="26">
        <f>IF(NOT(ISNUMBER($B$3)),"",SUMIFS('通知一覧'!$U$5:$U$204,'通知一覧'!$F$5:$F$204,"&gt;="&amp;DATE($B$3,6,1),'通知一覧'!$F$5:$F$204,"&lt;"&amp;DATE($B$3,7,1)))</f>
        <v/>
      </c>
      <c r="H11" s="28">
        <f>IF(NOT(ISNUMBER($B$3)),"",IF(N($E11)=0,"",DATE($B$3,7,10)))</f>
        <v/>
      </c>
    </row>
    <row r="12" ht="18" customHeight="1">
      <c r="A12" s="71" t="inlineStr">
        <is>
          <t>7月</t>
        </is>
      </c>
      <c r="B12" s="62">
        <f>IF(NOT(ISNUMBER($B$3)),"",COUNTIFS('通知一覧'!$F$5:$F$204,"&gt;="&amp;DATE($B$3,7,1),'通知一覧'!$F$5:$F$204,"&lt;"&amp;DATE($B$3,8,1)))</f>
        <v/>
      </c>
      <c r="C12" s="78" t="n"/>
      <c r="D12" s="26">
        <f>IF(NOT(ISNUMBER($B$3)),"",SUMIFS('通知一覧'!$Q$5:$Q$204,'通知一覧'!$F$5:$F$204,"&gt;="&amp;DATE($B$3,7,1),'通知一覧'!$F$5:$F$204,"&lt;"&amp;DATE($B$3,8,1)))</f>
        <v/>
      </c>
      <c r="E12" s="26">
        <f>IF(NOT(ISNUMBER($B$3)),"",SUMIFS('通知一覧'!$S$5:$S$204,'通知一覧'!$F$5:$F$204,"&gt;="&amp;DATE($B$3,7,1),'通知一覧'!$F$5:$F$204,"&lt;"&amp;DATE($B$3,8,1)))</f>
        <v/>
      </c>
      <c r="F12" s="26">
        <f>IF(NOT(ISNUMBER($B$3)),"",SUMIFS('通知一覧'!$T$5:$T$204,'通知一覧'!$F$5:$F$204,"&gt;="&amp;DATE($B$3,7,1),'通知一覧'!$F$5:$F$204,"&lt;"&amp;DATE($B$3,8,1)))</f>
        <v/>
      </c>
      <c r="G12" s="26">
        <f>IF(NOT(ISNUMBER($B$3)),"",SUMIFS('通知一覧'!$U$5:$U$204,'通知一覧'!$F$5:$F$204,"&gt;="&amp;DATE($B$3,7,1),'通知一覧'!$F$5:$F$204,"&lt;"&amp;DATE($B$3,8,1)))</f>
        <v/>
      </c>
      <c r="H12" s="28">
        <f>IF(NOT(ISNUMBER($B$3)),"",IF(N($E12)=0,"",DATE($B$3,8,10)))</f>
        <v/>
      </c>
    </row>
    <row r="13" ht="18" customHeight="1">
      <c r="A13" s="71" t="inlineStr">
        <is>
          <t>8月</t>
        </is>
      </c>
      <c r="B13" s="62">
        <f>IF(NOT(ISNUMBER($B$3)),"",COUNTIFS('通知一覧'!$F$5:$F$204,"&gt;="&amp;DATE($B$3,8,1),'通知一覧'!$F$5:$F$204,"&lt;"&amp;DATE($B$3,9,1)))</f>
        <v/>
      </c>
      <c r="C13" s="78" t="n"/>
      <c r="D13" s="26">
        <f>IF(NOT(ISNUMBER($B$3)),"",SUMIFS('通知一覧'!$Q$5:$Q$204,'通知一覧'!$F$5:$F$204,"&gt;="&amp;DATE($B$3,8,1),'通知一覧'!$F$5:$F$204,"&lt;"&amp;DATE($B$3,9,1)))</f>
        <v/>
      </c>
      <c r="E13" s="26">
        <f>IF(NOT(ISNUMBER($B$3)),"",SUMIFS('通知一覧'!$S$5:$S$204,'通知一覧'!$F$5:$F$204,"&gt;="&amp;DATE($B$3,8,1),'通知一覧'!$F$5:$F$204,"&lt;"&amp;DATE($B$3,9,1)))</f>
        <v/>
      </c>
      <c r="F13" s="26">
        <f>IF(NOT(ISNUMBER($B$3)),"",SUMIFS('通知一覧'!$T$5:$T$204,'通知一覧'!$F$5:$F$204,"&gt;="&amp;DATE($B$3,8,1),'通知一覧'!$F$5:$F$204,"&lt;"&amp;DATE($B$3,9,1)))</f>
        <v/>
      </c>
      <c r="G13" s="26">
        <f>IF(NOT(ISNUMBER($B$3)),"",SUMIFS('通知一覧'!$U$5:$U$204,'通知一覧'!$F$5:$F$204,"&gt;="&amp;DATE($B$3,8,1),'通知一覧'!$F$5:$F$204,"&lt;"&amp;DATE($B$3,9,1)))</f>
        <v/>
      </c>
      <c r="H13" s="28">
        <f>IF(NOT(ISNUMBER($B$3)),"",IF(N($E13)=0,"",DATE($B$3,9,10)))</f>
        <v/>
      </c>
    </row>
    <row r="14" ht="18" customHeight="1">
      <c r="A14" s="71" t="inlineStr">
        <is>
          <t>9月</t>
        </is>
      </c>
      <c r="B14" s="62">
        <f>IF(NOT(ISNUMBER($B$3)),"",COUNTIFS('通知一覧'!$F$5:$F$204,"&gt;="&amp;DATE($B$3,9,1),'通知一覧'!$F$5:$F$204,"&lt;"&amp;DATE($B$3,10,1)))</f>
        <v/>
      </c>
      <c r="C14" s="78" t="n"/>
      <c r="D14" s="26">
        <f>IF(NOT(ISNUMBER($B$3)),"",SUMIFS('通知一覧'!$Q$5:$Q$204,'通知一覧'!$F$5:$F$204,"&gt;="&amp;DATE($B$3,9,1),'通知一覧'!$F$5:$F$204,"&lt;"&amp;DATE($B$3,10,1)))</f>
        <v/>
      </c>
      <c r="E14" s="26">
        <f>IF(NOT(ISNUMBER($B$3)),"",SUMIFS('通知一覧'!$S$5:$S$204,'通知一覧'!$F$5:$F$204,"&gt;="&amp;DATE($B$3,9,1),'通知一覧'!$F$5:$F$204,"&lt;"&amp;DATE($B$3,10,1)))</f>
        <v/>
      </c>
      <c r="F14" s="26">
        <f>IF(NOT(ISNUMBER($B$3)),"",SUMIFS('通知一覧'!$T$5:$T$204,'通知一覧'!$F$5:$F$204,"&gt;="&amp;DATE($B$3,9,1),'通知一覧'!$F$5:$F$204,"&lt;"&amp;DATE($B$3,10,1)))</f>
        <v/>
      </c>
      <c r="G14" s="26">
        <f>IF(NOT(ISNUMBER($B$3)),"",SUMIFS('通知一覧'!$U$5:$U$204,'通知一覧'!$F$5:$F$204,"&gt;="&amp;DATE($B$3,9,1),'通知一覧'!$F$5:$F$204,"&lt;"&amp;DATE($B$3,10,1)))</f>
        <v/>
      </c>
      <c r="H14" s="28">
        <f>IF(NOT(ISNUMBER($B$3)),"",IF(N($E14)=0,"",DATE($B$3,10,10)))</f>
        <v/>
      </c>
    </row>
    <row r="15" ht="18" customHeight="1">
      <c r="A15" s="71" t="inlineStr">
        <is>
          <t>10月</t>
        </is>
      </c>
      <c r="B15" s="62">
        <f>IF(NOT(ISNUMBER($B$3)),"",COUNTIFS('通知一覧'!$F$5:$F$204,"&gt;="&amp;DATE($B$3,10,1),'通知一覧'!$F$5:$F$204,"&lt;"&amp;DATE($B$3,11,1)))</f>
        <v/>
      </c>
      <c r="C15" s="78" t="n"/>
      <c r="D15" s="26">
        <f>IF(NOT(ISNUMBER($B$3)),"",SUMIFS('通知一覧'!$Q$5:$Q$204,'通知一覧'!$F$5:$F$204,"&gt;="&amp;DATE($B$3,10,1),'通知一覧'!$F$5:$F$204,"&lt;"&amp;DATE($B$3,11,1)))</f>
        <v/>
      </c>
      <c r="E15" s="26">
        <f>IF(NOT(ISNUMBER($B$3)),"",SUMIFS('通知一覧'!$S$5:$S$204,'通知一覧'!$F$5:$F$204,"&gt;="&amp;DATE($B$3,10,1),'通知一覧'!$F$5:$F$204,"&lt;"&amp;DATE($B$3,11,1)))</f>
        <v/>
      </c>
      <c r="F15" s="26">
        <f>IF(NOT(ISNUMBER($B$3)),"",SUMIFS('通知一覧'!$T$5:$T$204,'通知一覧'!$F$5:$F$204,"&gt;="&amp;DATE($B$3,10,1),'通知一覧'!$F$5:$F$204,"&lt;"&amp;DATE($B$3,11,1)))</f>
        <v/>
      </c>
      <c r="G15" s="26">
        <f>IF(NOT(ISNUMBER($B$3)),"",SUMIFS('通知一覧'!$U$5:$U$204,'通知一覧'!$F$5:$F$204,"&gt;="&amp;DATE($B$3,10,1),'通知一覧'!$F$5:$F$204,"&lt;"&amp;DATE($B$3,11,1)))</f>
        <v/>
      </c>
      <c r="H15" s="28">
        <f>IF(NOT(ISNUMBER($B$3)),"",IF(N($E15)=0,"",DATE($B$3,11,10)))</f>
        <v/>
      </c>
    </row>
    <row r="16" ht="18" customHeight="1">
      <c r="A16" s="71" t="inlineStr">
        <is>
          <t>11月</t>
        </is>
      </c>
      <c r="B16" s="62">
        <f>IF(NOT(ISNUMBER($B$3)),"",COUNTIFS('通知一覧'!$F$5:$F$204,"&gt;="&amp;DATE($B$3,11,1),'通知一覧'!$F$5:$F$204,"&lt;"&amp;DATE($B$3,12,1)))</f>
        <v/>
      </c>
      <c r="C16" s="78" t="n"/>
      <c r="D16" s="26">
        <f>IF(NOT(ISNUMBER($B$3)),"",SUMIFS('通知一覧'!$Q$5:$Q$204,'通知一覧'!$F$5:$F$204,"&gt;="&amp;DATE($B$3,11,1),'通知一覧'!$F$5:$F$204,"&lt;"&amp;DATE($B$3,12,1)))</f>
        <v/>
      </c>
      <c r="E16" s="26">
        <f>IF(NOT(ISNUMBER($B$3)),"",SUMIFS('通知一覧'!$S$5:$S$204,'通知一覧'!$F$5:$F$204,"&gt;="&amp;DATE($B$3,11,1),'通知一覧'!$F$5:$F$204,"&lt;"&amp;DATE($B$3,12,1)))</f>
        <v/>
      </c>
      <c r="F16" s="26">
        <f>IF(NOT(ISNUMBER($B$3)),"",SUMIFS('通知一覧'!$T$5:$T$204,'通知一覧'!$F$5:$F$204,"&gt;="&amp;DATE($B$3,11,1),'通知一覧'!$F$5:$F$204,"&lt;"&amp;DATE($B$3,12,1)))</f>
        <v/>
      </c>
      <c r="G16" s="26">
        <f>IF(NOT(ISNUMBER($B$3)),"",SUMIFS('通知一覧'!$U$5:$U$204,'通知一覧'!$F$5:$F$204,"&gt;="&amp;DATE($B$3,11,1),'通知一覧'!$F$5:$F$204,"&lt;"&amp;DATE($B$3,12,1)))</f>
        <v/>
      </c>
      <c r="H16" s="28">
        <f>IF(NOT(ISNUMBER($B$3)),"",IF(N($E16)=0,"",DATE($B$3,12,10)))</f>
        <v/>
      </c>
    </row>
    <row r="17" ht="18" customHeight="1">
      <c r="A17" s="71" t="inlineStr">
        <is>
          <t>12月</t>
        </is>
      </c>
      <c r="B17" s="62">
        <f>IF(NOT(ISNUMBER($B$3)),"",COUNTIFS('通知一覧'!$F$5:$F$204,"&gt;="&amp;DATE($B$3,12,1),'通知一覧'!$F$5:$F$204,"&lt;"&amp;DATE($B$3,13,1)))</f>
        <v/>
      </c>
      <c r="C17" s="78" t="n"/>
      <c r="D17" s="26">
        <f>IF(NOT(ISNUMBER($B$3)),"",SUMIFS('通知一覧'!$Q$5:$Q$204,'通知一覧'!$F$5:$F$204,"&gt;="&amp;DATE($B$3,12,1),'通知一覧'!$F$5:$F$204,"&lt;"&amp;DATE($B$3,13,1)))</f>
        <v/>
      </c>
      <c r="E17" s="26">
        <f>IF(NOT(ISNUMBER($B$3)),"",SUMIFS('通知一覧'!$S$5:$S$204,'通知一覧'!$F$5:$F$204,"&gt;="&amp;DATE($B$3,12,1),'通知一覧'!$F$5:$F$204,"&lt;"&amp;DATE($B$3,13,1)))</f>
        <v/>
      </c>
      <c r="F17" s="26">
        <f>IF(NOT(ISNUMBER($B$3)),"",SUMIFS('通知一覧'!$T$5:$T$204,'通知一覧'!$F$5:$F$204,"&gt;="&amp;DATE($B$3,12,1),'通知一覧'!$F$5:$F$204,"&lt;"&amp;DATE($B$3,13,1)))</f>
        <v/>
      </c>
      <c r="G17" s="26">
        <f>IF(NOT(ISNUMBER($B$3)),"",SUMIFS('通知一覧'!$U$5:$U$204,'通知一覧'!$F$5:$F$204,"&gt;="&amp;DATE($B$3,12,1),'通知一覧'!$F$5:$F$204,"&lt;"&amp;DATE($B$3,13,1)))</f>
        <v/>
      </c>
      <c r="H17" s="28">
        <f>IF(NOT(ISNUMBER($B$3)),"",IF(N($E17)=0,"",DATE($B$3,13,10)))</f>
        <v/>
      </c>
    </row>
    <row r="18" ht="18" customHeight="1">
      <c r="A18" s="71" t="inlineStr">
        <is>
          <t>合計</t>
        </is>
      </c>
      <c r="B18" s="98">
        <f>SUM(B6:B17)</f>
        <v/>
      </c>
      <c r="C18" s="78" t="n"/>
      <c r="D18" s="99">
        <f>SUM(D6:D17)</f>
        <v/>
      </c>
      <c r="E18" s="99">
        <f>SUM(E6:E17)</f>
        <v/>
      </c>
      <c r="F18" s="99">
        <f>SUM(F6:F17)</f>
        <v/>
      </c>
      <c r="G18" s="99">
        <f>SUM(G6:G17)</f>
        <v/>
      </c>
      <c r="H18" s="65" t="n"/>
    </row>
    <row r="19" ht="58" customHeight="1">
      <c r="A19" s="70" t="inlineStr">
        <is>
          <t>源泉徴収税額は、支払った月の翌月10日までに納めます（所得税法204条1項）。期限が日曜・祝日・土曜などに当たるときは翌日です（国税通則法10条2項・同施行令2条2項）。この列の日付はずらしていません。納期の特例（半年ごと）を使えるのは給与と、弁護士・税理士・司法書士などの一定の報酬だけで、原稿料・デザイン料などは使えません（国税庁 No.2505・No.2795）。支払予定日で集計しているので、実際に払った日がずれたら通知一覧の支払予定日を直します。</t>
        </is>
      </c>
      <c r="B19" s="67" t="n"/>
      <c r="C19" s="67" t="n"/>
      <c r="D19" s="67" t="n"/>
      <c r="E19" s="67" t="n"/>
      <c r="F19" s="67" t="n"/>
      <c r="G19" s="67" t="n"/>
      <c r="H19" s="67" t="n"/>
    </row>
    <row r="20">
      <c r="A20" s="67" t="n"/>
      <c r="B20" s="67" t="n"/>
      <c r="C20" s="67" t="n"/>
      <c r="D20" s="67" t="n"/>
      <c r="E20" s="67" t="n"/>
      <c r="F20" s="67" t="n"/>
      <c r="G20" s="67" t="n"/>
      <c r="H20" s="67" t="n"/>
    </row>
    <row r="21" ht="20" customHeight="1">
      <c r="A21" s="72" t="inlineStr">
        <is>
          <t>支払先別（この年の合計。支払調書の下書きに使えます）</t>
        </is>
      </c>
      <c r="B21" s="73" t="n"/>
      <c r="C21" s="73" t="n"/>
      <c r="D21" s="73" t="n"/>
      <c r="E21" s="73" t="n"/>
      <c r="F21" s="73" t="n"/>
      <c r="G21" s="73" t="n"/>
      <c r="H21" s="73" t="n"/>
    </row>
    <row r="22" ht="30" customHeight="1">
      <c r="A22" s="15" t="inlineStr">
        <is>
          <t>コード</t>
        </is>
      </c>
      <c r="B22" s="15" t="inlineStr">
        <is>
          <t>支払先</t>
        </is>
      </c>
      <c r="C22" s="15" t="inlineStr">
        <is>
          <t>通知の件数</t>
        </is>
      </c>
      <c r="D22" s="15" t="inlineStr">
        <is>
          <t>支払額の合計（税込）</t>
        </is>
      </c>
      <c r="E22" s="15" t="inlineStr">
        <is>
          <t>源泉の対象額</t>
        </is>
      </c>
      <c r="F22" s="15" t="inlineStr">
        <is>
          <t>源泉徴収税額</t>
        </is>
      </c>
      <c r="G22" s="15" t="inlineStr">
        <is>
          <t>差引支払額</t>
        </is>
      </c>
      <c r="H22" s="67" t="n"/>
    </row>
    <row r="23" ht="16" customHeight="1">
      <c r="A23" s="30">
        <f>IF('支払先'!$B$5="","",'支払先'!$B$5&amp;"")</f>
        <v/>
      </c>
      <c r="B23" s="27">
        <f>IF('支払先'!$B$5="","",'支払先'!$C$5&amp;"")</f>
        <v/>
      </c>
      <c r="C23" s="62">
        <f>IF(OR($A23="",NOT(ISNUMBER($B$3))),"",COUNTIFS('通知一覧'!$C$5:$C$204,$A23,'通知一覧'!$F$5:$F$204,"&gt;="&amp;DATE($B$3,1,1),'通知一覧'!$F$5:$F$204,"&lt;"&amp;DATE($B$3+1,1,1)))</f>
        <v/>
      </c>
      <c r="D23" s="26">
        <f>IF(OR($A23="",NOT(ISNUMBER($B$3))),"",SUMIFS('通知一覧'!$Q$5:$Q$204,'通知一覧'!$C$5:$C$204,$A23,'通知一覧'!$F$5:$F$204,"&gt;="&amp;DATE($B$3,1,1),'通知一覧'!$F$5:$F$204,"&lt;"&amp;DATE($B$3+1,1,1)))</f>
        <v/>
      </c>
      <c r="E23" s="26">
        <f>IF(OR($A23="",NOT(ISNUMBER($B$3))),"",SUMIFS('通知一覧'!$R$5:$R$204,'通知一覧'!$C$5:$C$204,$A23,'通知一覧'!$F$5:$F$204,"&gt;="&amp;DATE($B$3,1,1),'通知一覧'!$F$5:$F$204,"&lt;"&amp;DATE($B$3+1,1,1)))</f>
        <v/>
      </c>
      <c r="F23" s="26">
        <f>IF(OR($A23="",NOT(ISNUMBER($B$3))),"",SUMIFS('通知一覧'!$S$5:$S$204,'通知一覧'!$C$5:$C$204,$A23,'通知一覧'!$F$5:$F$204,"&gt;="&amp;DATE($B$3,1,1),'通知一覧'!$F$5:$F$204,"&lt;"&amp;DATE($B$3+1,1,1)))</f>
        <v/>
      </c>
      <c r="G23" s="26">
        <f>IF(OR($A23="",NOT(ISNUMBER($B$3))),"",SUMIFS('通知一覧'!$U$5:$U$204,'通知一覧'!$C$5:$C$204,$A23,'通知一覧'!$F$5:$F$204,"&gt;="&amp;DATE($B$3,1,1),'通知一覧'!$F$5:$F$204,"&lt;"&amp;DATE($B$3+1,1,1)))</f>
        <v/>
      </c>
      <c r="H23" s="67" t="n"/>
    </row>
    <row r="24" ht="16" customHeight="1">
      <c r="A24" s="30">
        <f>IF('支払先'!$B$6="","",'支払先'!$B$6&amp;"")</f>
        <v/>
      </c>
      <c r="B24" s="27">
        <f>IF('支払先'!$B$6="","",'支払先'!$C$6&amp;"")</f>
        <v/>
      </c>
      <c r="C24" s="62">
        <f>IF(OR($A24="",NOT(ISNUMBER($B$3))),"",COUNTIFS('通知一覧'!$C$5:$C$204,$A24,'通知一覧'!$F$5:$F$204,"&gt;="&amp;DATE($B$3,1,1),'通知一覧'!$F$5:$F$204,"&lt;"&amp;DATE($B$3+1,1,1)))</f>
        <v/>
      </c>
      <c r="D24" s="26">
        <f>IF(OR($A24="",NOT(ISNUMBER($B$3))),"",SUMIFS('通知一覧'!$Q$5:$Q$204,'通知一覧'!$C$5:$C$204,$A24,'通知一覧'!$F$5:$F$204,"&gt;="&amp;DATE($B$3,1,1),'通知一覧'!$F$5:$F$204,"&lt;"&amp;DATE($B$3+1,1,1)))</f>
        <v/>
      </c>
      <c r="E24" s="26">
        <f>IF(OR($A24="",NOT(ISNUMBER($B$3))),"",SUMIFS('通知一覧'!$R$5:$R$204,'通知一覧'!$C$5:$C$204,$A24,'通知一覧'!$F$5:$F$204,"&gt;="&amp;DATE($B$3,1,1),'通知一覧'!$F$5:$F$204,"&lt;"&amp;DATE($B$3+1,1,1)))</f>
        <v/>
      </c>
      <c r="F24" s="26">
        <f>IF(OR($A24="",NOT(ISNUMBER($B$3))),"",SUMIFS('通知一覧'!$S$5:$S$204,'通知一覧'!$C$5:$C$204,$A24,'通知一覧'!$F$5:$F$204,"&gt;="&amp;DATE($B$3,1,1),'通知一覧'!$F$5:$F$204,"&lt;"&amp;DATE($B$3+1,1,1)))</f>
        <v/>
      </c>
      <c r="G24" s="26">
        <f>IF(OR($A24="",NOT(ISNUMBER($B$3))),"",SUMIFS('通知一覧'!$U$5:$U$204,'通知一覧'!$C$5:$C$204,$A24,'通知一覧'!$F$5:$F$204,"&gt;="&amp;DATE($B$3,1,1),'通知一覧'!$F$5:$F$204,"&lt;"&amp;DATE($B$3+1,1,1)))</f>
        <v/>
      </c>
      <c r="H24" s="67" t="n"/>
    </row>
    <row r="25" ht="16" customHeight="1">
      <c r="A25" s="30">
        <f>IF('支払先'!$B$7="","",'支払先'!$B$7&amp;"")</f>
        <v/>
      </c>
      <c r="B25" s="27">
        <f>IF('支払先'!$B$7="","",'支払先'!$C$7&amp;"")</f>
        <v/>
      </c>
      <c r="C25" s="62">
        <f>IF(OR($A25="",NOT(ISNUMBER($B$3))),"",COUNTIFS('通知一覧'!$C$5:$C$204,$A25,'通知一覧'!$F$5:$F$204,"&gt;="&amp;DATE($B$3,1,1),'通知一覧'!$F$5:$F$204,"&lt;"&amp;DATE($B$3+1,1,1)))</f>
        <v/>
      </c>
      <c r="D25" s="26">
        <f>IF(OR($A25="",NOT(ISNUMBER($B$3))),"",SUMIFS('通知一覧'!$Q$5:$Q$204,'通知一覧'!$C$5:$C$204,$A25,'通知一覧'!$F$5:$F$204,"&gt;="&amp;DATE($B$3,1,1),'通知一覧'!$F$5:$F$204,"&lt;"&amp;DATE($B$3+1,1,1)))</f>
        <v/>
      </c>
      <c r="E25" s="26">
        <f>IF(OR($A25="",NOT(ISNUMBER($B$3))),"",SUMIFS('通知一覧'!$R$5:$R$204,'通知一覧'!$C$5:$C$204,$A25,'通知一覧'!$F$5:$F$204,"&gt;="&amp;DATE($B$3,1,1),'通知一覧'!$F$5:$F$204,"&lt;"&amp;DATE($B$3+1,1,1)))</f>
        <v/>
      </c>
      <c r="F25" s="26">
        <f>IF(OR($A25="",NOT(ISNUMBER($B$3))),"",SUMIFS('通知一覧'!$S$5:$S$204,'通知一覧'!$C$5:$C$204,$A25,'通知一覧'!$F$5:$F$204,"&gt;="&amp;DATE($B$3,1,1),'通知一覧'!$F$5:$F$204,"&lt;"&amp;DATE($B$3+1,1,1)))</f>
        <v/>
      </c>
      <c r="G25" s="26">
        <f>IF(OR($A25="",NOT(ISNUMBER($B$3))),"",SUMIFS('通知一覧'!$U$5:$U$204,'通知一覧'!$C$5:$C$204,$A25,'通知一覧'!$F$5:$F$204,"&gt;="&amp;DATE($B$3,1,1),'通知一覧'!$F$5:$F$204,"&lt;"&amp;DATE($B$3+1,1,1)))</f>
        <v/>
      </c>
      <c r="H25" s="67" t="n"/>
    </row>
    <row r="26" ht="16" customHeight="1">
      <c r="A26" s="30">
        <f>IF('支払先'!$B$8="","",'支払先'!$B$8&amp;"")</f>
        <v/>
      </c>
      <c r="B26" s="27">
        <f>IF('支払先'!$B$8="","",'支払先'!$C$8&amp;"")</f>
        <v/>
      </c>
      <c r="C26" s="62">
        <f>IF(OR($A26="",NOT(ISNUMBER($B$3))),"",COUNTIFS('通知一覧'!$C$5:$C$204,$A26,'通知一覧'!$F$5:$F$204,"&gt;="&amp;DATE($B$3,1,1),'通知一覧'!$F$5:$F$204,"&lt;"&amp;DATE($B$3+1,1,1)))</f>
        <v/>
      </c>
      <c r="D26" s="26">
        <f>IF(OR($A26="",NOT(ISNUMBER($B$3))),"",SUMIFS('通知一覧'!$Q$5:$Q$204,'通知一覧'!$C$5:$C$204,$A26,'通知一覧'!$F$5:$F$204,"&gt;="&amp;DATE($B$3,1,1),'通知一覧'!$F$5:$F$204,"&lt;"&amp;DATE($B$3+1,1,1)))</f>
        <v/>
      </c>
      <c r="E26" s="26">
        <f>IF(OR($A26="",NOT(ISNUMBER($B$3))),"",SUMIFS('通知一覧'!$R$5:$R$204,'通知一覧'!$C$5:$C$204,$A26,'通知一覧'!$F$5:$F$204,"&gt;="&amp;DATE($B$3,1,1),'通知一覧'!$F$5:$F$204,"&lt;"&amp;DATE($B$3+1,1,1)))</f>
        <v/>
      </c>
      <c r="F26" s="26">
        <f>IF(OR($A26="",NOT(ISNUMBER($B$3))),"",SUMIFS('通知一覧'!$S$5:$S$204,'通知一覧'!$C$5:$C$204,$A26,'通知一覧'!$F$5:$F$204,"&gt;="&amp;DATE($B$3,1,1),'通知一覧'!$F$5:$F$204,"&lt;"&amp;DATE($B$3+1,1,1)))</f>
        <v/>
      </c>
      <c r="G26" s="26">
        <f>IF(OR($A26="",NOT(ISNUMBER($B$3))),"",SUMIFS('通知一覧'!$U$5:$U$204,'通知一覧'!$C$5:$C$204,$A26,'通知一覧'!$F$5:$F$204,"&gt;="&amp;DATE($B$3,1,1),'通知一覧'!$F$5:$F$204,"&lt;"&amp;DATE($B$3+1,1,1)))</f>
        <v/>
      </c>
      <c r="H26" s="67" t="n"/>
    </row>
    <row r="27" ht="16" customHeight="1">
      <c r="A27" s="30">
        <f>IF('支払先'!$B$9="","",'支払先'!$B$9&amp;"")</f>
        <v/>
      </c>
      <c r="B27" s="27">
        <f>IF('支払先'!$B$9="","",'支払先'!$C$9&amp;"")</f>
        <v/>
      </c>
      <c r="C27" s="62">
        <f>IF(OR($A27="",NOT(ISNUMBER($B$3))),"",COUNTIFS('通知一覧'!$C$5:$C$204,$A27,'通知一覧'!$F$5:$F$204,"&gt;="&amp;DATE($B$3,1,1),'通知一覧'!$F$5:$F$204,"&lt;"&amp;DATE($B$3+1,1,1)))</f>
        <v/>
      </c>
      <c r="D27" s="26">
        <f>IF(OR($A27="",NOT(ISNUMBER($B$3))),"",SUMIFS('通知一覧'!$Q$5:$Q$204,'通知一覧'!$C$5:$C$204,$A27,'通知一覧'!$F$5:$F$204,"&gt;="&amp;DATE($B$3,1,1),'通知一覧'!$F$5:$F$204,"&lt;"&amp;DATE($B$3+1,1,1)))</f>
        <v/>
      </c>
      <c r="E27" s="26">
        <f>IF(OR($A27="",NOT(ISNUMBER($B$3))),"",SUMIFS('通知一覧'!$R$5:$R$204,'通知一覧'!$C$5:$C$204,$A27,'通知一覧'!$F$5:$F$204,"&gt;="&amp;DATE($B$3,1,1),'通知一覧'!$F$5:$F$204,"&lt;"&amp;DATE($B$3+1,1,1)))</f>
        <v/>
      </c>
      <c r="F27" s="26">
        <f>IF(OR($A27="",NOT(ISNUMBER($B$3))),"",SUMIFS('通知一覧'!$S$5:$S$204,'通知一覧'!$C$5:$C$204,$A27,'通知一覧'!$F$5:$F$204,"&gt;="&amp;DATE($B$3,1,1),'通知一覧'!$F$5:$F$204,"&lt;"&amp;DATE($B$3+1,1,1)))</f>
        <v/>
      </c>
      <c r="G27" s="26">
        <f>IF(OR($A27="",NOT(ISNUMBER($B$3))),"",SUMIFS('通知一覧'!$U$5:$U$204,'通知一覧'!$C$5:$C$204,$A27,'通知一覧'!$F$5:$F$204,"&gt;="&amp;DATE($B$3,1,1),'通知一覧'!$F$5:$F$204,"&lt;"&amp;DATE($B$3+1,1,1)))</f>
        <v/>
      </c>
      <c r="H27" s="67" t="n"/>
    </row>
    <row r="28" ht="16" customHeight="1">
      <c r="A28" s="30">
        <f>IF('支払先'!$B$10="","",'支払先'!$B$10&amp;"")</f>
        <v/>
      </c>
      <c r="B28" s="27">
        <f>IF('支払先'!$B$10="","",'支払先'!$C$10&amp;"")</f>
        <v/>
      </c>
      <c r="C28" s="62">
        <f>IF(OR($A28="",NOT(ISNUMBER($B$3))),"",COUNTIFS('通知一覧'!$C$5:$C$204,$A28,'通知一覧'!$F$5:$F$204,"&gt;="&amp;DATE($B$3,1,1),'通知一覧'!$F$5:$F$204,"&lt;"&amp;DATE($B$3+1,1,1)))</f>
        <v/>
      </c>
      <c r="D28" s="26">
        <f>IF(OR($A28="",NOT(ISNUMBER($B$3))),"",SUMIFS('通知一覧'!$Q$5:$Q$204,'通知一覧'!$C$5:$C$204,$A28,'通知一覧'!$F$5:$F$204,"&gt;="&amp;DATE($B$3,1,1),'通知一覧'!$F$5:$F$204,"&lt;"&amp;DATE($B$3+1,1,1)))</f>
        <v/>
      </c>
      <c r="E28" s="26">
        <f>IF(OR($A28="",NOT(ISNUMBER($B$3))),"",SUMIFS('通知一覧'!$R$5:$R$204,'通知一覧'!$C$5:$C$204,$A28,'通知一覧'!$F$5:$F$204,"&gt;="&amp;DATE($B$3,1,1),'通知一覧'!$F$5:$F$204,"&lt;"&amp;DATE($B$3+1,1,1)))</f>
        <v/>
      </c>
      <c r="F28" s="26">
        <f>IF(OR($A28="",NOT(ISNUMBER($B$3))),"",SUMIFS('通知一覧'!$S$5:$S$204,'通知一覧'!$C$5:$C$204,$A28,'通知一覧'!$F$5:$F$204,"&gt;="&amp;DATE($B$3,1,1),'通知一覧'!$F$5:$F$204,"&lt;"&amp;DATE($B$3+1,1,1)))</f>
        <v/>
      </c>
      <c r="G28" s="26">
        <f>IF(OR($A28="",NOT(ISNUMBER($B$3))),"",SUMIFS('通知一覧'!$U$5:$U$204,'通知一覧'!$C$5:$C$204,$A28,'通知一覧'!$F$5:$F$204,"&gt;="&amp;DATE($B$3,1,1),'通知一覧'!$F$5:$F$204,"&lt;"&amp;DATE($B$3+1,1,1)))</f>
        <v/>
      </c>
      <c r="H28" s="67" t="n"/>
    </row>
    <row r="29" ht="16" customHeight="1">
      <c r="A29" s="30">
        <f>IF('支払先'!$B$11="","",'支払先'!$B$11&amp;"")</f>
        <v/>
      </c>
      <c r="B29" s="27">
        <f>IF('支払先'!$B$11="","",'支払先'!$C$11&amp;"")</f>
        <v/>
      </c>
      <c r="C29" s="62">
        <f>IF(OR($A29="",NOT(ISNUMBER($B$3))),"",COUNTIFS('通知一覧'!$C$5:$C$204,$A29,'通知一覧'!$F$5:$F$204,"&gt;="&amp;DATE($B$3,1,1),'通知一覧'!$F$5:$F$204,"&lt;"&amp;DATE($B$3+1,1,1)))</f>
        <v/>
      </c>
      <c r="D29" s="26">
        <f>IF(OR($A29="",NOT(ISNUMBER($B$3))),"",SUMIFS('通知一覧'!$Q$5:$Q$204,'通知一覧'!$C$5:$C$204,$A29,'通知一覧'!$F$5:$F$204,"&gt;="&amp;DATE($B$3,1,1),'通知一覧'!$F$5:$F$204,"&lt;"&amp;DATE($B$3+1,1,1)))</f>
        <v/>
      </c>
      <c r="E29" s="26">
        <f>IF(OR($A29="",NOT(ISNUMBER($B$3))),"",SUMIFS('通知一覧'!$R$5:$R$204,'通知一覧'!$C$5:$C$204,$A29,'通知一覧'!$F$5:$F$204,"&gt;="&amp;DATE($B$3,1,1),'通知一覧'!$F$5:$F$204,"&lt;"&amp;DATE($B$3+1,1,1)))</f>
        <v/>
      </c>
      <c r="F29" s="26">
        <f>IF(OR($A29="",NOT(ISNUMBER($B$3))),"",SUMIFS('通知一覧'!$S$5:$S$204,'通知一覧'!$C$5:$C$204,$A29,'通知一覧'!$F$5:$F$204,"&gt;="&amp;DATE($B$3,1,1),'通知一覧'!$F$5:$F$204,"&lt;"&amp;DATE($B$3+1,1,1)))</f>
        <v/>
      </c>
      <c r="G29" s="26">
        <f>IF(OR($A29="",NOT(ISNUMBER($B$3))),"",SUMIFS('通知一覧'!$U$5:$U$204,'通知一覧'!$C$5:$C$204,$A29,'通知一覧'!$F$5:$F$204,"&gt;="&amp;DATE($B$3,1,1),'通知一覧'!$F$5:$F$204,"&lt;"&amp;DATE($B$3+1,1,1)))</f>
        <v/>
      </c>
      <c r="H29" s="67" t="n"/>
    </row>
    <row r="30" ht="16" customHeight="1">
      <c r="A30" s="30">
        <f>IF('支払先'!$B$12="","",'支払先'!$B$12&amp;"")</f>
        <v/>
      </c>
      <c r="B30" s="27">
        <f>IF('支払先'!$B$12="","",'支払先'!$C$12&amp;"")</f>
        <v/>
      </c>
      <c r="C30" s="62">
        <f>IF(OR($A30="",NOT(ISNUMBER($B$3))),"",COUNTIFS('通知一覧'!$C$5:$C$204,$A30,'通知一覧'!$F$5:$F$204,"&gt;="&amp;DATE($B$3,1,1),'通知一覧'!$F$5:$F$204,"&lt;"&amp;DATE($B$3+1,1,1)))</f>
        <v/>
      </c>
      <c r="D30" s="26">
        <f>IF(OR($A30="",NOT(ISNUMBER($B$3))),"",SUMIFS('通知一覧'!$Q$5:$Q$204,'通知一覧'!$C$5:$C$204,$A30,'通知一覧'!$F$5:$F$204,"&gt;="&amp;DATE($B$3,1,1),'通知一覧'!$F$5:$F$204,"&lt;"&amp;DATE($B$3+1,1,1)))</f>
        <v/>
      </c>
      <c r="E30" s="26">
        <f>IF(OR($A30="",NOT(ISNUMBER($B$3))),"",SUMIFS('通知一覧'!$R$5:$R$204,'通知一覧'!$C$5:$C$204,$A30,'通知一覧'!$F$5:$F$204,"&gt;="&amp;DATE($B$3,1,1),'通知一覧'!$F$5:$F$204,"&lt;"&amp;DATE($B$3+1,1,1)))</f>
        <v/>
      </c>
      <c r="F30" s="26">
        <f>IF(OR($A30="",NOT(ISNUMBER($B$3))),"",SUMIFS('通知一覧'!$S$5:$S$204,'通知一覧'!$C$5:$C$204,$A30,'通知一覧'!$F$5:$F$204,"&gt;="&amp;DATE($B$3,1,1),'通知一覧'!$F$5:$F$204,"&lt;"&amp;DATE($B$3+1,1,1)))</f>
        <v/>
      </c>
      <c r="G30" s="26">
        <f>IF(OR($A30="",NOT(ISNUMBER($B$3))),"",SUMIFS('通知一覧'!$U$5:$U$204,'通知一覧'!$C$5:$C$204,$A30,'通知一覧'!$F$5:$F$204,"&gt;="&amp;DATE($B$3,1,1),'通知一覧'!$F$5:$F$204,"&lt;"&amp;DATE($B$3+1,1,1)))</f>
        <v/>
      </c>
      <c r="H30" s="67" t="n"/>
    </row>
    <row r="31" ht="16" customHeight="1">
      <c r="A31" s="30">
        <f>IF('支払先'!$B$13="","",'支払先'!$B$13&amp;"")</f>
        <v/>
      </c>
      <c r="B31" s="27">
        <f>IF('支払先'!$B$13="","",'支払先'!$C$13&amp;"")</f>
        <v/>
      </c>
      <c r="C31" s="62">
        <f>IF(OR($A31="",NOT(ISNUMBER($B$3))),"",COUNTIFS('通知一覧'!$C$5:$C$204,$A31,'通知一覧'!$F$5:$F$204,"&gt;="&amp;DATE($B$3,1,1),'通知一覧'!$F$5:$F$204,"&lt;"&amp;DATE($B$3+1,1,1)))</f>
        <v/>
      </c>
      <c r="D31" s="26">
        <f>IF(OR($A31="",NOT(ISNUMBER($B$3))),"",SUMIFS('通知一覧'!$Q$5:$Q$204,'通知一覧'!$C$5:$C$204,$A31,'通知一覧'!$F$5:$F$204,"&gt;="&amp;DATE($B$3,1,1),'通知一覧'!$F$5:$F$204,"&lt;"&amp;DATE($B$3+1,1,1)))</f>
        <v/>
      </c>
      <c r="E31" s="26">
        <f>IF(OR($A31="",NOT(ISNUMBER($B$3))),"",SUMIFS('通知一覧'!$R$5:$R$204,'通知一覧'!$C$5:$C$204,$A31,'通知一覧'!$F$5:$F$204,"&gt;="&amp;DATE($B$3,1,1),'通知一覧'!$F$5:$F$204,"&lt;"&amp;DATE($B$3+1,1,1)))</f>
        <v/>
      </c>
      <c r="F31" s="26">
        <f>IF(OR($A31="",NOT(ISNUMBER($B$3))),"",SUMIFS('通知一覧'!$S$5:$S$204,'通知一覧'!$C$5:$C$204,$A31,'通知一覧'!$F$5:$F$204,"&gt;="&amp;DATE($B$3,1,1),'通知一覧'!$F$5:$F$204,"&lt;"&amp;DATE($B$3+1,1,1)))</f>
        <v/>
      </c>
      <c r="G31" s="26">
        <f>IF(OR($A31="",NOT(ISNUMBER($B$3))),"",SUMIFS('通知一覧'!$U$5:$U$204,'通知一覧'!$C$5:$C$204,$A31,'通知一覧'!$F$5:$F$204,"&gt;="&amp;DATE($B$3,1,1),'通知一覧'!$F$5:$F$204,"&lt;"&amp;DATE($B$3+1,1,1)))</f>
        <v/>
      </c>
      <c r="H31" s="67" t="n"/>
    </row>
    <row r="32" ht="16" customHeight="1">
      <c r="A32" s="30">
        <f>IF('支払先'!$B$14="","",'支払先'!$B$14&amp;"")</f>
        <v/>
      </c>
      <c r="B32" s="27">
        <f>IF('支払先'!$B$14="","",'支払先'!$C$14&amp;"")</f>
        <v/>
      </c>
      <c r="C32" s="62">
        <f>IF(OR($A32="",NOT(ISNUMBER($B$3))),"",COUNTIFS('通知一覧'!$C$5:$C$204,$A32,'通知一覧'!$F$5:$F$204,"&gt;="&amp;DATE($B$3,1,1),'通知一覧'!$F$5:$F$204,"&lt;"&amp;DATE($B$3+1,1,1)))</f>
        <v/>
      </c>
      <c r="D32" s="26">
        <f>IF(OR($A32="",NOT(ISNUMBER($B$3))),"",SUMIFS('通知一覧'!$Q$5:$Q$204,'通知一覧'!$C$5:$C$204,$A32,'通知一覧'!$F$5:$F$204,"&gt;="&amp;DATE($B$3,1,1),'通知一覧'!$F$5:$F$204,"&lt;"&amp;DATE($B$3+1,1,1)))</f>
        <v/>
      </c>
      <c r="E32" s="26">
        <f>IF(OR($A32="",NOT(ISNUMBER($B$3))),"",SUMIFS('通知一覧'!$R$5:$R$204,'通知一覧'!$C$5:$C$204,$A32,'通知一覧'!$F$5:$F$204,"&gt;="&amp;DATE($B$3,1,1),'通知一覧'!$F$5:$F$204,"&lt;"&amp;DATE($B$3+1,1,1)))</f>
        <v/>
      </c>
      <c r="F32" s="26">
        <f>IF(OR($A32="",NOT(ISNUMBER($B$3))),"",SUMIFS('通知一覧'!$S$5:$S$204,'通知一覧'!$C$5:$C$204,$A32,'通知一覧'!$F$5:$F$204,"&gt;="&amp;DATE($B$3,1,1),'通知一覧'!$F$5:$F$204,"&lt;"&amp;DATE($B$3+1,1,1)))</f>
        <v/>
      </c>
      <c r="G32" s="26">
        <f>IF(OR($A32="",NOT(ISNUMBER($B$3))),"",SUMIFS('通知一覧'!$U$5:$U$204,'通知一覧'!$C$5:$C$204,$A32,'通知一覧'!$F$5:$F$204,"&gt;="&amp;DATE($B$3,1,1),'通知一覧'!$F$5:$F$204,"&lt;"&amp;DATE($B$3+1,1,1)))</f>
        <v/>
      </c>
      <c r="H32" s="67" t="n"/>
    </row>
    <row r="33" ht="16" customHeight="1">
      <c r="A33" s="30">
        <f>IF('支払先'!$B$15="","",'支払先'!$B$15&amp;"")</f>
        <v/>
      </c>
      <c r="B33" s="27">
        <f>IF('支払先'!$B$15="","",'支払先'!$C$15&amp;"")</f>
        <v/>
      </c>
      <c r="C33" s="62">
        <f>IF(OR($A33="",NOT(ISNUMBER($B$3))),"",COUNTIFS('通知一覧'!$C$5:$C$204,$A33,'通知一覧'!$F$5:$F$204,"&gt;="&amp;DATE($B$3,1,1),'通知一覧'!$F$5:$F$204,"&lt;"&amp;DATE($B$3+1,1,1)))</f>
        <v/>
      </c>
      <c r="D33" s="26">
        <f>IF(OR($A33="",NOT(ISNUMBER($B$3))),"",SUMIFS('通知一覧'!$Q$5:$Q$204,'通知一覧'!$C$5:$C$204,$A33,'通知一覧'!$F$5:$F$204,"&gt;="&amp;DATE($B$3,1,1),'通知一覧'!$F$5:$F$204,"&lt;"&amp;DATE($B$3+1,1,1)))</f>
        <v/>
      </c>
      <c r="E33" s="26">
        <f>IF(OR($A33="",NOT(ISNUMBER($B$3))),"",SUMIFS('通知一覧'!$R$5:$R$204,'通知一覧'!$C$5:$C$204,$A33,'通知一覧'!$F$5:$F$204,"&gt;="&amp;DATE($B$3,1,1),'通知一覧'!$F$5:$F$204,"&lt;"&amp;DATE($B$3+1,1,1)))</f>
        <v/>
      </c>
      <c r="F33" s="26">
        <f>IF(OR($A33="",NOT(ISNUMBER($B$3))),"",SUMIFS('通知一覧'!$S$5:$S$204,'通知一覧'!$C$5:$C$204,$A33,'通知一覧'!$F$5:$F$204,"&gt;="&amp;DATE($B$3,1,1),'通知一覧'!$F$5:$F$204,"&lt;"&amp;DATE($B$3+1,1,1)))</f>
        <v/>
      </c>
      <c r="G33" s="26">
        <f>IF(OR($A33="",NOT(ISNUMBER($B$3))),"",SUMIFS('通知一覧'!$U$5:$U$204,'通知一覧'!$C$5:$C$204,$A33,'通知一覧'!$F$5:$F$204,"&gt;="&amp;DATE($B$3,1,1),'通知一覧'!$F$5:$F$204,"&lt;"&amp;DATE($B$3+1,1,1)))</f>
        <v/>
      </c>
      <c r="H33" s="67" t="n"/>
    </row>
    <row r="34" ht="16" customHeight="1">
      <c r="A34" s="30">
        <f>IF('支払先'!$B$16="","",'支払先'!$B$16&amp;"")</f>
        <v/>
      </c>
      <c r="B34" s="27">
        <f>IF('支払先'!$B$16="","",'支払先'!$C$16&amp;"")</f>
        <v/>
      </c>
      <c r="C34" s="62">
        <f>IF(OR($A34="",NOT(ISNUMBER($B$3))),"",COUNTIFS('通知一覧'!$C$5:$C$204,$A34,'通知一覧'!$F$5:$F$204,"&gt;="&amp;DATE($B$3,1,1),'通知一覧'!$F$5:$F$204,"&lt;"&amp;DATE($B$3+1,1,1)))</f>
        <v/>
      </c>
      <c r="D34" s="26">
        <f>IF(OR($A34="",NOT(ISNUMBER($B$3))),"",SUMIFS('通知一覧'!$Q$5:$Q$204,'通知一覧'!$C$5:$C$204,$A34,'通知一覧'!$F$5:$F$204,"&gt;="&amp;DATE($B$3,1,1),'通知一覧'!$F$5:$F$204,"&lt;"&amp;DATE($B$3+1,1,1)))</f>
        <v/>
      </c>
      <c r="E34" s="26">
        <f>IF(OR($A34="",NOT(ISNUMBER($B$3))),"",SUMIFS('通知一覧'!$R$5:$R$204,'通知一覧'!$C$5:$C$204,$A34,'通知一覧'!$F$5:$F$204,"&gt;="&amp;DATE($B$3,1,1),'通知一覧'!$F$5:$F$204,"&lt;"&amp;DATE($B$3+1,1,1)))</f>
        <v/>
      </c>
      <c r="F34" s="26">
        <f>IF(OR($A34="",NOT(ISNUMBER($B$3))),"",SUMIFS('通知一覧'!$S$5:$S$204,'通知一覧'!$C$5:$C$204,$A34,'通知一覧'!$F$5:$F$204,"&gt;="&amp;DATE($B$3,1,1),'通知一覧'!$F$5:$F$204,"&lt;"&amp;DATE($B$3+1,1,1)))</f>
        <v/>
      </c>
      <c r="G34" s="26">
        <f>IF(OR($A34="",NOT(ISNUMBER($B$3))),"",SUMIFS('通知一覧'!$U$5:$U$204,'通知一覧'!$C$5:$C$204,$A34,'通知一覧'!$F$5:$F$204,"&gt;="&amp;DATE($B$3,1,1),'通知一覧'!$F$5:$F$204,"&lt;"&amp;DATE($B$3+1,1,1)))</f>
        <v/>
      </c>
      <c r="H34" s="67" t="n"/>
    </row>
    <row r="35" ht="16" customHeight="1">
      <c r="A35" s="30">
        <f>IF('支払先'!$B$17="","",'支払先'!$B$17&amp;"")</f>
        <v/>
      </c>
      <c r="B35" s="27">
        <f>IF('支払先'!$B$17="","",'支払先'!$C$17&amp;"")</f>
        <v/>
      </c>
      <c r="C35" s="62">
        <f>IF(OR($A35="",NOT(ISNUMBER($B$3))),"",COUNTIFS('通知一覧'!$C$5:$C$204,$A35,'通知一覧'!$F$5:$F$204,"&gt;="&amp;DATE($B$3,1,1),'通知一覧'!$F$5:$F$204,"&lt;"&amp;DATE($B$3+1,1,1)))</f>
        <v/>
      </c>
      <c r="D35" s="26">
        <f>IF(OR($A35="",NOT(ISNUMBER($B$3))),"",SUMIFS('通知一覧'!$Q$5:$Q$204,'通知一覧'!$C$5:$C$204,$A35,'通知一覧'!$F$5:$F$204,"&gt;="&amp;DATE($B$3,1,1),'通知一覧'!$F$5:$F$204,"&lt;"&amp;DATE($B$3+1,1,1)))</f>
        <v/>
      </c>
      <c r="E35" s="26">
        <f>IF(OR($A35="",NOT(ISNUMBER($B$3))),"",SUMIFS('通知一覧'!$R$5:$R$204,'通知一覧'!$C$5:$C$204,$A35,'通知一覧'!$F$5:$F$204,"&gt;="&amp;DATE($B$3,1,1),'通知一覧'!$F$5:$F$204,"&lt;"&amp;DATE($B$3+1,1,1)))</f>
        <v/>
      </c>
      <c r="F35" s="26">
        <f>IF(OR($A35="",NOT(ISNUMBER($B$3))),"",SUMIFS('通知一覧'!$S$5:$S$204,'通知一覧'!$C$5:$C$204,$A35,'通知一覧'!$F$5:$F$204,"&gt;="&amp;DATE($B$3,1,1),'通知一覧'!$F$5:$F$204,"&lt;"&amp;DATE($B$3+1,1,1)))</f>
        <v/>
      </c>
      <c r="G35" s="26">
        <f>IF(OR($A35="",NOT(ISNUMBER($B$3))),"",SUMIFS('通知一覧'!$U$5:$U$204,'通知一覧'!$C$5:$C$204,$A35,'通知一覧'!$F$5:$F$204,"&gt;="&amp;DATE($B$3,1,1),'通知一覧'!$F$5:$F$204,"&lt;"&amp;DATE($B$3+1,1,1)))</f>
        <v/>
      </c>
      <c r="H35" s="67" t="n"/>
    </row>
    <row r="36" ht="16" customHeight="1">
      <c r="A36" s="30">
        <f>IF('支払先'!$B$18="","",'支払先'!$B$18&amp;"")</f>
        <v/>
      </c>
      <c r="B36" s="27">
        <f>IF('支払先'!$B$18="","",'支払先'!$C$18&amp;"")</f>
        <v/>
      </c>
      <c r="C36" s="62">
        <f>IF(OR($A36="",NOT(ISNUMBER($B$3))),"",COUNTIFS('通知一覧'!$C$5:$C$204,$A36,'通知一覧'!$F$5:$F$204,"&gt;="&amp;DATE($B$3,1,1),'通知一覧'!$F$5:$F$204,"&lt;"&amp;DATE($B$3+1,1,1)))</f>
        <v/>
      </c>
      <c r="D36" s="26">
        <f>IF(OR($A36="",NOT(ISNUMBER($B$3))),"",SUMIFS('通知一覧'!$Q$5:$Q$204,'通知一覧'!$C$5:$C$204,$A36,'通知一覧'!$F$5:$F$204,"&gt;="&amp;DATE($B$3,1,1),'通知一覧'!$F$5:$F$204,"&lt;"&amp;DATE($B$3+1,1,1)))</f>
        <v/>
      </c>
      <c r="E36" s="26">
        <f>IF(OR($A36="",NOT(ISNUMBER($B$3))),"",SUMIFS('通知一覧'!$R$5:$R$204,'通知一覧'!$C$5:$C$204,$A36,'通知一覧'!$F$5:$F$204,"&gt;="&amp;DATE($B$3,1,1),'通知一覧'!$F$5:$F$204,"&lt;"&amp;DATE($B$3+1,1,1)))</f>
        <v/>
      </c>
      <c r="F36" s="26">
        <f>IF(OR($A36="",NOT(ISNUMBER($B$3))),"",SUMIFS('通知一覧'!$S$5:$S$204,'通知一覧'!$C$5:$C$204,$A36,'通知一覧'!$F$5:$F$204,"&gt;="&amp;DATE($B$3,1,1),'通知一覧'!$F$5:$F$204,"&lt;"&amp;DATE($B$3+1,1,1)))</f>
        <v/>
      </c>
      <c r="G36" s="26">
        <f>IF(OR($A36="",NOT(ISNUMBER($B$3))),"",SUMIFS('通知一覧'!$U$5:$U$204,'通知一覧'!$C$5:$C$204,$A36,'通知一覧'!$F$5:$F$204,"&gt;="&amp;DATE($B$3,1,1),'通知一覧'!$F$5:$F$204,"&lt;"&amp;DATE($B$3+1,1,1)))</f>
        <v/>
      </c>
      <c r="H36" s="67" t="n"/>
    </row>
    <row r="37" ht="16" customHeight="1">
      <c r="A37" s="30">
        <f>IF('支払先'!$B$19="","",'支払先'!$B$19&amp;"")</f>
        <v/>
      </c>
      <c r="B37" s="27">
        <f>IF('支払先'!$B$19="","",'支払先'!$C$19&amp;"")</f>
        <v/>
      </c>
      <c r="C37" s="62">
        <f>IF(OR($A37="",NOT(ISNUMBER($B$3))),"",COUNTIFS('通知一覧'!$C$5:$C$204,$A37,'通知一覧'!$F$5:$F$204,"&gt;="&amp;DATE($B$3,1,1),'通知一覧'!$F$5:$F$204,"&lt;"&amp;DATE($B$3+1,1,1)))</f>
        <v/>
      </c>
      <c r="D37" s="26">
        <f>IF(OR($A37="",NOT(ISNUMBER($B$3))),"",SUMIFS('通知一覧'!$Q$5:$Q$204,'通知一覧'!$C$5:$C$204,$A37,'通知一覧'!$F$5:$F$204,"&gt;="&amp;DATE($B$3,1,1),'通知一覧'!$F$5:$F$204,"&lt;"&amp;DATE($B$3+1,1,1)))</f>
        <v/>
      </c>
      <c r="E37" s="26">
        <f>IF(OR($A37="",NOT(ISNUMBER($B$3))),"",SUMIFS('通知一覧'!$R$5:$R$204,'通知一覧'!$C$5:$C$204,$A37,'通知一覧'!$F$5:$F$204,"&gt;="&amp;DATE($B$3,1,1),'通知一覧'!$F$5:$F$204,"&lt;"&amp;DATE($B$3+1,1,1)))</f>
        <v/>
      </c>
      <c r="F37" s="26">
        <f>IF(OR($A37="",NOT(ISNUMBER($B$3))),"",SUMIFS('通知一覧'!$S$5:$S$204,'通知一覧'!$C$5:$C$204,$A37,'通知一覧'!$F$5:$F$204,"&gt;="&amp;DATE($B$3,1,1),'通知一覧'!$F$5:$F$204,"&lt;"&amp;DATE($B$3+1,1,1)))</f>
        <v/>
      </c>
      <c r="G37" s="26">
        <f>IF(OR($A37="",NOT(ISNUMBER($B$3))),"",SUMIFS('通知一覧'!$U$5:$U$204,'通知一覧'!$C$5:$C$204,$A37,'通知一覧'!$F$5:$F$204,"&gt;="&amp;DATE($B$3,1,1),'通知一覧'!$F$5:$F$204,"&lt;"&amp;DATE($B$3+1,1,1)))</f>
        <v/>
      </c>
      <c r="H37" s="67" t="n"/>
    </row>
    <row r="38" ht="16" customHeight="1">
      <c r="A38" s="30">
        <f>IF('支払先'!$B$20="","",'支払先'!$B$20&amp;"")</f>
        <v/>
      </c>
      <c r="B38" s="27">
        <f>IF('支払先'!$B$20="","",'支払先'!$C$20&amp;"")</f>
        <v/>
      </c>
      <c r="C38" s="62">
        <f>IF(OR($A38="",NOT(ISNUMBER($B$3))),"",COUNTIFS('通知一覧'!$C$5:$C$204,$A38,'通知一覧'!$F$5:$F$204,"&gt;="&amp;DATE($B$3,1,1),'通知一覧'!$F$5:$F$204,"&lt;"&amp;DATE($B$3+1,1,1)))</f>
        <v/>
      </c>
      <c r="D38" s="26">
        <f>IF(OR($A38="",NOT(ISNUMBER($B$3))),"",SUMIFS('通知一覧'!$Q$5:$Q$204,'通知一覧'!$C$5:$C$204,$A38,'通知一覧'!$F$5:$F$204,"&gt;="&amp;DATE($B$3,1,1),'通知一覧'!$F$5:$F$204,"&lt;"&amp;DATE($B$3+1,1,1)))</f>
        <v/>
      </c>
      <c r="E38" s="26">
        <f>IF(OR($A38="",NOT(ISNUMBER($B$3))),"",SUMIFS('通知一覧'!$R$5:$R$204,'通知一覧'!$C$5:$C$204,$A38,'通知一覧'!$F$5:$F$204,"&gt;="&amp;DATE($B$3,1,1),'通知一覧'!$F$5:$F$204,"&lt;"&amp;DATE($B$3+1,1,1)))</f>
        <v/>
      </c>
      <c r="F38" s="26">
        <f>IF(OR($A38="",NOT(ISNUMBER($B$3))),"",SUMIFS('通知一覧'!$S$5:$S$204,'通知一覧'!$C$5:$C$204,$A38,'通知一覧'!$F$5:$F$204,"&gt;="&amp;DATE($B$3,1,1),'通知一覧'!$F$5:$F$204,"&lt;"&amp;DATE($B$3+1,1,1)))</f>
        <v/>
      </c>
      <c r="G38" s="26">
        <f>IF(OR($A38="",NOT(ISNUMBER($B$3))),"",SUMIFS('通知一覧'!$U$5:$U$204,'通知一覧'!$C$5:$C$204,$A38,'通知一覧'!$F$5:$F$204,"&gt;="&amp;DATE($B$3,1,1),'通知一覧'!$F$5:$F$204,"&lt;"&amp;DATE($B$3+1,1,1)))</f>
        <v/>
      </c>
      <c r="H38" s="67" t="n"/>
    </row>
    <row r="39" ht="16" customHeight="1">
      <c r="A39" s="30">
        <f>IF('支払先'!$B$21="","",'支払先'!$B$21&amp;"")</f>
        <v/>
      </c>
      <c r="B39" s="27">
        <f>IF('支払先'!$B$21="","",'支払先'!$C$21&amp;"")</f>
        <v/>
      </c>
      <c r="C39" s="62">
        <f>IF(OR($A39="",NOT(ISNUMBER($B$3))),"",COUNTIFS('通知一覧'!$C$5:$C$204,$A39,'通知一覧'!$F$5:$F$204,"&gt;="&amp;DATE($B$3,1,1),'通知一覧'!$F$5:$F$204,"&lt;"&amp;DATE($B$3+1,1,1)))</f>
        <v/>
      </c>
      <c r="D39" s="26">
        <f>IF(OR($A39="",NOT(ISNUMBER($B$3))),"",SUMIFS('通知一覧'!$Q$5:$Q$204,'通知一覧'!$C$5:$C$204,$A39,'通知一覧'!$F$5:$F$204,"&gt;="&amp;DATE($B$3,1,1),'通知一覧'!$F$5:$F$204,"&lt;"&amp;DATE($B$3+1,1,1)))</f>
        <v/>
      </c>
      <c r="E39" s="26">
        <f>IF(OR($A39="",NOT(ISNUMBER($B$3))),"",SUMIFS('通知一覧'!$R$5:$R$204,'通知一覧'!$C$5:$C$204,$A39,'通知一覧'!$F$5:$F$204,"&gt;="&amp;DATE($B$3,1,1),'通知一覧'!$F$5:$F$204,"&lt;"&amp;DATE($B$3+1,1,1)))</f>
        <v/>
      </c>
      <c r="F39" s="26">
        <f>IF(OR($A39="",NOT(ISNUMBER($B$3))),"",SUMIFS('通知一覧'!$S$5:$S$204,'通知一覧'!$C$5:$C$204,$A39,'通知一覧'!$F$5:$F$204,"&gt;="&amp;DATE($B$3,1,1),'通知一覧'!$F$5:$F$204,"&lt;"&amp;DATE($B$3+1,1,1)))</f>
        <v/>
      </c>
      <c r="G39" s="26">
        <f>IF(OR($A39="",NOT(ISNUMBER($B$3))),"",SUMIFS('通知一覧'!$U$5:$U$204,'通知一覧'!$C$5:$C$204,$A39,'通知一覧'!$F$5:$F$204,"&gt;="&amp;DATE($B$3,1,1),'通知一覧'!$F$5:$F$204,"&lt;"&amp;DATE($B$3+1,1,1)))</f>
        <v/>
      </c>
      <c r="H39" s="67" t="n"/>
    </row>
    <row r="40" ht="16" customHeight="1">
      <c r="A40" s="30">
        <f>IF('支払先'!$B$22="","",'支払先'!$B$22&amp;"")</f>
        <v/>
      </c>
      <c r="B40" s="27">
        <f>IF('支払先'!$B$22="","",'支払先'!$C$22&amp;"")</f>
        <v/>
      </c>
      <c r="C40" s="62">
        <f>IF(OR($A40="",NOT(ISNUMBER($B$3))),"",COUNTIFS('通知一覧'!$C$5:$C$204,$A40,'通知一覧'!$F$5:$F$204,"&gt;="&amp;DATE($B$3,1,1),'通知一覧'!$F$5:$F$204,"&lt;"&amp;DATE($B$3+1,1,1)))</f>
        <v/>
      </c>
      <c r="D40" s="26">
        <f>IF(OR($A40="",NOT(ISNUMBER($B$3))),"",SUMIFS('通知一覧'!$Q$5:$Q$204,'通知一覧'!$C$5:$C$204,$A40,'通知一覧'!$F$5:$F$204,"&gt;="&amp;DATE($B$3,1,1),'通知一覧'!$F$5:$F$204,"&lt;"&amp;DATE($B$3+1,1,1)))</f>
        <v/>
      </c>
      <c r="E40" s="26">
        <f>IF(OR($A40="",NOT(ISNUMBER($B$3))),"",SUMIFS('通知一覧'!$R$5:$R$204,'通知一覧'!$C$5:$C$204,$A40,'通知一覧'!$F$5:$F$204,"&gt;="&amp;DATE($B$3,1,1),'通知一覧'!$F$5:$F$204,"&lt;"&amp;DATE($B$3+1,1,1)))</f>
        <v/>
      </c>
      <c r="F40" s="26">
        <f>IF(OR($A40="",NOT(ISNUMBER($B$3))),"",SUMIFS('通知一覧'!$S$5:$S$204,'通知一覧'!$C$5:$C$204,$A40,'通知一覧'!$F$5:$F$204,"&gt;="&amp;DATE($B$3,1,1),'通知一覧'!$F$5:$F$204,"&lt;"&amp;DATE($B$3+1,1,1)))</f>
        <v/>
      </c>
      <c r="G40" s="26">
        <f>IF(OR($A40="",NOT(ISNUMBER($B$3))),"",SUMIFS('通知一覧'!$U$5:$U$204,'通知一覧'!$C$5:$C$204,$A40,'通知一覧'!$F$5:$F$204,"&gt;="&amp;DATE($B$3,1,1),'通知一覧'!$F$5:$F$204,"&lt;"&amp;DATE($B$3+1,1,1)))</f>
        <v/>
      </c>
      <c r="H40" s="67" t="n"/>
    </row>
    <row r="41" ht="16" customHeight="1">
      <c r="A41" s="30">
        <f>IF('支払先'!$B$23="","",'支払先'!$B$23&amp;"")</f>
        <v/>
      </c>
      <c r="B41" s="27">
        <f>IF('支払先'!$B$23="","",'支払先'!$C$23&amp;"")</f>
        <v/>
      </c>
      <c r="C41" s="62">
        <f>IF(OR($A41="",NOT(ISNUMBER($B$3))),"",COUNTIFS('通知一覧'!$C$5:$C$204,$A41,'通知一覧'!$F$5:$F$204,"&gt;="&amp;DATE($B$3,1,1),'通知一覧'!$F$5:$F$204,"&lt;"&amp;DATE($B$3+1,1,1)))</f>
        <v/>
      </c>
      <c r="D41" s="26">
        <f>IF(OR($A41="",NOT(ISNUMBER($B$3))),"",SUMIFS('通知一覧'!$Q$5:$Q$204,'通知一覧'!$C$5:$C$204,$A41,'通知一覧'!$F$5:$F$204,"&gt;="&amp;DATE($B$3,1,1),'通知一覧'!$F$5:$F$204,"&lt;"&amp;DATE($B$3+1,1,1)))</f>
        <v/>
      </c>
      <c r="E41" s="26">
        <f>IF(OR($A41="",NOT(ISNUMBER($B$3))),"",SUMIFS('通知一覧'!$R$5:$R$204,'通知一覧'!$C$5:$C$204,$A41,'通知一覧'!$F$5:$F$204,"&gt;="&amp;DATE($B$3,1,1),'通知一覧'!$F$5:$F$204,"&lt;"&amp;DATE($B$3+1,1,1)))</f>
        <v/>
      </c>
      <c r="F41" s="26">
        <f>IF(OR($A41="",NOT(ISNUMBER($B$3))),"",SUMIFS('通知一覧'!$S$5:$S$204,'通知一覧'!$C$5:$C$204,$A41,'通知一覧'!$F$5:$F$204,"&gt;="&amp;DATE($B$3,1,1),'通知一覧'!$F$5:$F$204,"&lt;"&amp;DATE($B$3+1,1,1)))</f>
        <v/>
      </c>
      <c r="G41" s="26">
        <f>IF(OR($A41="",NOT(ISNUMBER($B$3))),"",SUMIFS('通知一覧'!$U$5:$U$204,'通知一覧'!$C$5:$C$204,$A41,'通知一覧'!$F$5:$F$204,"&gt;="&amp;DATE($B$3,1,1),'通知一覧'!$F$5:$F$204,"&lt;"&amp;DATE($B$3+1,1,1)))</f>
        <v/>
      </c>
      <c r="H41" s="67" t="n"/>
    </row>
    <row r="42" ht="16" customHeight="1">
      <c r="A42" s="30">
        <f>IF('支払先'!$B$24="","",'支払先'!$B$24&amp;"")</f>
        <v/>
      </c>
      <c r="B42" s="27">
        <f>IF('支払先'!$B$24="","",'支払先'!$C$24&amp;"")</f>
        <v/>
      </c>
      <c r="C42" s="62">
        <f>IF(OR($A42="",NOT(ISNUMBER($B$3))),"",COUNTIFS('通知一覧'!$C$5:$C$204,$A42,'通知一覧'!$F$5:$F$204,"&gt;="&amp;DATE($B$3,1,1),'通知一覧'!$F$5:$F$204,"&lt;"&amp;DATE($B$3+1,1,1)))</f>
        <v/>
      </c>
      <c r="D42" s="26">
        <f>IF(OR($A42="",NOT(ISNUMBER($B$3))),"",SUMIFS('通知一覧'!$Q$5:$Q$204,'通知一覧'!$C$5:$C$204,$A42,'通知一覧'!$F$5:$F$204,"&gt;="&amp;DATE($B$3,1,1),'通知一覧'!$F$5:$F$204,"&lt;"&amp;DATE($B$3+1,1,1)))</f>
        <v/>
      </c>
      <c r="E42" s="26">
        <f>IF(OR($A42="",NOT(ISNUMBER($B$3))),"",SUMIFS('通知一覧'!$R$5:$R$204,'通知一覧'!$C$5:$C$204,$A42,'通知一覧'!$F$5:$F$204,"&gt;="&amp;DATE($B$3,1,1),'通知一覧'!$F$5:$F$204,"&lt;"&amp;DATE($B$3+1,1,1)))</f>
        <v/>
      </c>
      <c r="F42" s="26">
        <f>IF(OR($A42="",NOT(ISNUMBER($B$3))),"",SUMIFS('通知一覧'!$S$5:$S$204,'通知一覧'!$C$5:$C$204,$A42,'通知一覧'!$F$5:$F$204,"&gt;="&amp;DATE($B$3,1,1),'通知一覧'!$F$5:$F$204,"&lt;"&amp;DATE($B$3+1,1,1)))</f>
        <v/>
      </c>
      <c r="G42" s="26">
        <f>IF(OR($A42="",NOT(ISNUMBER($B$3))),"",SUMIFS('通知一覧'!$U$5:$U$204,'通知一覧'!$C$5:$C$204,$A42,'通知一覧'!$F$5:$F$204,"&gt;="&amp;DATE($B$3,1,1),'通知一覧'!$F$5:$F$204,"&lt;"&amp;DATE($B$3+1,1,1)))</f>
        <v/>
      </c>
      <c r="H42" s="67" t="n"/>
    </row>
    <row r="43" ht="16" customHeight="1">
      <c r="A43" s="30">
        <f>IF('支払先'!$B$25="","",'支払先'!$B$25&amp;"")</f>
        <v/>
      </c>
      <c r="B43" s="27">
        <f>IF('支払先'!$B$25="","",'支払先'!$C$25&amp;"")</f>
        <v/>
      </c>
      <c r="C43" s="62">
        <f>IF(OR($A43="",NOT(ISNUMBER($B$3))),"",COUNTIFS('通知一覧'!$C$5:$C$204,$A43,'通知一覧'!$F$5:$F$204,"&gt;="&amp;DATE($B$3,1,1),'通知一覧'!$F$5:$F$204,"&lt;"&amp;DATE($B$3+1,1,1)))</f>
        <v/>
      </c>
      <c r="D43" s="26">
        <f>IF(OR($A43="",NOT(ISNUMBER($B$3))),"",SUMIFS('通知一覧'!$Q$5:$Q$204,'通知一覧'!$C$5:$C$204,$A43,'通知一覧'!$F$5:$F$204,"&gt;="&amp;DATE($B$3,1,1),'通知一覧'!$F$5:$F$204,"&lt;"&amp;DATE($B$3+1,1,1)))</f>
        <v/>
      </c>
      <c r="E43" s="26">
        <f>IF(OR($A43="",NOT(ISNUMBER($B$3))),"",SUMIFS('通知一覧'!$R$5:$R$204,'通知一覧'!$C$5:$C$204,$A43,'通知一覧'!$F$5:$F$204,"&gt;="&amp;DATE($B$3,1,1),'通知一覧'!$F$5:$F$204,"&lt;"&amp;DATE($B$3+1,1,1)))</f>
        <v/>
      </c>
      <c r="F43" s="26">
        <f>IF(OR($A43="",NOT(ISNUMBER($B$3))),"",SUMIFS('通知一覧'!$S$5:$S$204,'通知一覧'!$C$5:$C$204,$A43,'通知一覧'!$F$5:$F$204,"&gt;="&amp;DATE($B$3,1,1),'通知一覧'!$F$5:$F$204,"&lt;"&amp;DATE($B$3+1,1,1)))</f>
        <v/>
      </c>
      <c r="G43" s="26">
        <f>IF(OR($A43="",NOT(ISNUMBER($B$3))),"",SUMIFS('通知一覧'!$U$5:$U$204,'通知一覧'!$C$5:$C$204,$A43,'通知一覧'!$F$5:$F$204,"&gt;="&amp;DATE($B$3,1,1),'通知一覧'!$F$5:$F$204,"&lt;"&amp;DATE($B$3+1,1,1)))</f>
        <v/>
      </c>
      <c r="H43" s="67" t="n"/>
    </row>
    <row r="44" ht="16" customHeight="1">
      <c r="A44" s="30">
        <f>IF('支払先'!$B$26="","",'支払先'!$B$26&amp;"")</f>
        <v/>
      </c>
      <c r="B44" s="27">
        <f>IF('支払先'!$B$26="","",'支払先'!$C$26&amp;"")</f>
        <v/>
      </c>
      <c r="C44" s="62">
        <f>IF(OR($A44="",NOT(ISNUMBER($B$3))),"",COUNTIFS('通知一覧'!$C$5:$C$204,$A44,'通知一覧'!$F$5:$F$204,"&gt;="&amp;DATE($B$3,1,1),'通知一覧'!$F$5:$F$204,"&lt;"&amp;DATE($B$3+1,1,1)))</f>
        <v/>
      </c>
      <c r="D44" s="26">
        <f>IF(OR($A44="",NOT(ISNUMBER($B$3))),"",SUMIFS('通知一覧'!$Q$5:$Q$204,'通知一覧'!$C$5:$C$204,$A44,'通知一覧'!$F$5:$F$204,"&gt;="&amp;DATE($B$3,1,1),'通知一覧'!$F$5:$F$204,"&lt;"&amp;DATE($B$3+1,1,1)))</f>
        <v/>
      </c>
      <c r="E44" s="26">
        <f>IF(OR($A44="",NOT(ISNUMBER($B$3))),"",SUMIFS('通知一覧'!$R$5:$R$204,'通知一覧'!$C$5:$C$204,$A44,'通知一覧'!$F$5:$F$204,"&gt;="&amp;DATE($B$3,1,1),'通知一覧'!$F$5:$F$204,"&lt;"&amp;DATE($B$3+1,1,1)))</f>
        <v/>
      </c>
      <c r="F44" s="26">
        <f>IF(OR($A44="",NOT(ISNUMBER($B$3))),"",SUMIFS('通知一覧'!$S$5:$S$204,'通知一覧'!$C$5:$C$204,$A44,'通知一覧'!$F$5:$F$204,"&gt;="&amp;DATE($B$3,1,1),'通知一覧'!$F$5:$F$204,"&lt;"&amp;DATE($B$3+1,1,1)))</f>
        <v/>
      </c>
      <c r="G44" s="26">
        <f>IF(OR($A44="",NOT(ISNUMBER($B$3))),"",SUMIFS('通知一覧'!$U$5:$U$204,'通知一覧'!$C$5:$C$204,$A44,'通知一覧'!$F$5:$F$204,"&gt;="&amp;DATE($B$3,1,1),'通知一覧'!$F$5:$F$204,"&lt;"&amp;DATE($B$3+1,1,1)))</f>
        <v/>
      </c>
      <c r="H44" s="67" t="n"/>
    </row>
    <row r="45" ht="16" customHeight="1">
      <c r="A45" s="30">
        <f>IF('支払先'!$B$27="","",'支払先'!$B$27&amp;"")</f>
        <v/>
      </c>
      <c r="B45" s="27">
        <f>IF('支払先'!$B$27="","",'支払先'!$C$27&amp;"")</f>
        <v/>
      </c>
      <c r="C45" s="62">
        <f>IF(OR($A45="",NOT(ISNUMBER($B$3))),"",COUNTIFS('通知一覧'!$C$5:$C$204,$A45,'通知一覧'!$F$5:$F$204,"&gt;="&amp;DATE($B$3,1,1),'通知一覧'!$F$5:$F$204,"&lt;"&amp;DATE($B$3+1,1,1)))</f>
        <v/>
      </c>
      <c r="D45" s="26">
        <f>IF(OR($A45="",NOT(ISNUMBER($B$3))),"",SUMIFS('通知一覧'!$Q$5:$Q$204,'通知一覧'!$C$5:$C$204,$A45,'通知一覧'!$F$5:$F$204,"&gt;="&amp;DATE($B$3,1,1),'通知一覧'!$F$5:$F$204,"&lt;"&amp;DATE($B$3+1,1,1)))</f>
        <v/>
      </c>
      <c r="E45" s="26">
        <f>IF(OR($A45="",NOT(ISNUMBER($B$3))),"",SUMIFS('通知一覧'!$R$5:$R$204,'通知一覧'!$C$5:$C$204,$A45,'通知一覧'!$F$5:$F$204,"&gt;="&amp;DATE($B$3,1,1),'通知一覧'!$F$5:$F$204,"&lt;"&amp;DATE($B$3+1,1,1)))</f>
        <v/>
      </c>
      <c r="F45" s="26">
        <f>IF(OR($A45="",NOT(ISNUMBER($B$3))),"",SUMIFS('通知一覧'!$S$5:$S$204,'通知一覧'!$C$5:$C$204,$A45,'通知一覧'!$F$5:$F$204,"&gt;="&amp;DATE($B$3,1,1),'通知一覧'!$F$5:$F$204,"&lt;"&amp;DATE($B$3+1,1,1)))</f>
        <v/>
      </c>
      <c r="G45" s="26">
        <f>IF(OR($A45="",NOT(ISNUMBER($B$3))),"",SUMIFS('通知一覧'!$U$5:$U$204,'通知一覧'!$C$5:$C$204,$A45,'通知一覧'!$F$5:$F$204,"&gt;="&amp;DATE($B$3,1,1),'通知一覧'!$F$5:$F$204,"&lt;"&amp;DATE($B$3+1,1,1)))</f>
        <v/>
      </c>
      <c r="H45" s="67" t="n"/>
    </row>
    <row r="46" ht="16" customHeight="1">
      <c r="A46" s="30">
        <f>IF('支払先'!$B$28="","",'支払先'!$B$28&amp;"")</f>
        <v/>
      </c>
      <c r="B46" s="27">
        <f>IF('支払先'!$B$28="","",'支払先'!$C$28&amp;"")</f>
        <v/>
      </c>
      <c r="C46" s="62">
        <f>IF(OR($A46="",NOT(ISNUMBER($B$3))),"",COUNTIFS('通知一覧'!$C$5:$C$204,$A46,'通知一覧'!$F$5:$F$204,"&gt;="&amp;DATE($B$3,1,1),'通知一覧'!$F$5:$F$204,"&lt;"&amp;DATE($B$3+1,1,1)))</f>
        <v/>
      </c>
      <c r="D46" s="26">
        <f>IF(OR($A46="",NOT(ISNUMBER($B$3))),"",SUMIFS('通知一覧'!$Q$5:$Q$204,'通知一覧'!$C$5:$C$204,$A46,'通知一覧'!$F$5:$F$204,"&gt;="&amp;DATE($B$3,1,1),'通知一覧'!$F$5:$F$204,"&lt;"&amp;DATE($B$3+1,1,1)))</f>
        <v/>
      </c>
      <c r="E46" s="26">
        <f>IF(OR($A46="",NOT(ISNUMBER($B$3))),"",SUMIFS('通知一覧'!$R$5:$R$204,'通知一覧'!$C$5:$C$204,$A46,'通知一覧'!$F$5:$F$204,"&gt;="&amp;DATE($B$3,1,1),'通知一覧'!$F$5:$F$204,"&lt;"&amp;DATE($B$3+1,1,1)))</f>
        <v/>
      </c>
      <c r="F46" s="26">
        <f>IF(OR($A46="",NOT(ISNUMBER($B$3))),"",SUMIFS('通知一覧'!$S$5:$S$204,'通知一覧'!$C$5:$C$204,$A46,'通知一覧'!$F$5:$F$204,"&gt;="&amp;DATE($B$3,1,1),'通知一覧'!$F$5:$F$204,"&lt;"&amp;DATE($B$3+1,1,1)))</f>
        <v/>
      </c>
      <c r="G46" s="26">
        <f>IF(OR($A46="",NOT(ISNUMBER($B$3))),"",SUMIFS('通知一覧'!$U$5:$U$204,'通知一覧'!$C$5:$C$204,$A46,'通知一覧'!$F$5:$F$204,"&gt;="&amp;DATE($B$3,1,1),'通知一覧'!$F$5:$F$204,"&lt;"&amp;DATE($B$3+1,1,1)))</f>
        <v/>
      </c>
      <c r="H46" s="67" t="n"/>
    </row>
    <row r="47" ht="16" customHeight="1">
      <c r="A47" s="30">
        <f>IF('支払先'!$B$29="","",'支払先'!$B$29&amp;"")</f>
        <v/>
      </c>
      <c r="B47" s="27">
        <f>IF('支払先'!$B$29="","",'支払先'!$C$29&amp;"")</f>
        <v/>
      </c>
      <c r="C47" s="62">
        <f>IF(OR($A47="",NOT(ISNUMBER($B$3))),"",COUNTIFS('通知一覧'!$C$5:$C$204,$A47,'通知一覧'!$F$5:$F$204,"&gt;="&amp;DATE($B$3,1,1),'通知一覧'!$F$5:$F$204,"&lt;"&amp;DATE($B$3+1,1,1)))</f>
        <v/>
      </c>
      <c r="D47" s="26">
        <f>IF(OR($A47="",NOT(ISNUMBER($B$3))),"",SUMIFS('通知一覧'!$Q$5:$Q$204,'通知一覧'!$C$5:$C$204,$A47,'通知一覧'!$F$5:$F$204,"&gt;="&amp;DATE($B$3,1,1),'通知一覧'!$F$5:$F$204,"&lt;"&amp;DATE($B$3+1,1,1)))</f>
        <v/>
      </c>
      <c r="E47" s="26">
        <f>IF(OR($A47="",NOT(ISNUMBER($B$3))),"",SUMIFS('通知一覧'!$R$5:$R$204,'通知一覧'!$C$5:$C$204,$A47,'通知一覧'!$F$5:$F$204,"&gt;="&amp;DATE($B$3,1,1),'通知一覧'!$F$5:$F$204,"&lt;"&amp;DATE($B$3+1,1,1)))</f>
        <v/>
      </c>
      <c r="F47" s="26">
        <f>IF(OR($A47="",NOT(ISNUMBER($B$3))),"",SUMIFS('通知一覧'!$S$5:$S$204,'通知一覧'!$C$5:$C$204,$A47,'通知一覧'!$F$5:$F$204,"&gt;="&amp;DATE($B$3,1,1),'通知一覧'!$F$5:$F$204,"&lt;"&amp;DATE($B$3+1,1,1)))</f>
        <v/>
      </c>
      <c r="G47" s="26">
        <f>IF(OR($A47="",NOT(ISNUMBER($B$3))),"",SUMIFS('通知一覧'!$U$5:$U$204,'通知一覧'!$C$5:$C$204,$A47,'通知一覧'!$F$5:$F$204,"&gt;="&amp;DATE($B$3,1,1),'通知一覧'!$F$5:$F$204,"&lt;"&amp;DATE($B$3+1,1,1)))</f>
        <v/>
      </c>
      <c r="H47" s="67" t="n"/>
    </row>
    <row r="48" ht="16" customHeight="1">
      <c r="A48" s="30">
        <f>IF('支払先'!$B$30="","",'支払先'!$B$30&amp;"")</f>
        <v/>
      </c>
      <c r="B48" s="27">
        <f>IF('支払先'!$B$30="","",'支払先'!$C$30&amp;"")</f>
        <v/>
      </c>
      <c r="C48" s="62">
        <f>IF(OR($A48="",NOT(ISNUMBER($B$3))),"",COUNTIFS('通知一覧'!$C$5:$C$204,$A48,'通知一覧'!$F$5:$F$204,"&gt;="&amp;DATE($B$3,1,1),'通知一覧'!$F$5:$F$204,"&lt;"&amp;DATE($B$3+1,1,1)))</f>
        <v/>
      </c>
      <c r="D48" s="26">
        <f>IF(OR($A48="",NOT(ISNUMBER($B$3))),"",SUMIFS('通知一覧'!$Q$5:$Q$204,'通知一覧'!$C$5:$C$204,$A48,'通知一覧'!$F$5:$F$204,"&gt;="&amp;DATE($B$3,1,1),'通知一覧'!$F$5:$F$204,"&lt;"&amp;DATE($B$3+1,1,1)))</f>
        <v/>
      </c>
      <c r="E48" s="26">
        <f>IF(OR($A48="",NOT(ISNUMBER($B$3))),"",SUMIFS('通知一覧'!$R$5:$R$204,'通知一覧'!$C$5:$C$204,$A48,'通知一覧'!$F$5:$F$204,"&gt;="&amp;DATE($B$3,1,1),'通知一覧'!$F$5:$F$204,"&lt;"&amp;DATE($B$3+1,1,1)))</f>
        <v/>
      </c>
      <c r="F48" s="26">
        <f>IF(OR($A48="",NOT(ISNUMBER($B$3))),"",SUMIFS('通知一覧'!$S$5:$S$204,'通知一覧'!$C$5:$C$204,$A48,'通知一覧'!$F$5:$F$204,"&gt;="&amp;DATE($B$3,1,1),'通知一覧'!$F$5:$F$204,"&lt;"&amp;DATE($B$3+1,1,1)))</f>
        <v/>
      </c>
      <c r="G48" s="26">
        <f>IF(OR($A48="",NOT(ISNUMBER($B$3))),"",SUMIFS('通知一覧'!$U$5:$U$204,'通知一覧'!$C$5:$C$204,$A48,'通知一覧'!$F$5:$F$204,"&gt;="&amp;DATE($B$3,1,1),'通知一覧'!$F$5:$F$204,"&lt;"&amp;DATE($B$3+1,1,1)))</f>
        <v/>
      </c>
      <c r="H48" s="67" t="n"/>
    </row>
    <row r="49" ht="16" customHeight="1">
      <c r="A49" s="30">
        <f>IF('支払先'!$B$31="","",'支払先'!$B$31&amp;"")</f>
        <v/>
      </c>
      <c r="B49" s="27">
        <f>IF('支払先'!$B$31="","",'支払先'!$C$31&amp;"")</f>
        <v/>
      </c>
      <c r="C49" s="62">
        <f>IF(OR($A49="",NOT(ISNUMBER($B$3))),"",COUNTIFS('通知一覧'!$C$5:$C$204,$A49,'通知一覧'!$F$5:$F$204,"&gt;="&amp;DATE($B$3,1,1),'通知一覧'!$F$5:$F$204,"&lt;"&amp;DATE($B$3+1,1,1)))</f>
        <v/>
      </c>
      <c r="D49" s="26">
        <f>IF(OR($A49="",NOT(ISNUMBER($B$3))),"",SUMIFS('通知一覧'!$Q$5:$Q$204,'通知一覧'!$C$5:$C$204,$A49,'通知一覧'!$F$5:$F$204,"&gt;="&amp;DATE($B$3,1,1),'通知一覧'!$F$5:$F$204,"&lt;"&amp;DATE($B$3+1,1,1)))</f>
        <v/>
      </c>
      <c r="E49" s="26">
        <f>IF(OR($A49="",NOT(ISNUMBER($B$3))),"",SUMIFS('通知一覧'!$R$5:$R$204,'通知一覧'!$C$5:$C$204,$A49,'通知一覧'!$F$5:$F$204,"&gt;="&amp;DATE($B$3,1,1),'通知一覧'!$F$5:$F$204,"&lt;"&amp;DATE($B$3+1,1,1)))</f>
        <v/>
      </c>
      <c r="F49" s="26">
        <f>IF(OR($A49="",NOT(ISNUMBER($B$3))),"",SUMIFS('通知一覧'!$S$5:$S$204,'通知一覧'!$C$5:$C$204,$A49,'通知一覧'!$F$5:$F$204,"&gt;="&amp;DATE($B$3,1,1),'通知一覧'!$F$5:$F$204,"&lt;"&amp;DATE($B$3+1,1,1)))</f>
        <v/>
      </c>
      <c r="G49" s="26">
        <f>IF(OR($A49="",NOT(ISNUMBER($B$3))),"",SUMIFS('通知一覧'!$U$5:$U$204,'通知一覧'!$C$5:$C$204,$A49,'通知一覧'!$F$5:$F$204,"&gt;="&amp;DATE($B$3,1,1),'通知一覧'!$F$5:$F$204,"&lt;"&amp;DATE($B$3+1,1,1)))</f>
        <v/>
      </c>
      <c r="H49" s="67" t="n"/>
    </row>
    <row r="50" ht="16" customHeight="1">
      <c r="A50" s="30">
        <f>IF('支払先'!$B$32="","",'支払先'!$B$32&amp;"")</f>
        <v/>
      </c>
      <c r="B50" s="27">
        <f>IF('支払先'!$B$32="","",'支払先'!$C$32&amp;"")</f>
        <v/>
      </c>
      <c r="C50" s="62">
        <f>IF(OR($A50="",NOT(ISNUMBER($B$3))),"",COUNTIFS('通知一覧'!$C$5:$C$204,$A50,'通知一覧'!$F$5:$F$204,"&gt;="&amp;DATE($B$3,1,1),'通知一覧'!$F$5:$F$204,"&lt;"&amp;DATE($B$3+1,1,1)))</f>
        <v/>
      </c>
      <c r="D50" s="26">
        <f>IF(OR($A50="",NOT(ISNUMBER($B$3))),"",SUMIFS('通知一覧'!$Q$5:$Q$204,'通知一覧'!$C$5:$C$204,$A50,'通知一覧'!$F$5:$F$204,"&gt;="&amp;DATE($B$3,1,1),'通知一覧'!$F$5:$F$204,"&lt;"&amp;DATE($B$3+1,1,1)))</f>
        <v/>
      </c>
      <c r="E50" s="26">
        <f>IF(OR($A50="",NOT(ISNUMBER($B$3))),"",SUMIFS('通知一覧'!$R$5:$R$204,'通知一覧'!$C$5:$C$204,$A50,'通知一覧'!$F$5:$F$204,"&gt;="&amp;DATE($B$3,1,1),'通知一覧'!$F$5:$F$204,"&lt;"&amp;DATE($B$3+1,1,1)))</f>
        <v/>
      </c>
      <c r="F50" s="26">
        <f>IF(OR($A50="",NOT(ISNUMBER($B$3))),"",SUMIFS('通知一覧'!$S$5:$S$204,'通知一覧'!$C$5:$C$204,$A50,'通知一覧'!$F$5:$F$204,"&gt;="&amp;DATE($B$3,1,1),'通知一覧'!$F$5:$F$204,"&lt;"&amp;DATE($B$3+1,1,1)))</f>
        <v/>
      </c>
      <c r="G50" s="26">
        <f>IF(OR($A50="",NOT(ISNUMBER($B$3))),"",SUMIFS('通知一覧'!$U$5:$U$204,'通知一覧'!$C$5:$C$204,$A50,'通知一覧'!$F$5:$F$204,"&gt;="&amp;DATE($B$3,1,1),'通知一覧'!$F$5:$F$204,"&lt;"&amp;DATE($B$3+1,1,1)))</f>
        <v/>
      </c>
      <c r="H50" s="67" t="n"/>
    </row>
    <row r="51" ht="16" customHeight="1">
      <c r="A51" s="30">
        <f>IF('支払先'!$B$33="","",'支払先'!$B$33&amp;"")</f>
        <v/>
      </c>
      <c r="B51" s="27">
        <f>IF('支払先'!$B$33="","",'支払先'!$C$33&amp;"")</f>
        <v/>
      </c>
      <c r="C51" s="62">
        <f>IF(OR($A51="",NOT(ISNUMBER($B$3))),"",COUNTIFS('通知一覧'!$C$5:$C$204,$A51,'通知一覧'!$F$5:$F$204,"&gt;="&amp;DATE($B$3,1,1),'通知一覧'!$F$5:$F$204,"&lt;"&amp;DATE($B$3+1,1,1)))</f>
        <v/>
      </c>
      <c r="D51" s="26">
        <f>IF(OR($A51="",NOT(ISNUMBER($B$3))),"",SUMIFS('通知一覧'!$Q$5:$Q$204,'通知一覧'!$C$5:$C$204,$A51,'通知一覧'!$F$5:$F$204,"&gt;="&amp;DATE($B$3,1,1),'通知一覧'!$F$5:$F$204,"&lt;"&amp;DATE($B$3+1,1,1)))</f>
        <v/>
      </c>
      <c r="E51" s="26">
        <f>IF(OR($A51="",NOT(ISNUMBER($B$3))),"",SUMIFS('通知一覧'!$R$5:$R$204,'通知一覧'!$C$5:$C$204,$A51,'通知一覧'!$F$5:$F$204,"&gt;="&amp;DATE($B$3,1,1),'通知一覧'!$F$5:$F$204,"&lt;"&amp;DATE($B$3+1,1,1)))</f>
        <v/>
      </c>
      <c r="F51" s="26">
        <f>IF(OR($A51="",NOT(ISNUMBER($B$3))),"",SUMIFS('通知一覧'!$S$5:$S$204,'通知一覧'!$C$5:$C$204,$A51,'通知一覧'!$F$5:$F$204,"&gt;="&amp;DATE($B$3,1,1),'通知一覧'!$F$5:$F$204,"&lt;"&amp;DATE($B$3+1,1,1)))</f>
        <v/>
      </c>
      <c r="G51" s="26">
        <f>IF(OR($A51="",NOT(ISNUMBER($B$3))),"",SUMIFS('通知一覧'!$U$5:$U$204,'通知一覧'!$C$5:$C$204,$A51,'通知一覧'!$F$5:$F$204,"&gt;="&amp;DATE($B$3,1,1),'通知一覧'!$F$5:$F$204,"&lt;"&amp;DATE($B$3+1,1,1)))</f>
        <v/>
      </c>
      <c r="H51" s="67" t="n"/>
    </row>
    <row r="52" ht="16" customHeight="1">
      <c r="A52" s="30">
        <f>IF('支払先'!$B$34="","",'支払先'!$B$34&amp;"")</f>
        <v/>
      </c>
      <c r="B52" s="27">
        <f>IF('支払先'!$B$34="","",'支払先'!$C$34&amp;"")</f>
        <v/>
      </c>
      <c r="C52" s="62">
        <f>IF(OR($A52="",NOT(ISNUMBER($B$3))),"",COUNTIFS('通知一覧'!$C$5:$C$204,$A52,'通知一覧'!$F$5:$F$204,"&gt;="&amp;DATE($B$3,1,1),'通知一覧'!$F$5:$F$204,"&lt;"&amp;DATE($B$3+1,1,1)))</f>
        <v/>
      </c>
      <c r="D52" s="26">
        <f>IF(OR($A52="",NOT(ISNUMBER($B$3))),"",SUMIFS('通知一覧'!$Q$5:$Q$204,'通知一覧'!$C$5:$C$204,$A52,'通知一覧'!$F$5:$F$204,"&gt;="&amp;DATE($B$3,1,1),'通知一覧'!$F$5:$F$204,"&lt;"&amp;DATE($B$3+1,1,1)))</f>
        <v/>
      </c>
      <c r="E52" s="26">
        <f>IF(OR($A52="",NOT(ISNUMBER($B$3))),"",SUMIFS('通知一覧'!$R$5:$R$204,'通知一覧'!$C$5:$C$204,$A52,'通知一覧'!$F$5:$F$204,"&gt;="&amp;DATE($B$3,1,1),'通知一覧'!$F$5:$F$204,"&lt;"&amp;DATE($B$3+1,1,1)))</f>
        <v/>
      </c>
      <c r="F52" s="26">
        <f>IF(OR($A52="",NOT(ISNUMBER($B$3))),"",SUMIFS('通知一覧'!$S$5:$S$204,'通知一覧'!$C$5:$C$204,$A52,'通知一覧'!$F$5:$F$204,"&gt;="&amp;DATE($B$3,1,1),'通知一覧'!$F$5:$F$204,"&lt;"&amp;DATE($B$3+1,1,1)))</f>
        <v/>
      </c>
      <c r="G52" s="26">
        <f>IF(OR($A52="",NOT(ISNUMBER($B$3))),"",SUMIFS('通知一覧'!$U$5:$U$204,'通知一覧'!$C$5:$C$204,$A52,'通知一覧'!$F$5:$F$204,"&gt;="&amp;DATE($B$3,1,1),'通知一覧'!$F$5:$F$204,"&lt;"&amp;DATE($B$3+1,1,1)))</f>
        <v/>
      </c>
      <c r="H52" s="67" t="n"/>
    </row>
    <row r="53" ht="16" customHeight="1">
      <c r="A53" s="30">
        <f>IF('支払先'!$B$35="","",'支払先'!$B$35&amp;"")</f>
        <v/>
      </c>
      <c r="B53" s="27">
        <f>IF('支払先'!$B$35="","",'支払先'!$C$35&amp;"")</f>
        <v/>
      </c>
      <c r="C53" s="62">
        <f>IF(OR($A53="",NOT(ISNUMBER($B$3))),"",COUNTIFS('通知一覧'!$C$5:$C$204,$A53,'通知一覧'!$F$5:$F$204,"&gt;="&amp;DATE($B$3,1,1),'通知一覧'!$F$5:$F$204,"&lt;"&amp;DATE($B$3+1,1,1)))</f>
        <v/>
      </c>
      <c r="D53" s="26">
        <f>IF(OR($A53="",NOT(ISNUMBER($B$3))),"",SUMIFS('通知一覧'!$Q$5:$Q$204,'通知一覧'!$C$5:$C$204,$A53,'通知一覧'!$F$5:$F$204,"&gt;="&amp;DATE($B$3,1,1),'通知一覧'!$F$5:$F$204,"&lt;"&amp;DATE($B$3+1,1,1)))</f>
        <v/>
      </c>
      <c r="E53" s="26">
        <f>IF(OR($A53="",NOT(ISNUMBER($B$3))),"",SUMIFS('通知一覧'!$R$5:$R$204,'通知一覧'!$C$5:$C$204,$A53,'通知一覧'!$F$5:$F$204,"&gt;="&amp;DATE($B$3,1,1),'通知一覧'!$F$5:$F$204,"&lt;"&amp;DATE($B$3+1,1,1)))</f>
        <v/>
      </c>
      <c r="F53" s="26">
        <f>IF(OR($A53="",NOT(ISNUMBER($B$3))),"",SUMIFS('通知一覧'!$S$5:$S$204,'通知一覧'!$C$5:$C$204,$A53,'通知一覧'!$F$5:$F$204,"&gt;="&amp;DATE($B$3,1,1),'通知一覧'!$F$5:$F$204,"&lt;"&amp;DATE($B$3+1,1,1)))</f>
        <v/>
      </c>
      <c r="G53" s="26">
        <f>IF(OR($A53="",NOT(ISNUMBER($B$3))),"",SUMIFS('通知一覧'!$U$5:$U$204,'通知一覧'!$C$5:$C$204,$A53,'通知一覧'!$F$5:$F$204,"&gt;="&amp;DATE($B$3,1,1),'通知一覧'!$F$5:$F$204,"&lt;"&amp;DATE($B$3+1,1,1)))</f>
        <v/>
      </c>
      <c r="H53" s="67" t="n"/>
    </row>
    <row r="54" ht="16" customHeight="1">
      <c r="A54" s="30">
        <f>IF('支払先'!$B$36="","",'支払先'!$B$36&amp;"")</f>
        <v/>
      </c>
      <c r="B54" s="27">
        <f>IF('支払先'!$B$36="","",'支払先'!$C$36&amp;"")</f>
        <v/>
      </c>
      <c r="C54" s="62">
        <f>IF(OR($A54="",NOT(ISNUMBER($B$3))),"",COUNTIFS('通知一覧'!$C$5:$C$204,$A54,'通知一覧'!$F$5:$F$204,"&gt;="&amp;DATE($B$3,1,1),'通知一覧'!$F$5:$F$204,"&lt;"&amp;DATE($B$3+1,1,1)))</f>
        <v/>
      </c>
      <c r="D54" s="26">
        <f>IF(OR($A54="",NOT(ISNUMBER($B$3))),"",SUMIFS('通知一覧'!$Q$5:$Q$204,'通知一覧'!$C$5:$C$204,$A54,'通知一覧'!$F$5:$F$204,"&gt;="&amp;DATE($B$3,1,1),'通知一覧'!$F$5:$F$204,"&lt;"&amp;DATE($B$3+1,1,1)))</f>
        <v/>
      </c>
      <c r="E54" s="26">
        <f>IF(OR($A54="",NOT(ISNUMBER($B$3))),"",SUMIFS('通知一覧'!$R$5:$R$204,'通知一覧'!$C$5:$C$204,$A54,'通知一覧'!$F$5:$F$204,"&gt;="&amp;DATE($B$3,1,1),'通知一覧'!$F$5:$F$204,"&lt;"&amp;DATE($B$3+1,1,1)))</f>
        <v/>
      </c>
      <c r="F54" s="26">
        <f>IF(OR($A54="",NOT(ISNUMBER($B$3))),"",SUMIFS('通知一覧'!$S$5:$S$204,'通知一覧'!$C$5:$C$204,$A54,'通知一覧'!$F$5:$F$204,"&gt;="&amp;DATE($B$3,1,1),'通知一覧'!$F$5:$F$204,"&lt;"&amp;DATE($B$3+1,1,1)))</f>
        <v/>
      </c>
      <c r="G54" s="26">
        <f>IF(OR($A54="",NOT(ISNUMBER($B$3))),"",SUMIFS('通知一覧'!$U$5:$U$204,'通知一覧'!$C$5:$C$204,$A54,'通知一覧'!$F$5:$F$204,"&gt;="&amp;DATE($B$3,1,1),'通知一覧'!$F$5:$F$204,"&lt;"&amp;DATE($B$3+1,1,1)))</f>
        <v/>
      </c>
      <c r="H54" s="67" t="n"/>
    </row>
    <row r="55" ht="16" customHeight="1">
      <c r="A55" s="30">
        <f>IF('支払先'!$B$37="","",'支払先'!$B$37&amp;"")</f>
        <v/>
      </c>
      <c r="B55" s="27">
        <f>IF('支払先'!$B$37="","",'支払先'!$C$37&amp;"")</f>
        <v/>
      </c>
      <c r="C55" s="62">
        <f>IF(OR($A55="",NOT(ISNUMBER($B$3))),"",COUNTIFS('通知一覧'!$C$5:$C$204,$A55,'通知一覧'!$F$5:$F$204,"&gt;="&amp;DATE($B$3,1,1),'通知一覧'!$F$5:$F$204,"&lt;"&amp;DATE($B$3+1,1,1)))</f>
        <v/>
      </c>
      <c r="D55" s="26">
        <f>IF(OR($A55="",NOT(ISNUMBER($B$3))),"",SUMIFS('通知一覧'!$Q$5:$Q$204,'通知一覧'!$C$5:$C$204,$A55,'通知一覧'!$F$5:$F$204,"&gt;="&amp;DATE($B$3,1,1),'通知一覧'!$F$5:$F$204,"&lt;"&amp;DATE($B$3+1,1,1)))</f>
        <v/>
      </c>
      <c r="E55" s="26">
        <f>IF(OR($A55="",NOT(ISNUMBER($B$3))),"",SUMIFS('通知一覧'!$R$5:$R$204,'通知一覧'!$C$5:$C$204,$A55,'通知一覧'!$F$5:$F$204,"&gt;="&amp;DATE($B$3,1,1),'通知一覧'!$F$5:$F$204,"&lt;"&amp;DATE($B$3+1,1,1)))</f>
        <v/>
      </c>
      <c r="F55" s="26">
        <f>IF(OR($A55="",NOT(ISNUMBER($B$3))),"",SUMIFS('通知一覧'!$S$5:$S$204,'通知一覧'!$C$5:$C$204,$A55,'通知一覧'!$F$5:$F$204,"&gt;="&amp;DATE($B$3,1,1),'通知一覧'!$F$5:$F$204,"&lt;"&amp;DATE($B$3+1,1,1)))</f>
        <v/>
      </c>
      <c r="G55" s="26">
        <f>IF(OR($A55="",NOT(ISNUMBER($B$3))),"",SUMIFS('通知一覧'!$U$5:$U$204,'通知一覧'!$C$5:$C$204,$A55,'通知一覧'!$F$5:$F$204,"&gt;="&amp;DATE($B$3,1,1),'通知一覧'!$F$5:$F$204,"&lt;"&amp;DATE($B$3+1,1,1)))</f>
        <v/>
      </c>
      <c r="H55" s="67" t="n"/>
    </row>
    <row r="56" ht="16" customHeight="1">
      <c r="A56" s="30">
        <f>IF('支払先'!$B$38="","",'支払先'!$B$38&amp;"")</f>
        <v/>
      </c>
      <c r="B56" s="27">
        <f>IF('支払先'!$B$38="","",'支払先'!$C$38&amp;"")</f>
        <v/>
      </c>
      <c r="C56" s="62">
        <f>IF(OR($A56="",NOT(ISNUMBER($B$3))),"",COUNTIFS('通知一覧'!$C$5:$C$204,$A56,'通知一覧'!$F$5:$F$204,"&gt;="&amp;DATE($B$3,1,1),'通知一覧'!$F$5:$F$204,"&lt;"&amp;DATE($B$3+1,1,1)))</f>
        <v/>
      </c>
      <c r="D56" s="26">
        <f>IF(OR($A56="",NOT(ISNUMBER($B$3))),"",SUMIFS('通知一覧'!$Q$5:$Q$204,'通知一覧'!$C$5:$C$204,$A56,'通知一覧'!$F$5:$F$204,"&gt;="&amp;DATE($B$3,1,1),'通知一覧'!$F$5:$F$204,"&lt;"&amp;DATE($B$3+1,1,1)))</f>
        <v/>
      </c>
      <c r="E56" s="26">
        <f>IF(OR($A56="",NOT(ISNUMBER($B$3))),"",SUMIFS('通知一覧'!$R$5:$R$204,'通知一覧'!$C$5:$C$204,$A56,'通知一覧'!$F$5:$F$204,"&gt;="&amp;DATE($B$3,1,1),'通知一覧'!$F$5:$F$204,"&lt;"&amp;DATE($B$3+1,1,1)))</f>
        <v/>
      </c>
      <c r="F56" s="26">
        <f>IF(OR($A56="",NOT(ISNUMBER($B$3))),"",SUMIFS('通知一覧'!$S$5:$S$204,'通知一覧'!$C$5:$C$204,$A56,'通知一覧'!$F$5:$F$204,"&gt;="&amp;DATE($B$3,1,1),'通知一覧'!$F$5:$F$204,"&lt;"&amp;DATE($B$3+1,1,1)))</f>
        <v/>
      </c>
      <c r="G56" s="26">
        <f>IF(OR($A56="",NOT(ISNUMBER($B$3))),"",SUMIFS('通知一覧'!$U$5:$U$204,'通知一覧'!$C$5:$C$204,$A56,'通知一覧'!$F$5:$F$204,"&gt;="&amp;DATE($B$3,1,1),'通知一覧'!$F$5:$F$204,"&lt;"&amp;DATE($B$3+1,1,1)))</f>
        <v/>
      </c>
      <c r="H56" s="67" t="n"/>
    </row>
    <row r="57" ht="16" customHeight="1">
      <c r="A57" s="30">
        <f>IF('支払先'!$B$39="","",'支払先'!$B$39&amp;"")</f>
        <v/>
      </c>
      <c r="B57" s="27">
        <f>IF('支払先'!$B$39="","",'支払先'!$C$39&amp;"")</f>
        <v/>
      </c>
      <c r="C57" s="62">
        <f>IF(OR($A57="",NOT(ISNUMBER($B$3))),"",COUNTIFS('通知一覧'!$C$5:$C$204,$A57,'通知一覧'!$F$5:$F$204,"&gt;="&amp;DATE($B$3,1,1),'通知一覧'!$F$5:$F$204,"&lt;"&amp;DATE($B$3+1,1,1)))</f>
        <v/>
      </c>
      <c r="D57" s="26">
        <f>IF(OR($A57="",NOT(ISNUMBER($B$3))),"",SUMIFS('通知一覧'!$Q$5:$Q$204,'通知一覧'!$C$5:$C$204,$A57,'通知一覧'!$F$5:$F$204,"&gt;="&amp;DATE($B$3,1,1),'通知一覧'!$F$5:$F$204,"&lt;"&amp;DATE($B$3+1,1,1)))</f>
        <v/>
      </c>
      <c r="E57" s="26">
        <f>IF(OR($A57="",NOT(ISNUMBER($B$3))),"",SUMIFS('通知一覧'!$R$5:$R$204,'通知一覧'!$C$5:$C$204,$A57,'通知一覧'!$F$5:$F$204,"&gt;="&amp;DATE($B$3,1,1),'通知一覧'!$F$5:$F$204,"&lt;"&amp;DATE($B$3+1,1,1)))</f>
        <v/>
      </c>
      <c r="F57" s="26">
        <f>IF(OR($A57="",NOT(ISNUMBER($B$3))),"",SUMIFS('通知一覧'!$S$5:$S$204,'通知一覧'!$C$5:$C$204,$A57,'通知一覧'!$F$5:$F$204,"&gt;="&amp;DATE($B$3,1,1),'通知一覧'!$F$5:$F$204,"&lt;"&amp;DATE($B$3+1,1,1)))</f>
        <v/>
      </c>
      <c r="G57" s="26">
        <f>IF(OR($A57="",NOT(ISNUMBER($B$3))),"",SUMIFS('通知一覧'!$U$5:$U$204,'通知一覧'!$C$5:$C$204,$A57,'通知一覧'!$F$5:$F$204,"&gt;="&amp;DATE($B$3,1,1),'通知一覧'!$F$5:$F$204,"&lt;"&amp;DATE($B$3+1,1,1)))</f>
        <v/>
      </c>
      <c r="H57" s="67" t="n"/>
    </row>
    <row r="58" ht="16" customHeight="1">
      <c r="A58" s="30">
        <f>IF('支払先'!$B$40="","",'支払先'!$B$40&amp;"")</f>
        <v/>
      </c>
      <c r="B58" s="27">
        <f>IF('支払先'!$B$40="","",'支払先'!$C$40&amp;"")</f>
        <v/>
      </c>
      <c r="C58" s="62">
        <f>IF(OR($A58="",NOT(ISNUMBER($B$3))),"",COUNTIFS('通知一覧'!$C$5:$C$204,$A58,'通知一覧'!$F$5:$F$204,"&gt;="&amp;DATE($B$3,1,1),'通知一覧'!$F$5:$F$204,"&lt;"&amp;DATE($B$3+1,1,1)))</f>
        <v/>
      </c>
      <c r="D58" s="26">
        <f>IF(OR($A58="",NOT(ISNUMBER($B$3))),"",SUMIFS('通知一覧'!$Q$5:$Q$204,'通知一覧'!$C$5:$C$204,$A58,'通知一覧'!$F$5:$F$204,"&gt;="&amp;DATE($B$3,1,1),'通知一覧'!$F$5:$F$204,"&lt;"&amp;DATE($B$3+1,1,1)))</f>
        <v/>
      </c>
      <c r="E58" s="26">
        <f>IF(OR($A58="",NOT(ISNUMBER($B$3))),"",SUMIFS('通知一覧'!$R$5:$R$204,'通知一覧'!$C$5:$C$204,$A58,'通知一覧'!$F$5:$F$204,"&gt;="&amp;DATE($B$3,1,1),'通知一覧'!$F$5:$F$204,"&lt;"&amp;DATE($B$3+1,1,1)))</f>
        <v/>
      </c>
      <c r="F58" s="26">
        <f>IF(OR($A58="",NOT(ISNUMBER($B$3))),"",SUMIFS('通知一覧'!$S$5:$S$204,'通知一覧'!$C$5:$C$204,$A58,'通知一覧'!$F$5:$F$204,"&gt;="&amp;DATE($B$3,1,1),'通知一覧'!$F$5:$F$204,"&lt;"&amp;DATE($B$3+1,1,1)))</f>
        <v/>
      </c>
      <c r="G58" s="26">
        <f>IF(OR($A58="",NOT(ISNUMBER($B$3))),"",SUMIFS('通知一覧'!$U$5:$U$204,'通知一覧'!$C$5:$C$204,$A58,'通知一覧'!$F$5:$F$204,"&gt;="&amp;DATE($B$3,1,1),'通知一覧'!$F$5:$F$204,"&lt;"&amp;DATE($B$3+1,1,1)))</f>
        <v/>
      </c>
      <c r="H58" s="67" t="n"/>
    </row>
    <row r="59" ht="16" customHeight="1">
      <c r="A59" s="30">
        <f>IF('支払先'!$B$41="","",'支払先'!$B$41&amp;"")</f>
        <v/>
      </c>
      <c r="B59" s="27">
        <f>IF('支払先'!$B$41="","",'支払先'!$C$41&amp;"")</f>
        <v/>
      </c>
      <c r="C59" s="62">
        <f>IF(OR($A59="",NOT(ISNUMBER($B$3))),"",COUNTIFS('通知一覧'!$C$5:$C$204,$A59,'通知一覧'!$F$5:$F$204,"&gt;="&amp;DATE($B$3,1,1),'通知一覧'!$F$5:$F$204,"&lt;"&amp;DATE($B$3+1,1,1)))</f>
        <v/>
      </c>
      <c r="D59" s="26">
        <f>IF(OR($A59="",NOT(ISNUMBER($B$3))),"",SUMIFS('通知一覧'!$Q$5:$Q$204,'通知一覧'!$C$5:$C$204,$A59,'通知一覧'!$F$5:$F$204,"&gt;="&amp;DATE($B$3,1,1),'通知一覧'!$F$5:$F$204,"&lt;"&amp;DATE($B$3+1,1,1)))</f>
        <v/>
      </c>
      <c r="E59" s="26">
        <f>IF(OR($A59="",NOT(ISNUMBER($B$3))),"",SUMIFS('通知一覧'!$R$5:$R$204,'通知一覧'!$C$5:$C$204,$A59,'通知一覧'!$F$5:$F$204,"&gt;="&amp;DATE($B$3,1,1),'通知一覧'!$F$5:$F$204,"&lt;"&amp;DATE($B$3+1,1,1)))</f>
        <v/>
      </c>
      <c r="F59" s="26">
        <f>IF(OR($A59="",NOT(ISNUMBER($B$3))),"",SUMIFS('通知一覧'!$S$5:$S$204,'通知一覧'!$C$5:$C$204,$A59,'通知一覧'!$F$5:$F$204,"&gt;="&amp;DATE($B$3,1,1),'通知一覧'!$F$5:$F$204,"&lt;"&amp;DATE($B$3+1,1,1)))</f>
        <v/>
      </c>
      <c r="G59" s="26">
        <f>IF(OR($A59="",NOT(ISNUMBER($B$3))),"",SUMIFS('通知一覧'!$U$5:$U$204,'通知一覧'!$C$5:$C$204,$A59,'通知一覧'!$F$5:$F$204,"&gt;="&amp;DATE($B$3,1,1),'通知一覧'!$F$5:$F$204,"&lt;"&amp;DATE($B$3+1,1,1)))</f>
        <v/>
      </c>
      <c r="H59" s="67" t="n"/>
    </row>
    <row r="60" ht="16" customHeight="1">
      <c r="A60" s="30">
        <f>IF('支払先'!$B$42="","",'支払先'!$B$42&amp;"")</f>
        <v/>
      </c>
      <c r="B60" s="27">
        <f>IF('支払先'!$B$42="","",'支払先'!$C$42&amp;"")</f>
        <v/>
      </c>
      <c r="C60" s="62">
        <f>IF(OR($A60="",NOT(ISNUMBER($B$3))),"",COUNTIFS('通知一覧'!$C$5:$C$204,$A60,'通知一覧'!$F$5:$F$204,"&gt;="&amp;DATE($B$3,1,1),'通知一覧'!$F$5:$F$204,"&lt;"&amp;DATE($B$3+1,1,1)))</f>
        <v/>
      </c>
      <c r="D60" s="26">
        <f>IF(OR($A60="",NOT(ISNUMBER($B$3))),"",SUMIFS('通知一覧'!$Q$5:$Q$204,'通知一覧'!$C$5:$C$204,$A60,'通知一覧'!$F$5:$F$204,"&gt;="&amp;DATE($B$3,1,1),'通知一覧'!$F$5:$F$204,"&lt;"&amp;DATE($B$3+1,1,1)))</f>
        <v/>
      </c>
      <c r="E60" s="26">
        <f>IF(OR($A60="",NOT(ISNUMBER($B$3))),"",SUMIFS('通知一覧'!$R$5:$R$204,'通知一覧'!$C$5:$C$204,$A60,'通知一覧'!$F$5:$F$204,"&gt;="&amp;DATE($B$3,1,1),'通知一覧'!$F$5:$F$204,"&lt;"&amp;DATE($B$3+1,1,1)))</f>
        <v/>
      </c>
      <c r="F60" s="26">
        <f>IF(OR($A60="",NOT(ISNUMBER($B$3))),"",SUMIFS('通知一覧'!$S$5:$S$204,'通知一覧'!$C$5:$C$204,$A60,'通知一覧'!$F$5:$F$204,"&gt;="&amp;DATE($B$3,1,1),'通知一覧'!$F$5:$F$204,"&lt;"&amp;DATE($B$3+1,1,1)))</f>
        <v/>
      </c>
      <c r="G60" s="26">
        <f>IF(OR($A60="",NOT(ISNUMBER($B$3))),"",SUMIFS('通知一覧'!$U$5:$U$204,'通知一覧'!$C$5:$C$204,$A60,'通知一覧'!$F$5:$F$204,"&gt;="&amp;DATE($B$3,1,1),'通知一覧'!$F$5:$F$204,"&lt;"&amp;DATE($B$3+1,1,1)))</f>
        <v/>
      </c>
      <c r="H60" s="67" t="n"/>
    </row>
    <row r="61" ht="16" customHeight="1">
      <c r="A61" s="30">
        <f>IF('支払先'!$B$43="","",'支払先'!$B$43&amp;"")</f>
        <v/>
      </c>
      <c r="B61" s="27">
        <f>IF('支払先'!$B$43="","",'支払先'!$C$43&amp;"")</f>
        <v/>
      </c>
      <c r="C61" s="62">
        <f>IF(OR($A61="",NOT(ISNUMBER($B$3))),"",COUNTIFS('通知一覧'!$C$5:$C$204,$A61,'通知一覧'!$F$5:$F$204,"&gt;="&amp;DATE($B$3,1,1),'通知一覧'!$F$5:$F$204,"&lt;"&amp;DATE($B$3+1,1,1)))</f>
        <v/>
      </c>
      <c r="D61" s="26">
        <f>IF(OR($A61="",NOT(ISNUMBER($B$3))),"",SUMIFS('通知一覧'!$Q$5:$Q$204,'通知一覧'!$C$5:$C$204,$A61,'通知一覧'!$F$5:$F$204,"&gt;="&amp;DATE($B$3,1,1),'通知一覧'!$F$5:$F$204,"&lt;"&amp;DATE($B$3+1,1,1)))</f>
        <v/>
      </c>
      <c r="E61" s="26">
        <f>IF(OR($A61="",NOT(ISNUMBER($B$3))),"",SUMIFS('通知一覧'!$R$5:$R$204,'通知一覧'!$C$5:$C$204,$A61,'通知一覧'!$F$5:$F$204,"&gt;="&amp;DATE($B$3,1,1),'通知一覧'!$F$5:$F$204,"&lt;"&amp;DATE($B$3+1,1,1)))</f>
        <v/>
      </c>
      <c r="F61" s="26">
        <f>IF(OR($A61="",NOT(ISNUMBER($B$3))),"",SUMIFS('通知一覧'!$S$5:$S$204,'通知一覧'!$C$5:$C$204,$A61,'通知一覧'!$F$5:$F$204,"&gt;="&amp;DATE($B$3,1,1),'通知一覧'!$F$5:$F$204,"&lt;"&amp;DATE($B$3+1,1,1)))</f>
        <v/>
      </c>
      <c r="G61" s="26">
        <f>IF(OR($A61="",NOT(ISNUMBER($B$3))),"",SUMIFS('通知一覧'!$U$5:$U$204,'通知一覧'!$C$5:$C$204,$A61,'通知一覧'!$F$5:$F$204,"&gt;="&amp;DATE($B$3,1,1),'通知一覧'!$F$5:$F$204,"&lt;"&amp;DATE($B$3+1,1,1)))</f>
        <v/>
      </c>
      <c r="H61" s="67" t="n"/>
    </row>
    <row r="62" ht="16" customHeight="1">
      <c r="A62" s="30">
        <f>IF('支払先'!$B$44="","",'支払先'!$B$44&amp;"")</f>
        <v/>
      </c>
      <c r="B62" s="27">
        <f>IF('支払先'!$B$44="","",'支払先'!$C$44&amp;"")</f>
        <v/>
      </c>
      <c r="C62" s="62">
        <f>IF(OR($A62="",NOT(ISNUMBER($B$3))),"",COUNTIFS('通知一覧'!$C$5:$C$204,$A62,'通知一覧'!$F$5:$F$204,"&gt;="&amp;DATE($B$3,1,1),'通知一覧'!$F$5:$F$204,"&lt;"&amp;DATE($B$3+1,1,1)))</f>
        <v/>
      </c>
      <c r="D62" s="26">
        <f>IF(OR($A62="",NOT(ISNUMBER($B$3))),"",SUMIFS('通知一覧'!$Q$5:$Q$204,'通知一覧'!$C$5:$C$204,$A62,'通知一覧'!$F$5:$F$204,"&gt;="&amp;DATE($B$3,1,1),'通知一覧'!$F$5:$F$204,"&lt;"&amp;DATE($B$3+1,1,1)))</f>
        <v/>
      </c>
      <c r="E62" s="26">
        <f>IF(OR($A62="",NOT(ISNUMBER($B$3))),"",SUMIFS('通知一覧'!$R$5:$R$204,'通知一覧'!$C$5:$C$204,$A62,'通知一覧'!$F$5:$F$204,"&gt;="&amp;DATE($B$3,1,1),'通知一覧'!$F$5:$F$204,"&lt;"&amp;DATE($B$3+1,1,1)))</f>
        <v/>
      </c>
      <c r="F62" s="26">
        <f>IF(OR($A62="",NOT(ISNUMBER($B$3))),"",SUMIFS('通知一覧'!$S$5:$S$204,'通知一覧'!$C$5:$C$204,$A62,'通知一覧'!$F$5:$F$204,"&gt;="&amp;DATE($B$3,1,1),'通知一覧'!$F$5:$F$204,"&lt;"&amp;DATE($B$3+1,1,1)))</f>
        <v/>
      </c>
      <c r="G62" s="26">
        <f>IF(OR($A62="",NOT(ISNUMBER($B$3))),"",SUMIFS('通知一覧'!$U$5:$U$204,'通知一覧'!$C$5:$C$204,$A62,'通知一覧'!$F$5:$F$204,"&gt;="&amp;DATE($B$3,1,1),'通知一覧'!$F$5:$F$204,"&lt;"&amp;DATE($B$3+1,1,1)))</f>
        <v/>
      </c>
      <c r="H62" s="67" t="n"/>
    </row>
    <row r="63" ht="16" customHeight="1">
      <c r="A63" s="30">
        <f>IF('支払先'!$B$45="","",'支払先'!$B$45&amp;"")</f>
        <v/>
      </c>
      <c r="B63" s="27">
        <f>IF('支払先'!$B$45="","",'支払先'!$C$45&amp;"")</f>
        <v/>
      </c>
      <c r="C63" s="62">
        <f>IF(OR($A63="",NOT(ISNUMBER($B$3))),"",COUNTIFS('通知一覧'!$C$5:$C$204,$A63,'通知一覧'!$F$5:$F$204,"&gt;="&amp;DATE($B$3,1,1),'通知一覧'!$F$5:$F$204,"&lt;"&amp;DATE($B$3+1,1,1)))</f>
        <v/>
      </c>
      <c r="D63" s="26">
        <f>IF(OR($A63="",NOT(ISNUMBER($B$3))),"",SUMIFS('通知一覧'!$Q$5:$Q$204,'通知一覧'!$C$5:$C$204,$A63,'通知一覧'!$F$5:$F$204,"&gt;="&amp;DATE($B$3,1,1),'通知一覧'!$F$5:$F$204,"&lt;"&amp;DATE($B$3+1,1,1)))</f>
        <v/>
      </c>
      <c r="E63" s="26">
        <f>IF(OR($A63="",NOT(ISNUMBER($B$3))),"",SUMIFS('通知一覧'!$R$5:$R$204,'通知一覧'!$C$5:$C$204,$A63,'通知一覧'!$F$5:$F$204,"&gt;="&amp;DATE($B$3,1,1),'通知一覧'!$F$5:$F$204,"&lt;"&amp;DATE($B$3+1,1,1)))</f>
        <v/>
      </c>
      <c r="F63" s="26">
        <f>IF(OR($A63="",NOT(ISNUMBER($B$3))),"",SUMIFS('通知一覧'!$S$5:$S$204,'通知一覧'!$C$5:$C$204,$A63,'通知一覧'!$F$5:$F$204,"&gt;="&amp;DATE($B$3,1,1),'通知一覧'!$F$5:$F$204,"&lt;"&amp;DATE($B$3+1,1,1)))</f>
        <v/>
      </c>
      <c r="G63" s="26">
        <f>IF(OR($A63="",NOT(ISNUMBER($B$3))),"",SUMIFS('通知一覧'!$U$5:$U$204,'通知一覧'!$C$5:$C$204,$A63,'通知一覧'!$F$5:$F$204,"&gt;="&amp;DATE($B$3,1,1),'通知一覧'!$F$5:$F$204,"&lt;"&amp;DATE($B$3+1,1,1)))</f>
        <v/>
      </c>
      <c r="H63" s="67" t="n"/>
    </row>
    <row r="64" ht="16" customHeight="1">
      <c r="A64" s="30">
        <f>IF('支払先'!$B$46="","",'支払先'!$B$46&amp;"")</f>
        <v/>
      </c>
      <c r="B64" s="27">
        <f>IF('支払先'!$B$46="","",'支払先'!$C$46&amp;"")</f>
        <v/>
      </c>
      <c r="C64" s="62">
        <f>IF(OR($A64="",NOT(ISNUMBER($B$3))),"",COUNTIFS('通知一覧'!$C$5:$C$204,$A64,'通知一覧'!$F$5:$F$204,"&gt;="&amp;DATE($B$3,1,1),'通知一覧'!$F$5:$F$204,"&lt;"&amp;DATE($B$3+1,1,1)))</f>
        <v/>
      </c>
      <c r="D64" s="26">
        <f>IF(OR($A64="",NOT(ISNUMBER($B$3))),"",SUMIFS('通知一覧'!$Q$5:$Q$204,'通知一覧'!$C$5:$C$204,$A64,'通知一覧'!$F$5:$F$204,"&gt;="&amp;DATE($B$3,1,1),'通知一覧'!$F$5:$F$204,"&lt;"&amp;DATE($B$3+1,1,1)))</f>
        <v/>
      </c>
      <c r="E64" s="26">
        <f>IF(OR($A64="",NOT(ISNUMBER($B$3))),"",SUMIFS('通知一覧'!$R$5:$R$204,'通知一覧'!$C$5:$C$204,$A64,'通知一覧'!$F$5:$F$204,"&gt;="&amp;DATE($B$3,1,1),'通知一覧'!$F$5:$F$204,"&lt;"&amp;DATE($B$3+1,1,1)))</f>
        <v/>
      </c>
      <c r="F64" s="26">
        <f>IF(OR($A64="",NOT(ISNUMBER($B$3))),"",SUMIFS('通知一覧'!$S$5:$S$204,'通知一覧'!$C$5:$C$204,$A64,'通知一覧'!$F$5:$F$204,"&gt;="&amp;DATE($B$3,1,1),'通知一覧'!$F$5:$F$204,"&lt;"&amp;DATE($B$3+1,1,1)))</f>
        <v/>
      </c>
      <c r="G64" s="26">
        <f>IF(OR($A64="",NOT(ISNUMBER($B$3))),"",SUMIFS('通知一覧'!$U$5:$U$204,'通知一覧'!$C$5:$C$204,$A64,'通知一覧'!$F$5:$F$204,"&gt;="&amp;DATE($B$3,1,1),'通知一覧'!$F$5:$F$204,"&lt;"&amp;DATE($B$3+1,1,1)))</f>
        <v/>
      </c>
      <c r="H64" s="67" t="n"/>
    </row>
    <row r="65" ht="16" customHeight="1">
      <c r="A65" s="30">
        <f>IF('支払先'!$B$47="","",'支払先'!$B$47&amp;"")</f>
        <v/>
      </c>
      <c r="B65" s="27">
        <f>IF('支払先'!$B$47="","",'支払先'!$C$47&amp;"")</f>
        <v/>
      </c>
      <c r="C65" s="62">
        <f>IF(OR($A65="",NOT(ISNUMBER($B$3))),"",COUNTIFS('通知一覧'!$C$5:$C$204,$A65,'通知一覧'!$F$5:$F$204,"&gt;="&amp;DATE($B$3,1,1),'通知一覧'!$F$5:$F$204,"&lt;"&amp;DATE($B$3+1,1,1)))</f>
        <v/>
      </c>
      <c r="D65" s="26">
        <f>IF(OR($A65="",NOT(ISNUMBER($B$3))),"",SUMIFS('通知一覧'!$Q$5:$Q$204,'通知一覧'!$C$5:$C$204,$A65,'通知一覧'!$F$5:$F$204,"&gt;="&amp;DATE($B$3,1,1),'通知一覧'!$F$5:$F$204,"&lt;"&amp;DATE($B$3+1,1,1)))</f>
        <v/>
      </c>
      <c r="E65" s="26">
        <f>IF(OR($A65="",NOT(ISNUMBER($B$3))),"",SUMIFS('通知一覧'!$R$5:$R$204,'通知一覧'!$C$5:$C$204,$A65,'通知一覧'!$F$5:$F$204,"&gt;="&amp;DATE($B$3,1,1),'通知一覧'!$F$5:$F$204,"&lt;"&amp;DATE($B$3+1,1,1)))</f>
        <v/>
      </c>
      <c r="F65" s="26">
        <f>IF(OR($A65="",NOT(ISNUMBER($B$3))),"",SUMIFS('通知一覧'!$S$5:$S$204,'通知一覧'!$C$5:$C$204,$A65,'通知一覧'!$F$5:$F$204,"&gt;="&amp;DATE($B$3,1,1),'通知一覧'!$F$5:$F$204,"&lt;"&amp;DATE($B$3+1,1,1)))</f>
        <v/>
      </c>
      <c r="G65" s="26">
        <f>IF(OR($A65="",NOT(ISNUMBER($B$3))),"",SUMIFS('通知一覧'!$U$5:$U$204,'通知一覧'!$C$5:$C$204,$A65,'通知一覧'!$F$5:$F$204,"&gt;="&amp;DATE($B$3,1,1),'通知一覧'!$F$5:$F$204,"&lt;"&amp;DATE($B$3+1,1,1)))</f>
        <v/>
      </c>
      <c r="H65" s="67" t="n"/>
    </row>
    <row r="66" ht="16" customHeight="1">
      <c r="A66" s="30">
        <f>IF('支払先'!$B$48="","",'支払先'!$B$48&amp;"")</f>
        <v/>
      </c>
      <c r="B66" s="27">
        <f>IF('支払先'!$B$48="","",'支払先'!$C$48&amp;"")</f>
        <v/>
      </c>
      <c r="C66" s="62">
        <f>IF(OR($A66="",NOT(ISNUMBER($B$3))),"",COUNTIFS('通知一覧'!$C$5:$C$204,$A66,'通知一覧'!$F$5:$F$204,"&gt;="&amp;DATE($B$3,1,1),'通知一覧'!$F$5:$F$204,"&lt;"&amp;DATE($B$3+1,1,1)))</f>
        <v/>
      </c>
      <c r="D66" s="26">
        <f>IF(OR($A66="",NOT(ISNUMBER($B$3))),"",SUMIFS('通知一覧'!$Q$5:$Q$204,'通知一覧'!$C$5:$C$204,$A66,'通知一覧'!$F$5:$F$204,"&gt;="&amp;DATE($B$3,1,1),'通知一覧'!$F$5:$F$204,"&lt;"&amp;DATE($B$3+1,1,1)))</f>
        <v/>
      </c>
      <c r="E66" s="26">
        <f>IF(OR($A66="",NOT(ISNUMBER($B$3))),"",SUMIFS('通知一覧'!$R$5:$R$204,'通知一覧'!$C$5:$C$204,$A66,'通知一覧'!$F$5:$F$204,"&gt;="&amp;DATE($B$3,1,1),'通知一覧'!$F$5:$F$204,"&lt;"&amp;DATE($B$3+1,1,1)))</f>
        <v/>
      </c>
      <c r="F66" s="26">
        <f>IF(OR($A66="",NOT(ISNUMBER($B$3))),"",SUMIFS('通知一覧'!$S$5:$S$204,'通知一覧'!$C$5:$C$204,$A66,'通知一覧'!$F$5:$F$204,"&gt;="&amp;DATE($B$3,1,1),'通知一覧'!$F$5:$F$204,"&lt;"&amp;DATE($B$3+1,1,1)))</f>
        <v/>
      </c>
      <c r="G66" s="26">
        <f>IF(OR($A66="",NOT(ISNUMBER($B$3))),"",SUMIFS('通知一覧'!$U$5:$U$204,'通知一覧'!$C$5:$C$204,$A66,'通知一覧'!$F$5:$F$204,"&gt;="&amp;DATE($B$3,1,1),'通知一覧'!$F$5:$F$204,"&lt;"&amp;DATE($B$3+1,1,1)))</f>
        <v/>
      </c>
      <c r="H66" s="67" t="n"/>
    </row>
    <row r="67" ht="16" customHeight="1">
      <c r="A67" s="30">
        <f>IF('支払先'!$B$49="","",'支払先'!$B$49&amp;"")</f>
        <v/>
      </c>
      <c r="B67" s="27">
        <f>IF('支払先'!$B$49="","",'支払先'!$C$49&amp;"")</f>
        <v/>
      </c>
      <c r="C67" s="62">
        <f>IF(OR($A67="",NOT(ISNUMBER($B$3))),"",COUNTIFS('通知一覧'!$C$5:$C$204,$A67,'通知一覧'!$F$5:$F$204,"&gt;="&amp;DATE($B$3,1,1),'通知一覧'!$F$5:$F$204,"&lt;"&amp;DATE($B$3+1,1,1)))</f>
        <v/>
      </c>
      <c r="D67" s="26">
        <f>IF(OR($A67="",NOT(ISNUMBER($B$3))),"",SUMIFS('通知一覧'!$Q$5:$Q$204,'通知一覧'!$C$5:$C$204,$A67,'通知一覧'!$F$5:$F$204,"&gt;="&amp;DATE($B$3,1,1),'通知一覧'!$F$5:$F$204,"&lt;"&amp;DATE($B$3+1,1,1)))</f>
        <v/>
      </c>
      <c r="E67" s="26">
        <f>IF(OR($A67="",NOT(ISNUMBER($B$3))),"",SUMIFS('通知一覧'!$R$5:$R$204,'通知一覧'!$C$5:$C$204,$A67,'通知一覧'!$F$5:$F$204,"&gt;="&amp;DATE($B$3,1,1),'通知一覧'!$F$5:$F$204,"&lt;"&amp;DATE($B$3+1,1,1)))</f>
        <v/>
      </c>
      <c r="F67" s="26">
        <f>IF(OR($A67="",NOT(ISNUMBER($B$3))),"",SUMIFS('通知一覧'!$S$5:$S$204,'通知一覧'!$C$5:$C$204,$A67,'通知一覧'!$F$5:$F$204,"&gt;="&amp;DATE($B$3,1,1),'通知一覧'!$F$5:$F$204,"&lt;"&amp;DATE($B$3+1,1,1)))</f>
        <v/>
      </c>
      <c r="G67" s="26">
        <f>IF(OR($A67="",NOT(ISNUMBER($B$3))),"",SUMIFS('通知一覧'!$U$5:$U$204,'通知一覧'!$C$5:$C$204,$A67,'通知一覧'!$F$5:$F$204,"&gt;="&amp;DATE($B$3,1,1),'通知一覧'!$F$5:$F$204,"&lt;"&amp;DATE($B$3+1,1,1)))</f>
        <v/>
      </c>
      <c r="H67" s="67" t="n"/>
    </row>
    <row r="68" ht="16" customHeight="1">
      <c r="A68" s="30">
        <f>IF('支払先'!$B$50="","",'支払先'!$B$50&amp;"")</f>
        <v/>
      </c>
      <c r="B68" s="27">
        <f>IF('支払先'!$B$50="","",'支払先'!$C$50&amp;"")</f>
        <v/>
      </c>
      <c r="C68" s="62">
        <f>IF(OR($A68="",NOT(ISNUMBER($B$3))),"",COUNTIFS('通知一覧'!$C$5:$C$204,$A68,'通知一覧'!$F$5:$F$204,"&gt;="&amp;DATE($B$3,1,1),'通知一覧'!$F$5:$F$204,"&lt;"&amp;DATE($B$3+1,1,1)))</f>
        <v/>
      </c>
      <c r="D68" s="26">
        <f>IF(OR($A68="",NOT(ISNUMBER($B$3))),"",SUMIFS('通知一覧'!$Q$5:$Q$204,'通知一覧'!$C$5:$C$204,$A68,'通知一覧'!$F$5:$F$204,"&gt;="&amp;DATE($B$3,1,1),'通知一覧'!$F$5:$F$204,"&lt;"&amp;DATE($B$3+1,1,1)))</f>
        <v/>
      </c>
      <c r="E68" s="26">
        <f>IF(OR($A68="",NOT(ISNUMBER($B$3))),"",SUMIFS('通知一覧'!$R$5:$R$204,'通知一覧'!$C$5:$C$204,$A68,'通知一覧'!$F$5:$F$204,"&gt;="&amp;DATE($B$3,1,1),'通知一覧'!$F$5:$F$204,"&lt;"&amp;DATE($B$3+1,1,1)))</f>
        <v/>
      </c>
      <c r="F68" s="26">
        <f>IF(OR($A68="",NOT(ISNUMBER($B$3))),"",SUMIFS('通知一覧'!$S$5:$S$204,'通知一覧'!$C$5:$C$204,$A68,'通知一覧'!$F$5:$F$204,"&gt;="&amp;DATE($B$3,1,1),'通知一覧'!$F$5:$F$204,"&lt;"&amp;DATE($B$3+1,1,1)))</f>
        <v/>
      </c>
      <c r="G68" s="26">
        <f>IF(OR($A68="",NOT(ISNUMBER($B$3))),"",SUMIFS('通知一覧'!$U$5:$U$204,'通知一覧'!$C$5:$C$204,$A68,'通知一覧'!$F$5:$F$204,"&gt;="&amp;DATE($B$3,1,1),'通知一覧'!$F$5:$F$204,"&lt;"&amp;DATE($B$3+1,1,1)))</f>
        <v/>
      </c>
      <c r="H68" s="67" t="n"/>
    </row>
    <row r="69" ht="16" customHeight="1">
      <c r="A69" s="30">
        <f>IF('支払先'!$B$51="","",'支払先'!$B$51&amp;"")</f>
        <v/>
      </c>
      <c r="B69" s="27">
        <f>IF('支払先'!$B$51="","",'支払先'!$C$51&amp;"")</f>
        <v/>
      </c>
      <c r="C69" s="62">
        <f>IF(OR($A69="",NOT(ISNUMBER($B$3))),"",COUNTIFS('通知一覧'!$C$5:$C$204,$A69,'通知一覧'!$F$5:$F$204,"&gt;="&amp;DATE($B$3,1,1),'通知一覧'!$F$5:$F$204,"&lt;"&amp;DATE($B$3+1,1,1)))</f>
        <v/>
      </c>
      <c r="D69" s="26">
        <f>IF(OR($A69="",NOT(ISNUMBER($B$3))),"",SUMIFS('通知一覧'!$Q$5:$Q$204,'通知一覧'!$C$5:$C$204,$A69,'通知一覧'!$F$5:$F$204,"&gt;="&amp;DATE($B$3,1,1),'通知一覧'!$F$5:$F$204,"&lt;"&amp;DATE($B$3+1,1,1)))</f>
        <v/>
      </c>
      <c r="E69" s="26">
        <f>IF(OR($A69="",NOT(ISNUMBER($B$3))),"",SUMIFS('通知一覧'!$R$5:$R$204,'通知一覧'!$C$5:$C$204,$A69,'通知一覧'!$F$5:$F$204,"&gt;="&amp;DATE($B$3,1,1),'通知一覧'!$F$5:$F$204,"&lt;"&amp;DATE($B$3+1,1,1)))</f>
        <v/>
      </c>
      <c r="F69" s="26">
        <f>IF(OR($A69="",NOT(ISNUMBER($B$3))),"",SUMIFS('通知一覧'!$S$5:$S$204,'通知一覧'!$C$5:$C$204,$A69,'通知一覧'!$F$5:$F$204,"&gt;="&amp;DATE($B$3,1,1),'通知一覧'!$F$5:$F$204,"&lt;"&amp;DATE($B$3+1,1,1)))</f>
        <v/>
      </c>
      <c r="G69" s="26">
        <f>IF(OR($A69="",NOT(ISNUMBER($B$3))),"",SUMIFS('通知一覧'!$U$5:$U$204,'通知一覧'!$C$5:$C$204,$A69,'通知一覧'!$F$5:$F$204,"&gt;="&amp;DATE($B$3,1,1),'通知一覧'!$F$5:$F$204,"&lt;"&amp;DATE($B$3+1,1,1)))</f>
        <v/>
      </c>
      <c r="H69" s="67" t="n"/>
    </row>
    <row r="70" ht="16" customHeight="1">
      <c r="A70" s="30">
        <f>IF('支払先'!$B$52="","",'支払先'!$B$52&amp;"")</f>
        <v/>
      </c>
      <c r="B70" s="27">
        <f>IF('支払先'!$B$52="","",'支払先'!$C$52&amp;"")</f>
        <v/>
      </c>
      <c r="C70" s="62">
        <f>IF(OR($A70="",NOT(ISNUMBER($B$3))),"",COUNTIFS('通知一覧'!$C$5:$C$204,$A70,'通知一覧'!$F$5:$F$204,"&gt;="&amp;DATE($B$3,1,1),'通知一覧'!$F$5:$F$204,"&lt;"&amp;DATE($B$3+1,1,1)))</f>
        <v/>
      </c>
      <c r="D70" s="26">
        <f>IF(OR($A70="",NOT(ISNUMBER($B$3))),"",SUMIFS('通知一覧'!$Q$5:$Q$204,'通知一覧'!$C$5:$C$204,$A70,'通知一覧'!$F$5:$F$204,"&gt;="&amp;DATE($B$3,1,1),'通知一覧'!$F$5:$F$204,"&lt;"&amp;DATE($B$3+1,1,1)))</f>
        <v/>
      </c>
      <c r="E70" s="26">
        <f>IF(OR($A70="",NOT(ISNUMBER($B$3))),"",SUMIFS('通知一覧'!$R$5:$R$204,'通知一覧'!$C$5:$C$204,$A70,'通知一覧'!$F$5:$F$204,"&gt;="&amp;DATE($B$3,1,1),'通知一覧'!$F$5:$F$204,"&lt;"&amp;DATE($B$3+1,1,1)))</f>
        <v/>
      </c>
      <c r="F70" s="26">
        <f>IF(OR($A70="",NOT(ISNUMBER($B$3))),"",SUMIFS('通知一覧'!$S$5:$S$204,'通知一覧'!$C$5:$C$204,$A70,'通知一覧'!$F$5:$F$204,"&gt;="&amp;DATE($B$3,1,1),'通知一覧'!$F$5:$F$204,"&lt;"&amp;DATE($B$3+1,1,1)))</f>
        <v/>
      </c>
      <c r="G70" s="26">
        <f>IF(OR($A70="",NOT(ISNUMBER($B$3))),"",SUMIFS('通知一覧'!$U$5:$U$204,'通知一覧'!$C$5:$C$204,$A70,'通知一覧'!$F$5:$F$204,"&gt;="&amp;DATE($B$3,1,1),'通知一覧'!$F$5:$F$204,"&lt;"&amp;DATE($B$3+1,1,1)))</f>
        <v/>
      </c>
      <c r="H70" s="67" t="n"/>
    </row>
    <row r="71" ht="16" customHeight="1">
      <c r="A71" s="30">
        <f>IF('支払先'!$B$53="","",'支払先'!$B$53&amp;"")</f>
        <v/>
      </c>
      <c r="B71" s="27">
        <f>IF('支払先'!$B$53="","",'支払先'!$C$53&amp;"")</f>
        <v/>
      </c>
      <c r="C71" s="62">
        <f>IF(OR($A71="",NOT(ISNUMBER($B$3))),"",COUNTIFS('通知一覧'!$C$5:$C$204,$A71,'通知一覧'!$F$5:$F$204,"&gt;="&amp;DATE($B$3,1,1),'通知一覧'!$F$5:$F$204,"&lt;"&amp;DATE($B$3+1,1,1)))</f>
        <v/>
      </c>
      <c r="D71" s="26">
        <f>IF(OR($A71="",NOT(ISNUMBER($B$3))),"",SUMIFS('通知一覧'!$Q$5:$Q$204,'通知一覧'!$C$5:$C$204,$A71,'通知一覧'!$F$5:$F$204,"&gt;="&amp;DATE($B$3,1,1),'通知一覧'!$F$5:$F$204,"&lt;"&amp;DATE($B$3+1,1,1)))</f>
        <v/>
      </c>
      <c r="E71" s="26">
        <f>IF(OR($A71="",NOT(ISNUMBER($B$3))),"",SUMIFS('通知一覧'!$R$5:$R$204,'通知一覧'!$C$5:$C$204,$A71,'通知一覧'!$F$5:$F$204,"&gt;="&amp;DATE($B$3,1,1),'通知一覧'!$F$5:$F$204,"&lt;"&amp;DATE($B$3+1,1,1)))</f>
        <v/>
      </c>
      <c r="F71" s="26">
        <f>IF(OR($A71="",NOT(ISNUMBER($B$3))),"",SUMIFS('通知一覧'!$S$5:$S$204,'通知一覧'!$C$5:$C$204,$A71,'通知一覧'!$F$5:$F$204,"&gt;="&amp;DATE($B$3,1,1),'通知一覧'!$F$5:$F$204,"&lt;"&amp;DATE($B$3+1,1,1)))</f>
        <v/>
      </c>
      <c r="G71" s="26">
        <f>IF(OR($A71="",NOT(ISNUMBER($B$3))),"",SUMIFS('通知一覧'!$U$5:$U$204,'通知一覧'!$C$5:$C$204,$A71,'通知一覧'!$F$5:$F$204,"&gt;="&amp;DATE($B$3,1,1),'通知一覧'!$F$5:$F$204,"&lt;"&amp;DATE($B$3+1,1,1)))</f>
        <v/>
      </c>
      <c r="H71" s="67" t="n"/>
    </row>
    <row r="72" ht="16" customHeight="1">
      <c r="A72" s="30">
        <f>IF('支払先'!$B$54="","",'支払先'!$B$54&amp;"")</f>
        <v/>
      </c>
      <c r="B72" s="27">
        <f>IF('支払先'!$B$54="","",'支払先'!$C$54&amp;"")</f>
        <v/>
      </c>
      <c r="C72" s="62">
        <f>IF(OR($A72="",NOT(ISNUMBER($B$3))),"",COUNTIFS('通知一覧'!$C$5:$C$204,$A72,'通知一覧'!$F$5:$F$204,"&gt;="&amp;DATE($B$3,1,1),'通知一覧'!$F$5:$F$204,"&lt;"&amp;DATE($B$3+1,1,1)))</f>
        <v/>
      </c>
      <c r="D72" s="26">
        <f>IF(OR($A72="",NOT(ISNUMBER($B$3))),"",SUMIFS('通知一覧'!$Q$5:$Q$204,'通知一覧'!$C$5:$C$204,$A72,'通知一覧'!$F$5:$F$204,"&gt;="&amp;DATE($B$3,1,1),'通知一覧'!$F$5:$F$204,"&lt;"&amp;DATE($B$3+1,1,1)))</f>
        <v/>
      </c>
      <c r="E72" s="26">
        <f>IF(OR($A72="",NOT(ISNUMBER($B$3))),"",SUMIFS('通知一覧'!$R$5:$R$204,'通知一覧'!$C$5:$C$204,$A72,'通知一覧'!$F$5:$F$204,"&gt;="&amp;DATE($B$3,1,1),'通知一覧'!$F$5:$F$204,"&lt;"&amp;DATE($B$3+1,1,1)))</f>
        <v/>
      </c>
      <c r="F72" s="26">
        <f>IF(OR($A72="",NOT(ISNUMBER($B$3))),"",SUMIFS('通知一覧'!$S$5:$S$204,'通知一覧'!$C$5:$C$204,$A72,'通知一覧'!$F$5:$F$204,"&gt;="&amp;DATE($B$3,1,1),'通知一覧'!$F$5:$F$204,"&lt;"&amp;DATE($B$3+1,1,1)))</f>
        <v/>
      </c>
      <c r="G72" s="26">
        <f>IF(OR($A72="",NOT(ISNUMBER($B$3))),"",SUMIFS('通知一覧'!$U$5:$U$204,'通知一覧'!$C$5:$C$204,$A72,'通知一覧'!$F$5:$F$204,"&gt;="&amp;DATE($B$3,1,1),'通知一覧'!$F$5:$F$204,"&lt;"&amp;DATE($B$3+1,1,1)))</f>
        <v/>
      </c>
      <c r="H72" s="67" t="n"/>
    </row>
    <row r="73" ht="16" customHeight="1">
      <c r="A73" s="30">
        <f>IF('支払先'!$B$55="","",'支払先'!$B$55&amp;"")</f>
        <v/>
      </c>
      <c r="B73" s="27">
        <f>IF('支払先'!$B$55="","",'支払先'!$C$55&amp;"")</f>
        <v/>
      </c>
      <c r="C73" s="62">
        <f>IF(OR($A73="",NOT(ISNUMBER($B$3))),"",COUNTIFS('通知一覧'!$C$5:$C$204,$A73,'通知一覧'!$F$5:$F$204,"&gt;="&amp;DATE($B$3,1,1),'通知一覧'!$F$5:$F$204,"&lt;"&amp;DATE($B$3+1,1,1)))</f>
        <v/>
      </c>
      <c r="D73" s="26">
        <f>IF(OR($A73="",NOT(ISNUMBER($B$3))),"",SUMIFS('通知一覧'!$Q$5:$Q$204,'通知一覧'!$C$5:$C$204,$A73,'通知一覧'!$F$5:$F$204,"&gt;="&amp;DATE($B$3,1,1),'通知一覧'!$F$5:$F$204,"&lt;"&amp;DATE($B$3+1,1,1)))</f>
        <v/>
      </c>
      <c r="E73" s="26">
        <f>IF(OR($A73="",NOT(ISNUMBER($B$3))),"",SUMIFS('通知一覧'!$R$5:$R$204,'通知一覧'!$C$5:$C$204,$A73,'通知一覧'!$F$5:$F$204,"&gt;="&amp;DATE($B$3,1,1),'通知一覧'!$F$5:$F$204,"&lt;"&amp;DATE($B$3+1,1,1)))</f>
        <v/>
      </c>
      <c r="F73" s="26">
        <f>IF(OR($A73="",NOT(ISNUMBER($B$3))),"",SUMIFS('通知一覧'!$S$5:$S$204,'通知一覧'!$C$5:$C$204,$A73,'通知一覧'!$F$5:$F$204,"&gt;="&amp;DATE($B$3,1,1),'通知一覧'!$F$5:$F$204,"&lt;"&amp;DATE($B$3+1,1,1)))</f>
        <v/>
      </c>
      <c r="G73" s="26">
        <f>IF(OR($A73="",NOT(ISNUMBER($B$3))),"",SUMIFS('通知一覧'!$U$5:$U$204,'通知一覧'!$C$5:$C$204,$A73,'通知一覧'!$F$5:$F$204,"&gt;="&amp;DATE($B$3,1,1),'通知一覧'!$F$5:$F$204,"&lt;"&amp;DATE($B$3+1,1,1)))</f>
        <v/>
      </c>
      <c r="H73" s="67" t="n"/>
    </row>
    <row r="74" ht="16" customHeight="1">
      <c r="A74" s="30">
        <f>IF('支払先'!$B$56="","",'支払先'!$B$56&amp;"")</f>
        <v/>
      </c>
      <c r="B74" s="27">
        <f>IF('支払先'!$B$56="","",'支払先'!$C$56&amp;"")</f>
        <v/>
      </c>
      <c r="C74" s="62">
        <f>IF(OR($A74="",NOT(ISNUMBER($B$3))),"",COUNTIFS('通知一覧'!$C$5:$C$204,$A74,'通知一覧'!$F$5:$F$204,"&gt;="&amp;DATE($B$3,1,1),'通知一覧'!$F$5:$F$204,"&lt;"&amp;DATE($B$3+1,1,1)))</f>
        <v/>
      </c>
      <c r="D74" s="26">
        <f>IF(OR($A74="",NOT(ISNUMBER($B$3))),"",SUMIFS('通知一覧'!$Q$5:$Q$204,'通知一覧'!$C$5:$C$204,$A74,'通知一覧'!$F$5:$F$204,"&gt;="&amp;DATE($B$3,1,1),'通知一覧'!$F$5:$F$204,"&lt;"&amp;DATE($B$3+1,1,1)))</f>
        <v/>
      </c>
      <c r="E74" s="26">
        <f>IF(OR($A74="",NOT(ISNUMBER($B$3))),"",SUMIFS('通知一覧'!$R$5:$R$204,'通知一覧'!$C$5:$C$204,$A74,'通知一覧'!$F$5:$F$204,"&gt;="&amp;DATE($B$3,1,1),'通知一覧'!$F$5:$F$204,"&lt;"&amp;DATE($B$3+1,1,1)))</f>
        <v/>
      </c>
      <c r="F74" s="26">
        <f>IF(OR($A74="",NOT(ISNUMBER($B$3))),"",SUMIFS('通知一覧'!$S$5:$S$204,'通知一覧'!$C$5:$C$204,$A74,'通知一覧'!$F$5:$F$204,"&gt;="&amp;DATE($B$3,1,1),'通知一覧'!$F$5:$F$204,"&lt;"&amp;DATE($B$3+1,1,1)))</f>
        <v/>
      </c>
      <c r="G74" s="26">
        <f>IF(OR($A74="",NOT(ISNUMBER($B$3))),"",SUMIFS('通知一覧'!$U$5:$U$204,'通知一覧'!$C$5:$C$204,$A74,'通知一覧'!$F$5:$F$204,"&gt;="&amp;DATE($B$3,1,1),'通知一覧'!$F$5:$F$204,"&lt;"&amp;DATE($B$3+1,1,1)))</f>
        <v/>
      </c>
      <c r="H74" s="67" t="n"/>
    </row>
    <row r="75" ht="16" customHeight="1">
      <c r="A75" s="30">
        <f>IF('支払先'!$B$57="","",'支払先'!$B$57&amp;"")</f>
        <v/>
      </c>
      <c r="B75" s="27">
        <f>IF('支払先'!$B$57="","",'支払先'!$C$57&amp;"")</f>
        <v/>
      </c>
      <c r="C75" s="62">
        <f>IF(OR($A75="",NOT(ISNUMBER($B$3))),"",COUNTIFS('通知一覧'!$C$5:$C$204,$A75,'通知一覧'!$F$5:$F$204,"&gt;="&amp;DATE($B$3,1,1),'通知一覧'!$F$5:$F$204,"&lt;"&amp;DATE($B$3+1,1,1)))</f>
        <v/>
      </c>
      <c r="D75" s="26">
        <f>IF(OR($A75="",NOT(ISNUMBER($B$3))),"",SUMIFS('通知一覧'!$Q$5:$Q$204,'通知一覧'!$C$5:$C$204,$A75,'通知一覧'!$F$5:$F$204,"&gt;="&amp;DATE($B$3,1,1),'通知一覧'!$F$5:$F$204,"&lt;"&amp;DATE($B$3+1,1,1)))</f>
        <v/>
      </c>
      <c r="E75" s="26">
        <f>IF(OR($A75="",NOT(ISNUMBER($B$3))),"",SUMIFS('通知一覧'!$R$5:$R$204,'通知一覧'!$C$5:$C$204,$A75,'通知一覧'!$F$5:$F$204,"&gt;="&amp;DATE($B$3,1,1),'通知一覧'!$F$5:$F$204,"&lt;"&amp;DATE($B$3+1,1,1)))</f>
        <v/>
      </c>
      <c r="F75" s="26">
        <f>IF(OR($A75="",NOT(ISNUMBER($B$3))),"",SUMIFS('通知一覧'!$S$5:$S$204,'通知一覧'!$C$5:$C$204,$A75,'通知一覧'!$F$5:$F$204,"&gt;="&amp;DATE($B$3,1,1),'通知一覧'!$F$5:$F$204,"&lt;"&amp;DATE($B$3+1,1,1)))</f>
        <v/>
      </c>
      <c r="G75" s="26">
        <f>IF(OR($A75="",NOT(ISNUMBER($B$3))),"",SUMIFS('通知一覧'!$U$5:$U$204,'通知一覧'!$C$5:$C$204,$A75,'通知一覧'!$F$5:$F$204,"&gt;="&amp;DATE($B$3,1,1),'通知一覧'!$F$5:$F$204,"&lt;"&amp;DATE($B$3+1,1,1)))</f>
        <v/>
      </c>
      <c r="H75" s="67" t="n"/>
    </row>
    <row r="76" ht="16" customHeight="1">
      <c r="A76" s="30">
        <f>IF('支払先'!$B$58="","",'支払先'!$B$58&amp;"")</f>
        <v/>
      </c>
      <c r="B76" s="27">
        <f>IF('支払先'!$B$58="","",'支払先'!$C$58&amp;"")</f>
        <v/>
      </c>
      <c r="C76" s="62">
        <f>IF(OR($A76="",NOT(ISNUMBER($B$3))),"",COUNTIFS('通知一覧'!$C$5:$C$204,$A76,'通知一覧'!$F$5:$F$204,"&gt;="&amp;DATE($B$3,1,1),'通知一覧'!$F$5:$F$204,"&lt;"&amp;DATE($B$3+1,1,1)))</f>
        <v/>
      </c>
      <c r="D76" s="26">
        <f>IF(OR($A76="",NOT(ISNUMBER($B$3))),"",SUMIFS('通知一覧'!$Q$5:$Q$204,'通知一覧'!$C$5:$C$204,$A76,'通知一覧'!$F$5:$F$204,"&gt;="&amp;DATE($B$3,1,1),'通知一覧'!$F$5:$F$204,"&lt;"&amp;DATE($B$3+1,1,1)))</f>
        <v/>
      </c>
      <c r="E76" s="26">
        <f>IF(OR($A76="",NOT(ISNUMBER($B$3))),"",SUMIFS('通知一覧'!$R$5:$R$204,'通知一覧'!$C$5:$C$204,$A76,'通知一覧'!$F$5:$F$204,"&gt;="&amp;DATE($B$3,1,1),'通知一覧'!$F$5:$F$204,"&lt;"&amp;DATE($B$3+1,1,1)))</f>
        <v/>
      </c>
      <c r="F76" s="26">
        <f>IF(OR($A76="",NOT(ISNUMBER($B$3))),"",SUMIFS('通知一覧'!$S$5:$S$204,'通知一覧'!$C$5:$C$204,$A76,'通知一覧'!$F$5:$F$204,"&gt;="&amp;DATE($B$3,1,1),'通知一覧'!$F$5:$F$204,"&lt;"&amp;DATE($B$3+1,1,1)))</f>
        <v/>
      </c>
      <c r="G76" s="26">
        <f>IF(OR($A76="",NOT(ISNUMBER($B$3))),"",SUMIFS('通知一覧'!$U$5:$U$204,'通知一覧'!$C$5:$C$204,$A76,'通知一覧'!$F$5:$F$204,"&gt;="&amp;DATE($B$3,1,1),'通知一覧'!$F$5:$F$204,"&lt;"&amp;DATE($B$3+1,1,1)))</f>
        <v/>
      </c>
      <c r="H76" s="67" t="n"/>
    </row>
    <row r="77" ht="16" customHeight="1">
      <c r="A77" s="30">
        <f>IF('支払先'!$B$59="","",'支払先'!$B$59&amp;"")</f>
        <v/>
      </c>
      <c r="B77" s="27">
        <f>IF('支払先'!$B$59="","",'支払先'!$C$59&amp;"")</f>
        <v/>
      </c>
      <c r="C77" s="62">
        <f>IF(OR($A77="",NOT(ISNUMBER($B$3))),"",COUNTIFS('通知一覧'!$C$5:$C$204,$A77,'通知一覧'!$F$5:$F$204,"&gt;="&amp;DATE($B$3,1,1),'通知一覧'!$F$5:$F$204,"&lt;"&amp;DATE($B$3+1,1,1)))</f>
        <v/>
      </c>
      <c r="D77" s="26">
        <f>IF(OR($A77="",NOT(ISNUMBER($B$3))),"",SUMIFS('通知一覧'!$Q$5:$Q$204,'通知一覧'!$C$5:$C$204,$A77,'通知一覧'!$F$5:$F$204,"&gt;="&amp;DATE($B$3,1,1),'通知一覧'!$F$5:$F$204,"&lt;"&amp;DATE($B$3+1,1,1)))</f>
        <v/>
      </c>
      <c r="E77" s="26">
        <f>IF(OR($A77="",NOT(ISNUMBER($B$3))),"",SUMIFS('通知一覧'!$R$5:$R$204,'通知一覧'!$C$5:$C$204,$A77,'通知一覧'!$F$5:$F$204,"&gt;="&amp;DATE($B$3,1,1),'通知一覧'!$F$5:$F$204,"&lt;"&amp;DATE($B$3+1,1,1)))</f>
        <v/>
      </c>
      <c r="F77" s="26">
        <f>IF(OR($A77="",NOT(ISNUMBER($B$3))),"",SUMIFS('通知一覧'!$S$5:$S$204,'通知一覧'!$C$5:$C$204,$A77,'通知一覧'!$F$5:$F$204,"&gt;="&amp;DATE($B$3,1,1),'通知一覧'!$F$5:$F$204,"&lt;"&amp;DATE($B$3+1,1,1)))</f>
        <v/>
      </c>
      <c r="G77" s="26">
        <f>IF(OR($A77="",NOT(ISNUMBER($B$3))),"",SUMIFS('通知一覧'!$U$5:$U$204,'通知一覧'!$C$5:$C$204,$A77,'通知一覧'!$F$5:$F$204,"&gt;="&amp;DATE($B$3,1,1),'通知一覧'!$F$5:$F$204,"&lt;"&amp;DATE($B$3+1,1,1)))</f>
        <v/>
      </c>
      <c r="H77" s="67" t="n"/>
    </row>
    <row r="78" ht="16" customHeight="1">
      <c r="A78" s="30">
        <f>IF('支払先'!$B$60="","",'支払先'!$B$60&amp;"")</f>
        <v/>
      </c>
      <c r="B78" s="27">
        <f>IF('支払先'!$B$60="","",'支払先'!$C$60&amp;"")</f>
        <v/>
      </c>
      <c r="C78" s="62">
        <f>IF(OR($A78="",NOT(ISNUMBER($B$3))),"",COUNTIFS('通知一覧'!$C$5:$C$204,$A78,'通知一覧'!$F$5:$F$204,"&gt;="&amp;DATE($B$3,1,1),'通知一覧'!$F$5:$F$204,"&lt;"&amp;DATE($B$3+1,1,1)))</f>
        <v/>
      </c>
      <c r="D78" s="26">
        <f>IF(OR($A78="",NOT(ISNUMBER($B$3))),"",SUMIFS('通知一覧'!$Q$5:$Q$204,'通知一覧'!$C$5:$C$204,$A78,'通知一覧'!$F$5:$F$204,"&gt;="&amp;DATE($B$3,1,1),'通知一覧'!$F$5:$F$204,"&lt;"&amp;DATE($B$3+1,1,1)))</f>
        <v/>
      </c>
      <c r="E78" s="26">
        <f>IF(OR($A78="",NOT(ISNUMBER($B$3))),"",SUMIFS('通知一覧'!$R$5:$R$204,'通知一覧'!$C$5:$C$204,$A78,'通知一覧'!$F$5:$F$204,"&gt;="&amp;DATE($B$3,1,1),'通知一覧'!$F$5:$F$204,"&lt;"&amp;DATE($B$3+1,1,1)))</f>
        <v/>
      </c>
      <c r="F78" s="26">
        <f>IF(OR($A78="",NOT(ISNUMBER($B$3))),"",SUMIFS('通知一覧'!$S$5:$S$204,'通知一覧'!$C$5:$C$204,$A78,'通知一覧'!$F$5:$F$204,"&gt;="&amp;DATE($B$3,1,1),'通知一覧'!$F$5:$F$204,"&lt;"&amp;DATE($B$3+1,1,1)))</f>
        <v/>
      </c>
      <c r="G78" s="26">
        <f>IF(OR($A78="",NOT(ISNUMBER($B$3))),"",SUMIFS('通知一覧'!$U$5:$U$204,'通知一覧'!$C$5:$C$204,$A78,'通知一覧'!$F$5:$F$204,"&gt;="&amp;DATE($B$3,1,1),'通知一覧'!$F$5:$F$204,"&lt;"&amp;DATE($B$3+1,1,1)))</f>
        <v/>
      </c>
      <c r="H78" s="67" t="n"/>
    </row>
    <row r="79" ht="16" customHeight="1">
      <c r="A79" s="30">
        <f>IF('支払先'!$B$61="","",'支払先'!$B$61&amp;"")</f>
        <v/>
      </c>
      <c r="B79" s="27">
        <f>IF('支払先'!$B$61="","",'支払先'!$C$61&amp;"")</f>
        <v/>
      </c>
      <c r="C79" s="62">
        <f>IF(OR($A79="",NOT(ISNUMBER($B$3))),"",COUNTIFS('通知一覧'!$C$5:$C$204,$A79,'通知一覧'!$F$5:$F$204,"&gt;="&amp;DATE($B$3,1,1),'通知一覧'!$F$5:$F$204,"&lt;"&amp;DATE($B$3+1,1,1)))</f>
        <v/>
      </c>
      <c r="D79" s="26">
        <f>IF(OR($A79="",NOT(ISNUMBER($B$3))),"",SUMIFS('通知一覧'!$Q$5:$Q$204,'通知一覧'!$C$5:$C$204,$A79,'通知一覧'!$F$5:$F$204,"&gt;="&amp;DATE($B$3,1,1),'通知一覧'!$F$5:$F$204,"&lt;"&amp;DATE($B$3+1,1,1)))</f>
        <v/>
      </c>
      <c r="E79" s="26">
        <f>IF(OR($A79="",NOT(ISNUMBER($B$3))),"",SUMIFS('通知一覧'!$R$5:$R$204,'通知一覧'!$C$5:$C$204,$A79,'通知一覧'!$F$5:$F$204,"&gt;="&amp;DATE($B$3,1,1),'通知一覧'!$F$5:$F$204,"&lt;"&amp;DATE($B$3+1,1,1)))</f>
        <v/>
      </c>
      <c r="F79" s="26">
        <f>IF(OR($A79="",NOT(ISNUMBER($B$3))),"",SUMIFS('通知一覧'!$S$5:$S$204,'通知一覧'!$C$5:$C$204,$A79,'通知一覧'!$F$5:$F$204,"&gt;="&amp;DATE($B$3,1,1),'通知一覧'!$F$5:$F$204,"&lt;"&amp;DATE($B$3+1,1,1)))</f>
        <v/>
      </c>
      <c r="G79" s="26">
        <f>IF(OR($A79="",NOT(ISNUMBER($B$3))),"",SUMIFS('通知一覧'!$U$5:$U$204,'通知一覧'!$C$5:$C$204,$A79,'通知一覧'!$F$5:$F$204,"&gt;="&amp;DATE($B$3,1,1),'通知一覧'!$F$5:$F$204,"&lt;"&amp;DATE($B$3+1,1,1)))</f>
        <v/>
      </c>
      <c r="H79" s="67" t="n"/>
    </row>
    <row r="80" ht="16" customHeight="1">
      <c r="A80" s="30">
        <f>IF('支払先'!$B$62="","",'支払先'!$B$62&amp;"")</f>
        <v/>
      </c>
      <c r="B80" s="27">
        <f>IF('支払先'!$B$62="","",'支払先'!$C$62&amp;"")</f>
        <v/>
      </c>
      <c r="C80" s="62">
        <f>IF(OR($A80="",NOT(ISNUMBER($B$3))),"",COUNTIFS('通知一覧'!$C$5:$C$204,$A80,'通知一覧'!$F$5:$F$204,"&gt;="&amp;DATE($B$3,1,1),'通知一覧'!$F$5:$F$204,"&lt;"&amp;DATE($B$3+1,1,1)))</f>
        <v/>
      </c>
      <c r="D80" s="26">
        <f>IF(OR($A80="",NOT(ISNUMBER($B$3))),"",SUMIFS('通知一覧'!$Q$5:$Q$204,'通知一覧'!$C$5:$C$204,$A80,'通知一覧'!$F$5:$F$204,"&gt;="&amp;DATE($B$3,1,1),'通知一覧'!$F$5:$F$204,"&lt;"&amp;DATE($B$3+1,1,1)))</f>
        <v/>
      </c>
      <c r="E80" s="26">
        <f>IF(OR($A80="",NOT(ISNUMBER($B$3))),"",SUMIFS('通知一覧'!$R$5:$R$204,'通知一覧'!$C$5:$C$204,$A80,'通知一覧'!$F$5:$F$204,"&gt;="&amp;DATE($B$3,1,1),'通知一覧'!$F$5:$F$204,"&lt;"&amp;DATE($B$3+1,1,1)))</f>
        <v/>
      </c>
      <c r="F80" s="26">
        <f>IF(OR($A80="",NOT(ISNUMBER($B$3))),"",SUMIFS('通知一覧'!$S$5:$S$204,'通知一覧'!$C$5:$C$204,$A80,'通知一覧'!$F$5:$F$204,"&gt;="&amp;DATE($B$3,1,1),'通知一覧'!$F$5:$F$204,"&lt;"&amp;DATE($B$3+1,1,1)))</f>
        <v/>
      </c>
      <c r="G80" s="26">
        <f>IF(OR($A80="",NOT(ISNUMBER($B$3))),"",SUMIFS('通知一覧'!$U$5:$U$204,'通知一覧'!$C$5:$C$204,$A80,'通知一覧'!$F$5:$F$204,"&gt;="&amp;DATE($B$3,1,1),'通知一覧'!$F$5:$F$204,"&lt;"&amp;DATE($B$3+1,1,1)))</f>
        <v/>
      </c>
      <c r="H80" s="67" t="n"/>
    </row>
    <row r="81" ht="16" customHeight="1">
      <c r="A81" s="30">
        <f>IF('支払先'!$B$63="","",'支払先'!$B$63&amp;"")</f>
        <v/>
      </c>
      <c r="B81" s="27">
        <f>IF('支払先'!$B$63="","",'支払先'!$C$63&amp;"")</f>
        <v/>
      </c>
      <c r="C81" s="62">
        <f>IF(OR($A81="",NOT(ISNUMBER($B$3))),"",COUNTIFS('通知一覧'!$C$5:$C$204,$A81,'通知一覧'!$F$5:$F$204,"&gt;="&amp;DATE($B$3,1,1),'通知一覧'!$F$5:$F$204,"&lt;"&amp;DATE($B$3+1,1,1)))</f>
        <v/>
      </c>
      <c r="D81" s="26">
        <f>IF(OR($A81="",NOT(ISNUMBER($B$3))),"",SUMIFS('通知一覧'!$Q$5:$Q$204,'通知一覧'!$C$5:$C$204,$A81,'通知一覧'!$F$5:$F$204,"&gt;="&amp;DATE($B$3,1,1),'通知一覧'!$F$5:$F$204,"&lt;"&amp;DATE($B$3+1,1,1)))</f>
        <v/>
      </c>
      <c r="E81" s="26">
        <f>IF(OR($A81="",NOT(ISNUMBER($B$3))),"",SUMIFS('通知一覧'!$R$5:$R$204,'通知一覧'!$C$5:$C$204,$A81,'通知一覧'!$F$5:$F$204,"&gt;="&amp;DATE($B$3,1,1),'通知一覧'!$F$5:$F$204,"&lt;"&amp;DATE($B$3+1,1,1)))</f>
        <v/>
      </c>
      <c r="F81" s="26">
        <f>IF(OR($A81="",NOT(ISNUMBER($B$3))),"",SUMIFS('通知一覧'!$S$5:$S$204,'通知一覧'!$C$5:$C$204,$A81,'通知一覧'!$F$5:$F$204,"&gt;="&amp;DATE($B$3,1,1),'通知一覧'!$F$5:$F$204,"&lt;"&amp;DATE($B$3+1,1,1)))</f>
        <v/>
      </c>
      <c r="G81" s="26">
        <f>IF(OR($A81="",NOT(ISNUMBER($B$3))),"",SUMIFS('通知一覧'!$U$5:$U$204,'通知一覧'!$C$5:$C$204,$A81,'通知一覧'!$F$5:$F$204,"&gt;="&amp;DATE($B$3,1,1),'通知一覧'!$F$5:$F$204,"&lt;"&amp;DATE($B$3+1,1,1)))</f>
        <v/>
      </c>
      <c r="H81" s="67" t="n"/>
    </row>
    <row r="82" ht="16" customHeight="1">
      <c r="A82" s="30">
        <f>IF('支払先'!$B$64="","",'支払先'!$B$64&amp;"")</f>
        <v/>
      </c>
      <c r="B82" s="27">
        <f>IF('支払先'!$B$64="","",'支払先'!$C$64&amp;"")</f>
        <v/>
      </c>
      <c r="C82" s="62">
        <f>IF(OR($A82="",NOT(ISNUMBER($B$3))),"",COUNTIFS('通知一覧'!$C$5:$C$204,$A82,'通知一覧'!$F$5:$F$204,"&gt;="&amp;DATE($B$3,1,1),'通知一覧'!$F$5:$F$204,"&lt;"&amp;DATE($B$3+1,1,1)))</f>
        <v/>
      </c>
      <c r="D82" s="26">
        <f>IF(OR($A82="",NOT(ISNUMBER($B$3))),"",SUMIFS('通知一覧'!$Q$5:$Q$204,'通知一覧'!$C$5:$C$204,$A82,'通知一覧'!$F$5:$F$204,"&gt;="&amp;DATE($B$3,1,1),'通知一覧'!$F$5:$F$204,"&lt;"&amp;DATE($B$3+1,1,1)))</f>
        <v/>
      </c>
      <c r="E82" s="26">
        <f>IF(OR($A82="",NOT(ISNUMBER($B$3))),"",SUMIFS('通知一覧'!$R$5:$R$204,'通知一覧'!$C$5:$C$204,$A82,'通知一覧'!$F$5:$F$204,"&gt;="&amp;DATE($B$3,1,1),'通知一覧'!$F$5:$F$204,"&lt;"&amp;DATE($B$3+1,1,1)))</f>
        <v/>
      </c>
      <c r="F82" s="26">
        <f>IF(OR($A82="",NOT(ISNUMBER($B$3))),"",SUMIFS('通知一覧'!$S$5:$S$204,'通知一覧'!$C$5:$C$204,$A82,'通知一覧'!$F$5:$F$204,"&gt;="&amp;DATE($B$3,1,1),'通知一覧'!$F$5:$F$204,"&lt;"&amp;DATE($B$3+1,1,1)))</f>
        <v/>
      </c>
      <c r="G82" s="26">
        <f>IF(OR($A82="",NOT(ISNUMBER($B$3))),"",SUMIFS('通知一覧'!$U$5:$U$204,'通知一覧'!$C$5:$C$204,$A82,'通知一覧'!$F$5:$F$204,"&gt;="&amp;DATE($B$3,1,1),'通知一覧'!$F$5:$F$204,"&lt;"&amp;DATE($B$3+1,1,1)))</f>
        <v/>
      </c>
      <c r="H82" s="67" t="n"/>
    </row>
    <row r="83" ht="16" customHeight="1">
      <c r="A83" s="30">
        <f>IF('支払先'!$B$65="","",'支払先'!$B$65&amp;"")</f>
        <v/>
      </c>
      <c r="B83" s="27">
        <f>IF('支払先'!$B$65="","",'支払先'!$C$65&amp;"")</f>
        <v/>
      </c>
      <c r="C83" s="62">
        <f>IF(OR($A83="",NOT(ISNUMBER($B$3))),"",COUNTIFS('通知一覧'!$C$5:$C$204,$A83,'通知一覧'!$F$5:$F$204,"&gt;="&amp;DATE($B$3,1,1),'通知一覧'!$F$5:$F$204,"&lt;"&amp;DATE($B$3+1,1,1)))</f>
        <v/>
      </c>
      <c r="D83" s="26">
        <f>IF(OR($A83="",NOT(ISNUMBER($B$3))),"",SUMIFS('通知一覧'!$Q$5:$Q$204,'通知一覧'!$C$5:$C$204,$A83,'通知一覧'!$F$5:$F$204,"&gt;="&amp;DATE($B$3,1,1),'通知一覧'!$F$5:$F$204,"&lt;"&amp;DATE($B$3+1,1,1)))</f>
        <v/>
      </c>
      <c r="E83" s="26">
        <f>IF(OR($A83="",NOT(ISNUMBER($B$3))),"",SUMIFS('通知一覧'!$R$5:$R$204,'通知一覧'!$C$5:$C$204,$A83,'通知一覧'!$F$5:$F$204,"&gt;="&amp;DATE($B$3,1,1),'通知一覧'!$F$5:$F$204,"&lt;"&amp;DATE($B$3+1,1,1)))</f>
        <v/>
      </c>
      <c r="F83" s="26">
        <f>IF(OR($A83="",NOT(ISNUMBER($B$3))),"",SUMIFS('通知一覧'!$S$5:$S$204,'通知一覧'!$C$5:$C$204,$A83,'通知一覧'!$F$5:$F$204,"&gt;="&amp;DATE($B$3,1,1),'通知一覧'!$F$5:$F$204,"&lt;"&amp;DATE($B$3+1,1,1)))</f>
        <v/>
      </c>
      <c r="G83" s="26">
        <f>IF(OR($A83="",NOT(ISNUMBER($B$3))),"",SUMIFS('通知一覧'!$U$5:$U$204,'通知一覧'!$C$5:$C$204,$A83,'通知一覧'!$F$5:$F$204,"&gt;="&amp;DATE($B$3,1,1),'通知一覧'!$F$5:$F$204,"&lt;"&amp;DATE($B$3+1,1,1)))</f>
        <v/>
      </c>
      <c r="H83" s="67" t="n"/>
    </row>
    <row r="84" ht="16" customHeight="1">
      <c r="A84" s="30">
        <f>IF('支払先'!$B$66="","",'支払先'!$B$66&amp;"")</f>
        <v/>
      </c>
      <c r="B84" s="27">
        <f>IF('支払先'!$B$66="","",'支払先'!$C$66&amp;"")</f>
        <v/>
      </c>
      <c r="C84" s="62">
        <f>IF(OR($A84="",NOT(ISNUMBER($B$3))),"",COUNTIFS('通知一覧'!$C$5:$C$204,$A84,'通知一覧'!$F$5:$F$204,"&gt;="&amp;DATE($B$3,1,1),'通知一覧'!$F$5:$F$204,"&lt;"&amp;DATE($B$3+1,1,1)))</f>
        <v/>
      </c>
      <c r="D84" s="26">
        <f>IF(OR($A84="",NOT(ISNUMBER($B$3))),"",SUMIFS('通知一覧'!$Q$5:$Q$204,'通知一覧'!$C$5:$C$204,$A84,'通知一覧'!$F$5:$F$204,"&gt;="&amp;DATE($B$3,1,1),'通知一覧'!$F$5:$F$204,"&lt;"&amp;DATE($B$3+1,1,1)))</f>
        <v/>
      </c>
      <c r="E84" s="26">
        <f>IF(OR($A84="",NOT(ISNUMBER($B$3))),"",SUMIFS('通知一覧'!$R$5:$R$204,'通知一覧'!$C$5:$C$204,$A84,'通知一覧'!$F$5:$F$204,"&gt;="&amp;DATE($B$3,1,1),'通知一覧'!$F$5:$F$204,"&lt;"&amp;DATE($B$3+1,1,1)))</f>
        <v/>
      </c>
      <c r="F84" s="26">
        <f>IF(OR($A84="",NOT(ISNUMBER($B$3))),"",SUMIFS('通知一覧'!$S$5:$S$204,'通知一覧'!$C$5:$C$204,$A84,'通知一覧'!$F$5:$F$204,"&gt;="&amp;DATE($B$3,1,1),'通知一覧'!$F$5:$F$204,"&lt;"&amp;DATE($B$3+1,1,1)))</f>
        <v/>
      </c>
      <c r="G84" s="26">
        <f>IF(OR($A84="",NOT(ISNUMBER($B$3))),"",SUMIFS('通知一覧'!$U$5:$U$204,'通知一覧'!$C$5:$C$204,$A84,'通知一覧'!$F$5:$F$204,"&gt;="&amp;DATE($B$3,1,1),'通知一覧'!$F$5:$F$204,"&lt;"&amp;DATE($B$3+1,1,1)))</f>
        <v/>
      </c>
      <c r="H84" s="67" t="n"/>
    </row>
    <row r="85" ht="16" customHeight="1">
      <c r="A85" s="30">
        <f>IF('支払先'!$B$67="","",'支払先'!$B$67&amp;"")</f>
        <v/>
      </c>
      <c r="B85" s="27">
        <f>IF('支払先'!$B$67="","",'支払先'!$C$67&amp;"")</f>
        <v/>
      </c>
      <c r="C85" s="62">
        <f>IF(OR($A85="",NOT(ISNUMBER($B$3))),"",COUNTIFS('通知一覧'!$C$5:$C$204,$A85,'通知一覧'!$F$5:$F$204,"&gt;="&amp;DATE($B$3,1,1),'通知一覧'!$F$5:$F$204,"&lt;"&amp;DATE($B$3+1,1,1)))</f>
        <v/>
      </c>
      <c r="D85" s="26">
        <f>IF(OR($A85="",NOT(ISNUMBER($B$3))),"",SUMIFS('通知一覧'!$Q$5:$Q$204,'通知一覧'!$C$5:$C$204,$A85,'通知一覧'!$F$5:$F$204,"&gt;="&amp;DATE($B$3,1,1),'通知一覧'!$F$5:$F$204,"&lt;"&amp;DATE($B$3+1,1,1)))</f>
        <v/>
      </c>
      <c r="E85" s="26">
        <f>IF(OR($A85="",NOT(ISNUMBER($B$3))),"",SUMIFS('通知一覧'!$R$5:$R$204,'通知一覧'!$C$5:$C$204,$A85,'通知一覧'!$F$5:$F$204,"&gt;="&amp;DATE($B$3,1,1),'通知一覧'!$F$5:$F$204,"&lt;"&amp;DATE($B$3+1,1,1)))</f>
        <v/>
      </c>
      <c r="F85" s="26">
        <f>IF(OR($A85="",NOT(ISNUMBER($B$3))),"",SUMIFS('通知一覧'!$S$5:$S$204,'通知一覧'!$C$5:$C$204,$A85,'通知一覧'!$F$5:$F$204,"&gt;="&amp;DATE($B$3,1,1),'通知一覧'!$F$5:$F$204,"&lt;"&amp;DATE($B$3+1,1,1)))</f>
        <v/>
      </c>
      <c r="G85" s="26">
        <f>IF(OR($A85="",NOT(ISNUMBER($B$3))),"",SUMIFS('通知一覧'!$U$5:$U$204,'通知一覧'!$C$5:$C$204,$A85,'通知一覧'!$F$5:$F$204,"&gt;="&amp;DATE($B$3,1,1),'通知一覧'!$F$5:$F$204,"&lt;"&amp;DATE($B$3+1,1,1)))</f>
        <v/>
      </c>
      <c r="H85" s="67" t="n"/>
    </row>
    <row r="86" ht="16" customHeight="1">
      <c r="A86" s="30">
        <f>IF('支払先'!$B$68="","",'支払先'!$B$68&amp;"")</f>
        <v/>
      </c>
      <c r="B86" s="27">
        <f>IF('支払先'!$B$68="","",'支払先'!$C$68&amp;"")</f>
        <v/>
      </c>
      <c r="C86" s="62">
        <f>IF(OR($A86="",NOT(ISNUMBER($B$3))),"",COUNTIFS('通知一覧'!$C$5:$C$204,$A86,'通知一覧'!$F$5:$F$204,"&gt;="&amp;DATE($B$3,1,1),'通知一覧'!$F$5:$F$204,"&lt;"&amp;DATE($B$3+1,1,1)))</f>
        <v/>
      </c>
      <c r="D86" s="26">
        <f>IF(OR($A86="",NOT(ISNUMBER($B$3))),"",SUMIFS('通知一覧'!$Q$5:$Q$204,'通知一覧'!$C$5:$C$204,$A86,'通知一覧'!$F$5:$F$204,"&gt;="&amp;DATE($B$3,1,1),'通知一覧'!$F$5:$F$204,"&lt;"&amp;DATE($B$3+1,1,1)))</f>
        <v/>
      </c>
      <c r="E86" s="26">
        <f>IF(OR($A86="",NOT(ISNUMBER($B$3))),"",SUMIFS('通知一覧'!$R$5:$R$204,'通知一覧'!$C$5:$C$204,$A86,'通知一覧'!$F$5:$F$204,"&gt;="&amp;DATE($B$3,1,1),'通知一覧'!$F$5:$F$204,"&lt;"&amp;DATE($B$3+1,1,1)))</f>
        <v/>
      </c>
      <c r="F86" s="26">
        <f>IF(OR($A86="",NOT(ISNUMBER($B$3))),"",SUMIFS('通知一覧'!$S$5:$S$204,'通知一覧'!$C$5:$C$204,$A86,'通知一覧'!$F$5:$F$204,"&gt;="&amp;DATE($B$3,1,1),'通知一覧'!$F$5:$F$204,"&lt;"&amp;DATE($B$3+1,1,1)))</f>
        <v/>
      </c>
      <c r="G86" s="26">
        <f>IF(OR($A86="",NOT(ISNUMBER($B$3))),"",SUMIFS('通知一覧'!$U$5:$U$204,'通知一覧'!$C$5:$C$204,$A86,'通知一覧'!$F$5:$F$204,"&gt;="&amp;DATE($B$3,1,1),'通知一覧'!$F$5:$F$204,"&lt;"&amp;DATE($B$3+1,1,1)))</f>
        <v/>
      </c>
      <c r="H86" s="67" t="n"/>
    </row>
    <row r="87" ht="16" customHeight="1">
      <c r="A87" s="30">
        <f>IF('支払先'!$B$69="","",'支払先'!$B$69&amp;"")</f>
        <v/>
      </c>
      <c r="B87" s="27">
        <f>IF('支払先'!$B$69="","",'支払先'!$C$69&amp;"")</f>
        <v/>
      </c>
      <c r="C87" s="62">
        <f>IF(OR($A87="",NOT(ISNUMBER($B$3))),"",COUNTIFS('通知一覧'!$C$5:$C$204,$A87,'通知一覧'!$F$5:$F$204,"&gt;="&amp;DATE($B$3,1,1),'通知一覧'!$F$5:$F$204,"&lt;"&amp;DATE($B$3+1,1,1)))</f>
        <v/>
      </c>
      <c r="D87" s="26">
        <f>IF(OR($A87="",NOT(ISNUMBER($B$3))),"",SUMIFS('通知一覧'!$Q$5:$Q$204,'通知一覧'!$C$5:$C$204,$A87,'通知一覧'!$F$5:$F$204,"&gt;="&amp;DATE($B$3,1,1),'通知一覧'!$F$5:$F$204,"&lt;"&amp;DATE($B$3+1,1,1)))</f>
        <v/>
      </c>
      <c r="E87" s="26">
        <f>IF(OR($A87="",NOT(ISNUMBER($B$3))),"",SUMIFS('通知一覧'!$R$5:$R$204,'通知一覧'!$C$5:$C$204,$A87,'通知一覧'!$F$5:$F$204,"&gt;="&amp;DATE($B$3,1,1),'通知一覧'!$F$5:$F$204,"&lt;"&amp;DATE($B$3+1,1,1)))</f>
        <v/>
      </c>
      <c r="F87" s="26">
        <f>IF(OR($A87="",NOT(ISNUMBER($B$3))),"",SUMIFS('通知一覧'!$S$5:$S$204,'通知一覧'!$C$5:$C$204,$A87,'通知一覧'!$F$5:$F$204,"&gt;="&amp;DATE($B$3,1,1),'通知一覧'!$F$5:$F$204,"&lt;"&amp;DATE($B$3+1,1,1)))</f>
        <v/>
      </c>
      <c r="G87" s="26">
        <f>IF(OR($A87="",NOT(ISNUMBER($B$3))),"",SUMIFS('通知一覧'!$U$5:$U$204,'通知一覧'!$C$5:$C$204,$A87,'通知一覧'!$F$5:$F$204,"&gt;="&amp;DATE($B$3,1,1),'通知一覧'!$F$5:$F$204,"&lt;"&amp;DATE($B$3+1,1,1)))</f>
        <v/>
      </c>
      <c r="H87" s="67" t="n"/>
    </row>
    <row r="88" ht="16" customHeight="1">
      <c r="A88" s="30">
        <f>IF('支払先'!$B$70="","",'支払先'!$B$70&amp;"")</f>
        <v/>
      </c>
      <c r="B88" s="27">
        <f>IF('支払先'!$B$70="","",'支払先'!$C$70&amp;"")</f>
        <v/>
      </c>
      <c r="C88" s="62">
        <f>IF(OR($A88="",NOT(ISNUMBER($B$3))),"",COUNTIFS('通知一覧'!$C$5:$C$204,$A88,'通知一覧'!$F$5:$F$204,"&gt;="&amp;DATE($B$3,1,1),'通知一覧'!$F$5:$F$204,"&lt;"&amp;DATE($B$3+1,1,1)))</f>
        <v/>
      </c>
      <c r="D88" s="26">
        <f>IF(OR($A88="",NOT(ISNUMBER($B$3))),"",SUMIFS('通知一覧'!$Q$5:$Q$204,'通知一覧'!$C$5:$C$204,$A88,'通知一覧'!$F$5:$F$204,"&gt;="&amp;DATE($B$3,1,1),'通知一覧'!$F$5:$F$204,"&lt;"&amp;DATE($B$3+1,1,1)))</f>
        <v/>
      </c>
      <c r="E88" s="26">
        <f>IF(OR($A88="",NOT(ISNUMBER($B$3))),"",SUMIFS('通知一覧'!$R$5:$R$204,'通知一覧'!$C$5:$C$204,$A88,'通知一覧'!$F$5:$F$204,"&gt;="&amp;DATE($B$3,1,1),'通知一覧'!$F$5:$F$204,"&lt;"&amp;DATE($B$3+1,1,1)))</f>
        <v/>
      </c>
      <c r="F88" s="26">
        <f>IF(OR($A88="",NOT(ISNUMBER($B$3))),"",SUMIFS('通知一覧'!$S$5:$S$204,'通知一覧'!$C$5:$C$204,$A88,'通知一覧'!$F$5:$F$204,"&gt;="&amp;DATE($B$3,1,1),'通知一覧'!$F$5:$F$204,"&lt;"&amp;DATE($B$3+1,1,1)))</f>
        <v/>
      </c>
      <c r="G88" s="26">
        <f>IF(OR($A88="",NOT(ISNUMBER($B$3))),"",SUMIFS('通知一覧'!$U$5:$U$204,'通知一覧'!$C$5:$C$204,$A88,'通知一覧'!$F$5:$F$204,"&gt;="&amp;DATE($B$3,1,1),'通知一覧'!$F$5:$F$204,"&lt;"&amp;DATE($B$3+1,1,1)))</f>
        <v/>
      </c>
      <c r="H88" s="67" t="n"/>
    </row>
    <row r="89" ht="16" customHeight="1">
      <c r="A89" s="30">
        <f>IF('支払先'!$B$71="","",'支払先'!$B$71&amp;"")</f>
        <v/>
      </c>
      <c r="B89" s="27">
        <f>IF('支払先'!$B$71="","",'支払先'!$C$71&amp;"")</f>
        <v/>
      </c>
      <c r="C89" s="62">
        <f>IF(OR($A89="",NOT(ISNUMBER($B$3))),"",COUNTIFS('通知一覧'!$C$5:$C$204,$A89,'通知一覧'!$F$5:$F$204,"&gt;="&amp;DATE($B$3,1,1),'通知一覧'!$F$5:$F$204,"&lt;"&amp;DATE($B$3+1,1,1)))</f>
        <v/>
      </c>
      <c r="D89" s="26">
        <f>IF(OR($A89="",NOT(ISNUMBER($B$3))),"",SUMIFS('通知一覧'!$Q$5:$Q$204,'通知一覧'!$C$5:$C$204,$A89,'通知一覧'!$F$5:$F$204,"&gt;="&amp;DATE($B$3,1,1),'通知一覧'!$F$5:$F$204,"&lt;"&amp;DATE($B$3+1,1,1)))</f>
        <v/>
      </c>
      <c r="E89" s="26">
        <f>IF(OR($A89="",NOT(ISNUMBER($B$3))),"",SUMIFS('通知一覧'!$R$5:$R$204,'通知一覧'!$C$5:$C$204,$A89,'通知一覧'!$F$5:$F$204,"&gt;="&amp;DATE($B$3,1,1),'通知一覧'!$F$5:$F$204,"&lt;"&amp;DATE($B$3+1,1,1)))</f>
        <v/>
      </c>
      <c r="F89" s="26">
        <f>IF(OR($A89="",NOT(ISNUMBER($B$3))),"",SUMIFS('通知一覧'!$S$5:$S$204,'通知一覧'!$C$5:$C$204,$A89,'通知一覧'!$F$5:$F$204,"&gt;="&amp;DATE($B$3,1,1),'通知一覧'!$F$5:$F$204,"&lt;"&amp;DATE($B$3+1,1,1)))</f>
        <v/>
      </c>
      <c r="G89" s="26">
        <f>IF(OR($A89="",NOT(ISNUMBER($B$3))),"",SUMIFS('通知一覧'!$U$5:$U$204,'通知一覧'!$C$5:$C$204,$A89,'通知一覧'!$F$5:$F$204,"&gt;="&amp;DATE($B$3,1,1),'通知一覧'!$F$5:$F$204,"&lt;"&amp;DATE($B$3+1,1,1)))</f>
        <v/>
      </c>
      <c r="H89" s="67" t="n"/>
    </row>
    <row r="90" ht="16" customHeight="1">
      <c r="A90" s="30">
        <f>IF('支払先'!$B$72="","",'支払先'!$B$72&amp;"")</f>
        <v/>
      </c>
      <c r="B90" s="27">
        <f>IF('支払先'!$B$72="","",'支払先'!$C$72&amp;"")</f>
        <v/>
      </c>
      <c r="C90" s="62">
        <f>IF(OR($A90="",NOT(ISNUMBER($B$3))),"",COUNTIFS('通知一覧'!$C$5:$C$204,$A90,'通知一覧'!$F$5:$F$204,"&gt;="&amp;DATE($B$3,1,1),'通知一覧'!$F$5:$F$204,"&lt;"&amp;DATE($B$3+1,1,1)))</f>
        <v/>
      </c>
      <c r="D90" s="26">
        <f>IF(OR($A90="",NOT(ISNUMBER($B$3))),"",SUMIFS('通知一覧'!$Q$5:$Q$204,'通知一覧'!$C$5:$C$204,$A90,'通知一覧'!$F$5:$F$204,"&gt;="&amp;DATE($B$3,1,1),'通知一覧'!$F$5:$F$204,"&lt;"&amp;DATE($B$3+1,1,1)))</f>
        <v/>
      </c>
      <c r="E90" s="26">
        <f>IF(OR($A90="",NOT(ISNUMBER($B$3))),"",SUMIFS('通知一覧'!$R$5:$R$204,'通知一覧'!$C$5:$C$204,$A90,'通知一覧'!$F$5:$F$204,"&gt;="&amp;DATE($B$3,1,1),'通知一覧'!$F$5:$F$204,"&lt;"&amp;DATE($B$3+1,1,1)))</f>
        <v/>
      </c>
      <c r="F90" s="26">
        <f>IF(OR($A90="",NOT(ISNUMBER($B$3))),"",SUMIFS('通知一覧'!$S$5:$S$204,'通知一覧'!$C$5:$C$204,$A90,'通知一覧'!$F$5:$F$204,"&gt;="&amp;DATE($B$3,1,1),'通知一覧'!$F$5:$F$204,"&lt;"&amp;DATE($B$3+1,1,1)))</f>
        <v/>
      </c>
      <c r="G90" s="26">
        <f>IF(OR($A90="",NOT(ISNUMBER($B$3))),"",SUMIFS('通知一覧'!$U$5:$U$204,'通知一覧'!$C$5:$C$204,$A90,'通知一覧'!$F$5:$F$204,"&gt;="&amp;DATE($B$3,1,1),'通知一覧'!$F$5:$F$204,"&lt;"&amp;DATE($B$3+1,1,1)))</f>
        <v/>
      </c>
      <c r="H90" s="67" t="n"/>
    </row>
    <row r="91" ht="16" customHeight="1">
      <c r="A91" s="30">
        <f>IF('支払先'!$B$73="","",'支払先'!$B$73&amp;"")</f>
        <v/>
      </c>
      <c r="B91" s="27">
        <f>IF('支払先'!$B$73="","",'支払先'!$C$73&amp;"")</f>
        <v/>
      </c>
      <c r="C91" s="62">
        <f>IF(OR($A91="",NOT(ISNUMBER($B$3))),"",COUNTIFS('通知一覧'!$C$5:$C$204,$A91,'通知一覧'!$F$5:$F$204,"&gt;="&amp;DATE($B$3,1,1),'通知一覧'!$F$5:$F$204,"&lt;"&amp;DATE($B$3+1,1,1)))</f>
        <v/>
      </c>
      <c r="D91" s="26">
        <f>IF(OR($A91="",NOT(ISNUMBER($B$3))),"",SUMIFS('通知一覧'!$Q$5:$Q$204,'通知一覧'!$C$5:$C$204,$A91,'通知一覧'!$F$5:$F$204,"&gt;="&amp;DATE($B$3,1,1),'通知一覧'!$F$5:$F$204,"&lt;"&amp;DATE($B$3+1,1,1)))</f>
        <v/>
      </c>
      <c r="E91" s="26">
        <f>IF(OR($A91="",NOT(ISNUMBER($B$3))),"",SUMIFS('通知一覧'!$R$5:$R$204,'通知一覧'!$C$5:$C$204,$A91,'通知一覧'!$F$5:$F$204,"&gt;="&amp;DATE($B$3,1,1),'通知一覧'!$F$5:$F$204,"&lt;"&amp;DATE($B$3+1,1,1)))</f>
        <v/>
      </c>
      <c r="F91" s="26">
        <f>IF(OR($A91="",NOT(ISNUMBER($B$3))),"",SUMIFS('通知一覧'!$S$5:$S$204,'通知一覧'!$C$5:$C$204,$A91,'通知一覧'!$F$5:$F$204,"&gt;="&amp;DATE($B$3,1,1),'通知一覧'!$F$5:$F$204,"&lt;"&amp;DATE($B$3+1,1,1)))</f>
        <v/>
      </c>
      <c r="G91" s="26">
        <f>IF(OR($A91="",NOT(ISNUMBER($B$3))),"",SUMIFS('通知一覧'!$U$5:$U$204,'通知一覧'!$C$5:$C$204,$A91,'通知一覧'!$F$5:$F$204,"&gt;="&amp;DATE($B$3,1,1),'通知一覧'!$F$5:$F$204,"&lt;"&amp;DATE($B$3+1,1,1)))</f>
        <v/>
      </c>
      <c r="H91" s="67" t="n"/>
    </row>
    <row r="92" ht="16" customHeight="1">
      <c r="A92" s="30">
        <f>IF('支払先'!$B$74="","",'支払先'!$B$74&amp;"")</f>
        <v/>
      </c>
      <c r="B92" s="27">
        <f>IF('支払先'!$B$74="","",'支払先'!$C$74&amp;"")</f>
        <v/>
      </c>
      <c r="C92" s="62">
        <f>IF(OR($A92="",NOT(ISNUMBER($B$3))),"",COUNTIFS('通知一覧'!$C$5:$C$204,$A92,'通知一覧'!$F$5:$F$204,"&gt;="&amp;DATE($B$3,1,1),'通知一覧'!$F$5:$F$204,"&lt;"&amp;DATE($B$3+1,1,1)))</f>
        <v/>
      </c>
      <c r="D92" s="26">
        <f>IF(OR($A92="",NOT(ISNUMBER($B$3))),"",SUMIFS('通知一覧'!$Q$5:$Q$204,'通知一覧'!$C$5:$C$204,$A92,'通知一覧'!$F$5:$F$204,"&gt;="&amp;DATE($B$3,1,1),'通知一覧'!$F$5:$F$204,"&lt;"&amp;DATE($B$3+1,1,1)))</f>
        <v/>
      </c>
      <c r="E92" s="26">
        <f>IF(OR($A92="",NOT(ISNUMBER($B$3))),"",SUMIFS('通知一覧'!$R$5:$R$204,'通知一覧'!$C$5:$C$204,$A92,'通知一覧'!$F$5:$F$204,"&gt;="&amp;DATE($B$3,1,1),'通知一覧'!$F$5:$F$204,"&lt;"&amp;DATE($B$3+1,1,1)))</f>
        <v/>
      </c>
      <c r="F92" s="26">
        <f>IF(OR($A92="",NOT(ISNUMBER($B$3))),"",SUMIFS('通知一覧'!$S$5:$S$204,'通知一覧'!$C$5:$C$204,$A92,'通知一覧'!$F$5:$F$204,"&gt;="&amp;DATE($B$3,1,1),'通知一覧'!$F$5:$F$204,"&lt;"&amp;DATE($B$3+1,1,1)))</f>
        <v/>
      </c>
      <c r="G92" s="26">
        <f>IF(OR($A92="",NOT(ISNUMBER($B$3))),"",SUMIFS('通知一覧'!$U$5:$U$204,'通知一覧'!$C$5:$C$204,$A92,'通知一覧'!$F$5:$F$204,"&gt;="&amp;DATE($B$3,1,1),'通知一覧'!$F$5:$F$204,"&lt;"&amp;DATE($B$3+1,1,1)))</f>
        <v/>
      </c>
      <c r="H92" s="67" t="n"/>
    </row>
    <row r="93" ht="16" customHeight="1">
      <c r="A93" s="30">
        <f>IF('支払先'!$B$75="","",'支払先'!$B$75&amp;"")</f>
        <v/>
      </c>
      <c r="B93" s="27">
        <f>IF('支払先'!$B$75="","",'支払先'!$C$75&amp;"")</f>
        <v/>
      </c>
      <c r="C93" s="62">
        <f>IF(OR($A93="",NOT(ISNUMBER($B$3))),"",COUNTIFS('通知一覧'!$C$5:$C$204,$A93,'通知一覧'!$F$5:$F$204,"&gt;="&amp;DATE($B$3,1,1),'通知一覧'!$F$5:$F$204,"&lt;"&amp;DATE($B$3+1,1,1)))</f>
        <v/>
      </c>
      <c r="D93" s="26">
        <f>IF(OR($A93="",NOT(ISNUMBER($B$3))),"",SUMIFS('通知一覧'!$Q$5:$Q$204,'通知一覧'!$C$5:$C$204,$A93,'通知一覧'!$F$5:$F$204,"&gt;="&amp;DATE($B$3,1,1),'通知一覧'!$F$5:$F$204,"&lt;"&amp;DATE($B$3+1,1,1)))</f>
        <v/>
      </c>
      <c r="E93" s="26">
        <f>IF(OR($A93="",NOT(ISNUMBER($B$3))),"",SUMIFS('通知一覧'!$R$5:$R$204,'通知一覧'!$C$5:$C$204,$A93,'通知一覧'!$F$5:$F$204,"&gt;="&amp;DATE($B$3,1,1),'通知一覧'!$F$5:$F$204,"&lt;"&amp;DATE($B$3+1,1,1)))</f>
        <v/>
      </c>
      <c r="F93" s="26">
        <f>IF(OR($A93="",NOT(ISNUMBER($B$3))),"",SUMIFS('通知一覧'!$S$5:$S$204,'通知一覧'!$C$5:$C$204,$A93,'通知一覧'!$F$5:$F$204,"&gt;="&amp;DATE($B$3,1,1),'通知一覧'!$F$5:$F$204,"&lt;"&amp;DATE($B$3+1,1,1)))</f>
        <v/>
      </c>
      <c r="G93" s="26">
        <f>IF(OR($A93="",NOT(ISNUMBER($B$3))),"",SUMIFS('通知一覧'!$U$5:$U$204,'通知一覧'!$C$5:$C$204,$A93,'通知一覧'!$F$5:$F$204,"&gt;="&amp;DATE($B$3,1,1),'通知一覧'!$F$5:$F$204,"&lt;"&amp;DATE($B$3+1,1,1)))</f>
        <v/>
      </c>
      <c r="H93" s="67" t="n"/>
    </row>
    <row r="94" ht="16" customHeight="1">
      <c r="A94" s="30">
        <f>IF('支払先'!$B$76="","",'支払先'!$B$76&amp;"")</f>
        <v/>
      </c>
      <c r="B94" s="27">
        <f>IF('支払先'!$B$76="","",'支払先'!$C$76&amp;"")</f>
        <v/>
      </c>
      <c r="C94" s="62">
        <f>IF(OR($A94="",NOT(ISNUMBER($B$3))),"",COUNTIFS('通知一覧'!$C$5:$C$204,$A94,'通知一覧'!$F$5:$F$204,"&gt;="&amp;DATE($B$3,1,1),'通知一覧'!$F$5:$F$204,"&lt;"&amp;DATE($B$3+1,1,1)))</f>
        <v/>
      </c>
      <c r="D94" s="26">
        <f>IF(OR($A94="",NOT(ISNUMBER($B$3))),"",SUMIFS('通知一覧'!$Q$5:$Q$204,'通知一覧'!$C$5:$C$204,$A94,'通知一覧'!$F$5:$F$204,"&gt;="&amp;DATE($B$3,1,1),'通知一覧'!$F$5:$F$204,"&lt;"&amp;DATE($B$3+1,1,1)))</f>
        <v/>
      </c>
      <c r="E94" s="26">
        <f>IF(OR($A94="",NOT(ISNUMBER($B$3))),"",SUMIFS('通知一覧'!$R$5:$R$204,'通知一覧'!$C$5:$C$204,$A94,'通知一覧'!$F$5:$F$204,"&gt;="&amp;DATE($B$3,1,1),'通知一覧'!$F$5:$F$204,"&lt;"&amp;DATE($B$3+1,1,1)))</f>
        <v/>
      </c>
      <c r="F94" s="26">
        <f>IF(OR($A94="",NOT(ISNUMBER($B$3))),"",SUMIFS('通知一覧'!$S$5:$S$204,'通知一覧'!$C$5:$C$204,$A94,'通知一覧'!$F$5:$F$204,"&gt;="&amp;DATE($B$3,1,1),'通知一覧'!$F$5:$F$204,"&lt;"&amp;DATE($B$3+1,1,1)))</f>
        <v/>
      </c>
      <c r="G94" s="26">
        <f>IF(OR($A94="",NOT(ISNUMBER($B$3))),"",SUMIFS('通知一覧'!$U$5:$U$204,'通知一覧'!$C$5:$C$204,$A94,'通知一覧'!$F$5:$F$204,"&gt;="&amp;DATE($B$3,1,1),'通知一覧'!$F$5:$F$204,"&lt;"&amp;DATE($B$3+1,1,1)))</f>
        <v/>
      </c>
      <c r="H94" s="67" t="n"/>
    </row>
    <row r="95" ht="16" customHeight="1">
      <c r="A95" s="30">
        <f>IF('支払先'!$B$77="","",'支払先'!$B$77&amp;"")</f>
        <v/>
      </c>
      <c r="B95" s="27">
        <f>IF('支払先'!$B$77="","",'支払先'!$C$77&amp;"")</f>
        <v/>
      </c>
      <c r="C95" s="62">
        <f>IF(OR($A95="",NOT(ISNUMBER($B$3))),"",COUNTIFS('通知一覧'!$C$5:$C$204,$A95,'通知一覧'!$F$5:$F$204,"&gt;="&amp;DATE($B$3,1,1),'通知一覧'!$F$5:$F$204,"&lt;"&amp;DATE($B$3+1,1,1)))</f>
        <v/>
      </c>
      <c r="D95" s="26">
        <f>IF(OR($A95="",NOT(ISNUMBER($B$3))),"",SUMIFS('通知一覧'!$Q$5:$Q$204,'通知一覧'!$C$5:$C$204,$A95,'通知一覧'!$F$5:$F$204,"&gt;="&amp;DATE($B$3,1,1),'通知一覧'!$F$5:$F$204,"&lt;"&amp;DATE($B$3+1,1,1)))</f>
        <v/>
      </c>
      <c r="E95" s="26">
        <f>IF(OR($A95="",NOT(ISNUMBER($B$3))),"",SUMIFS('通知一覧'!$R$5:$R$204,'通知一覧'!$C$5:$C$204,$A95,'通知一覧'!$F$5:$F$204,"&gt;="&amp;DATE($B$3,1,1),'通知一覧'!$F$5:$F$204,"&lt;"&amp;DATE($B$3+1,1,1)))</f>
        <v/>
      </c>
      <c r="F95" s="26">
        <f>IF(OR($A95="",NOT(ISNUMBER($B$3))),"",SUMIFS('通知一覧'!$S$5:$S$204,'通知一覧'!$C$5:$C$204,$A95,'通知一覧'!$F$5:$F$204,"&gt;="&amp;DATE($B$3,1,1),'通知一覧'!$F$5:$F$204,"&lt;"&amp;DATE($B$3+1,1,1)))</f>
        <v/>
      </c>
      <c r="G95" s="26">
        <f>IF(OR($A95="",NOT(ISNUMBER($B$3))),"",SUMIFS('通知一覧'!$U$5:$U$204,'通知一覧'!$C$5:$C$204,$A95,'通知一覧'!$F$5:$F$204,"&gt;="&amp;DATE($B$3,1,1),'通知一覧'!$F$5:$F$204,"&lt;"&amp;DATE($B$3+1,1,1)))</f>
        <v/>
      </c>
      <c r="H95" s="67" t="n"/>
    </row>
    <row r="96" ht="16" customHeight="1">
      <c r="A96" s="30">
        <f>IF('支払先'!$B$78="","",'支払先'!$B$78&amp;"")</f>
        <v/>
      </c>
      <c r="B96" s="27">
        <f>IF('支払先'!$B$78="","",'支払先'!$C$78&amp;"")</f>
        <v/>
      </c>
      <c r="C96" s="62">
        <f>IF(OR($A96="",NOT(ISNUMBER($B$3))),"",COUNTIFS('通知一覧'!$C$5:$C$204,$A96,'通知一覧'!$F$5:$F$204,"&gt;="&amp;DATE($B$3,1,1),'通知一覧'!$F$5:$F$204,"&lt;"&amp;DATE($B$3+1,1,1)))</f>
        <v/>
      </c>
      <c r="D96" s="26">
        <f>IF(OR($A96="",NOT(ISNUMBER($B$3))),"",SUMIFS('通知一覧'!$Q$5:$Q$204,'通知一覧'!$C$5:$C$204,$A96,'通知一覧'!$F$5:$F$204,"&gt;="&amp;DATE($B$3,1,1),'通知一覧'!$F$5:$F$204,"&lt;"&amp;DATE($B$3+1,1,1)))</f>
        <v/>
      </c>
      <c r="E96" s="26">
        <f>IF(OR($A96="",NOT(ISNUMBER($B$3))),"",SUMIFS('通知一覧'!$R$5:$R$204,'通知一覧'!$C$5:$C$204,$A96,'通知一覧'!$F$5:$F$204,"&gt;="&amp;DATE($B$3,1,1),'通知一覧'!$F$5:$F$204,"&lt;"&amp;DATE($B$3+1,1,1)))</f>
        <v/>
      </c>
      <c r="F96" s="26">
        <f>IF(OR($A96="",NOT(ISNUMBER($B$3))),"",SUMIFS('通知一覧'!$S$5:$S$204,'通知一覧'!$C$5:$C$204,$A96,'通知一覧'!$F$5:$F$204,"&gt;="&amp;DATE($B$3,1,1),'通知一覧'!$F$5:$F$204,"&lt;"&amp;DATE($B$3+1,1,1)))</f>
        <v/>
      </c>
      <c r="G96" s="26">
        <f>IF(OR($A96="",NOT(ISNUMBER($B$3))),"",SUMIFS('通知一覧'!$U$5:$U$204,'通知一覧'!$C$5:$C$204,$A96,'通知一覧'!$F$5:$F$204,"&gt;="&amp;DATE($B$3,1,1),'通知一覧'!$F$5:$F$204,"&lt;"&amp;DATE($B$3+1,1,1)))</f>
        <v/>
      </c>
      <c r="H96" s="67" t="n"/>
    </row>
    <row r="97" ht="16" customHeight="1">
      <c r="A97" s="30">
        <f>IF('支払先'!$B$79="","",'支払先'!$B$79&amp;"")</f>
        <v/>
      </c>
      <c r="B97" s="27">
        <f>IF('支払先'!$B$79="","",'支払先'!$C$79&amp;"")</f>
        <v/>
      </c>
      <c r="C97" s="62">
        <f>IF(OR($A97="",NOT(ISNUMBER($B$3))),"",COUNTIFS('通知一覧'!$C$5:$C$204,$A97,'通知一覧'!$F$5:$F$204,"&gt;="&amp;DATE($B$3,1,1),'通知一覧'!$F$5:$F$204,"&lt;"&amp;DATE($B$3+1,1,1)))</f>
        <v/>
      </c>
      <c r="D97" s="26">
        <f>IF(OR($A97="",NOT(ISNUMBER($B$3))),"",SUMIFS('通知一覧'!$Q$5:$Q$204,'通知一覧'!$C$5:$C$204,$A97,'通知一覧'!$F$5:$F$204,"&gt;="&amp;DATE($B$3,1,1),'通知一覧'!$F$5:$F$204,"&lt;"&amp;DATE($B$3+1,1,1)))</f>
        <v/>
      </c>
      <c r="E97" s="26">
        <f>IF(OR($A97="",NOT(ISNUMBER($B$3))),"",SUMIFS('通知一覧'!$R$5:$R$204,'通知一覧'!$C$5:$C$204,$A97,'通知一覧'!$F$5:$F$204,"&gt;="&amp;DATE($B$3,1,1),'通知一覧'!$F$5:$F$204,"&lt;"&amp;DATE($B$3+1,1,1)))</f>
        <v/>
      </c>
      <c r="F97" s="26">
        <f>IF(OR($A97="",NOT(ISNUMBER($B$3))),"",SUMIFS('通知一覧'!$S$5:$S$204,'通知一覧'!$C$5:$C$204,$A97,'通知一覧'!$F$5:$F$204,"&gt;="&amp;DATE($B$3,1,1),'通知一覧'!$F$5:$F$204,"&lt;"&amp;DATE($B$3+1,1,1)))</f>
        <v/>
      </c>
      <c r="G97" s="26">
        <f>IF(OR($A97="",NOT(ISNUMBER($B$3))),"",SUMIFS('通知一覧'!$U$5:$U$204,'通知一覧'!$C$5:$C$204,$A97,'通知一覧'!$F$5:$F$204,"&gt;="&amp;DATE($B$3,1,1),'通知一覧'!$F$5:$F$204,"&lt;"&amp;DATE($B$3+1,1,1)))</f>
        <v/>
      </c>
      <c r="H97" s="67" t="n"/>
    </row>
    <row r="98" ht="16" customHeight="1">
      <c r="A98" s="30">
        <f>IF('支払先'!$B$80="","",'支払先'!$B$80&amp;"")</f>
        <v/>
      </c>
      <c r="B98" s="27">
        <f>IF('支払先'!$B$80="","",'支払先'!$C$80&amp;"")</f>
        <v/>
      </c>
      <c r="C98" s="62">
        <f>IF(OR($A98="",NOT(ISNUMBER($B$3))),"",COUNTIFS('通知一覧'!$C$5:$C$204,$A98,'通知一覧'!$F$5:$F$204,"&gt;="&amp;DATE($B$3,1,1),'通知一覧'!$F$5:$F$204,"&lt;"&amp;DATE($B$3+1,1,1)))</f>
        <v/>
      </c>
      <c r="D98" s="26">
        <f>IF(OR($A98="",NOT(ISNUMBER($B$3))),"",SUMIFS('通知一覧'!$Q$5:$Q$204,'通知一覧'!$C$5:$C$204,$A98,'通知一覧'!$F$5:$F$204,"&gt;="&amp;DATE($B$3,1,1),'通知一覧'!$F$5:$F$204,"&lt;"&amp;DATE($B$3+1,1,1)))</f>
        <v/>
      </c>
      <c r="E98" s="26">
        <f>IF(OR($A98="",NOT(ISNUMBER($B$3))),"",SUMIFS('通知一覧'!$R$5:$R$204,'通知一覧'!$C$5:$C$204,$A98,'通知一覧'!$F$5:$F$204,"&gt;="&amp;DATE($B$3,1,1),'通知一覧'!$F$5:$F$204,"&lt;"&amp;DATE($B$3+1,1,1)))</f>
        <v/>
      </c>
      <c r="F98" s="26">
        <f>IF(OR($A98="",NOT(ISNUMBER($B$3))),"",SUMIFS('通知一覧'!$S$5:$S$204,'通知一覧'!$C$5:$C$204,$A98,'通知一覧'!$F$5:$F$204,"&gt;="&amp;DATE($B$3,1,1),'通知一覧'!$F$5:$F$204,"&lt;"&amp;DATE($B$3+1,1,1)))</f>
        <v/>
      </c>
      <c r="G98" s="26">
        <f>IF(OR($A98="",NOT(ISNUMBER($B$3))),"",SUMIFS('通知一覧'!$U$5:$U$204,'通知一覧'!$C$5:$C$204,$A98,'通知一覧'!$F$5:$F$204,"&gt;="&amp;DATE($B$3,1,1),'通知一覧'!$F$5:$F$204,"&lt;"&amp;DATE($B$3+1,1,1)))</f>
        <v/>
      </c>
      <c r="H98" s="67" t="n"/>
    </row>
    <row r="99" ht="16" customHeight="1">
      <c r="A99" s="30">
        <f>IF('支払先'!$B$81="","",'支払先'!$B$81&amp;"")</f>
        <v/>
      </c>
      <c r="B99" s="27">
        <f>IF('支払先'!$B$81="","",'支払先'!$C$81&amp;"")</f>
        <v/>
      </c>
      <c r="C99" s="62">
        <f>IF(OR($A99="",NOT(ISNUMBER($B$3))),"",COUNTIFS('通知一覧'!$C$5:$C$204,$A99,'通知一覧'!$F$5:$F$204,"&gt;="&amp;DATE($B$3,1,1),'通知一覧'!$F$5:$F$204,"&lt;"&amp;DATE($B$3+1,1,1)))</f>
        <v/>
      </c>
      <c r="D99" s="26">
        <f>IF(OR($A99="",NOT(ISNUMBER($B$3))),"",SUMIFS('通知一覧'!$Q$5:$Q$204,'通知一覧'!$C$5:$C$204,$A99,'通知一覧'!$F$5:$F$204,"&gt;="&amp;DATE($B$3,1,1),'通知一覧'!$F$5:$F$204,"&lt;"&amp;DATE($B$3+1,1,1)))</f>
        <v/>
      </c>
      <c r="E99" s="26">
        <f>IF(OR($A99="",NOT(ISNUMBER($B$3))),"",SUMIFS('通知一覧'!$R$5:$R$204,'通知一覧'!$C$5:$C$204,$A99,'通知一覧'!$F$5:$F$204,"&gt;="&amp;DATE($B$3,1,1),'通知一覧'!$F$5:$F$204,"&lt;"&amp;DATE($B$3+1,1,1)))</f>
        <v/>
      </c>
      <c r="F99" s="26">
        <f>IF(OR($A99="",NOT(ISNUMBER($B$3))),"",SUMIFS('通知一覧'!$S$5:$S$204,'通知一覧'!$C$5:$C$204,$A99,'通知一覧'!$F$5:$F$204,"&gt;="&amp;DATE($B$3,1,1),'通知一覧'!$F$5:$F$204,"&lt;"&amp;DATE($B$3+1,1,1)))</f>
        <v/>
      </c>
      <c r="G99" s="26">
        <f>IF(OR($A99="",NOT(ISNUMBER($B$3))),"",SUMIFS('通知一覧'!$U$5:$U$204,'通知一覧'!$C$5:$C$204,$A99,'通知一覧'!$F$5:$F$204,"&gt;="&amp;DATE($B$3,1,1),'通知一覧'!$F$5:$F$204,"&lt;"&amp;DATE($B$3+1,1,1)))</f>
        <v/>
      </c>
      <c r="H99" s="67" t="n"/>
    </row>
    <row r="100" ht="16" customHeight="1">
      <c r="A100" s="30">
        <f>IF('支払先'!$B$82="","",'支払先'!$B$82&amp;"")</f>
        <v/>
      </c>
      <c r="B100" s="27">
        <f>IF('支払先'!$B$82="","",'支払先'!$C$82&amp;"")</f>
        <v/>
      </c>
      <c r="C100" s="62">
        <f>IF(OR($A100="",NOT(ISNUMBER($B$3))),"",COUNTIFS('通知一覧'!$C$5:$C$204,$A100,'通知一覧'!$F$5:$F$204,"&gt;="&amp;DATE($B$3,1,1),'通知一覧'!$F$5:$F$204,"&lt;"&amp;DATE($B$3+1,1,1)))</f>
        <v/>
      </c>
      <c r="D100" s="26">
        <f>IF(OR($A100="",NOT(ISNUMBER($B$3))),"",SUMIFS('通知一覧'!$Q$5:$Q$204,'通知一覧'!$C$5:$C$204,$A100,'通知一覧'!$F$5:$F$204,"&gt;="&amp;DATE($B$3,1,1),'通知一覧'!$F$5:$F$204,"&lt;"&amp;DATE($B$3+1,1,1)))</f>
        <v/>
      </c>
      <c r="E100" s="26">
        <f>IF(OR($A100="",NOT(ISNUMBER($B$3))),"",SUMIFS('通知一覧'!$R$5:$R$204,'通知一覧'!$C$5:$C$204,$A100,'通知一覧'!$F$5:$F$204,"&gt;="&amp;DATE($B$3,1,1),'通知一覧'!$F$5:$F$204,"&lt;"&amp;DATE($B$3+1,1,1)))</f>
        <v/>
      </c>
      <c r="F100" s="26">
        <f>IF(OR($A100="",NOT(ISNUMBER($B$3))),"",SUMIFS('通知一覧'!$S$5:$S$204,'通知一覧'!$C$5:$C$204,$A100,'通知一覧'!$F$5:$F$204,"&gt;="&amp;DATE($B$3,1,1),'通知一覧'!$F$5:$F$204,"&lt;"&amp;DATE($B$3+1,1,1)))</f>
        <v/>
      </c>
      <c r="G100" s="26">
        <f>IF(OR($A100="",NOT(ISNUMBER($B$3))),"",SUMIFS('通知一覧'!$U$5:$U$204,'通知一覧'!$C$5:$C$204,$A100,'通知一覧'!$F$5:$F$204,"&gt;="&amp;DATE($B$3,1,1),'通知一覧'!$F$5:$F$204,"&lt;"&amp;DATE($B$3+1,1,1)))</f>
        <v/>
      </c>
      <c r="H100" s="67" t="n"/>
    </row>
    <row r="101" ht="16" customHeight="1">
      <c r="A101" s="30">
        <f>IF('支払先'!$B$83="","",'支払先'!$B$83&amp;"")</f>
        <v/>
      </c>
      <c r="B101" s="27">
        <f>IF('支払先'!$B$83="","",'支払先'!$C$83&amp;"")</f>
        <v/>
      </c>
      <c r="C101" s="62">
        <f>IF(OR($A101="",NOT(ISNUMBER($B$3))),"",COUNTIFS('通知一覧'!$C$5:$C$204,$A101,'通知一覧'!$F$5:$F$204,"&gt;="&amp;DATE($B$3,1,1),'通知一覧'!$F$5:$F$204,"&lt;"&amp;DATE($B$3+1,1,1)))</f>
        <v/>
      </c>
      <c r="D101" s="26">
        <f>IF(OR($A101="",NOT(ISNUMBER($B$3))),"",SUMIFS('通知一覧'!$Q$5:$Q$204,'通知一覧'!$C$5:$C$204,$A101,'通知一覧'!$F$5:$F$204,"&gt;="&amp;DATE($B$3,1,1),'通知一覧'!$F$5:$F$204,"&lt;"&amp;DATE($B$3+1,1,1)))</f>
        <v/>
      </c>
      <c r="E101" s="26">
        <f>IF(OR($A101="",NOT(ISNUMBER($B$3))),"",SUMIFS('通知一覧'!$R$5:$R$204,'通知一覧'!$C$5:$C$204,$A101,'通知一覧'!$F$5:$F$204,"&gt;="&amp;DATE($B$3,1,1),'通知一覧'!$F$5:$F$204,"&lt;"&amp;DATE($B$3+1,1,1)))</f>
        <v/>
      </c>
      <c r="F101" s="26">
        <f>IF(OR($A101="",NOT(ISNUMBER($B$3))),"",SUMIFS('通知一覧'!$S$5:$S$204,'通知一覧'!$C$5:$C$204,$A101,'通知一覧'!$F$5:$F$204,"&gt;="&amp;DATE($B$3,1,1),'通知一覧'!$F$5:$F$204,"&lt;"&amp;DATE($B$3+1,1,1)))</f>
        <v/>
      </c>
      <c r="G101" s="26">
        <f>IF(OR($A101="",NOT(ISNUMBER($B$3))),"",SUMIFS('通知一覧'!$U$5:$U$204,'通知一覧'!$C$5:$C$204,$A101,'通知一覧'!$F$5:$F$204,"&gt;="&amp;DATE($B$3,1,1),'通知一覧'!$F$5:$F$204,"&lt;"&amp;DATE($B$3+1,1,1)))</f>
        <v/>
      </c>
      <c r="H101" s="67" t="n"/>
    </row>
    <row r="102" ht="16" customHeight="1">
      <c r="A102" s="30">
        <f>IF('支払先'!$B$84="","",'支払先'!$B$84&amp;"")</f>
        <v/>
      </c>
      <c r="B102" s="27">
        <f>IF('支払先'!$B$84="","",'支払先'!$C$84&amp;"")</f>
        <v/>
      </c>
      <c r="C102" s="62">
        <f>IF(OR($A102="",NOT(ISNUMBER($B$3))),"",COUNTIFS('通知一覧'!$C$5:$C$204,$A102,'通知一覧'!$F$5:$F$204,"&gt;="&amp;DATE($B$3,1,1),'通知一覧'!$F$5:$F$204,"&lt;"&amp;DATE($B$3+1,1,1)))</f>
        <v/>
      </c>
      <c r="D102" s="26">
        <f>IF(OR($A102="",NOT(ISNUMBER($B$3))),"",SUMIFS('通知一覧'!$Q$5:$Q$204,'通知一覧'!$C$5:$C$204,$A102,'通知一覧'!$F$5:$F$204,"&gt;="&amp;DATE($B$3,1,1),'通知一覧'!$F$5:$F$204,"&lt;"&amp;DATE($B$3+1,1,1)))</f>
        <v/>
      </c>
      <c r="E102" s="26">
        <f>IF(OR($A102="",NOT(ISNUMBER($B$3))),"",SUMIFS('通知一覧'!$R$5:$R$204,'通知一覧'!$C$5:$C$204,$A102,'通知一覧'!$F$5:$F$204,"&gt;="&amp;DATE($B$3,1,1),'通知一覧'!$F$5:$F$204,"&lt;"&amp;DATE($B$3+1,1,1)))</f>
        <v/>
      </c>
      <c r="F102" s="26">
        <f>IF(OR($A102="",NOT(ISNUMBER($B$3))),"",SUMIFS('通知一覧'!$S$5:$S$204,'通知一覧'!$C$5:$C$204,$A102,'通知一覧'!$F$5:$F$204,"&gt;="&amp;DATE($B$3,1,1),'通知一覧'!$F$5:$F$204,"&lt;"&amp;DATE($B$3+1,1,1)))</f>
        <v/>
      </c>
      <c r="G102" s="26">
        <f>IF(OR($A102="",NOT(ISNUMBER($B$3))),"",SUMIFS('通知一覧'!$U$5:$U$204,'通知一覧'!$C$5:$C$204,$A102,'通知一覧'!$F$5:$F$204,"&gt;="&amp;DATE($B$3,1,1),'通知一覧'!$F$5:$F$204,"&lt;"&amp;DATE($B$3+1,1,1)))</f>
        <v/>
      </c>
      <c r="H102" s="67" t="n"/>
    </row>
    <row r="103" ht="16" customHeight="1">
      <c r="A103" s="30">
        <f>IF('支払先'!$B$85="","",'支払先'!$B$85&amp;"")</f>
        <v/>
      </c>
      <c r="B103" s="27">
        <f>IF('支払先'!$B$85="","",'支払先'!$C$85&amp;"")</f>
        <v/>
      </c>
      <c r="C103" s="62">
        <f>IF(OR($A103="",NOT(ISNUMBER($B$3))),"",COUNTIFS('通知一覧'!$C$5:$C$204,$A103,'通知一覧'!$F$5:$F$204,"&gt;="&amp;DATE($B$3,1,1),'通知一覧'!$F$5:$F$204,"&lt;"&amp;DATE($B$3+1,1,1)))</f>
        <v/>
      </c>
      <c r="D103" s="26">
        <f>IF(OR($A103="",NOT(ISNUMBER($B$3))),"",SUMIFS('通知一覧'!$Q$5:$Q$204,'通知一覧'!$C$5:$C$204,$A103,'通知一覧'!$F$5:$F$204,"&gt;="&amp;DATE($B$3,1,1),'通知一覧'!$F$5:$F$204,"&lt;"&amp;DATE($B$3+1,1,1)))</f>
        <v/>
      </c>
      <c r="E103" s="26">
        <f>IF(OR($A103="",NOT(ISNUMBER($B$3))),"",SUMIFS('通知一覧'!$R$5:$R$204,'通知一覧'!$C$5:$C$204,$A103,'通知一覧'!$F$5:$F$204,"&gt;="&amp;DATE($B$3,1,1),'通知一覧'!$F$5:$F$204,"&lt;"&amp;DATE($B$3+1,1,1)))</f>
        <v/>
      </c>
      <c r="F103" s="26">
        <f>IF(OR($A103="",NOT(ISNUMBER($B$3))),"",SUMIFS('通知一覧'!$S$5:$S$204,'通知一覧'!$C$5:$C$204,$A103,'通知一覧'!$F$5:$F$204,"&gt;="&amp;DATE($B$3,1,1),'通知一覧'!$F$5:$F$204,"&lt;"&amp;DATE($B$3+1,1,1)))</f>
        <v/>
      </c>
      <c r="G103" s="26">
        <f>IF(OR($A103="",NOT(ISNUMBER($B$3))),"",SUMIFS('通知一覧'!$U$5:$U$204,'通知一覧'!$C$5:$C$204,$A103,'通知一覧'!$F$5:$F$204,"&gt;="&amp;DATE($B$3,1,1),'通知一覧'!$F$5:$F$204,"&lt;"&amp;DATE($B$3+1,1,1)))</f>
        <v/>
      </c>
      <c r="H103" s="67" t="n"/>
    </row>
    <row r="104" ht="16" customHeight="1">
      <c r="A104" s="30">
        <f>IF('支払先'!$B$86="","",'支払先'!$B$86&amp;"")</f>
        <v/>
      </c>
      <c r="B104" s="27">
        <f>IF('支払先'!$B$86="","",'支払先'!$C$86&amp;"")</f>
        <v/>
      </c>
      <c r="C104" s="62">
        <f>IF(OR($A104="",NOT(ISNUMBER($B$3))),"",COUNTIFS('通知一覧'!$C$5:$C$204,$A104,'通知一覧'!$F$5:$F$204,"&gt;="&amp;DATE($B$3,1,1),'通知一覧'!$F$5:$F$204,"&lt;"&amp;DATE($B$3+1,1,1)))</f>
        <v/>
      </c>
      <c r="D104" s="26">
        <f>IF(OR($A104="",NOT(ISNUMBER($B$3))),"",SUMIFS('通知一覧'!$Q$5:$Q$204,'通知一覧'!$C$5:$C$204,$A104,'通知一覧'!$F$5:$F$204,"&gt;="&amp;DATE($B$3,1,1),'通知一覧'!$F$5:$F$204,"&lt;"&amp;DATE($B$3+1,1,1)))</f>
        <v/>
      </c>
      <c r="E104" s="26">
        <f>IF(OR($A104="",NOT(ISNUMBER($B$3))),"",SUMIFS('通知一覧'!$R$5:$R$204,'通知一覧'!$C$5:$C$204,$A104,'通知一覧'!$F$5:$F$204,"&gt;="&amp;DATE($B$3,1,1),'通知一覧'!$F$5:$F$204,"&lt;"&amp;DATE($B$3+1,1,1)))</f>
        <v/>
      </c>
      <c r="F104" s="26">
        <f>IF(OR($A104="",NOT(ISNUMBER($B$3))),"",SUMIFS('通知一覧'!$S$5:$S$204,'通知一覧'!$C$5:$C$204,$A104,'通知一覧'!$F$5:$F$204,"&gt;="&amp;DATE($B$3,1,1),'通知一覧'!$F$5:$F$204,"&lt;"&amp;DATE($B$3+1,1,1)))</f>
        <v/>
      </c>
      <c r="G104" s="26">
        <f>IF(OR($A104="",NOT(ISNUMBER($B$3))),"",SUMIFS('通知一覧'!$U$5:$U$204,'通知一覧'!$C$5:$C$204,$A104,'通知一覧'!$F$5:$F$204,"&gt;="&amp;DATE($B$3,1,1),'通知一覧'!$F$5:$F$204,"&lt;"&amp;DATE($B$3+1,1,1)))</f>
        <v/>
      </c>
      <c r="H104" s="67" t="n"/>
    </row>
    <row r="105" ht="16" customHeight="1">
      <c r="A105" s="30">
        <f>IF('支払先'!$B$87="","",'支払先'!$B$87&amp;"")</f>
        <v/>
      </c>
      <c r="B105" s="27">
        <f>IF('支払先'!$B$87="","",'支払先'!$C$87&amp;"")</f>
        <v/>
      </c>
      <c r="C105" s="62">
        <f>IF(OR($A105="",NOT(ISNUMBER($B$3))),"",COUNTIFS('通知一覧'!$C$5:$C$204,$A105,'通知一覧'!$F$5:$F$204,"&gt;="&amp;DATE($B$3,1,1),'通知一覧'!$F$5:$F$204,"&lt;"&amp;DATE($B$3+1,1,1)))</f>
        <v/>
      </c>
      <c r="D105" s="26">
        <f>IF(OR($A105="",NOT(ISNUMBER($B$3))),"",SUMIFS('通知一覧'!$Q$5:$Q$204,'通知一覧'!$C$5:$C$204,$A105,'通知一覧'!$F$5:$F$204,"&gt;="&amp;DATE($B$3,1,1),'通知一覧'!$F$5:$F$204,"&lt;"&amp;DATE($B$3+1,1,1)))</f>
        <v/>
      </c>
      <c r="E105" s="26">
        <f>IF(OR($A105="",NOT(ISNUMBER($B$3))),"",SUMIFS('通知一覧'!$R$5:$R$204,'通知一覧'!$C$5:$C$204,$A105,'通知一覧'!$F$5:$F$204,"&gt;="&amp;DATE($B$3,1,1),'通知一覧'!$F$5:$F$204,"&lt;"&amp;DATE($B$3+1,1,1)))</f>
        <v/>
      </c>
      <c r="F105" s="26">
        <f>IF(OR($A105="",NOT(ISNUMBER($B$3))),"",SUMIFS('通知一覧'!$S$5:$S$204,'通知一覧'!$C$5:$C$204,$A105,'通知一覧'!$F$5:$F$204,"&gt;="&amp;DATE($B$3,1,1),'通知一覧'!$F$5:$F$204,"&lt;"&amp;DATE($B$3+1,1,1)))</f>
        <v/>
      </c>
      <c r="G105" s="26">
        <f>IF(OR($A105="",NOT(ISNUMBER($B$3))),"",SUMIFS('通知一覧'!$U$5:$U$204,'通知一覧'!$C$5:$C$204,$A105,'通知一覧'!$F$5:$F$204,"&gt;="&amp;DATE($B$3,1,1),'通知一覧'!$F$5:$F$204,"&lt;"&amp;DATE($B$3+1,1,1)))</f>
        <v/>
      </c>
      <c r="H105" s="67" t="n"/>
    </row>
    <row r="106" ht="16" customHeight="1">
      <c r="A106" s="30">
        <f>IF('支払先'!$B$88="","",'支払先'!$B$88&amp;"")</f>
        <v/>
      </c>
      <c r="B106" s="27">
        <f>IF('支払先'!$B$88="","",'支払先'!$C$88&amp;"")</f>
        <v/>
      </c>
      <c r="C106" s="62">
        <f>IF(OR($A106="",NOT(ISNUMBER($B$3))),"",COUNTIFS('通知一覧'!$C$5:$C$204,$A106,'通知一覧'!$F$5:$F$204,"&gt;="&amp;DATE($B$3,1,1),'通知一覧'!$F$5:$F$204,"&lt;"&amp;DATE($B$3+1,1,1)))</f>
        <v/>
      </c>
      <c r="D106" s="26">
        <f>IF(OR($A106="",NOT(ISNUMBER($B$3))),"",SUMIFS('通知一覧'!$Q$5:$Q$204,'通知一覧'!$C$5:$C$204,$A106,'通知一覧'!$F$5:$F$204,"&gt;="&amp;DATE($B$3,1,1),'通知一覧'!$F$5:$F$204,"&lt;"&amp;DATE($B$3+1,1,1)))</f>
        <v/>
      </c>
      <c r="E106" s="26">
        <f>IF(OR($A106="",NOT(ISNUMBER($B$3))),"",SUMIFS('通知一覧'!$R$5:$R$204,'通知一覧'!$C$5:$C$204,$A106,'通知一覧'!$F$5:$F$204,"&gt;="&amp;DATE($B$3,1,1),'通知一覧'!$F$5:$F$204,"&lt;"&amp;DATE($B$3+1,1,1)))</f>
        <v/>
      </c>
      <c r="F106" s="26">
        <f>IF(OR($A106="",NOT(ISNUMBER($B$3))),"",SUMIFS('通知一覧'!$S$5:$S$204,'通知一覧'!$C$5:$C$204,$A106,'通知一覧'!$F$5:$F$204,"&gt;="&amp;DATE($B$3,1,1),'通知一覧'!$F$5:$F$204,"&lt;"&amp;DATE($B$3+1,1,1)))</f>
        <v/>
      </c>
      <c r="G106" s="26">
        <f>IF(OR($A106="",NOT(ISNUMBER($B$3))),"",SUMIFS('通知一覧'!$U$5:$U$204,'通知一覧'!$C$5:$C$204,$A106,'通知一覧'!$F$5:$F$204,"&gt;="&amp;DATE($B$3,1,1),'通知一覧'!$F$5:$F$204,"&lt;"&amp;DATE($B$3+1,1,1)))</f>
        <v/>
      </c>
      <c r="H106" s="67" t="n"/>
    </row>
    <row r="107" ht="16" customHeight="1">
      <c r="A107" s="30">
        <f>IF('支払先'!$B$89="","",'支払先'!$B$89&amp;"")</f>
        <v/>
      </c>
      <c r="B107" s="27">
        <f>IF('支払先'!$B$89="","",'支払先'!$C$89&amp;"")</f>
        <v/>
      </c>
      <c r="C107" s="62">
        <f>IF(OR($A107="",NOT(ISNUMBER($B$3))),"",COUNTIFS('通知一覧'!$C$5:$C$204,$A107,'通知一覧'!$F$5:$F$204,"&gt;="&amp;DATE($B$3,1,1),'通知一覧'!$F$5:$F$204,"&lt;"&amp;DATE($B$3+1,1,1)))</f>
        <v/>
      </c>
      <c r="D107" s="26">
        <f>IF(OR($A107="",NOT(ISNUMBER($B$3))),"",SUMIFS('通知一覧'!$Q$5:$Q$204,'通知一覧'!$C$5:$C$204,$A107,'通知一覧'!$F$5:$F$204,"&gt;="&amp;DATE($B$3,1,1),'通知一覧'!$F$5:$F$204,"&lt;"&amp;DATE($B$3+1,1,1)))</f>
        <v/>
      </c>
      <c r="E107" s="26">
        <f>IF(OR($A107="",NOT(ISNUMBER($B$3))),"",SUMIFS('通知一覧'!$R$5:$R$204,'通知一覧'!$C$5:$C$204,$A107,'通知一覧'!$F$5:$F$204,"&gt;="&amp;DATE($B$3,1,1),'通知一覧'!$F$5:$F$204,"&lt;"&amp;DATE($B$3+1,1,1)))</f>
        <v/>
      </c>
      <c r="F107" s="26">
        <f>IF(OR($A107="",NOT(ISNUMBER($B$3))),"",SUMIFS('通知一覧'!$S$5:$S$204,'通知一覧'!$C$5:$C$204,$A107,'通知一覧'!$F$5:$F$204,"&gt;="&amp;DATE($B$3,1,1),'通知一覧'!$F$5:$F$204,"&lt;"&amp;DATE($B$3+1,1,1)))</f>
        <v/>
      </c>
      <c r="G107" s="26">
        <f>IF(OR($A107="",NOT(ISNUMBER($B$3))),"",SUMIFS('通知一覧'!$U$5:$U$204,'通知一覧'!$C$5:$C$204,$A107,'通知一覧'!$F$5:$F$204,"&gt;="&amp;DATE($B$3,1,1),'通知一覧'!$F$5:$F$204,"&lt;"&amp;DATE($B$3+1,1,1)))</f>
        <v/>
      </c>
      <c r="H107" s="67" t="n"/>
    </row>
    <row r="108" ht="16" customHeight="1">
      <c r="A108" s="30">
        <f>IF('支払先'!$B$90="","",'支払先'!$B$90&amp;"")</f>
        <v/>
      </c>
      <c r="B108" s="27">
        <f>IF('支払先'!$B$90="","",'支払先'!$C$90&amp;"")</f>
        <v/>
      </c>
      <c r="C108" s="62">
        <f>IF(OR($A108="",NOT(ISNUMBER($B$3))),"",COUNTIFS('通知一覧'!$C$5:$C$204,$A108,'通知一覧'!$F$5:$F$204,"&gt;="&amp;DATE($B$3,1,1),'通知一覧'!$F$5:$F$204,"&lt;"&amp;DATE($B$3+1,1,1)))</f>
        <v/>
      </c>
      <c r="D108" s="26">
        <f>IF(OR($A108="",NOT(ISNUMBER($B$3))),"",SUMIFS('通知一覧'!$Q$5:$Q$204,'通知一覧'!$C$5:$C$204,$A108,'通知一覧'!$F$5:$F$204,"&gt;="&amp;DATE($B$3,1,1),'通知一覧'!$F$5:$F$204,"&lt;"&amp;DATE($B$3+1,1,1)))</f>
        <v/>
      </c>
      <c r="E108" s="26">
        <f>IF(OR($A108="",NOT(ISNUMBER($B$3))),"",SUMIFS('通知一覧'!$R$5:$R$204,'通知一覧'!$C$5:$C$204,$A108,'通知一覧'!$F$5:$F$204,"&gt;="&amp;DATE($B$3,1,1),'通知一覧'!$F$5:$F$204,"&lt;"&amp;DATE($B$3+1,1,1)))</f>
        <v/>
      </c>
      <c r="F108" s="26">
        <f>IF(OR($A108="",NOT(ISNUMBER($B$3))),"",SUMIFS('通知一覧'!$S$5:$S$204,'通知一覧'!$C$5:$C$204,$A108,'通知一覧'!$F$5:$F$204,"&gt;="&amp;DATE($B$3,1,1),'通知一覧'!$F$5:$F$204,"&lt;"&amp;DATE($B$3+1,1,1)))</f>
        <v/>
      </c>
      <c r="G108" s="26">
        <f>IF(OR($A108="",NOT(ISNUMBER($B$3))),"",SUMIFS('通知一覧'!$U$5:$U$204,'通知一覧'!$C$5:$C$204,$A108,'通知一覧'!$F$5:$F$204,"&gt;="&amp;DATE($B$3,1,1),'通知一覧'!$F$5:$F$204,"&lt;"&amp;DATE($B$3+1,1,1)))</f>
        <v/>
      </c>
      <c r="H108" s="67" t="n"/>
    </row>
    <row r="109" ht="16" customHeight="1">
      <c r="A109" s="30">
        <f>IF('支払先'!$B$91="","",'支払先'!$B$91&amp;"")</f>
        <v/>
      </c>
      <c r="B109" s="27">
        <f>IF('支払先'!$B$91="","",'支払先'!$C$91&amp;"")</f>
        <v/>
      </c>
      <c r="C109" s="62">
        <f>IF(OR($A109="",NOT(ISNUMBER($B$3))),"",COUNTIFS('通知一覧'!$C$5:$C$204,$A109,'通知一覧'!$F$5:$F$204,"&gt;="&amp;DATE($B$3,1,1),'通知一覧'!$F$5:$F$204,"&lt;"&amp;DATE($B$3+1,1,1)))</f>
        <v/>
      </c>
      <c r="D109" s="26">
        <f>IF(OR($A109="",NOT(ISNUMBER($B$3))),"",SUMIFS('通知一覧'!$Q$5:$Q$204,'通知一覧'!$C$5:$C$204,$A109,'通知一覧'!$F$5:$F$204,"&gt;="&amp;DATE($B$3,1,1),'通知一覧'!$F$5:$F$204,"&lt;"&amp;DATE($B$3+1,1,1)))</f>
        <v/>
      </c>
      <c r="E109" s="26">
        <f>IF(OR($A109="",NOT(ISNUMBER($B$3))),"",SUMIFS('通知一覧'!$R$5:$R$204,'通知一覧'!$C$5:$C$204,$A109,'通知一覧'!$F$5:$F$204,"&gt;="&amp;DATE($B$3,1,1),'通知一覧'!$F$5:$F$204,"&lt;"&amp;DATE($B$3+1,1,1)))</f>
        <v/>
      </c>
      <c r="F109" s="26">
        <f>IF(OR($A109="",NOT(ISNUMBER($B$3))),"",SUMIFS('通知一覧'!$S$5:$S$204,'通知一覧'!$C$5:$C$204,$A109,'通知一覧'!$F$5:$F$204,"&gt;="&amp;DATE($B$3,1,1),'通知一覧'!$F$5:$F$204,"&lt;"&amp;DATE($B$3+1,1,1)))</f>
        <v/>
      </c>
      <c r="G109" s="26">
        <f>IF(OR($A109="",NOT(ISNUMBER($B$3))),"",SUMIFS('通知一覧'!$U$5:$U$204,'通知一覧'!$C$5:$C$204,$A109,'通知一覧'!$F$5:$F$204,"&gt;="&amp;DATE($B$3,1,1),'通知一覧'!$F$5:$F$204,"&lt;"&amp;DATE($B$3+1,1,1)))</f>
        <v/>
      </c>
      <c r="H109" s="67" t="n"/>
    </row>
    <row r="110" ht="16" customHeight="1">
      <c r="A110" s="30">
        <f>IF('支払先'!$B$92="","",'支払先'!$B$92&amp;"")</f>
        <v/>
      </c>
      <c r="B110" s="27">
        <f>IF('支払先'!$B$92="","",'支払先'!$C$92&amp;"")</f>
        <v/>
      </c>
      <c r="C110" s="62">
        <f>IF(OR($A110="",NOT(ISNUMBER($B$3))),"",COUNTIFS('通知一覧'!$C$5:$C$204,$A110,'通知一覧'!$F$5:$F$204,"&gt;="&amp;DATE($B$3,1,1),'通知一覧'!$F$5:$F$204,"&lt;"&amp;DATE($B$3+1,1,1)))</f>
        <v/>
      </c>
      <c r="D110" s="26">
        <f>IF(OR($A110="",NOT(ISNUMBER($B$3))),"",SUMIFS('通知一覧'!$Q$5:$Q$204,'通知一覧'!$C$5:$C$204,$A110,'通知一覧'!$F$5:$F$204,"&gt;="&amp;DATE($B$3,1,1),'通知一覧'!$F$5:$F$204,"&lt;"&amp;DATE($B$3+1,1,1)))</f>
        <v/>
      </c>
      <c r="E110" s="26">
        <f>IF(OR($A110="",NOT(ISNUMBER($B$3))),"",SUMIFS('通知一覧'!$R$5:$R$204,'通知一覧'!$C$5:$C$204,$A110,'通知一覧'!$F$5:$F$204,"&gt;="&amp;DATE($B$3,1,1),'通知一覧'!$F$5:$F$204,"&lt;"&amp;DATE($B$3+1,1,1)))</f>
        <v/>
      </c>
      <c r="F110" s="26">
        <f>IF(OR($A110="",NOT(ISNUMBER($B$3))),"",SUMIFS('通知一覧'!$S$5:$S$204,'通知一覧'!$C$5:$C$204,$A110,'通知一覧'!$F$5:$F$204,"&gt;="&amp;DATE($B$3,1,1),'通知一覧'!$F$5:$F$204,"&lt;"&amp;DATE($B$3+1,1,1)))</f>
        <v/>
      </c>
      <c r="G110" s="26">
        <f>IF(OR($A110="",NOT(ISNUMBER($B$3))),"",SUMIFS('通知一覧'!$U$5:$U$204,'通知一覧'!$C$5:$C$204,$A110,'通知一覧'!$F$5:$F$204,"&gt;="&amp;DATE($B$3,1,1),'通知一覧'!$F$5:$F$204,"&lt;"&amp;DATE($B$3+1,1,1)))</f>
        <v/>
      </c>
      <c r="H110" s="67" t="n"/>
    </row>
    <row r="111" ht="16" customHeight="1">
      <c r="A111" s="30">
        <f>IF('支払先'!$B$93="","",'支払先'!$B$93&amp;"")</f>
        <v/>
      </c>
      <c r="B111" s="27">
        <f>IF('支払先'!$B$93="","",'支払先'!$C$93&amp;"")</f>
        <v/>
      </c>
      <c r="C111" s="62">
        <f>IF(OR($A111="",NOT(ISNUMBER($B$3))),"",COUNTIFS('通知一覧'!$C$5:$C$204,$A111,'通知一覧'!$F$5:$F$204,"&gt;="&amp;DATE($B$3,1,1),'通知一覧'!$F$5:$F$204,"&lt;"&amp;DATE($B$3+1,1,1)))</f>
        <v/>
      </c>
      <c r="D111" s="26">
        <f>IF(OR($A111="",NOT(ISNUMBER($B$3))),"",SUMIFS('通知一覧'!$Q$5:$Q$204,'通知一覧'!$C$5:$C$204,$A111,'通知一覧'!$F$5:$F$204,"&gt;="&amp;DATE($B$3,1,1),'通知一覧'!$F$5:$F$204,"&lt;"&amp;DATE($B$3+1,1,1)))</f>
        <v/>
      </c>
      <c r="E111" s="26">
        <f>IF(OR($A111="",NOT(ISNUMBER($B$3))),"",SUMIFS('通知一覧'!$R$5:$R$204,'通知一覧'!$C$5:$C$204,$A111,'通知一覧'!$F$5:$F$204,"&gt;="&amp;DATE($B$3,1,1),'通知一覧'!$F$5:$F$204,"&lt;"&amp;DATE($B$3+1,1,1)))</f>
        <v/>
      </c>
      <c r="F111" s="26">
        <f>IF(OR($A111="",NOT(ISNUMBER($B$3))),"",SUMIFS('通知一覧'!$S$5:$S$204,'通知一覧'!$C$5:$C$204,$A111,'通知一覧'!$F$5:$F$204,"&gt;="&amp;DATE($B$3,1,1),'通知一覧'!$F$5:$F$204,"&lt;"&amp;DATE($B$3+1,1,1)))</f>
        <v/>
      </c>
      <c r="G111" s="26">
        <f>IF(OR($A111="",NOT(ISNUMBER($B$3))),"",SUMIFS('通知一覧'!$U$5:$U$204,'通知一覧'!$C$5:$C$204,$A111,'通知一覧'!$F$5:$F$204,"&gt;="&amp;DATE($B$3,1,1),'通知一覧'!$F$5:$F$204,"&lt;"&amp;DATE($B$3+1,1,1)))</f>
        <v/>
      </c>
      <c r="H111" s="67" t="n"/>
    </row>
    <row r="112" ht="16" customHeight="1">
      <c r="A112" s="30">
        <f>IF('支払先'!$B$94="","",'支払先'!$B$94&amp;"")</f>
        <v/>
      </c>
      <c r="B112" s="27">
        <f>IF('支払先'!$B$94="","",'支払先'!$C$94&amp;"")</f>
        <v/>
      </c>
      <c r="C112" s="62">
        <f>IF(OR($A112="",NOT(ISNUMBER($B$3))),"",COUNTIFS('通知一覧'!$C$5:$C$204,$A112,'通知一覧'!$F$5:$F$204,"&gt;="&amp;DATE($B$3,1,1),'通知一覧'!$F$5:$F$204,"&lt;"&amp;DATE($B$3+1,1,1)))</f>
        <v/>
      </c>
      <c r="D112" s="26">
        <f>IF(OR($A112="",NOT(ISNUMBER($B$3))),"",SUMIFS('通知一覧'!$Q$5:$Q$204,'通知一覧'!$C$5:$C$204,$A112,'通知一覧'!$F$5:$F$204,"&gt;="&amp;DATE($B$3,1,1),'通知一覧'!$F$5:$F$204,"&lt;"&amp;DATE($B$3+1,1,1)))</f>
        <v/>
      </c>
      <c r="E112" s="26">
        <f>IF(OR($A112="",NOT(ISNUMBER($B$3))),"",SUMIFS('通知一覧'!$R$5:$R$204,'通知一覧'!$C$5:$C$204,$A112,'通知一覧'!$F$5:$F$204,"&gt;="&amp;DATE($B$3,1,1),'通知一覧'!$F$5:$F$204,"&lt;"&amp;DATE($B$3+1,1,1)))</f>
        <v/>
      </c>
      <c r="F112" s="26">
        <f>IF(OR($A112="",NOT(ISNUMBER($B$3))),"",SUMIFS('通知一覧'!$S$5:$S$204,'通知一覧'!$C$5:$C$204,$A112,'通知一覧'!$F$5:$F$204,"&gt;="&amp;DATE($B$3,1,1),'通知一覧'!$F$5:$F$204,"&lt;"&amp;DATE($B$3+1,1,1)))</f>
        <v/>
      </c>
      <c r="G112" s="26">
        <f>IF(OR($A112="",NOT(ISNUMBER($B$3))),"",SUMIFS('通知一覧'!$U$5:$U$204,'通知一覧'!$C$5:$C$204,$A112,'通知一覧'!$F$5:$F$204,"&gt;="&amp;DATE($B$3,1,1),'通知一覧'!$F$5:$F$204,"&lt;"&amp;DATE($B$3+1,1,1)))</f>
        <v/>
      </c>
      <c r="H112" s="67" t="n"/>
    </row>
    <row r="113" ht="16" customHeight="1">
      <c r="A113" s="30">
        <f>IF('支払先'!$B$95="","",'支払先'!$B$95&amp;"")</f>
        <v/>
      </c>
      <c r="B113" s="27">
        <f>IF('支払先'!$B$95="","",'支払先'!$C$95&amp;"")</f>
        <v/>
      </c>
      <c r="C113" s="62">
        <f>IF(OR($A113="",NOT(ISNUMBER($B$3))),"",COUNTIFS('通知一覧'!$C$5:$C$204,$A113,'通知一覧'!$F$5:$F$204,"&gt;="&amp;DATE($B$3,1,1),'通知一覧'!$F$5:$F$204,"&lt;"&amp;DATE($B$3+1,1,1)))</f>
        <v/>
      </c>
      <c r="D113" s="26">
        <f>IF(OR($A113="",NOT(ISNUMBER($B$3))),"",SUMIFS('通知一覧'!$Q$5:$Q$204,'通知一覧'!$C$5:$C$204,$A113,'通知一覧'!$F$5:$F$204,"&gt;="&amp;DATE($B$3,1,1),'通知一覧'!$F$5:$F$204,"&lt;"&amp;DATE($B$3+1,1,1)))</f>
        <v/>
      </c>
      <c r="E113" s="26">
        <f>IF(OR($A113="",NOT(ISNUMBER($B$3))),"",SUMIFS('通知一覧'!$R$5:$R$204,'通知一覧'!$C$5:$C$204,$A113,'通知一覧'!$F$5:$F$204,"&gt;="&amp;DATE($B$3,1,1),'通知一覧'!$F$5:$F$204,"&lt;"&amp;DATE($B$3+1,1,1)))</f>
        <v/>
      </c>
      <c r="F113" s="26">
        <f>IF(OR($A113="",NOT(ISNUMBER($B$3))),"",SUMIFS('通知一覧'!$S$5:$S$204,'通知一覧'!$C$5:$C$204,$A113,'通知一覧'!$F$5:$F$204,"&gt;="&amp;DATE($B$3,1,1),'通知一覧'!$F$5:$F$204,"&lt;"&amp;DATE($B$3+1,1,1)))</f>
        <v/>
      </c>
      <c r="G113" s="26">
        <f>IF(OR($A113="",NOT(ISNUMBER($B$3))),"",SUMIFS('通知一覧'!$U$5:$U$204,'通知一覧'!$C$5:$C$204,$A113,'通知一覧'!$F$5:$F$204,"&gt;="&amp;DATE($B$3,1,1),'通知一覧'!$F$5:$F$204,"&lt;"&amp;DATE($B$3+1,1,1)))</f>
        <v/>
      </c>
      <c r="H113" s="67" t="n"/>
    </row>
    <row r="114" ht="16" customHeight="1">
      <c r="A114" s="30">
        <f>IF('支払先'!$B$96="","",'支払先'!$B$96&amp;"")</f>
        <v/>
      </c>
      <c r="B114" s="27">
        <f>IF('支払先'!$B$96="","",'支払先'!$C$96&amp;"")</f>
        <v/>
      </c>
      <c r="C114" s="62">
        <f>IF(OR($A114="",NOT(ISNUMBER($B$3))),"",COUNTIFS('通知一覧'!$C$5:$C$204,$A114,'通知一覧'!$F$5:$F$204,"&gt;="&amp;DATE($B$3,1,1),'通知一覧'!$F$5:$F$204,"&lt;"&amp;DATE($B$3+1,1,1)))</f>
        <v/>
      </c>
      <c r="D114" s="26">
        <f>IF(OR($A114="",NOT(ISNUMBER($B$3))),"",SUMIFS('通知一覧'!$Q$5:$Q$204,'通知一覧'!$C$5:$C$204,$A114,'通知一覧'!$F$5:$F$204,"&gt;="&amp;DATE($B$3,1,1),'通知一覧'!$F$5:$F$204,"&lt;"&amp;DATE($B$3+1,1,1)))</f>
        <v/>
      </c>
      <c r="E114" s="26">
        <f>IF(OR($A114="",NOT(ISNUMBER($B$3))),"",SUMIFS('通知一覧'!$R$5:$R$204,'通知一覧'!$C$5:$C$204,$A114,'通知一覧'!$F$5:$F$204,"&gt;="&amp;DATE($B$3,1,1),'通知一覧'!$F$5:$F$204,"&lt;"&amp;DATE($B$3+1,1,1)))</f>
        <v/>
      </c>
      <c r="F114" s="26">
        <f>IF(OR($A114="",NOT(ISNUMBER($B$3))),"",SUMIFS('通知一覧'!$S$5:$S$204,'通知一覧'!$C$5:$C$204,$A114,'通知一覧'!$F$5:$F$204,"&gt;="&amp;DATE($B$3,1,1),'通知一覧'!$F$5:$F$204,"&lt;"&amp;DATE($B$3+1,1,1)))</f>
        <v/>
      </c>
      <c r="G114" s="26">
        <f>IF(OR($A114="",NOT(ISNUMBER($B$3))),"",SUMIFS('通知一覧'!$U$5:$U$204,'通知一覧'!$C$5:$C$204,$A114,'通知一覧'!$F$5:$F$204,"&gt;="&amp;DATE($B$3,1,1),'通知一覧'!$F$5:$F$204,"&lt;"&amp;DATE($B$3+1,1,1)))</f>
        <v/>
      </c>
      <c r="H114" s="67" t="n"/>
    </row>
    <row r="115" ht="16" customHeight="1">
      <c r="A115" s="30">
        <f>IF('支払先'!$B$97="","",'支払先'!$B$97&amp;"")</f>
        <v/>
      </c>
      <c r="B115" s="27">
        <f>IF('支払先'!$B$97="","",'支払先'!$C$97&amp;"")</f>
        <v/>
      </c>
      <c r="C115" s="62">
        <f>IF(OR($A115="",NOT(ISNUMBER($B$3))),"",COUNTIFS('通知一覧'!$C$5:$C$204,$A115,'通知一覧'!$F$5:$F$204,"&gt;="&amp;DATE($B$3,1,1),'通知一覧'!$F$5:$F$204,"&lt;"&amp;DATE($B$3+1,1,1)))</f>
        <v/>
      </c>
      <c r="D115" s="26">
        <f>IF(OR($A115="",NOT(ISNUMBER($B$3))),"",SUMIFS('通知一覧'!$Q$5:$Q$204,'通知一覧'!$C$5:$C$204,$A115,'通知一覧'!$F$5:$F$204,"&gt;="&amp;DATE($B$3,1,1),'通知一覧'!$F$5:$F$204,"&lt;"&amp;DATE($B$3+1,1,1)))</f>
        <v/>
      </c>
      <c r="E115" s="26">
        <f>IF(OR($A115="",NOT(ISNUMBER($B$3))),"",SUMIFS('通知一覧'!$R$5:$R$204,'通知一覧'!$C$5:$C$204,$A115,'通知一覧'!$F$5:$F$204,"&gt;="&amp;DATE($B$3,1,1),'通知一覧'!$F$5:$F$204,"&lt;"&amp;DATE($B$3+1,1,1)))</f>
        <v/>
      </c>
      <c r="F115" s="26">
        <f>IF(OR($A115="",NOT(ISNUMBER($B$3))),"",SUMIFS('通知一覧'!$S$5:$S$204,'通知一覧'!$C$5:$C$204,$A115,'通知一覧'!$F$5:$F$204,"&gt;="&amp;DATE($B$3,1,1),'通知一覧'!$F$5:$F$204,"&lt;"&amp;DATE($B$3+1,1,1)))</f>
        <v/>
      </c>
      <c r="G115" s="26">
        <f>IF(OR($A115="",NOT(ISNUMBER($B$3))),"",SUMIFS('通知一覧'!$U$5:$U$204,'通知一覧'!$C$5:$C$204,$A115,'通知一覧'!$F$5:$F$204,"&gt;="&amp;DATE($B$3,1,1),'通知一覧'!$F$5:$F$204,"&lt;"&amp;DATE($B$3+1,1,1)))</f>
        <v/>
      </c>
      <c r="H115" s="67" t="n"/>
    </row>
    <row r="116" ht="16" customHeight="1">
      <c r="A116" s="30">
        <f>IF('支払先'!$B$98="","",'支払先'!$B$98&amp;"")</f>
        <v/>
      </c>
      <c r="B116" s="27">
        <f>IF('支払先'!$B$98="","",'支払先'!$C$98&amp;"")</f>
        <v/>
      </c>
      <c r="C116" s="62">
        <f>IF(OR($A116="",NOT(ISNUMBER($B$3))),"",COUNTIFS('通知一覧'!$C$5:$C$204,$A116,'通知一覧'!$F$5:$F$204,"&gt;="&amp;DATE($B$3,1,1),'通知一覧'!$F$5:$F$204,"&lt;"&amp;DATE($B$3+1,1,1)))</f>
        <v/>
      </c>
      <c r="D116" s="26">
        <f>IF(OR($A116="",NOT(ISNUMBER($B$3))),"",SUMIFS('通知一覧'!$Q$5:$Q$204,'通知一覧'!$C$5:$C$204,$A116,'通知一覧'!$F$5:$F$204,"&gt;="&amp;DATE($B$3,1,1),'通知一覧'!$F$5:$F$204,"&lt;"&amp;DATE($B$3+1,1,1)))</f>
        <v/>
      </c>
      <c r="E116" s="26">
        <f>IF(OR($A116="",NOT(ISNUMBER($B$3))),"",SUMIFS('通知一覧'!$R$5:$R$204,'通知一覧'!$C$5:$C$204,$A116,'通知一覧'!$F$5:$F$204,"&gt;="&amp;DATE($B$3,1,1),'通知一覧'!$F$5:$F$204,"&lt;"&amp;DATE($B$3+1,1,1)))</f>
        <v/>
      </c>
      <c r="F116" s="26">
        <f>IF(OR($A116="",NOT(ISNUMBER($B$3))),"",SUMIFS('通知一覧'!$S$5:$S$204,'通知一覧'!$C$5:$C$204,$A116,'通知一覧'!$F$5:$F$204,"&gt;="&amp;DATE($B$3,1,1),'通知一覧'!$F$5:$F$204,"&lt;"&amp;DATE($B$3+1,1,1)))</f>
        <v/>
      </c>
      <c r="G116" s="26">
        <f>IF(OR($A116="",NOT(ISNUMBER($B$3))),"",SUMIFS('通知一覧'!$U$5:$U$204,'通知一覧'!$C$5:$C$204,$A116,'通知一覧'!$F$5:$F$204,"&gt;="&amp;DATE($B$3,1,1),'通知一覧'!$F$5:$F$204,"&lt;"&amp;DATE($B$3+1,1,1)))</f>
        <v/>
      </c>
      <c r="H116" s="67" t="n"/>
    </row>
    <row r="117" ht="16" customHeight="1">
      <c r="A117" s="30">
        <f>IF('支払先'!$B$99="","",'支払先'!$B$99&amp;"")</f>
        <v/>
      </c>
      <c r="B117" s="27">
        <f>IF('支払先'!$B$99="","",'支払先'!$C$99&amp;"")</f>
        <v/>
      </c>
      <c r="C117" s="62">
        <f>IF(OR($A117="",NOT(ISNUMBER($B$3))),"",COUNTIFS('通知一覧'!$C$5:$C$204,$A117,'通知一覧'!$F$5:$F$204,"&gt;="&amp;DATE($B$3,1,1),'通知一覧'!$F$5:$F$204,"&lt;"&amp;DATE($B$3+1,1,1)))</f>
        <v/>
      </c>
      <c r="D117" s="26">
        <f>IF(OR($A117="",NOT(ISNUMBER($B$3))),"",SUMIFS('通知一覧'!$Q$5:$Q$204,'通知一覧'!$C$5:$C$204,$A117,'通知一覧'!$F$5:$F$204,"&gt;="&amp;DATE($B$3,1,1),'通知一覧'!$F$5:$F$204,"&lt;"&amp;DATE($B$3+1,1,1)))</f>
        <v/>
      </c>
      <c r="E117" s="26">
        <f>IF(OR($A117="",NOT(ISNUMBER($B$3))),"",SUMIFS('通知一覧'!$R$5:$R$204,'通知一覧'!$C$5:$C$204,$A117,'通知一覧'!$F$5:$F$204,"&gt;="&amp;DATE($B$3,1,1),'通知一覧'!$F$5:$F$204,"&lt;"&amp;DATE($B$3+1,1,1)))</f>
        <v/>
      </c>
      <c r="F117" s="26">
        <f>IF(OR($A117="",NOT(ISNUMBER($B$3))),"",SUMIFS('通知一覧'!$S$5:$S$204,'通知一覧'!$C$5:$C$204,$A117,'通知一覧'!$F$5:$F$204,"&gt;="&amp;DATE($B$3,1,1),'通知一覧'!$F$5:$F$204,"&lt;"&amp;DATE($B$3+1,1,1)))</f>
        <v/>
      </c>
      <c r="G117" s="26">
        <f>IF(OR($A117="",NOT(ISNUMBER($B$3))),"",SUMIFS('通知一覧'!$U$5:$U$204,'通知一覧'!$C$5:$C$204,$A117,'通知一覧'!$F$5:$F$204,"&gt;="&amp;DATE($B$3,1,1),'通知一覧'!$F$5:$F$204,"&lt;"&amp;DATE($B$3+1,1,1)))</f>
        <v/>
      </c>
      <c r="H117" s="67" t="n"/>
    </row>
    <row r="118" ht="16" customHeight="1">
      <c r="A118" s="30">
        <f>IF('支払先'!$B$100="","",'支払先'!$B$100&amp;"")</f>
        <v/>
      </c>
      <c r="B118" s="27">
        <f>IF('支払先'!$B$100="","",'支払先'!$C$100&amp;"")</f>
        <v/>
      </c>
      <c r="C118" s="62">
        <f>IF(OR($A118="",NOT(ISNUMBER($B$3))),"",COUNTIFS('通知一覧'!$C$5:$C$204,$A118,'通知一覧'!$F$5:$F$204,"&gt;="&amp;DATE($B$3,1,1),'通知一覧'!$F$5:$F$204,"&lt;"&amp;DATE($B$3+1,1,1)))</f>
        <v/>
      </c>
      <c r="D118" s="26">
        <f>IF(OR($A118="",NOT(ISNUMBER($B$3))),"",SUMIFS('通知一覧'!$Q$5:$Q$204,'通知一覧'!$C$5:$C$204,$A118,'通知一覧'!$F$5:$F$204,"&gt;="&amp;DATE($B$3,1,1),'通知一覧'!$F$5:$F$204,"&lt;"&amp;DATE($B$3+1,1,1)))</f>
        <v/>
      </c>
      <c r="E118" s="26">
        <f>IF(OR($A118="",NOT(ISNUMBER($B$3))),"",SUMIFS('通知一覧'!$R$5:$R$204,'通知一覧'!$C$5:$C$204,$A118,'通知一覧'!$F$5:$F$204,"&gt;="&amp;DATE($B$3,1,1),'通知一覧'!$F$5:$F$204,"&lt;"&amp;DATE($B$3+1,1,1)))</f>
        <v/>
      </c>
      <c r="F118" s="26">
        <f>IF(OR($A118="",NOT(ISNUMBER($B$3))),"",SUMIFS('通知一覧'!$S$5:$S$204,'通知一覧'!$C$5:$C$204,$A118,'通知一覧'!$F$5:$F$204,"&gt;="&amp;DATE($B$3,1,1),'通知一覧'!$F$5:$F$204,"&lt;"&amp;DATE($B$3+1,1,1)))</f>
        <v/>
      </c>
      <c r="G118" s="26">
        <f>IF(OR($A118="",NOT(ISNUMBER($B$3))),"",SUMIFS('通知一覧'!$U$5:$U$204,'通知一覧'!$C$5:$C$204,$A118,'通知一覧'!$F$5:$F$204,"&gt;="&amp;DATE($B$3,1,1),'通知一覧'!$F$5:$F$204,"&lt;"&amp;DATE($B$3+1,1,1)))</f>
        <v/>
      </c>
      <c r="H118" s="67" t="n"/>
    </row>
    <row r="119" ht="16" customHeight="1">
      <c r="A119" s="30">
        <f>IF('支払先'!$B$101="","",'支払先'!$B$101&amp;"")</f>
        <v/>
      </c>
      <c r="B119" s="27">
        <f>IF('支払先'!$B$101="","",'支払先'!$C$101&amp;"")</f>
        <v/>
      </c>
      <c r="C119" s="62">
        <f>IF(OR($A119="",NOT(ISNUMBER($B$3))),"",COUNTIFS('通知一覧'!$C$5:$C$204,$A119,'通知一覧'!$F$5:$F$204,"&gt;="&amp;DATE($B$3,1,1),'通知一覧'!$F$5:$F$204,"&lt;"&amp;DATE($B$3+1,1,1)))</f>
        <v/>
      </c>
      <c r="D119" s="26">
        <f>IF(OR($A119="",NOT(ISNUMBER($B$3))),"",SUMIFS('通知一覧'!$Q$5:$Q$204,'通知一覧'!$C$5:$C$204,$A119,'通知一覧'!$F$5:$F$204,"&gt;="&amp;DATE($B$3,1,1),'通知一覧'!$F$5:$F$204,"&lt;"&amp;DATE($B$3+1,1,1)))</f>
        <v/>
      </c>
      <c r="E119" s="26">
        <f>IF(OR($A119="",NOT(ISNUMBER($B$3))),"",SUMIFS('通知一覧'!$R$5:$R$204,'通知一覧'!$C$5:$C$204,$A119,'通知一覧'!$F$5:$F$204,"&gt;="&amp;DATE($B$3,1,1),'通知一覧'!$F$5:$F$204,"&lt;"&amp;DATE($B$3+1,1,1)))</f>
        <v/>
      </c>
      <c r="F119" s="26">
        <f>IF(OR($A119="",NOT(ISNUMBER($B$3))),"",SUMIFS('通知一覧'!$S$5:$S$204,'通知一覧'!$C$5:$C$204,$A119,'通知一覧'!$F$5:$F$204,"&gt;="&amp;DATE($B$3,1,1),'通知一覧'!$F$5:$F$204,"&lt;"&amp;DATE($B$3+1,1,1)))</f>
        <v/>
      </c>
      <c r="G119" s="26">
        <f>IF(OR($A119="",NOT(ISNUMBER($B$3))),"",SUMIFS('通知一覧'!$U$5:$U$204,'通知一覧'!$C$5:$C$204,$A119,'通知一覧'!$F$5:$F$204,"&gt;="&amp;DATE($B$3,1,1),'通知一覧'!$F$5:$F$204,"&lt;"&amp;DATE($B$3+1,1,1)))</f>
        <v/>
      </c>
      <c r="H119" s="67" t="n"/>
    </row>
    <row r="120" ht="16" customHeight="1">
      <c r="A120" s="30">
        <f>IF('支払先'!$B$102="","",'支払先'!$B$102&amp;"")</f>
        <v/>
      </c>
      <c r="B120" s="27">
        <f>IF('支払先'!$B$102="","",'支払先'!$C$102&amp;"")</f>
        <v/>
      </c>
      <c r="C120" s="62">
        <f>IF(OR($A120="",NOT(ISNUMBER($B$3))),"",COUNTIFS('通知一覧'!$C$5:$C$204,$A120,'通知一覧'!$F$5:$F$204,"&gt;="&amp;DATE($B$3,1,1),'通知一覧'!$F$5:$F$204,"&lt;"&amp;DATE($B$3+1,1,1)))</f>
        <v/>
      </c>
      <c r="D120" s="26">
        <f>IF(OR($A120="",NOT(ISNUMBER($B$3))),"",SUMIFS('通知一覧'!$Q$5:$Q$204,'通知一覧'!$C$5:$C$204,$A120,'通知一覧'!$F$5:$F$204,"&gt;="&amp;DATE($B$3,1,1),'通知一覧'!$F$5:$F$204,"&lt;"&amp;DATE($B$3+1,1,1)))</f>
        <v/>
      </c>
      <c r="E120" s="26">
        <f>IF(OR($A120="",NOT(ISNUMBER($B$3))),"",SUMIFS('通知一覧'!$R$5:$R$204,'通知一覧'!$C$5:$C$204,$A120,'通知一覧'!$F$5:$F$204,"&gt;="&amp;DATE($B$3,1,1),'通知一覧'!$F$5:$F$204,"&lt;"&amp;DATE($B$3+1,1,1)))</f>
        <v/>
      </c>
      <c r="F120" s="26">
        <f>IF(OR($A120="",NOT(ISNUMBER($B$3))),"",SUMIFS('通知一覧'!$S$5:$S$204,'通知一覧'!$C$5:$C$204,$A120,'通知一覧'!$F$5:$F$204,"&gt;="&amp;DATE($B$3,1,1),'通知一覧'!$F$5:$F$204,"&lt;"&amp;DATE($B$3+1,1,1)))</f>
        <v/>
      </c>
      <c r="G120" s="26">
        <f>IF(OR($A120="",NOT(ISNUMBER($B$3))),"",SUMIFS('通知一覧'!$U$5:$U$204,'通知一覧'!$C$5:$C$204,$A120,'通知一覧'!$F$5:$F$204,"&gt;="&amp;DATE($B$3,1,1),'通知一覧'!$F$5:$F$204,"&lt;"&amp;DATE($B$3+1,1,1)))</f>
        <v/>
      </c>
      <c r="H120" s="67" t="n"/>
    </row>
    <row r="121" ht="16" customHeight="1">
      <c r="A121" s="30">
        <f>IF('支払先'!$B$103="","",'支払先'!$B$103&amp;"")</f>
        <v/>
      </c>
      <c r="B121" s="27">
        <f>IF('支払先'!$B$103="","",'支払先'!$C$103&amp;"")</f>
        <v/>
      </c>
      <c r="C121" s="62">
        <f>IF(OR($A121="",NOT(ISNUMBER($B$3))),"",COUNTIFS('通知一覧'!$C$5:$C$204,$A121,'通知一覧'!$F$5:$F$204,"&gt;="&amp;DATE($B$3,1,1),'通知一覧'!$F$5:$F$204,"&lt;"&amp;DATE($B$3+1,1,1)))</f>
        <v/>
      </c>
      <c r="D121" s="26">
        <f>IF(OR($A121="",NOT(ISNUMBER($B$3))),"",SUMIFS('通知一覧'!$Q$5:$Q$204,'通知一覧'!$C$5:$C$204,$A121,'通知一覧'!$F$5:$F$204,"&gt;="&amp;DATE($B$3,1,1),'通知一覧'!$F$5:$F$204,"&lt;"&amp;DATE($B$3+1,1,1)))</f>
        <v/>
      </c>
      <c r="E121" s="26">
        <f>IF(OR($A121="",NOT(ISNUMBER($B$3))),"",SUMIFS('通知一覧'!$R$5:$R$204,'通知一覧'!$C$5:$C$204,$A121,'通知一覧'!$F$5:$F$204,"&gt;="&amp;DATE($B$3,1,1),'通知一覧'!$F$5:$F$204,"&lt;"&amp;DATE($B$3+1,1,1)))</f>
        <v/>
      </c>
      <c r="F121" s="26">
        <f>IF(OR($A121="",NOT(ISNUMBER($B$3))),"",SUMIFS('通知一覧'!$S$5:$S$204,'通知一覧'!$C$5:$C$204,$A121,'通知一覧'!$F$5:$F$204,"&gt;="&amp;DATE($B$3,1,1),'通知一覧'!$F$5:$F$204,"&lt;"&amp;DATE($B$3+1,1,1)))</f>
        <v/>
      </c>
      <c r="G121" s="26">
        <f>IF(OR($A121="",NOT(ISNUMBER($B$3))),"",SUMIFS('通知一覧'!$U$5:$U$204,'通知一覧'!$C$5:$C$204,$A121,'通知一覧'!$F$5:$F$204,"&gt;="&amp;DATE($B$3,1,1),'通知一覧'!$F$5:$F$204,"&lt;"&amp;DATE($B$3+1,1,1)))</f>
        <v/>
      </c>
      <c r="H121" s="67" t="n"/>
    </row>
    <row r="122" ht="16" customHeight="1">
      <c r="A122" s="30">
        <f>IF('支払先'!$B$104="","",'支払先'!$B$104&amp;"")</f>
        <v/>
      </c>
      <c r="B122" s="27">
        <f>IF('支払先'!$B$104="","",'支払先'!$C$104&amp;"")</f>
        <v/>
      </c>
      <c r="C122" s="62">
        <f>IF(OR($A122="",NOT(ISNUMBER($B$3))),"",COUNTIFS('通知一覧'!$C$5:$C$204,$A122,'通知一覧'!$F$5:$F$204,"&gt;="&amp;DATE($B$3,1,1),'通知一覧'!$F$5:$F$204,"&lt;"&amp;DATE($B$3+1,1,1)))</f>
        <v/>
      </c>
      <c r="D122" s="26">
        <f>IF(OR($A122="",NOT(ISNUMBER($B$3))),"",SUMIFS('通知一覧'!$Q$5:$Q$204,'通知一覧'!$C$5:$C$204,$A122,'通知一覧'!$F$5:$F$204,"&gt;="&amp;DATE($B$3,1,1),'通知一覧'!$F$5:$F$204,"&lt;"&amp;DATE($B$3+1,1,1)))</f>
        <v/>
      </c>
      <c r="E122" s="26">
        <f>IF(OR($A122="",NOT(ISNUMBER($B$3))),"",SUMIFS('通知一覧'!$R$5:$R$204,'通知一覧'!$C$5:$C$204,$A122,'通知一覧'!$F$5:$F$204,"&gt;="&amp;DATE($B$3,1,1),'通知一覧'!$F$5:$F$204,"&lt;"&amp;DATE($B$3+1,1,1)))</f>
        <v/>
      </c>
      <c r="F122" s="26">
        <f>IF(OR($A122="",NOT(ISNUMBER($B$3))),"",SUMIFS('通知一覧'!$S$5:$S$204,'通知一覧'!$C$5:$C$204,$A122,'通知一覧'!$F$5:$F$204,"&gt;="&amp;DATE($B$3,1,1),'通知一覧'!$F$5:$F$204,"&lt;"&amp;DATE($B$3+1,1,1)))</f>
        <v/>
      </c>
      <c r="G122" s="26">
        <f>IF(OR($A122="",NOT(ISNUMBER($B$3))),"",SUMIFS('通知一覧'!$U$5:$U$204,'通知一覧'!$C$5:$C$204,$A122,'通知一覧'!$F$5:$F$204,"&gt;="&amp;DATE($B$3,1,1),'通知一覧'!$F$5:$F$204,"&lt;"&amp;DATE($B$3+1,1,1)))</f>
        <v/>
      </c>
      <c r="H122" s="67" t="n"/>
    </row>
    <row r="123" ht="44" customHeight="1">
      <c r="A123" s="70" t="inlineStr">
        <is>
          <t>支払調書（報酬、料金、契約金及び賞金の支払調書）は、支払の確定した日の属する年の翌年1月31日までに税務署へ出す法定調書で、提出範囲と記載のしかたは国税庁 No.7431 で確かめます。この表は支払予定日の年で数えているので、年をまたぐ取引は確定した日で数え直します。</t>
        </is>
      </c>
      <c r="B123" s="67" t="n"/>
      <c r="C123" s="67" t="n"/>
      <c r="D123" s="67" t="n"/>
      <c r="E123" s="67" t="n"/>
      <c r="F123" s="67" t="n"/>
      <c r="G123" s="67" t="n"/>
      <c r="H123" s="67" t="n"/>
    </row>
  </sheetData>
  <mergeCells count="19">
    <mergeCell ref="B16:C16"/>
    <mergeCell ref="B7:C7"/>
    <mergeCell ref="A1:H1"/>
    <mergeCell ref="B18:C18"/>
    <mergeCell ref="A123:H123"/>
    <mergeCell ref="B12:C12"/>
    <mergeCell ref="B11:C11"/>
    <mergeCell ref="B14:C14"/>
    <mergeCell ref="B17:C17"/>
    <mergeCell ref="B8:C8"/>
    <mergeCell ref="B13:C13"/>
    <mergeCell ref="A21:H21"/>
    <mergeCell ref="B10:C10"/>
    <mergeCell ref="C3:H3"/>
    <mergeCell ref="B9:C9"/>
    <mergeCell ref="B6:C6"/>
    <mergeCell ref="B15:C15"/>
    <mergeCell ref="B5:C5"/>
    <mergeCell ref="A19:H19"/>
  </mergeCells>
  <dataValidations count="1">
    <dataValidation sqref="B3" showDropDown="0" showInputMessage="0" showErrorMessage="1" allowBlank="1" errorTitle="年" error="2026 のように西暦4桁で入れてください。" type="whole" operator="between">
      <formula1>2000</formula1>
      <formula2>2100</formula2>
    </dataValidation>
  </dataValidations>
  <pageMargins left="0.4" right="0.4" top="0.45" bottom="0.45" header="0.2" footer="0.2"/>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2026-10-03T00:13:03Z</dcterms:created>
  <dcterms:modified xmlns:dcterms="http://purl.org/dc/terms/" xmlns:xsi="http://www.w3.org/2001/XMLSchema-instance" xsi:type="dcterms:W3CDTF">2026-10-03T00:13:09Z</dcterms:modified>
</cp:coreProperties>
</file>