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契約台帳" sheetId="3" state="visible" r:id="rId3"/>
    <sheet xmlns:r="http://schemas.openxmlformats.org/officeDocument/2006/relationships" name="期限一覧" sheetId="4" state="visible" r:id="rId4"/>
    <sheet xmlns:r="http://schemas.openxmlformats.org/officeDocument/2006/relationships" name="集計" sheetId="5" state="visible" r:id="rId5"/>
    <sheet xmlns:r="http://schemas.openxmlformats.org/officeDocument/2006/relationships" name="台帳（印刷用）" sheetId="6" state="visible" r:id="rId6"/>
  </sheets>
  <definedNames>
    <definedName name="_xlnm.Print_Area" localSheetId="1">'設定'!$A$1:$C$41</definedName>
    <definedName name="_xlnm._FilterDatabase" localSheetId="2" hidden="1">'契約台帳'!$A$4:$AF$304</definedName>
    <definedName name="_xlnm.Print_Titles" localSheetId="2">'契約台帳'!$4:$4</definedName>
    <definedName name="_xlnm.Print_Area" localSheetId="2">'契約台帳'!$A$1:$AF$304</definedName>
    <definedName name="_xlnm.Print_Titles" localSheetId="3">'期限一覧'!$4:$4</definedName>
    <definedName name="_xlnm.Print_Area" localSheetId="3">'期限一覧'!$A$1:$M$104</definedName>
    <definedName name="_xlnm.Print_Area" localSheetId="4">'集計'!$A$1:$F$127</definedName>
    <definedName name="_xlnm.Print_Area" localSheetId="5">'台帳（印刷用）'!$A$1:$P$35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;-#,##0"/>
    <numFmt numFmtId="166" formatCode="&quot;あと&quot;0&quot;日&quot;;&quot;過ぎて&quot;0&quot;日&quot;;&quot;当日&quot;"/>
    <numFmt numFmtId="167" formatCode="0.00000"/>
    <numFmt numFmtId="168" formatCode="0&quot;件&quot;"/>
  </numFmts>
  <fonts count="9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0"/>
    </font>
    <font>
      <name val="Yu Gothic"/>
      <color rgb="0066707A"/>
      <sz val="8"/>
    </font>
    <font>
      <name val="Yu Gothic"/>
      <color theme="1"/>
      <sz val="11"/>
    </font>
    <font>
      <name val="Yu Gothic"/>
      <b val="1"/>
      <color rgb="FF1B3A5C"/>
      <sz val="10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66707A"/>
      </patternFill>
    </fill>
  </fills>
  <borders count="12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top style="medium">
        <color rgb="001B3A5C"/>
      </top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 style="medium">
        <color rgb="001B3A5C"/>
      </top>
      <bottom/>
      <diagonal/>
    </border>
    <border>
      <left/>
      <right/>
      <top/>
      <bottom/>
    </border>
    <border>
      <left/>
      <right/>
      <top style="medium">
        <color rgb="001B3A5C"/>
      </top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164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shrinkToFi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left" vertical="center" wrapText="1"/>
    </xf>
    <xf numFmtId="1" fontId="6" fillId="0" borderId="1" applyAlignment="1" pivotButton="0" quotePrefix="0" xfId="0">
      <alignment horizontal="left" vertical="center" wrapText="1"/>
    </xf>
    <xf numFmtId="167" fontId="6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shrinkToFit="1"/>
    </xf>
    <xf numFmtId="166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shrinkToFit="1"/>
    </xf>
    <xf numFmtId="0" fontId="6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0" fillId="0" borderId="6" pivotButton="0" quotePrefix="0" xfId="0"/>
    <xf numFmtId="168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left" vertical="center" wrapText="1"/>
    </xf>
    <xf numFmtId="0" fontId="7" fillId="0" borderId="8" pivotButton="0" quotePrefix="0" xfId="0"/>
    <xf numFmtId="0" fontId="8" fillId="3" borderId="8" applyAlignment="1" pivotButton="0" quotePrefix="0" xfId="0">
      <alignment horizontal="left" vertical="center" wrapText="1"/>
    </xf>
    <xf numFmtId="0" fontId="3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left" vertical="center" wrapText="1"/>
    </xf>
    <xf numFmtId="0" fontId="7" fillId="0" borderId="9" pivotButton="0" quotePrefix="0" xfId="0"/>
    <xf numFmtId="164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0" fontId="7" fillId="0" borderId="10" pivotButton="0" quotePrefix="0" xfId="0"/>
    <xf numFmtId="0" fontId="7" fillId="0" borderId="11" pivotButton="0" quotePrefix="0" xfId="0"/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left" vertical="center" wrapText="1"/>
    </xf>
    <xf numFmtId="167" fontId="6" fillId="0" borderId="1" applyAlignment="1" pivotButton="0" quotePrefix="0" xfId="0">
      <alignment horizontal="left" vertical="center" wrapText="1"/>
    </xf>
    <xf numFmtId="0" fontId="8" fillId="0" borderId="8" applyAlignment="1" pivotButton="0" quotePrefix="0" xfId="0">
      <alignment horizontal="left" vertical="center" wrapText="1"/>
    </xf>
    <xf numFmtId="166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center" vertical="center" wrapText="1"/>
    </xf>
    <xf numFmtId="0" fontId="6" fillId="0" borderId="8" pivotButton="0" quotePrefix="0" xfId="0"/>
    <xf numFmtId="168" fontId="3" fillId="3" borderId="1" applyAlignment="1" pivotButton="0" quotePrefix="0" xfId="0">
      <alignment horizontal="right" vertical="center"/>
    </xf>
    <xf numFmtId="1" fontId="8" fillId="3" borderId="1" applyAlignment="1" pivotButton="0" quotePrefix="0" xfId="0">
      <alignment horizontal="right" vertical="center"/>
    </xf>
    <xf numFmtId="165" fontId="8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ill>
        <patternFill patternType="solid">
          <fgColor rgb="00FFF4CC"/>
          <bgColor rgb="00FFF4CC"/>
        </patternFill>
      </fill>
    </dxf>
    <dxf>
      <font>
        <color rgb="0066707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51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52" t="inlineStr">
        <is>
          <t>使い方（契約書管理台帳テンプレート）</t>
        </is>
      </c>
      <c r="B1" s="53" t="n"/>
    </row>
    <row r="2" ht="20" customHeight="1">
      <c r="A2" s="54" t="inlineStr">
        <is>
          <t>このファイルでできること</t>
        </is>
      </c>
      <c r="B2" s="53" t="n"/>
    </row>
    <row r="3" ht="32" customHeight="1">
      <c r="A3" s="55" t="inlineStr">
        <is>
          <t>取引先と交わした契約書を1件1行で登録し、更新しない旨を伝える期限（通知期限）や満了日が近いものを、近い順に並べます。</t>
        </is>
      </c>
      <c r="B3" s="53" t="n"/>
    </row>
    <row r="4" ht="32" customHeight="1">
      <c r="A4" s="55" t="inlineStr">
        <is>
          <t>自動更新の契約は、最初の満了日と更新期間から、基準日（今日）を含む期間の満了日を自動で出します。更新のたびに満了日を書き換える必要はありません。</t>
        </is>
      </c>
      <c r="B4" s="53" t="n"/>
    </row>
    <row r="5" ht="17.5" customHeight="1">
      <c r="A5" s="55" t="inlineStr">
        <is>
          <t>黄色のセルが入力、灰色のセルが自動で出る欄です。灰色のセルは書き換えないでください。</t>
        </is>
      </c>
      <c r="B5" s="53" t="n"/>
    </row>
    <row r="6">
      <c r="A6" s="53" t="n"/>
      <c r="B6" s="53" t="n"/>
    </row>
    <row r="7" ht="20" customHeight="1">
      <c r="A7" s="54" t="inlineStr">
        <is>
          <t>最初の1回（設定シート）</t>
        </is>
      </c>
      <c r="B7" s="53" t="n"/>
    </row>
    <row r="8" ht="32" customHeight="1">
      <c r="A8" s="55" t="inlineStr">
        <is>
          <t>会社名を入れます。基準日は空のままにすると今日の日付で計算します（過去や先の日で見たいときだけ日付を入れる）。</t>
        </is>
      </c>
      <c r="B8" s="53" t="n"/>
    </row>
    <row r="9" ht="32" customHeight="1">
      <c r="A9" s="55" t="inlineStr">
        <is>
          <t>注意日数は「判断の期限まであと何日になったら『要対応』にするか」です。初期値は60日です。社内で検討や稟議に時間がかかる会社は長めにします。</t>
        </is>
      </c>
      <c r="B9" s="53" t="n"/>
    </row>
    <row r="10" ht="17.5" customHeight="1">
      <c r="A10" s="55" t="inlineStr">
        <is>
          <t>契約の種類と原本の保管場所の一覧を、自社に合わせて書き換えます。契約台帳のプルダウンに出ます。</t>
        </is>
      </c>
      <c r="B10" s="53" t="n"/>
    </row>
    <row r="11">
      <c r="A11" s="53" t="n"/>
      <c r="B11" s="53" t="n"/>
    </row>
    <row r="12" ht="20" customHeight="1">
      <c r="A12" s="54" t="inlineStr">
        <is>
          <t>契約を1件登録する（契約台帳シート）</t>
        </is>
      </c>
      <c r="B12" s="53" t="n"/>
    </row>
    <row r="13" ht="32" customHeight="1">
      <c r="A13" s="55" t="inlineStr">
        <is>
          <t>管理番号は1件に1つです（K-001 のように）。同じ番号を入れるとエラーになり、貼り付けで入ったときは赤くなります。契約書の原本やPDFのファイル名にも同じ番号を付けておくと探しやすくなります。</t>
        </is>
      </c>
      <c r="B13" s="53" t="n"/>
    </row>
    <row r="14" ht="32" customHeight="1">
      <c r="A14" s="55" t="inlineStr">
        <is>
          <t>満了日には、契約書に書いてある最初の期間の終わりの日を入れます。期間の定めのない契約（顧問契約など）は空のままにします。</t>
        </is>
      </c>
      <c r="B14" s="53" t="n"/>
    </row>
    <row r="15" ht="17.5" customHeight="1">
      <c r="A15" s="55" t="inlineStr">
        <is>
          <t>自動更新が「あり」の契約は、更新期間（何か月ごとに更新されるか）を入れます。1年なら12、2年なら24です。</t>
        </is>
      </c>
      <c r="B15" s="53" t="n"/>
    </row>
    <row r="16" ht="46.5" customHeight="1">
      <c r="A16" s="55" t="inlineStr">
        <is>
          <t>通知期間には、契約書の「期間満了の○か月前までに、更新しない旨を通知しないときは…」の○を入れ、単位（か月前／日前）を選びます。自動更新のない契約で「更新するなら○か月前までに申し入れる」と書いてある場合も、ここに入れます。</t>
        </is>
      </c>
      <c r="B16" s="53" t="n"/>
    </row>
    <row r="17" ht="32" customHeight="1">
      <c r="A17" s="55" t="inlineStr">
        <is>
          <t>解約予告には、期間の途中で解約するときに必要な予告の長さ（「1か月前までに予告して解約できる」の1）を入れます。</t>
        </is>
      </c>
      <c r="B17" s="53" t="n"/>
    </row>
    <row r="18" ht="32" customHeight="1">
      <c r="A18" s="55" t="inlineStr">
        <is>
          <t>金額は、月額・年額・総額・単価・都度のどれかを選びます。年換算額（月額×12、年額はそのまま）を出すのは月額と年額だけです。</t>
        </is>
      </c>
      <c r="B18" s="53" t="n"/>
    </row>
    <row r="19">
      <c r="A19" s="53" t="n"/>
      <c r="B19" s="53" t="n"/>
    </row>
    <row r="20" ht="20" customHeight="1">
      <c r="A20" s="54" t="inlineStr">
        <is>
          <t>自動で出る欄の計算</t>
        </is>
      </c>
      <c r="B20" s="53" t="n"/>
    </row>
    <row r="21" ht="46.5" customHeight="1">
      <c r="A21" s="55" t="inlineStr">
        <is>
          <t>現在の満了日: 自動更新ありの契約は、最初の満了日の翌日から更新期間ごとに期間を延ばし、基準日を含む期間の満了日を出します。月の数え方は「期間の初日に応当する日の前日に満了し、応当する日が無い月はその月の末日に満了」です（民法143条2項と同じ数え方）。自動更新なしの契約は、最初の満了日のままです。</t>
        </is>
      </c>
      <c r="B21" s="53" t="n"/>
    </row>
    <row r="22" ht="32" customHeight="1">
      <c r="A22" s="55" t="inlineStr">
        <is>
          <t>通知期限: 現在の満了日から通知期間をさかのぼった日です。か月前は同じ日にち（その月に同じ日が無ければ月末）、日前は日数を引いた日です。</t>
        </is>
      </c>
      <c r="B22" s="53" t="n"/>
    </row>
    <row r="23" ht="46.5" customHeight="1">
      <c r="A23" s="55" t="inlineStr">
        <is>
          <t>判断の期限: 通知期間を入れた契約は通知期限、入れていない契約は現在の満了日です。解約・終了した日を入れた契約と、満了した契約には出ません。期限まで（日）は、判断の期限から基準日を引いた日数で、マイナスは過ぎた日数です。</t>
        </is>
      </c>
      <c r="B23" s="53" t="n"/>
    </row>
    <row r="24" ht="32" customHeight="1">
      <c r="A24" s="55" t="inlineStr">
        <is>
          <t>今日申し入れた場合の解約日（目安）: 基準日に解約を申し入れたとして、解約予告の長さだけ先の日（か月前なら同じ日にち、日前なら日数を足した日）です。</t>
        </is>
      </c>
      <c r="B24" s="53" t="n"/>
    </row>
    <row r="25" ht="32" customHeight="1">
      <c r="A25" s="55" t="inlineStr">
        <is>
          <t>「〜か月前までに」がその日を含むか、通知が相手に届いた日で数えるかなどは、契約書の書き方で1日前後します。この台帳の日付は目安として使い、期限ぎりぎりの契約は契約書の条文で確かめてください。</t>
        </is>
      </c>
      <c r="B25" s="53" t="n"/>
    </row>
    <row r="26">
      <c r="A26" s="53" t="n"/>
      <c r="B26" s="53" t="n"/>
    </row>
    <row r="27" ht="20" customHeight="1">
      <c r="A27" s="54" t="inlineStr">
        <is>
          <t>状態の意味（状態の列）</t>
        </is>
      </c>
      <c r="B27" s="53" t="n"/>
    </row>
    <row r="28" ht="32" customHeight="1">
      <c r="A28" s="55" t="inlineStr">
        <is>
          <t>要対応: 判断の期限まで、注意日数以内（期限の当日を含む）。更新するか、条件を見直すか、やめるかを決める時期です。</t>
        </is>
      </c>
      <c r="B28" s="53" t="n"/>
    </row>
    <row r="29" ht="32" customHeight="1">
      <c r="A29" s="55" t="inlineStr">
        <is>
          <t>通知期限切れ: 今の期間の通知期限を過ぎた。自動更新の契約は、このままだと現在の満了日のあと同じ条件で更新されます。</t>
        </is>
      </c>
      <c r="B29" s="53" t="n"/>
    </row>
    <row r="30" ht="32" customHeight="1">
      <c r="A30" s="55" t="inlineStr">
        <is>
          <t>確認済み: 今の期間のうちに「更新する」と決めて、対応を決めた日を入れた。次の期間に入ると、また期限を見張ります。</t>
        </is>
      </c>
      <c r="B30" s="53" t="n"/>
    </row>
    <row r="31" ht="17.5" customHeight="1">
      <c r="A31" s="55" t="inlineStr">
        <is>
          <t>有効: 判断の期限まで注意日数より先、または期間の定めのない契約。</t>
        </is>
      </c>
      <c r="B31" s="53" t="n"/>
    </row>
    <row r="32" ht="17.5" customHeight="1">
      <c r="A32" s="55" t="inlineStr">
        <is>
          <t>終了予定／終了: 解約・終了した日を入れた契約。その日を過ぎると「終了」です。</t>
        </is>
      </c>
      <c r="B32" s="53" t="n"/>
    </row>
    <row r="33" ht="17.5" customHeight="1">
      <c r="A33" s="55" t="inlineStr">
        <is>
          <t>満了: 自動更新のない契約で、満了日を過ぎた。</t>
        </is>
      </c>
      <c r="B33" s="53" t="n"/>
    </row>
    <row r="34">
      <c r="A34" s="53" t="n"/>
      <c r="B34" s="53" t="n"/>
    </row>
    <row r="35" ht="20" customHeight="1">
      <c r="A35" s="54" t="inlineStr">
        <is>
          <t>期限が近づいたら</t>
        </is>
      </c>
      <c r="B35" s="53" t="n"/>
    </row>
    <row r="36" ht="32" customHeight="1">
      <c r="A36" s="55" t="inlineStr">
        <is>
          <t>「期限一覧」シートで、判断の期限が近い順に確かめます（要対応・通知期限切れ・有効・確認済みの契約。期限の無い契約、終了・満了した契約は出ません）。</t>
        </is>
      </c>
      <c r="B36" s="53" t="n"/>
    </row>
    <row r="37" ht="32" customHeight="1">
      <c r="A37" s="55" t="inlineStr">
        <is>
          <t>続けると決めたら、今期の対応に「更新する」、対応を決めた日にその日を入れます。状態が「確認済み」になります。</t>
        </is>
      </c>
      <c r="B37" s="53" t="n"/>
    </row>
    <row r="38" ht="32" customHeight="1">
      <c r="A38" s="55" t="inlineStr">
        <is>
          <t>やめると決めたら、契約書の定めに従って相手に通知し、今期の対応に「更新しない」、解約・終了した日に契約が終わる日を入れます。終わる日を入れるまでは、入力の確認の列に知らせが出ます。</t>
        </is>
      </c>
      <c r="B38" s="53" t="n"/>
    </row>
    <row r="39" ht="32" customHeight="1">
      <c r="A39" s="55" t="inlineStr">
        <is>
          <t>条件を変えて続けたいときは「見直す」を選びます。状態は期限に応じて出たままです。合意したら、覚書の日付などを備考に書きます。</t>
        </is>
      </c>
      <c r="B39" s="53" t="n"/>
    </row>
    <row r="40">
      <c r="A40" s="53" t="n"/>
      <c r="B40" s="53" t="n"/>
    </row>
    <row r="41" ht="20" customHeight="1">
      <c r="A41" s="54" t="inlineStr">
        <is>
          <t>集計・印刷</t>
        </is>
      </c>
      <c r="B41" s="53" t="n"/>
    </row>
    <row r="42" ht="32" customHeight="1">
      <c r="A42" s="55" t="inlineStr">
        <is>
          <t>「集計」シートに、状態ごとの件数、続いている契約の年換算額、種類別・契約先別・担当者別・保管場所別の件数が出ます。</t>
        </is>
      </c>
      <c r="B42" s="53" t="n"/>
    </row>
    <row r="43" ht="32" customHeight="1">
      <c r="A43" s="55" t="inlineStr">
        <is>
          <t>「台帳（印刷用）」シートは、契約台帳の主な欄を A4 横1枚に30件まで並べたものです。紙の台帳で回すときは、空欄のまま印刷して手で書きます。</t>
        </is>
      </c>
      <c r="B43" s="53" t="n"/>
    </row>
    <row r="44" ht="32" customHeight="1">
      <c r="A44" s="55" t="inlineStr">
        <is>
          <t>「契約台帳」シートは列が多いので、A3 横・横1ページに合わせて印刷する設定にしてあります。A3 の使えないプリンターでは、印刷の画面で用紙を A4 に変えるか、「台帳（印刷用）」を印刷します。</t>
        </is>
      </c>
      <c r="B44" s="53" t="n"/>
    </row>
    <row r="45" ht="32" customHeight="1">
      <c r="A45" s="55" t="inlineStr">
        <is>
          <t>自動更新ありで更新期間が空、満了日が開始日より前などの入力の抜けは、契約台帳の「入力の確認」の列に出ます。</t>
        </is>
      </c>
      <c r="B45" s="53" t="n"/>
    </row>
    <row r="46">
      <c r="A46" s="53" t="n"/>
      <c r="B46" s="53" t="n"/>
    </row>
    <row r="47" ht="20" customHeight="1">
      <c r="A47" s="54" t="inlineStr">
        <is>
          <t>気をつけること</t>
        </is>
      </c>
      <c r="B47" s="53" t="n"/>
    </row>
    <row r="48" ht="32" customHeight="1">
      <c r="A48" s="55" t="inlineStr">
        <is>
          <t>契約を消すときは、行を削除せず、その行の黄色のセルの中身を消します（終わった契約は消さずに「解約・終了した日」を入れて残しておくと、いつ何を終えたかが残ります）。</t>
        </is>
      </c>
      <c r="B48" s="53" t="n"/>
    </row>
    <row r="49" ht="32" customHeight="1">
      <c r="A49" s="55" t="inlineStr">
        <is>
          <t>契約先・担当者の名前に * や ? を使わないでください（件数を数える関数が別の名前と混ぜて数えます）。前後に空白が入ると別の契約先として数えます。</t>
        </is>
      </c>
      <c r="B49" s="53" t="n"/>
    </row>
    <row r="50" ht="46.5" customHeight="1">
      <c r="A50" s="55" t="inlineStr">
        <is>
          <t>使っている関数は IF・AND・OR・NOT・ISNUMBER・EDATE・DAY・YEAR・MONTH・MAX・ROUNDUP・MOD・SUM・SUMIFS・COUNT・COUNTIF・COUNTIFS・INDEX・MATCH・SMALL・IFERROR・ROW・TODAY・MID・FIXED・N です。XLOOKUP・FILTER・MINIFS は使っていません。</t>
        </is>
      </c>
      <c r="B50" s="53" t="n"/>
    </row>
    <row r="51" ht="32" customHeight="1">
      <c r="A51" s="55" t="inlineStr">
        <is>
          <t>この台帳は期限を見落とさないための道具で、契約の解釈や、通知が有効かどうかを判断するものではありません。迷うときは契約書の条文を確かめ、必要なら弁護士に相談してください。</t>
        </is>
      </c>
      <c r="B51" s="53" t="n"/>
    </row>
  </sheetData>
  <mergeCells count="44">
    <mergeCell ref="A48:B48"/>
    <mergeCell ref="A24:B24"/>
    <mergeCell ref="A30:B30"/>
    <mergeCell ref="A15:B15"/>
    <mergeCell ref="A49:B49"/>
    <mergeCell ref="A51:B51"/>
    <mergeCell ref="A45:B45"/>
    <mergeCell ref="A36:B36"/>
    <mergeCell ref="A1:B1"/>
    <mergeCell ref="A16:B16"/>
    <mergeCell ref="A7:B7"/>
    <mergeCell ref="A25:B25"/>
    <mergeCell ref="A41:B41"/>
    <mergeCell ref="A37:B37"/>
    <mergeCell ref="A18:B18"/>
    <mergeCell ref="A27:B27"/>
    <mergeCell ref="A3:B3"/>
    <mergeCell ref="A12:B12"/>
    <mergeCell ref="A50:B50"/>
    <mergeCell ref="A21:B21"/>
    <mergeCell ref="A2:B2"/>
    <mergeCell ref="A33:B33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35:B35"/>
    <mergeCell ref="A4:B4"/>
    <mergeCell ref="A20:B20"/>
    <mergeCell ref="A38:B38"/>
    <mergeCell ref="A29:B29"/>
    <mergeCell ref="A43:B43"/>
    <mergeCell ref="A10:B10"/>
    <mergeCell ref="A28:B28"/>
    <mergeCell ref="A13:B13"/>
    <mergeCell ref="A44:B44"/>
    <mergeCell ref="A9:B9"/>
    <mergeCell ref="A31:B31"/>
    <mergeCell ref="A39:B39"/>
  </mergeCells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C41"/>
  <sheetViews>
    <sheetView showGridLines="0" tabSelected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72" customWidth="1" min="3" max="3"/>
  </cols>
  <sheetData>
    <row r="1" ht="26" customHeight="1">
      <c r="A1" s="52" t="inlineStr">
        <is>
          <t>設定（最初に1回入れる）（記入例）</t>
        </is>
      </c>
      <c r="B1" s="53" t="n"/>
      <c r="C1" s="53" t="n"/>
    </row>
    <row r="2" ht="20" customHeight="1">
      <c r="A2" s="56" t="inlineStr">
        <is>
          <t>黄色のセルに入れます。ここの基準日・注意日数・一覧が、契約台帳・期限一覧・集計に使われます。</t>
        </is>
      </c>
      <c r="B2" s="53" t="n"/>
      <c r="C2" s="53" t="n"/>
    </row>
    <row r="3">
      <c r="A3" s="53" t="n"/>
      <c r="B3" s="53" t="n"/>
      <c r="C3" s="53" t="n"/>
    </row>
    <row r="4" ht="22" customHeight="1">
      <c r="A4" s="57" t="inlineStr">
        <is>
          <t>会社名</t>
        </is>
      </c>
      <c r="B4" s="8" t="inlineStr">
        <is>
          <t>株式会社サンプル製作所（架空）</t>
        </is>
      </c>
      <c r="C4" s="56" t="n"/>
    </row>
    <row r="5" ht="22" customHeight="1">
      <c r="A5" s="57" t="inlineStr">
        <is>
          <t>基準日</t>
        </is>
      </c>
      <c r="B5" s="58" t="n">
        <v>46296</v>
      </c>
      <c r="C5" s="56" t="inlineStr">
        <is>
          <t>空にすると今日の日付で計算します。過去や先の日で見たいときだけ入れます。</t>
        </is>
      </c>
    </row>
    <row r="6" ht="22" customHeight="1">
      <c r="A6" s="57" t="inlineStr">
        <is>
          <t>基準日（自動）</t>
        </is>
      </c>
      <c r="B6" s="59">
        <f>IF(B5="",TODAY(),B5)</f>
        <v/>
      </c>
      <c r="C6" s="56" t="inlineStr">
        <is>
          <t>期限までの日数・状態の判定に使う日です（書き換えない）。</t>
        </is>
      </c>
    </row>
    <row r="7" ht="30" customHeight="1">
      <c r="A7" s="57" t="inlineStr">
        <is>
          <t>注意日数</t>
        </is>
      </c>
      <c r="B7" s="11" t="n">
        <v>60</v>
      </c>
      <c r="C7" s="56" t="inlineStr">
        <is>
          <t>判断の期限まで何日以内を「要対応」にするか（初期値 60日）。検討や稟議に時間がかかるなら長めに。</t>
        </is>
      </c>
    </row>
    <row r="8">
      <c r="A8" s="53" t="n"/>
      <c r="B8" s="53" t="n"/>
      <c r="C8" s="53" t="n"/>
    </row>
    <row r="9" ht="20" customHeight="1">
      <c r="A9" s="60" t="inlineStr">
        <is>
          <t>契約の種類（契約台帳のプルダウンに出ます・15個まで）</t>
        </is>
      </c>
      <c r="B9" s="61" t="n"/>
      <c r="C9" s="61" t="n"/>
    </row>
    <row r="10" ht="18" customHeight="1">
      <c r="A10" s="57" t="n">
        <v>1</v>
      </c>
      <c r="B10" s="8" t="inlineStr">
        <is>
          <t>業務委託</t>
        </is>
      </c>
      <c r="C10" s="56" t="inlineStr">
        <is>
          <t>自社の契約に合わせて書き換えたり、空いている欄に足したりできます。</t>
        </is>
      </c>
    </row>
    <row r="11" ht="18" customHeight="1">
      <c r="A11" s="57" t="n">
        <v>2</v>
      </c>
      <c r="B11" s="8" t="inlineStr">
        <is>
          <t>請負</t>
        </is>
      </c>
      <c r="C11" s="56" t="inlineStr">
        <is>
          <t>名前を書き換えても、契約台帳で選んだ種類は自動では変わりません。選び直します。</t>
        </is>
      </c>
    </row>
    <row r="12" ht="18" customHeight="1">
      <c r="A12" s="57" t="n">
        <v>3</v>
      </c>
      <c r="B12" s="8" t="inlineStr">
        <is>
          <t>取引基本（売買）</t>
        </is>
      </c>
      <c r="C12" s="53" t="n"/>
    </row>
    <row r="13" ht="18" customHeight="1">
      <c r="A13" s="57" t="n">
        <v>4</v>
      </c>
      <c r="B13" s="8" t="inlineStr">
        <is>
          <t>秘密保持</t>
        </is>
      </c>
      <c r="C13" s="53" t="n"/>
    </row>
    <row r="14" ht="18" customHeight="1">
      <c r="A14" s="57" t="n">
        <v>5</v>
      </c>
      <c r="B14" s="8" t="inlineStr">
        <is>
          <t>賃貸借</t>
        </is>
      </c>
      <c r="C14" s="53" t="n"/>
    </row>
    <row r="15" ht="18" customHeight="1">
      <c r="A15" s="57" t="n">
        <v>6</v>
      </c>
      <c r="B15" s="8" t="inlineStr">
        <is>
          <t>リース</t>
        </is>
      </c>
      <c r="C15" s="53" t="n"/>
    </row>
    <row r="16" ht="18" customHeight="1">
      <c r="A16" s="57" t="n">
        <v>7</v>
      </c>
      <c r="B16" s="8" t="inlineStr">
        <is>
          <t>保守</t>
        </is>
      </c>
      <c r="C16" s="53" t="n"/>
    </row>
    <row r="17" ht="18" customHeight="1">
      <c r="A17" s="57" t="n">
        <v>8</v>
      </c>
      <c r="B17" s="8" t="inlineStr">
        <is>
          <t>ライセンス・利用</t>
        </is>
      </c>
      <c r="C17" s="53" t="n"/>
    </row>
    <row r="18" ht="18" customHeight="1">
      <c r="A18" s="57" t="n">
        <v>9</v>
      </c>
      <c r="B18" s="8" t="inlineStr">
        <is>
          <t>顧問</t>
        </is>
      </c>
      <c r="C18" s="53" t="n"/>
    </row>
    <row r="19" ht="18" customHeight="1">
      <c r="A19" s="57" t="n">
        <v>10</v>
      </c>
      <c r="B19" s="8" t="inlineStr">
        <is>
          <t>その他</t>
        </is>
      </c>
      <c r="C19" s="53" t="n"/>
    </row>
    <row r="20" ht="18" customHeight="1">
      <c r="A20" s="57" t="n">
        <v>11</v>
      </c>
      <c r="B20" s="8" t="n"/>
      <c r="C20" s="53" t="n"/>
    </row>
    <row r="21" ht="18" customHeight="1">
      <c r="A21" s="57" t="n">
        <v>12</v>
      </c>
      <c r="B21" s="8" t="n"/>
      <c r="C21" s="53" t="n"/>
    </row>
    <row r="22" ht="18" customHeight="1">
      <c r="A22" s="57" t="n">
        <v>13</v>
      </c>
      <c r="B22" s="8" t="n"/>
      <c r="C22" s="53" t="n"/>
    </row>
    <row r="23" ht="18" customHeight="1">
      <c r="A23" s="57" t="n">
        <v>14</v>
      </c>
      <c r="B23" s="8" t="n"/>
      <c r="C23" s="53" t="n"/>
    </row>
    <row r="24" ht="18" customHeight="1">
      <c r="A24" s="57" t="n">
        <v>15</v>
      </c>
      <c r="B24" s="8" t="n"/>
      <c r="C24" s="53" t="n"/>
    </row>
    <row r="25">
      <c r="A25" s="53" t="n"/>
      <c r="B25" s="53" t="n"/>
      <c r="C25" s="53" t="n"/>
    </row>
    <row r="26" ht="20" customHeight="1">
      <c r="A26" s="60" t="inlineStr">
        <is>
          <t>原本の保管場所（契約台帳のプルダウンに出ます・15か所まで）</t>
        </is>
      </c>
      <c r="B26" s="61" t="n"/>
      <c r="C26" s="61" t="n"/>
    </row>
    <row r="27" ht="18" customHeight="1">
      <c r="A27" s="57" t="n">
        <v>1</v>
      </c>
      <c r="B27" s="8" t="inlineStr">
        <is>
          <t>金庫</t>
        </is>
      </c>
      <c r="C27" s="56" t="inlineStr">
        <is>
          <t>紙の原本を置く場所（金庫・キャビネットなど）と、電子契約のデータを置くところを入れます。</t>
        </is>
      </c>
    </row>
    <row r="28" ht="18" customHeight="1">
      <c r="A28" s="57" t="n">
        <v>2</v>
      </c>
      <c r="B28" s="8" t="inlineStr">
        <is>
          <t>キャビネットA（総務）</t>
        </is>
      </c>
      <c r="C28" s="56" t="inlineStr">
        <is>
          <t>記入例の会社の保存期限の決め方: 契約が終わった月の末日から10年（自社の文書管理規程）</t>
        </is>
      </c>
    </row>
    <row r="29" ht="18" customHeight="1">
      <c r="A29" s="57" t="n">
        <v>3</v>
      </c>
      <c r="B29" s="8" t="inlineStr">
        <is>
          <t>キャビネットB（工場事務所）</t>
        </is>
      </c>
      <c r="C29" s="53" t="n"/>
    </row>
    <row r="30" ht="18" customHeight="1">
      <c r="A30" s="57" t="n">
        <v>4</v>
      </c>
      <c r="B30" s="8" t="inlineStr">
        <is>
          <t>電子契約サービス</t>
        </is>
      </c>
      <c r="C30" s="53" t="n"/>
    </row>
    <row r="31" ht="18" customHeight="1">
      <c r="A31" s="57" t="n">
        <v>5</v>
      </c>
      <c r="B31" s="8" t="inlineStr">
        <is>
          <t>クラウド（管理画面）</t>
        </is>
      </c>
      <c r="C31" s="53" t="n"/>
    </row>
    <row r="32" ht="18" customHeight="1">
      <c r="A32" s="57" t="n">
        <v>6</v>
      </c>
      <c r="B32" s="8" t="n"/>
      <c r="C32" s="53" t="n"/>
    </row>
    <row r="33" ht="18" customHeight="1">
      <c r="A33" s="57" t="n">
        <v>7</v>
      </c>
      <c r="B33" s="8" t="n"/>
      <c r="C33" s="53" t="n"/>
    </row>
    <row r="34" ht="18" customHeight="1">
      <c r="A34" s="57" t="n">
        <v>8</v>
      </c>
      <c r="B34" s="8" t="n"/>
      <c r="C34" s="53" t="n"/>
    </row>
    <row r="35" ht="18" customHeight="1">
      <c r="A35" s="57" t="n">
        <v>9</v>
      </c>
      <c r="B35" s="8" t="n"/>
      <c r="C35" s="53" t="n"/>
    </row>
    <row r="36" ht="18" customHeight="1">
      <c r="A36" s="57" t="n">
        <v>10</v>
      </c>
      <c r="B36" s="8" t="n"/>
      <c r="C36" s="53" t="n"/>
    </row>
    <row r="37" ht="18" customHeight="1">
      <c r="A37" s="57" t="n">
        <v>11</v>
      </c>
      <c r="B37" s="8" t="n"/>
      <c r="C37" s="53" t="n"/>
    </row>
    <row r="38" ht="18" customHeight="1">
      <c r="A38" s="57" t="n">
        <v>12</v>
      </c>
      <c r="B38" s="8" t="n"/>
      <c r="C38" s="53" t="n"/>
    </row>
    <row r="39" ht="18" customHeight="1">
      <c r="A39" s="57" t="n">
        <v>13</v>
      </c>
      <c r="B39" s="8" t="n"/>
      <c r="C39" s="53" t="n"/>
    </row>
    <row r="40" ht="18" customHeight="1">
      <c r="A40" s="57" t="n">
        <v>14</v>
      </c>
      <c r="B40" s="8" t="n"/>
      <c r="C40" s="53" t="n"/>
    </row>
    <row r="41" ht="18" customHeight="1">
      <c r="A41" s="57" t="n">
        <v>15</v>
      </c>
      <c r="B41" s="8" t="n"/>
      <c r="C41" s="53" t="n"/>
    </row>
  </sheetData>
  <mergeCells count="4">
    <mergeCell ref="A1:C1"/>
    <mergeCell ref="A9:C9"/>
    <mergeCell ref="A26:C26"/>
    <mergeCell ref="A2:C2"/>
  </mergeCells>
  <dataValidations count="2">
    <dataValidation sqref="B5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B7" showDropDown="0" showInputMessage="0" showErrorMessage="1" allowBlank="1" errorTitle="注意日数" error="0〜3650 の日数を入れてください。" type="whole" operator="between">
      <formula1>0</formula1>
      <formula2>3650</formula2>
    </dataValidation>
  </dataValidations>
  <pageMargins left="0.4" right="0.4" top="0.45" bottom="0.45" header="0.2" footer="0.2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AT304"/>
  <sheetViews>
    <sheetView showGridLines="0" tabSelected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9" customWidth="1" min="2" max="2"/>
    <col width="26" customWidth="1" min="3" max="3"/>
    <col width="13" customWidth="1" min="4" max="4"/>
    <col width="22" customWidth="1" min="5" max="5"/>
    <col width="11" customWidth="1" min="6" max="6"/>
    <col width="11" customWidth="1" min="7" max="7"/>
    <col width="12" customWidth="1" min="8" max="8"/>
    <col width="7" customWidth="1" min="9" max="9"/>
    <col width="8" customWidth="1" min="10" max="10"/>
    <col width="7" customWidth="1" min="11" max="11"/>
    <col width="7.5" customWidth="1" min="12" max="12"/>
    <col width="7" customWidth="1" min="13" max="13"/>
    <col width="7.5" customWidth="1" min="14" max="14"/>
    <col width="11" customWidth="1" min="15" max="15"/>
    <col width="11" customWidth="1" min="16" max="16"/>
    <col width="6.5" customWidth="1" min="17" max="17"/>
    <col width="15" customWidth="1" min="18" max="18"/>
    <col width="11" customWidth="1" min="19" max="19"/>
    <col width="9" customWidth="1" min="20" max="20"/>
    <col width="11" customWidth="1" min="21" max="21"/>
    <col width="11" customWidth="1" min="22" max="22"/>
    <col width="11" customWidth="1" min="23" max="23"/>
    <col width="34" customWidth="1" min="24" max="24"/>
    <col width="11" customWidth="1" min="25" max="25"/>
    <col width="11" customWidth="1" min="26" max="26"/>
    <col width="11" customWidth="1" min="27" max="27"/>
    <col width="12.5" customWidth="1" min="28" max="28"/>
    <col width="13" customWidth="1" min="29" max="29"/>
    <col width="13" customWidth="1" min="30" max="30"/>
    <col width="11" customWidth="1" min="31" max="31"/>
    <col width="34" customWidth="1" min="32" max="32"/>
    <col width="2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  <col width="9" customWidth="1" min="45" max="45"/>
    <col width="9" customWidth="1" min="46" max="46"/>
  </cols>
  <sheetData>
    <row r="1" ht="26" customHeight="1">
      <c r="A1" s="52" t="inlineStr">
        <is>
          <t>契約台帳（1件1行）（記入例・架空の21件）</t>
        </is>
      </c>
      <c r="B1" s="53" t="n"/>
      <c r="C1" s="53" t="n"/>
      <c r="D1" s="53" t="n"/>
      <c r="E1" s="53" t="n"/>
      <c r="F1" s="53" t="n"/>
      <c r="G1" s="53" t="n"/>
      <c r="H1" s="53" t="n"/>
      <c r="I1" s="53" t="n"/>
      <c r="J1" s="53" t="n"/>
      <c r="K1" s="53" t="n"/>
      <c r="L1" s="53" t="n"/>
      <c r="M1" s="53" t="n"/>
      <c r="N1" s="53" t="n"/>
      <c r="O1" s="53" t="n"/>
      <c r="P1" s="53" t="n"/>
      <c r="Q1" s="53" t="n"/>
      <c r="R1" s="53" t="n"/>
      <c r="S1" s="53" t="n"/>
      <c r="T1" s="53" t="n"/>
      <c r="U1" s="53" t="n"/>
      <c r="V1" s="53" t="n"/>
      <c r="W1" s="53" t="n"/>
      <c r="X1" s="53" t="n"/>
      <c r="Y1" s="53" t="n"/>
      <c r="Z1" s="53" t="n"/>
      <c r="AA1" s="53" t="n"/>
      <c r="AB1" s="53" t="n"/>
      <c r="AC1" s="53" t="n"/>
      <c r="AD1" s="53" t="n"/>
      <c r="AE1" s="53" t="n"/>
      <c r="AF1" s="53" t="n"/>
      <c r="AG1" s="53" t="n"/>
      <c r="AH1" s="53" t="n"/>
      <c r="AI1" s="53" t="n"/>
      <c r="AJ1" s="53" t="n"/>
      <c r="AK1" s="53" t="n"/>
      <c r="AL1" s="53" t="n"/>
      <c r="AM1" s="53" t="n"/>
      <c r="AN1" s="53" t="n"/>
      <c r="AO1" s="53" t="n"/>
      <c r="AP1" s="53" t="n"/>
      <c r="AQ1" s="53" t="n"/>
      <c r="AR1" s="53" t="n"/>
      <c r="AS1" s="53" t="n"/>
      <c r="AT1" s="53" t="n"/>
    </row>
    <row r="2" ht="28" customHeight="1">
      <c r="A2" s="56" t="inlineStr">
        <is>
          <t>紺の見出しの列（黄色のセル）に入れます。グレーがかった見出しの列は自動で出ます（書き換えない）。自動更新の契約は、満了日に最初の期間の終わりの日を入れておけば、基準日を含む期間の満了日と通知期限が出ます。右端の灰色の見出しの列は計算用です（消さない）。</t>
        </is>
      </c>
      <c r="B2" s="53" t="n"/>
      <c r="C2" s="53" t="n"/>
      <c r="D2" s="53" t="n"/>
      <c r="E2" s="53" t="n"/>
      <c r="F2" s="53" t="n"/>
      <c r="G2" s="53" t="n"/>
      <c r="H2" s="53" t="n"/>
      <c r="I2" s="53" t="n"/>
      <c r="J2" s="53" t="n"/>
      <c r="K2" s="53" t="n"/>
      <c r="L2" s="53" t="n"/>
      <c r="M2" s="53" t="n"/>
      <c r="N2" s="53" t="n"/>
      <c r="O2" s="53" t="n"/>
      <c r="P2" s="53" t="n"/>
      <c r="Q2" s="53" t="n"/>
      <c r="R2" s="53" t="n"/>
      <c r="S2" s="53" t="n"/>
      <c r="T2" s="53" t="n"/>
      <c r="U2" s="53" t="n"/>
      <c r="V2" s="53" t="n"/>
      <c r="W2" s="53" t="n"/>
      <c r="X2" s="53" t="n"/>
      <c r="Y2" s="53" t="n"/>
      <c r="Z2" s="53" t="n"/>
      <c r="AA2" s="53" t="n"/>
      <c r="AB2" s="53" t="n"/>
      <c r="AC2" s="53" t="n"/>
      <c r="AD2" s="53" t="n"/>
      <c r="AE2" s="53" t="n"/>
      <c r="AF2" s="53" t="n"/>
      <c r="AG2" s="53" t="n"/>
      <c r="AH2" s="53" t="n"/>
      <c r="AI2" s="53" t="n"/>
      <c r="AJ2" s="53" t="n"/>
      <c r="AK2" s="53" t="n"/>
      <c r="AL2" s="53" t="n"/>
      <c r="AM2" s="53" t="n"/>
      <c r="AN2" s="53" t="n"/>
      <c r="AO2" s="53" t="n"/>
      <c r="AP2" s="53" t="n"/>
      <c r="AQ2" s="53" t="n"/>
      <c r="AR2" s="53" t="n"/>
      <c r="AS2" s="53" t="n"/>
      <c r="AT2" s="53" t="n"/>
    </row>
    <row r="3" ht="20" customHeight="1">
      <c r="A3" s="53" t="n"/>
      <c r="B3" s="57" t="inlineStr">
        <is>
          <t>基準日</t>
        </is>
      </c>
      <c r="C3" s="62">
        <f>'設定'!$B$6</f>
        <v/>
      </c>
      <c r="D3" s="63">
        <f>"注意日数 "&amp;N('設定'!$B$7)&amp;"日（判断の期限まで "&amp;N('設定'!$B$7)&amp;"日以内を要対応）"</f>
        <v/>
      </c>
      <c r="E3" s="64" t="n"/>
      <c r="F3" s="64" t="n"/>
      <c r="G3" s="64" t="n"/>
      <c r="H3" s="65" t="n"/>
      <c r="I3" s="53" t="n"/>
      <c r="J3" s="53" t="n"/>
      <c r="K3" s="53" t="n"/>
      <c r="L3" s="53" t="n"/>
      <c r="M3" s="53" t="n"/>
      <c r="N3" s="53" t="n"/>
      <c r="O3" s="53" t="n"/>
      <c r="P3" s="53" t="n"/>
      <c r="Q3" s="53" t="n"/>
      <c r="R3" s="53" t="n"/>
      <c r="S3" s="53" t="n"/>
      <c r="T3" s="53" t="n"/>
      <c r="U3" s="53" t="n"/>
      <c r="V3" s="53" t="n"/>
      <c r="W3" s="53" t="n"/>
      <c r="X3" s="53" t="n"/>
      <c r="Y3" s="53" t="n"/>
      <c r="Z3" s="53" t="n"/>
      <c r="AA3" s="53" t="n"/>
      <c r="AB3" s="53" t="n"/>
      <c r="AC3" s="53" t="n"/>
      <c r="AD3" s="53" t="n"/>
      <c r="AE3" s="53" t="n"/>
      <c r="AF3" s="53" t="n"/>
      <c r="AG3" s="53" t="n"/>
      <c r="AH3" s="53" t="n"/>
      <c r="AI3" s="53" t="n"/>
      <c r="AJ3" s="53" t="n"/>
      <c r="AK3" s="53" t="n"/>
      <c r="AL3" s="53" t="n"/>
      <c r="AM3" s="53" t="n"/>
      <c r="AN3" s="53" t="n"/>
      <c r="AO3" s="53" t="n"/>
      <c r="AP3" s="53" t="n"/>
      <c r="AQ3" s="53" t="n"/>
      <c r="AR3" s="53" t="n"/>
      <c r="AS3" s="53" t="n"/>
      <c r="AT3" s="53" t="n"/>
    </row>
    <row r="4" ht="44" customHeight="1">
      <c r="A4" s="17" t="inlineStr">
        <is>
          <t>No.</t>
        </is>
      </c>
      <c r="B4" s="17" t="inlineStr">
        <is>
          <t>管理番号</t>
        </is>
      </c>
      <c r="C4" s="17" t="inlineStr">
        <is>
          <t>契約書の名称</t>
        </is>
      </c>
      <c r="D4" s="17" t="inlineStr">
        <is>
          <t>種類</t>
        </is>
      </c>
      <c r="E4" s="17" t="inlineStr">
        <is>
          <t>契約先</t>
        </is>
      </c>
      <c r="F4" s="17" t="inlineStr">
        <is>
          <t>締結日</t>
        </is>
      </c>
      <c r="G4" s="17" t="inlineStr">
        <is>
          <t>開始日</t>
        </is>
      </c>
      <c r="H4" s="17" t="inlineStr">
        <is>
          <t>満了日（最初の期間）</t>
        </is>
      </c>
      <c r="I4" s="17" t="inlineStr">
        <is>
          <t>自動更新</t>
        </is>
      </c>
      <c r="J4" s="17" t="inlineStr">
        <is>
          <t>更新期間（か月）</t>
        </is>
      </c>
      <c r="K4" s="17" t="inlineStr">
        <is>
          <t>通知期間</t>
        </is>
      </c>
      <c r="L4" s="17" t="inlineStr">
        <is>
          <t>通知の単位</t>
        </is>
      </c>
      <c r="M4" s="17" t="inlineStr">
        <is>
          <t>解約予告</t>
        </is>
      </c>
      <c r="N4" s="17" t="inlineStr">
        <is>
          <t>解約予告の単位</t>
        </is>
      </c>
      <c r="O4" s="17" t="inlineStr">
        <is>
          <t>金額（円）</t>
        </is>
      </c>
      <c r="P4" s="17" t="inlineStr">
        <is>
          <t>金額の区分</t>
        </is>
      </c>
      <c r="Q4" s="17" t="inlineStr">
        <is>
          <t>紙・電子</t>
        </is>
      </c>
      <c r="R4" s="17" t="inlineStr">
        <is>
          <t>原本の保管場所</t>
        </is>
      </c>
      <c r="S4" s="17" t="inlineStr">
        <is>
          <t>担当者</t>
        </is>
      </c>
      <c r="T4" s="17" t="inlineStr">
        <is>
          <t>今期の対応</t>
        </is>
      </c>
      <c r="U4" s="17" t="inlineStr">
        <is>
          <t>対応を決めた日</t>
        </is>
      </c>
      <c r="V4" s="17" t="inlineStr">
        <is>
          <t>解約・終了した日</t>
        </is>
      </c>
      <c r="W4" s="17" t="inlineStr">
        <is>
          <t>保存期限</t>
        </is>
      </c>
      <c r="X4" s="17" t="inlineStr">
        <is>
          <t>備考</t>
        </is>
      </c>
      <c r="Y4" s="18" t="inlineStr">
        <is>
          <t>現在の満了日</t>
        </is>
      </c>
      <c r="Z4" s="18" t="inlineStr">
        <is>
          <t>通知期限</t>
        </is>
      </c>
      <c r="AA4" s="18" t="inlineStr">
        <is>
          <t>判断の期限</t>
        </is>
      </c>
      <c r="AB4" s="18" t="inlineStr">
        <is>
          <t>期限まで</t>
        </is>
      </c>
      <c r="AC4" s="18" t="inlineStr">
        <is>
          <t>状態</t>
        </is>
      </c>
      <c r="AD4" s="18" t="inlineStr">
        <is>
          <t>今日申し入れた場合の解約日（目安）</t>
        </is>
      </c>
      <c r="AE4" s="18" t="inlineStr">
        <is>
          <t>年換算額（円）</t>
        </is>
      </c>
      <c r="AF4" s="18" t="inlineStr">
        <is>
          <t>入力の確認</t>
        </is>
      </c>
      <c r="AG4" s="53" t="n"/>
      <c r="AH4" s="19" t="inlineStr">
        <is>
          <t>更新の初日</t>
        </is>
      </c>
      <c r="AI4" s="19" t="inlineStr">
        <is>
          <t>月数</t>
        </is>
      </c>
      <c r="AJ4" s="19" t="inlineStr">
        <is>
          <t>回数c</t>
        </is>
      </c>
      <c r="AK4" s="19" t="inlineStr">
        <is>
          <t>c回目の満了</t>
        </is>
      </c>
      <c r="AL4" s="19" t="inlineStr">
        <is>
          <t>c+1回目の満了</t>
        </is>
      </c>
      <c r="AM4" s="19" t="inlineStr">
        <is>
          <t>c-1回目の満了</t>
        </is>
      </c>
      <c r="AN4" s="19" t="inlineStr">
        <is>
          <t>更新回数</t>
        </is>
      </c>
      <c r="AO4" s="19" t="inlineStr">
        <is>
          <t>前の期間の満了</t>
        </is>
      </c>
      <c r="AP4" s="19" t="inlineStr">
        <is>
          <t>続いている</t>
        </is>
      </c>
      <c r="AQ4" s="19" t="inlineStr">
        <is>
          <t>要注意</t>
        </is>
      </c>
      <c r="AR4" s="19" t="inlineStr">
        <is>
          <t>期限一覧用</t>
        </is>
      </c>
      <c r="AS4" s="19" t="inlineStr">
        <is>
          <t>契約先の初出</t>
        </is>
      </c>
      <c r="AT4" s="19" t="inlineStr">
        <is>
          <t>担当者の初出</t>
        </is>
      </c>
    </row>
    <row r="5" ht="42" customHeight="1">
      <c r="A5" s="20" t="n">
        <v>1</v>
      </c>
      <c r="B5" s="21" t="inlineStr">
        <is>
          <t>K-001</t>
        </is>
      </c>
      <c r="C5" s="22" t="inlineStr">
        <is>
          <t>本社事務所 賃貸借契約書</t>
        </is>
      </c>
      <c r="D5" s="22" t="inlineStr">
        <is>
          <t>賃貸借</t>
        </is>
      </c>
      <c r="E5" s="22" t="inlineStr">
        <is>
          <t>見本不動産株式会社</t>
        </is>
      </c>
      <c r="F5" s="66" t="n">
        <v>45000</v>
      </c>
      <c r="G5" s="66" t="n">
        <v>45017</v>
      </c>
      <c r="H5" s="66" t="n">
        <v>45747</v>
      </c>
      <c r="I5" s="21" t="inlineStr">
        <is>
          <t>あり</t>
        </is>
      </c>
      <c r="J5" s="24" t="n">
        <v>24</v>
      </c>
      <c r="K5" s="24" t="n">
        <v>6</v>
      </c>
      <c r="L5" s="21" t="inlineStr">
        <is>
          <t>か月前</t>
        </is>
      </c>
      <c r="M5" s="24" t="n">
        <v>6</v>
      </c>
      <c r="N5" s="21" t="inlineStr">
        <is>
          <t>か月前</t>
        </is>
      </c>
      <c r="O5" s="67" t="n">
        <v>180000</v>
      </c>
      <c r="P5" s="21" t="inlineStr">
        <is>
          <t>月額</t>
        </is>
      </c>
      <c r="Q5" s="21" t="inlineStr">
        <is>
          <t>紙</t>
        </is>
      </c>
      <c r="R5" s="22" t="inlineStr">
        <is>
          <t>金庫</t>
        </is>
      </c>
      <c r="S5" s="22" t="inlineStr">
        <is>
          <t>見本 太郎</t>
        </is>
      </c>
      <c r="T5" s="21" t="inlineStr">
        <is>
          <t>更新する</t>
        </is>
      </c>
      <c r="U5" s="66" t="n">
        <v>46275</v>
      </c>
      <c r="V5" s="66" t="n"/>
      <c r="W5" s="66" t="n"/>
      <c r="X5" s="8" t="inlineStr">
        <is>
          <t>更新料なし。期間満了の6か月前までに申し出がなければ、同じ条件で2年更新</t>
        </is>
      </c>
      <c r="Y5" s="68">
        <f>IF($AN5="","",IF($AN5=0,$H5,IF($AN5=$AJ5,$AK5,$AL5)))</f>
        <v/>
      </c>
      <c r="Z5" s="68">
        <f>IF(OR($Y5="",NOT(ISNUMBER($K5))),"",IF($L5="日前",$Y5-$K5,EDATE($Y5,-$K5)))</f>
        <v/>
      </c>
      <c r="AA5" s="68">
        <f>IF(OR($Y5="",ISNUMBER($V5),N($Y5)&lt;'設定'!$B$6),"",IF($Z5&lt;&gt;"",$Z5,$Y5))</f>
        <v/>
      </c>
      <c r="AB5" s="69">
        <f>IF($AA5="","",$AA5-'設定'!$B$6)</f>
        <v/>
      </c>
      <c r="AC5" s="28">
        <f>IF(NOT(OR($B5&lt;&gt;"",$C5&lt;&gt;"")),"",IF(ISNUMBER($V5),IF($V5&lt;'設定'!$B$6,"終了","終了予定"),IF($Y5="","有効",IF($Y5&lt;'設定'!$B$6,"満了",IF(AND($T5="更新する",ISNUMBER($U5),N($U5)&lt;='設定'!$B$6,OR($AO5="",N($U5)&gt;N($AO5))),"確認済み",IF($AB5&lt;0,"通知期限切れ",IF($AB5&lt;=N('設定'!$B$7),"要対応","有効")))))))</f>
        <v/>
      </c>
      <c r="AD5" s="68">
        <f>IF(OR(NOT(ISNUMBER($M5)),$AC5="",$AC5="終了",$AC5="終了予定",$AC5="満了"),"",IF($N5="日前",'設定'!$B$6+$M5,EDATE('設定'!$B$6,$M5)))</f>
        <v/>
      </c>
      <c r="AE5" s="70">
        <f>IF(NOT(ISNUMBER($O5)),"",IF($P5="月額",$O5*12,IF($P5="年額",$O5,"")))</f>
        <v/>
      </c>
      <c r="AF5" s="30">
        <f>MID(IF(AND(ISNUMBER($G5),ISNUMBER($H5)),IF(N($H5)&lt;N($G5)," / 満了日が開始日より前",""),"")&amp;IF(AND($I5="あり",NOT(ISNUMBER($H5)))," / 自動更新ありなのに満了日が空","")&amp;IF(AND($I5="あり",ISNUMBER($H5),NOT(ISNUMBER($J5)))," / 更新期間が空（更新を計算できない）","")&amp;IF($AH5="","",IF(AND(DAY($AH5)&gt;=29,OR(MOD($J5,12)&lt;&gt;0,MONTH($AH5)=2))," / 更新の初日が29〜31日（更新を重ねると満了日が1日ずれることがある。満了日を今の期間の満了日に書き換えると直る）",""))&amp;IF(AND(ISNUMBER($K5),$L5="")," / 通知の単位が空（か月前で計算）","")&amp;IF(AND(ISNUMBER($M5),$N5="")," / 解約予告の単位が空（か月前で計算）","")&amp;IF(AND(ISNUMBER($O5),$P5="")," / 金額の区分が空","")&amp;IF(AND($T5&lt;&gt;"",NOT(ISNUMBER($U5)))," / 対応を決めた日が空","")&amp;IF(AND(ISNUMBER($U5),$T5="")," / 今期の対応が空","")&amp;IF(AND($T5="更新しない",NOT(ISNUMBER($V5)))," / 更新しないなら、解約・終了した日（契約が終わる日）を入れる",""),4,300)</f>
        <v/>
      </c>
      <c r="AG5" s="53" t="n"/>
      <c r="AH5" s="71">
        <f>IF(AND(ISNUMBER($H5),$I5="あり",ISNUMBER($J5)),IF($J5&gt;=1,$H5+1,""),"")</f>
        <v/>
      </c>
      <c r="AI5" s="32">
        <f>IF($AH5="","",(YEAR('設定'!$B$6)-YEAR($AH5))*12+MONTH('設定'!$B$6)-MONTH($AH5))</f>
        <v/>
      </c>
      <c r="AJ5" s="32">
        <f>IF($AH5="","",MAX(1,ROUNDUP($AI5/$J5,0)))</f>
        <v/>
      </c>
      <c r="AK5" s="71">
        <f>IF($AJ5="","",IF(DAY(EDATE($AH5,$AJ5*$J5))&lt;DAY($AH5),EDATE($AH5,$AJ5*$J5),EDATE($AH5,$AJ5*$J5)-1))</f>
        <v/>
      </c>
      <c r="AL5" s="71">
        <f>IF($AJ5="","",IF(DAY(EDATE($AH5,($AJ5+1)*$J5))&lt;DAY($AH5),EDATE($AH5,($AJ5+1)*$J5),EDATE($AH5,($AJ5+1)*$J5)-1))</f>
        <v/>
      </c>
      <c r="AM5" s="71">
        <f>IF($AJ5="","",IF($AJ5=1,$H5,IF(DAY(EDATE($AH5,($AJ5-1)*$J5))&lt;DAY($AH5),EDATE($AH5,($AJ5-1)*$J5),EDATE($AH5,($AJ5-1)*$J5)-1)))</f>
        <v/>
      </c>
      <c r="AN5" s="32">
        <f>IF(NOT(ISNUMBER($H5)),"",IF(OR($AH5="",$H5&gt;='設定'!$B$6),0,IF($AK5&gt;='設定'!$B$6,$AJ5,$AJ5+1)))</f>
        <v/>
      </c>
      <c r="AO5" s="71">
        <f>IF($AN5="","",IF($AN5=0,"",IF($AN5=$AJ5,$AM5,$AK5)))</f>
        <v/>
      </c>
      <c r="AP5" s="32">
        <f>IF(OR($AC5="要対応",$AC5="通知期限切れ",$AC5="確認済み",$AC5="有効",$AC5="終了予定"),1,0)</f>
        <v/>
      </c>
      <c r="AQ5" s="32">
        <f>IF(OR($AC5="要対応",$AC5="通知期限切れ"),1,0)</f>
        <v/>
      </c>
      <c r="AR5" s="72">
        <f>IF(AND(ISNUMBER($AB5),OR($AC5="要対応",$AC5="通知期限切れ",$AC5="確認済み",$AC5="有効")),$AB5+ROW()/100000,"")</f>
        <v/>
      </c>
      <c r="AS5" s="32">
        <f>IF($E5="","",IF(COUNTIF($E$5:$E5,$E5)=1,ROW(),""))</f>
        <v/>
      </c>
      <c r="AT5" s="32">
        <f>IF($S5="","",IF(COUNTIF($S$5:$S5,$S5)=1,ROW(),""))</f>
        <v/>
      </c>
    </row>
    <row r="6" ht="42" customHeight="1">
      <c r="A6" s="20" t="n">
        <v>2</v>
      </c>
      <c r="B6" s="21" t="inlineStr">
        <is>
          <t>K-002</t>
        </is>
      </c>
      <c r="C6" s="22" t="inlineStr">
        <is>
          <t>複合機 リース契約書</t>
        </is>
      </c>
      <c r="D6" s="22" t="inlineStr">
        <is>
          <t>リース</t>
        </is>
      </c>
      <c r="E6" s="22" t="inlineStr">
        <is>
          <t>サンプルリース株式会社</t>
        </is>
      </c>
      <c r="F6" s="66" t="n">
        <v>44520</v>
      </c>
      <c r="G6" s="66" t="n">
        <v>44531</v>
      </c>
      <c r="H6" s="66" t="n">
        <v>46356</v>
      </c>
      <c r="I6" s="21" t="inlineStr">
        <is>
          <t>なし</t>
        </is>
      </c>
      <c r="J6" s="24" t="n"/>
      <c r="K6" s="24" t="n">
        <v>1</v>
      </c>
      <c r="L6" s="21" t="inlineStr">
        <is>
          <t>か月前</t>
        </is>
      </c>
      <c r="M6" s="24" t="n"/>
      <c r="N6" s="21" t="n"/>
      <c r="O6" s="67" t="n">
        <v>12800</v>
      </c>
      <c r="P6" s="21" t="inlineStr">
        <is>
          <t>月額</t>
        </is>
      </c>
      <c r="Q6" s="21" t="inlineStr">
        <is>
          <t>紙</t>
        </is>
      </c>
      <c r="R6" s="22" t="inlineStr">
        <is>
          <t>キャビネットA（総務）</t>
        </is>
      </c>
      <c r="S6" s="22" t="inlineStr">
        <is>
          <t>サンプル 花子</t>
        </is>
      </c>
      <c r="T6" s="21" t="inlineStr">
        <is>
          <t>見直す</t>
        </is>
      </c>
      <c r="U6" s="66" t="n">
        <v>46293</v>
      </c>
      <c r="V6" s="66" t="n"/>
      <c r="W6" s="66" t="n"/>
      <c r="X6" s="8" t="inlineStr">
        <is>
          <t>満了の1か月前までに申し込めば再リースできる。入れ替えの見積もりを依頼中</t>
        </is>
      </c>
      <c r="Y6" s="68">
        <f>IF($AN6="","",IF($AN6=0,$H6,IF($AN6=$AJ6,$AK6,$AL6)))</f>
        <v/>
      </c>
      <c r="Z6" s="68">
        <f>IF(OR($Y6="",NOT(ISNUMBER($K6))),"",IF($L6="日前",$Y6-$K6,EDATE($Y6,-$K6)))</f>
        <v/>
      </c>
      <c r="AA6" s="68">
        <f>IF(OR($Y6="",ISNUMBER($V6),N($Y6)&lt;'設定'!$B$6),"",IF($Z6&lt;&gt;"",$Z6,$Y6))</f>
        <v/>
      </c>
      <c r="AB6" s="69">
        <f>IF($AA6="","",$AA6-'設定'!$B$6)</f>
        <v/>
      </c>
      <c r="AC6" s="28">
        <f>IF(NOT(OR($B6&lt;&gt;"",$C6&lt;&gt;"")),"",IF(ISNUMBER($V6),IF($V6&lt;'設定'!$B$6,"終了","終了予定"),IF($Y6="","有効",IF($Y6&lt;'設定'!$B$6,"満了",IF(AND($T6="更新する",ISNUMBER($U6),N($U6)&lt;='設定'!$B$6,OR($AO6="",N($U6)&gt;N($AO6))),"確認済み",IF($AB6&lt;0,"通知期限切れ",IF($AB6&lt;=N('設定'!$B$7),"要対応","有効")))))))</f>
        <v/>
      </c>
      <c r="AD6" s="68">
        <f>IF(OR(NOT(ISNUMBER($M6)),$AC6="",$AC6="終了",$AC6="終了予定",$AC6="満了"),"",IF($N6="日前",'設定'!$B$6+$M6,EDATE('設定'!$B$6,$M6)))</f>
        <v/>
      </c>
      <c r="AE6" s="70">
        <f>IF(NOT(ISNUMBER($O6)),"",IF($P6="月額",$O6*12,IF($P6="年額",$O6,"")))</f>
        <v/>
      </c>
      <c r="AF6" s="30">
        <f>MID(IF(AND(ISNUMBER($G6),ISNUMBER($H6)),IF(N($H6)&lt;N($G6)," / 満了日が開始日より前",""),"")&amp;IF(AND($I6="あり",NOT(ISNUMBER($H6)))," / 自動更新ありなのに満了日が空","")&amp;IF(AND($I6="あり",ISNUMBER($H6),NOT(ISNUMBER($J6)))," / 更新期間が空（更新を計算できない）","")&amp;IF($AH6="","",IF(AND(DAY($AH6)&gt;=29,OR(MOD($J6,12)&lt;&gt;0,MONTH($AH6)=2))," / 更新の初日が29〜31日（更新を重ねると満了日が1日ずれることがある。満了日を今の期間の満了日に書き換えると直る）",""))&amp;IF(AND(ISNUMBER($K6),$L6="")," / 通知の単位が空（か月前で計算）","")&amp;IF(AND(ISNUMBER($M6),$N6="")," / 解約予告の単位が空（か月前で計算）","")&amp;IF(AND(ISNUMBER($O6),$P6="")," / 金額の区分が空","")&amp;IF(AND($T6&lt;&gt;"",NOT(ISNUMBER($U6)))," / 対応を決めた日が空","")&amp;IF(AND(ISNUMBER($U6),$T6="")," / 今期の対応が空","")&amp;IF(AND($T6="更新しない",NOT(ISNUMBER($V6)))," / 更新しないなら、解約・終了した日（契約が終わる日）を入れる",""),4,300)</f>
        <v/>
      </c>
      <c r="AG6" s="53" t="n"/>
      <c r="AH6" s="71">
        <f>IF(AND(ISNUMBER($H6),$I6="あり",ISNUMBER($J6)),IF($J6&gt;=1,$H6+1,""),"")</f>
        <v/>
      </c>
      <c r="AI6" s="32">
        <f>IF($AH6="","",(YEAR('設定'!$B$6)-YEAR($AH6))*12+MONTH('設定'!$B$6)-MONTH($AH6))</f>
        <v/>
      </c>
      <c r="AJ6" s="32">
        <f>IF($AH6="","",MAX(1,ROUNDUP($AI6/$J6,0)))</f>
        <v/>
      </c>
      <c r="AK6" s="71">
        <f>IF($AJ6="","",IF(DAY(EDATE($AH6,$AJ6*$J6))&lt;DAY($AH6),EDATE($AH6,$AJ6*$J6),EDATE($AH6,$AJ6*$J6)-1))</f>
        <v/>
      </c>
      <c r="AL6" s="71">
        <f>IF($AJ6="","",IF(DAY(EDATE($AH6,($AJ6+1)*$J6))&lt;DAY($AH6),EDATE($AH6,($AJ6+1)*$J6),EDATE($AH6,($AJ6+1)*$J6)-1))</f>
        <v/>
      </c>
      <c r="AM6" s="71">
        <f>IF($AJ6="","",IF($AJ6=1,$H6,IF(DAY(EDATE($AH6,($AJ6-1)*$J6))&lt;DAY($AH6),EDATE($AH6,($AJ6-1)*$J6),EDATE($AH6,($AJ6-1)*$J6)-1)))</f>
        <v/>
      </c>
      <c r="AN6" s="32">
        <f>IF(NOT(ISNUMBER($H6)),"",IF(OR($AH6="",$H6&gt;='設定'!$B$6),0,IF($AK6&gt;='設定'!$B$6,$AJ6,$AJ6+1)))</f>
        <v/>
      </c>
      <c r="AO6" s="71">
        <f>IF($AN6="","",IF($AN6=0,"",IF($AN6=$AJ6,$AM6,$AK6)))</f>
        <v/>
      </c>
      <c r="AP6" s="32">
        <f>IF(OR($AC6="要対応",$AC6="通知期限切れ",$AC6="確認済み",$AC6="有効",$AC6="終了予定"),1,0)</f>
        <v/>
      </c>
      <c r="AQ6" s="32">
        <f>IF(OR($AC6="要対応",$AC6="通知期限切れ"),1,0)</f>
        <v/>
      </c>
      <c r="AR6" s="72">
        <f>IF(AND(ISNUMBER($AB6),OR($AC6="要対応",$AC6="通知期限切れ",$AC6="確認済み",$AC6="有効")),$AB6+ROW()/100000,"")</f>
        <v/>
      </c>
      <c r="AS6" s="32">
        <f>IF($E6="","",IF(COUNTIF($E$5:$E6,$E6)=1,ROW(),""))</f>
        <v/>
      </c>
      <c r="AT6" s="32">
        <f>IF($S6="","",IF(COUNTIF($S$5:$S6,$S6)=1,ROW(),""))</f>
        <v/>
      </c>
    </row>
    <row r="7" ht="29" customHeight="1">
      <c r="A7" s="20" t="n">
        <v>3</v>
      </c>
      <c r="B7" s="21" t="inlineStr">
        <is>
          <t>K-003</t>
        </is>
      </c>
      <c r="C7" s="22" t="inlineStr">
        <is>
          <t>会計ソフト 利用申込（年間プラン）</t>
        </is>
      </c>
      <c r="D7" s="22" t="inlineStr">
        <is>
          <t>ライセンス・利用</t>
        </is>
      </c>
      <c r="E7" s="22" t="inlineStr">
        <is>
          <t>例示ソフト株式会社</t>
        </is>
      </c>
      <c r="F7" s="66" t="n">
        <v>45621</v>
      </c>
      <c r="G7" s="66" t="n">
        <v>45627</v>
      </c>
      <c r="H7" s="66" t="n">
        <v>45991</v>
      </c>
      <c r="I7" s="21" t="inlineStr">
        <is>
          <t>あり</t>
        </is>
      </c>
      <c r="J7" s="24" t="n">
        <v>12</v>
      </c>
      <c r="K7" s="24" t="n">
        <v>14</v>
      </c>
      <c r="L7" s="21" t="inlineStr">
        <is>
          <t>日前</t>
        </is>
      </c>
      <c r="M7" s="24" t="n"/>
      <c r="N7" s="21" t="n"/>
      <c r="O7" s="67" t="n">
        <v>66000</v>
      </c>
      <c r="P7" s="21" t="inlineStr">
        <is>
          <t>年額</t>
        </is>
      </c>
      <c r="Q7" s="21" t="inlineStr">
        <is>
          <t>電子</t>
        </is>
      </c>
      <c r="R7" s="22" t="inlineStr">
        <is>
          <t>クラウド（管理画面）</t>
        </is>
      </c>
      <c r="S7" s="22" t="inlineStr">
        <is>
          <t>サンプル 花子</t>
        </is>
      </c>
      <c r="T7" s="21" t="n"/>
      <c r="U7" s="66" t="n"/>
      <c r="V7" s="66" t="n"/>
      <c r="W7" s="66" t="n"/>
      <c r="X7" s="8" t="inlineStr">
        <is>
          <t>更新日の14日前までに管理画面で解約しないと、自動で1年更新</t>
        </is>
      </c>
      <c r="Y7" s="68">
        <f>IF($AN7="","",IF($AN7=0,$H7,IF($AN7=$AJ7,$AK7,$AL7)))</f>
        <v/>
      </c>
      <c r="Z7" s="68">
        <f>IF(OR($Y7="",NOT(ISNUMBER($K7))),"",IF($L7="日前",$Y7-$K7,EDATE($Y7,-$K7)))</f>
        <v/>
      </c>
      <c r="AA7" s="68">
        <f>IF(OR($Y7="",ISNUMBER($V7),N($Y7)&lt;'設定'!$B$6),"",IF($Z7&lt;&gt;"",$Z7,$Y7))</f>
        <v/>
      </c>
      <c r="AB7" s="69">
        <f>IF($AA7="","",$AA7-'設定'!$B$6)</f>
        <v/>
      </c>
      <c r="AC7" s="28">
        <f>IF(NOT(OR($B7&lt;&gt;"",$C7&lt;&gt;"")),"",IF(ISNUMBER($V7),IF($V7&lt;'設定'!$B$6,"終了","終了予定"),IF($Y7="","有効",IF($Y7&lt;'設定'!$B$6,"満了",IF(AND($T7="更新する",ISNUMBER($U7),N($U7)&lt;='設定'!$B$6,OR($AO7="",N($U7)&gt;N($AO7))),"確認済み",IF($AB7&lt;0,"通知期限切れ",IF($AB7&lt;=N('設定'!$B$7),"要対応","有効")))))))</f>
        <v/>
      </c>
      <c r="AD7" s="68">
        <f>IF(OR(NOT(ISNUMBER($M7)),$AC7="",$AC7="終了",$AC7="終了予定",$AC7="満了"),"",IF($N7="日前",'設定'!$B$6+$M7,EDATE('設定'!$B$6,$M7)))</f>
        <v/>
      </c>
      <c r="AE7" s="70">
        <f>IF(NOT(ISNUMBER($O7)),"",IF($P7="月額",$O7*12,IF($P7="年額",$O7,"")))</f>
        <v/>
      </c>
      <c r="AF7" s="30">
        <f>MID(IF(AND(ISNUMBER($G7),ISNUMBER($H7)),IF(N($H7)&lt;N($G7)," / 満了日が開始日より前",""),"")&amp;IF(AND($I7="あり",NOT(ISNUMBER($H7)))," / 自動更新ありなのに満了日が空","")&amp;IF(AND($I7="あり",ISNUMBER($H7),NOT(ISNUMBER($J7)))," / 更新期間が空（更新を計算できない）","")&amp;IF($AH7="","",IF(AND(DAY($AH7)&gt;=29,OR(MOD($J7,12)&lt;&gt;0,MONTH($AH7)=2))," / 更新の初日が29〜31日（更新を重ねると満了日が1日ずれることがある。満了日を今の期間の満了日に書き換えると直る）",""))&amp;IF(AND(ISNUMBER($K7),$L7="")," / 通知の単位が空（か月前で計算）","")&amp;IF(AND(ISNUMBER($M7),$N7="")," / 解約予告の単位が空（か月前で計算）","")&amp;IF(AND(ISNUMBER($O7),$P7="")," / 金額の区分が空","")&amp;IF(AND($T7&lt;&gt;"",NOT(ISNUMBER($U7)))," / 対応を決めた日が空","")&amp;IF(AND(ISNUMBER($U7),$T7="")," / 今期の対応が空","")&amp;IF(AND($T7="更新しない",NOT(ISNUMBER($V7)))," / 更新しないなら、解約・終了した日（契約が終わる日）を入れる",""),4,300)</f>
        <v/>
      </c>
      <c r="AG7" s="53" t="n"/>
      <c r="AH7" s="71">
        <f>IF(AND(ISNUMBER($H7),$I7="あり",ISNUMBER($J7)),IF($J7&gt;=1,$H7+1,""),"")</f>
        <v/>
      </c>
      <c r="AI7" s="32">
        <f>IF($AH7="","",(YEAR('設定'!$B$6)-YEAR($AH7))*12+MONTH('設定'!$B$6)-MONTH($AH7))</f>
        <v/>
      </c>
      <c r="AJ7" s="32">
        <f>IF($AH7="","",MAX(1,ROUNDUP($AI7/$J7,0)))</f>
        <v/>
      </c>
      <c r="AK7" s="71">
        <f>IF($AJ7="","",IF(DAY(EDATE($AH7,$AJ7*$J7))&lt;DAY($AH7),EDATE($AH7,$AJ7*$J7),EDATE($AH7,$AJ7*$J7)-1))</f>
        <v/>
      </c>
      <c r="AL7" s="71">
        <f>IF($AJ7="","",IF(DAY(EDATE($AH7,($AJ7+1)*$J7))&lt;DAY($AH7),EDATE($AH7,($AJ7+1)*$J7),EDATE($AH7,($AJ7+1)*$J7)-1))</f>
        <v/>
      </c>
      <c r="AM7" s="71">
        <f>IF($AJ7="","",IF($AJ7=1,$H7,IF(DAY(EDATE($AH7,($AJ7-1)*$J7))&lt;DAY($AH7),EDATE($AH7,($AJ7-1)*$J7),EDATE($AH7,($AJ7-1)*$J7)-1)))</f>
        <v/>
      </c>
      <c r="AN7" s="32">
        <f>IF(NOT(ISNUMBER($H7)),"",IF(OR($AH7="",$H7&gt;='設定'!$B$6),0,IF($AK7&gt;='設定'!$B$6,$AJ7,$AJ7+1)))</f>
        <v/>
      </c>
      <c r="AO7" s="71">
        <f>IF($AN7="","",IF($AN7=0,"",IF($AN7=$AJ7,$AM7,$AK7)))</f>
        <v/>
      </c>
      <c r="AP7" s="32">
        <f>IF(OR($AC7="要対応",$AC7="通知期限切れ",$AC7="確認済み",$AC7="有効",$AC7="終了予定"),1,0)</f>
        <v/>
      </c>
      <c r="AQ7" s="32">
        <f>IF(OR($AC7="要対応",$AC7="通知期限切れ"),1,0)</f>
        <v/>
      </c>
      <c r="AR7" s="72">
        <f>IF(AND(ISNUMBER($AB7),OR($AC7="要対応",$AC7="通知期限切れ",$AC7="確認済み",$AC7="有効")),$AB7+ROW()/100000,"")</f>
        <v/>
      </c>
      <c r="AS7" s="32">
        <f>IF($E7="","",IF(COUNTIF($E$5:$E7,$E7)=1,ROW(),""))</f>
        <v/>
      </c>
      <c r="AT7" s="32">
        <f>IF($S7="","",IF(COUNTIF($S$5:$S7,$S7)=1,ROW(),""))</f>
        <v/>
      </c>
    </row>
    <row r="8" ht="20" customHeight="1">
      <c r="A8" s="20" t="n">
        <v>4</v>
      </c>
      <c r="B8" s="21" t="inlineStr">
        <is>
          <t>K-004</t>
        </is>
      </c>
      <c r="C8" s="22" t="inlineStr">
        <is>
          <t>税務顧問契約書</t>
        </is>
      </c>
      <c r="D8" s="22" t="inlineStr">
        <is>
          <t>顧問</t>
        </is>
      </c>
      <c r="E8" s="22" t="inlineStr">
        <is>
          <t>見本税理士事務所</t>
        </is>
      </c>
      <c r="F8" s="66" t="n">
        <v>44640</v>
      </c>
      <c r="G8" s="66" t="n">
        <v>44652</v>
      </c>
      <c r="H8" s="66" t="n">
        <v>45016</v>
      </c>
      <c r="I8" s="21" t="inlineStr">
        <is>
          <t>あり</t>
        </is>
      </c>
      <c r="J8" s="24" t="n">
        <v>12</v>
      </c>
      <c r="K8" s="24" t="n">
        <v>3</v>
      </c>
      <c r="L8" s="21" t="inlineStr">
        <is>
          <t>か月前</t>
        </is>
      </c>
      <c r="M8" s="24" t="n">
        <v>3</v>
      </c>
      <c r="N8" s="21" t="inlineStr">
        <is>
          <t>か月前</t>
        </is>
      </c>
      <c r="O8" s="67" t="n">
        <v>33000</v>
      </c>
      <c r="P8" s="21" t="inlineStr">
        <is>
          <t>月額</t>
        </is>
      </c>
      <c r="Q8" s="21" t="inlineStr">
        <is>
          <t>紙</t>
        </is>
      </c>
      <c r="R8" s="22" t="inlineStr">
        <is>
          <t>キャビネットA（総務）</t>
        </is>
      </c>
      <c r="S8" s="22" t="inlineStr">
        <is>
          <t>見本 太郎</t>
        </is>
      </c>
      <c r="T8" s="21" t="n"/>
      <c r="U8" s="66" t="n"/>
      <c r="V8" s="66" t="n"/>
      <c r="W8" s="66" t="n"/>
      <c r="X8" s="8" t="inlineStr">
        <is>
          <t>決算料は別（年1回）</t>
        </is>
      </c>
      <c r="Y8" s="68">
        <f>IF($AN8="","",IF($AN8=0,$H8,IF($AN8=$AJ8,$AK8,$AL8)))</f>
        <v/>
      </c>
      <c r="Z8" s="68">
        <f>IF(OR($Y8="",NOT(ISNUMBER($K8))),"",IF($L8="日前",$Y8-$K8,EDATE($Y8,-$K8)))</f>
        <v/>
      </c>
      <c r="AA8" s="68">
        <f>IF(OR($Y8="",ISNUMBER($V8),N($Y8)&lt;'設定'!$B$6),"",IF($Z8&lt;&gt;"",$Z8,$Y8))</f>
        <v/>
      </c>
      <c r="AB8" s="69">
        <f>IF($AA8="","",$AA8-'設定'!$B$6)</f>
        <v/>
      </c>
      <c r="AC8" s="28">
        <f>IF(NOT(OR($B8&lt;&gt;"",$C8&lt;&gt;"")),"",IF(ISNUMBER($V8),IF($V8&lt;'設定'!$B$6,"終了","終了予定"),IF($Y8="","有効",IF($Y8&lt;'設定'!$B$6,"満了",IF(AND($T8="更新する",ISNUMBER($U8),N($U8)&lt;='設定'!$B$6,OR($AO8="",N($U8)&gt;N($AO8))),"確認済み",IF($AB8&lt;0,"通知期限切れ",IF($AB8&lt;=N('設定'!$B$7),"要対応","有効")))))))</f>
        <v/>
      </c>
      <c r="AD8" s="68">
        <f>IF(OR(NOT(ISNUMBER($M8)),$AC8="",$AC8="終了",$AC8="終了予定",$AC8="満了"),"",IF($N8="日前",'設定'!$B$6+$M8,EDATE('設定'!$B$6,$M8)))</f>
        <v/>
      </c>
      <c r="AE8" s="70">
        <f>IF(NOT(ISNUMBER($O8)),"",IF($P8="月額",$O8*12,IF($P8="年額",$O8,"")))</f>
        <v/>
      </c>
      <c r="AF8" s="30">
        <f>MID(IF(AND(ISNUMBER($G8),ISNUMBER($H8)),IF(N($H8)&lt;N($G8)," / 満了日が開始日より前",""),"")&amp;IF(AND($I8="あり",NOT(ISNUMBER($H8)))," / 自動更新ありなのに満了日が空","")&amp;IF(AND($I8="あり",ISNUMBER($H8),NOT(ISNUMBER($J8)))," / 更新期間が空（更新を計算できない）","")&amp;IF($AH8="","",IF(AND(DAY($AH8)&gt;=29,OR(MOD($J8,12)&lt;&gt;0,MONTH($AH8)=2))," / 更新の初日が29〜31日（更新を重ねると満了日が1日ずれることがある。満了日を今の期間の満了日に書き換えると直る）",""))&amp;IF(AND(ISNUMBER($K8),$L8="")," / 通知の単位が空（か月前で計算）","")&amp;IF(AND(ISNUMBER($M8),$N8="")," / 解約予告の単位が空（か月前で計算）","")&amp;IF(AND(ISNUMBER($O8),$P8="")," / 金額の区分が空","")&amp;IF(AND($T8&lt;&gt;"",NOT(ISNUMBER($U8)))," / 対応を決めた日が空","")&amp;IF(AND(ISNUMBER($U8),$T8="")," / 今期の対応が空","")&amp;IF(AND($T8="更新しない",NOT(ISNUMBER($V8)))," / 更新しないなら、解約・終了した日（契約が終わる日）を入れる",""),4,300)</f>
        <v/>
      </c>
      <c r="AG8" s="53" t="n"/>
      <c r="AH8" s="71">
        <f>IF(AND(ISNUMBER($H8),$I8="あり",ISNUMBER($J8)),IF($J8&gt;=1,$H8+1,""),"")</f>
        <v/>
      </c>
      <c r="AI8" s="32">
        <f>IF($AH8="","",(YEAR('設定'!$B$6)-YEAR($AH8))*12+MONTH('設定'!$B$6)-MONTH($AH8))</f>
        <v/>
      </c>
      <c r="AJ8" s="32">
        <f>IF($AH8="","",MAX(1,ROUNDUP($AI8/$J8,0)))</f>
        <v/>
      </c>
      <c r="AK8" s="71">
        <f>IF($AJ8="","",IF(DAY(EDATE($AH8,$AJ8*$J8))&lt;DAY($AH8),EDATE($AH8,$AJ8*$J8),EDATE($AH8,$AJ8*$J8)-1))</f>
        <v/>
      </c>
      <c r="AL8" s="71">
        <f>IF($AJ8="","",IF(DAY(EDATE($AH8,($AJ8+1)*$J8))&lt;DAY($AH8),EDATE($AH8,($AJ8+1)*$J8),EDATE($AH8,($AJ8+1)*$J8)-1))</f>
        <v/>
      </c>
      <c r="AM8" s="71">
        <f>IF($AJ8="","",IF($AJ8=1,$H8,IF(DAY(EDATE($AH8,($AJ8-1)*$J8))&lt;DAY($AH8),EDATE($AH8,($AJ8-1)*$J8),EDATE($AH8,($AJ8-1)*$J8)-1)))</f>
        <v/>
      </c>
      <c r="AN8" s="32">
        <f>IF(NOT(ISNUMBER($H8)),"",IF(OR($AH8="",$H8&gt;='設定'!$B$6),0,IF($AK8&gt;='設定'!$B$6,$AJ8,$AJ8+1)))</f>
        <v/>
      </c>
      <c r="AO8" s="71">
        <f>IF($AN8="","",IF($AN8=0,"",IF($AN8=$AJ8,$AM8,$AK8)))</f>
        <v/>
      </c>
      <c r="AP8" s="32">
        <f>IF(OR($AC8="要対応",$AC8="通知期限切れ",$AC8="確認済み",$AC8="有効",$AC8="終了予定"),1,0)</f>
        <v/>
      </c>
      <c r="AQ8" s="32">
        <f>IF(OR($AC8="要対応",$AC8="通知期限切れ"),1,0)</f>
        <v/>
      </c>
      <c r="AR8" s="72">
        <f>IF(AND(ISNUMBER($AB8),OR($AC8="要対応",$AC8="通知期限切れ",$AC8="確認済み",$AC8="有効")),$AB8+ROW()/100000,"")</f>
        <v/>
      </c>
      <c r="AS8" s="32">
        <f>IF($E8="","",IF(COUNTIF($E$5:$E8,$E8)=1,ROW(),""))</f>
        <v/>
      </c>
      <c r="AT8" s="32">
        <f>IF($S8="","",IF(COUNTIF($S$5:$S8,$S8)=1,ROW(),""))</f>
        <v/>
      </c>
    </row>
    <row r="9" ht="29" customHeight="1">
      <c r="A9" s="20" t="n">
        <v>5</v>
      </c>
      <c r="B9" s="21" t="inlineStr">
        <is>
          <t>K-005</t>
        </is>
      </c>
      <c r="C9" s="22" t="inlineStr">
        <is>
          <t>社会保険労務士 顧問契約書</t>
        </is>
      </c>
      <c r="D9" s="22" t="inlineStr">
        <is>
          <t>顧問</t>
        </is>
      </c>
      <c r="E9" s="22" t="inlineStr">
        <is>
          <t>サンプル社会保険労務士事務所</t>
        </is>
      </c>
      <c r="F9" s="66" t="n">
        <v>45468</v>
      </c>
      <c r="G9" s="66" t="n">
        <v>45474</v>
      </c>
      <c r="H9" s="66" t="n"/>
      <c r="I9" s="21" t="inlineStr">
        <is>
          <t>なし</t>
        </is>
      </c>
      <c r="J9" s="24" t="n"/>
      <c r="K9" s="24" t="n"/>
      <c r="L9" s="21" t="n"/>
      <c r="M9" s="24" t="n">
        <v>1</v>
      </c>
      <c r="N9" s="21" t="inlineStr">
        <is>
          <t>か月前</t>
        </is>
      </c>
      <c r="O9" s="67" t="n">
        <v>22000</v>
      </c>
      <c r="P9" s="21" t="inlineStr">
        <is>
          <t>月額</t>
        </is>
      </c>
      <c r="Q9" s="21" t="inlineStr">
        <is>
          <t>紙</t>
        </is>
      </c>
      <c r="R9" s="22" t="inlineStr">
        <is>
          <t>キャビネットA（総務）</t>
        </is>
      </c>
      <c r="S9" s="22" t="inlineStr">
        <is>
          <t>見本 太郎</t>
        </is>
      </c>
      <c r="T9" s="21" t="n"/>
      <c r="U9" s="66" t="n"/>
      <c r="V9" s="66" t="n"/>
      <c r="W9" s="66" t="n"/>
      <c r="X9" s="8" t="inlineStr">
        <is>
          <t>期間の定めなし。1か月前に予告すれば解約できる</t>
        </is>
      </c>
      <c r="Y9" s="68">
        <f>IF($AN9="","",IF($AN9=0,$H9,IF($AN9=$AJ9,$AK9,$AL9)))</f>
        <v/>
      </c>
      <c r="Z9" s="68">
        <f>IF(OR($Y9="",NOT(ISNUMBER($K9))),"",IF($L9="日前",$Y9-$K9,EDATE($Y9,-$K9)))</f>
        <v/>
      </c>
      <c r="AA9" s="68">
        <f>IF(OR($Y9="",ISNUMBER($V9),N($Y9)&lt;'設定'!$B$6),"",IF($Z9&lt;&gt;"",$Z9,$Y9))</f>
        <v/>
      </c>
      <c r="AB9" s="69">
        <f>IF($AA9="","",$AA9-'設定'!$B$6)</f>
        <v/>
      </c>
      <c r="AC9" s="28">
        <f>IF(NOT(OR($B9&lt;&gt;"",$C9&lt;&gt;"")),"",IF(ISNUMBER($V9),IF($V9&lt;'設定'!$B$6,"終了","終了予定"),IF($Y9="","有効",IF($Y9&lt;'設定'!$B$6,"満了",IF(AND($T9="更新する",ISNUMBER($U9),N($U9)&lt;='設定'!$B$6,OR($AO9="",N($U9)&gt;N($AO9))),"確認済み",IF($AB9&lt;0,"通知期限切れ",IF($AB9&lt;=N('設定'!$B$7),"要対応","有効")))))))</f>
        <v/>
      </c>
      <c r="AD9" s="68">
        <f>IF(OR(NOT(ISNUMBER($M9)),$AC9="",$AC9="終了",$AC9="終了予定",$AC9="満了"),"",IF($N9="日前",'設定'!$B$6+$M9,EDATE('設定'!$B$6,$M9)))</f>
        <v/>
      </c>
      <c r="AE9" s="70">
        <f>IF(NOT(ISNUMBER($O9)),"",IF($P9="月額",$O9*12,IF($P9="年額",$O9,"")))</f>
        <v/>
      </c>
      <c r="AF9" s="30">
        <f>MID(IF(AND(ISNUMBER($G9),ISNUMBER($H9)),IF(N($H9)&lt;N($G9)," / 満了日が開始日より前",""),"")&amp;IF(AND($I9="あり",NOT(ISNUMBER($H9)))," / 自動更新ありなのに満了日が空","")&amp;IF(AND($I9="あり",ISNUMBER($H9),NOT(ISNUMBER($J9)))," / 更新期間が空（更新を計算できない）","")&amp;IF($AH9="","",IF(AND(DAY($AH9)&gt;=29,OR(MOD($J9,12)&lt;&gt;0,MONTH($AH9)=2))," / 更新の初日が29〜31日（更新を重ねると満了日が1日ずれることがある。満了日を今の期間の満了日に書き換えると直る）",""))&amp;IF(AND(ISNUMBER($K9),$L9="")," / 通知の単位が空（か月前で計算）","")&amp;IF(AND(ISNUMBER($M9),$N9="")," / 解約予告の単位が空（か月前で計算）","")&amp;IF(AND(ISNUMBER($O9),$P9="")," / 金額の区分が空","")&amp;IF(AND($T9&lt;&gt;"",NOT(ISNUMBER($U9)))," / 対応を決めた日が空","")&amp;IF(AND(ISNUMBER($U9),$T9="")," / 今期の対応が空","")&amp;IF(AND($T9="更新しない",NOT(ISNUMBER($V9)))," / 更新しないなら、解約・終了した日（契約が終わる日）を入れる",""),4,300)</f>
        <v/>
      </c>
      <c r="AG9" s="53" t="n"/>
      <c r="AH9" s="71">
        <f>IF(AND(ISNUMBER($H9),$I9="あり",ISNUMBER($J9)),IF($J9&gt;=1,$H9+1,""),"")</f>
        <v/>
      </c>
      <c r="AI9" s="32">
        <f>IF($AH9="","",(YEAR('設定'!$B$6)-YEAR($AH9))*12+MONTH('設定'!$B$6)-MONTH($AH9))</f>
        <v/>
      </c>
      <c r="AJ9" s="32">
        <f>IF($AH9="","",MAX(1,ROUNDUP($AI9/$J9,0)))</f>
        <v/>
      </c>
      <c r="AK9" s="71">
        <f>IF($AJ9="","",IF(DAY(EDATE($AH9,$AJ9*$J9))&lt;DAY($AH9),EDATE($AH9,$AJ9*$J9),EDATE($AH9,$AJ9*$J9)-1))</f>
        <v/>
      </c>
      <c r="AL9" s="71">
        <f>IF($AJ9="","",IF(DAY(EDATE($AH9,($AJ9+1)*$J9))&lt;DAY($AH9),EDATE($AH9,($AJ9+1)*$J9),EDATE($AH9,($AJ9+1)*$J9)-1))</f>
        <v/>
      </c>
      <c r="AM9" s="71">
        <f>IF($AJ9="","",IF($AJ9=1,$H9,IF(DAY(EDATE($AH9,($AJ9-1)*$J9))&lt;DAY($AH9),EDATE($AH9,($AJ9-1)*$J9),EDATE($AH9,($AJ9-1)*$J9)-1)))</f>
        <v/>
      </c>
      <c r="AN9" s="32">
        <f>IF(NOT(ISNUMBER($H9)),"",IF(OR($AH9="",$H9&gt;='設定'!$B$6),0,IF($AK9&gt;='設定'!$B$6,$AJ9,$AJ9+1)))</f>
        <v/>
      </c>
      <c r="AO9" s="71">
        <f>IF($AN9="","",IF($AN9=0,"",IF($AN9=$AJ9,$AM9,$AK9)))</f>
        <v/>
      </c>
      <c r="AP9" s="32">
        <f>IF(OR($AC9="要対応",$AC9="通知期限切れ",$AC9="確認済み",$AC9="有効",$AC9="終了予定"),1,0)</f>
        <v/>
      </c>
      <c r="AQ9" s="32">
        <f>IF(OR($AC9="要対応",$AC9="通知期限切れ"),1,0)</f>
        <v/>
      </c>
      <c r="AR9" s="72">
        <f>IF(AND(ISNUMBER($AB9),OR($AC9="要対応",$AC9="通知期限切れ",$AC9="確認済み",$AC9="有効")),$AB9+ROW()/100000,"")</f>
        <v/>
      </c>
      <c r="AS9" s="32">
        <f>IF($E9="","",IF(COUNTIF($E$5:$E9,$E9)=1,ROW(),""))</f>
        <v/>
      </c>
      <c r="AT9" s="32">
        <f>IF($S9="","",IF(COUNTIF($S$5:$S9,$S9)=1,ROW(),""))</f>
        <v/>
      </c>
    </row>
    <row r="10" ht="29" customHeight="1">
      <c r="A10" s="20" t="n">
        <v>6</v>
      </c>
      <c r="B10" s="21" t="inlineStr">
        <is>
          <t>K-006</t>
        </is>
      </c>
      <c r="C10" s="22" t="inlineStr">
        <is>
          <t>取引基本契約書（販売先）</t>
        </is>
      </c>
      <c r="D10" s="22" t="inlineStr">
        <is>
          <t>取引基本（売買）</t>
        </is>
      </c>
      <c r="E10" s="22" t="inlineStr">
        <is>
          <t>株式会社見本物産</t>
        </is>
      </c>
      <c r="F10" s="66" t="n">
        <v>43976</v>
      </c>
      <c r="G10" s="66" t="n">
        <v>43983</v>
      </c>
      <c r="H10" s="66" t="n">
        <v>44347</v>
      </c>
      <c r="I10" s="21" t="inlineStr">
        <is>
          <t>あり</t>
        </is>
      </c>
      <c r="J10" s="24" t="n">
        <v>12</v>
      </c>
      <c r="K10" s="24" t="n">
        <v>3</v>
      </c>
      <c r="L10" s="21" t="inlineStr">
        <is>
          <t>か月前</t>
        </is>
      </c>
      <c r="M10" s="24" t="n"/>
      <c r="N10" s="21" t="n"/>
      <c r="O10" s="67" t="n"/>
      <c r="P10" s="21" t="inlineStr">
        <is>
          <t>単価・都度</t>
        </is>
      </c>
      <c r="Q10" s="21" t="inlineStr">
        <is>
          <t>紙</t>
        </is>
      </c>
      <c r="R10" s="22" t="inlineStr">
        <is>
          <t>金庫</t>
        </is>
      </c>
      <c r="S10" s="22" t="inlineStr">
        <is>
          <t>見本 太郎</t>
        </is>
      </c>
      <c r="T10" s="21" t="n"/>
      <c r="U10" s="66" t="n"/>
      <c r="V10" s="66" t="n"/>
      <c r="W10" s="66" t="n"/>
      <c r="X10" s="8" t="inlineStr">
        <is>
          <t>個別の注文は注文書・注文請書で。単価は別紙の単価表</t>
        </is>
      </c>
      <c r="Y10" s="68">
        <f>IF($AN10="","",IF($AN10=0,$H10,IF($AN10=$AJ10,$AK10,$AL10)))</f>
        <v/>
      </c>
      <c r="Z10" s="68">
        <f>IF(OR($Y10="",NOT(ISNUMBER($K10))),"",IF($L10="日前",$Y10-$K10,EDATE($Y10,-$K10)))</f>
        <v/>
      </c>
      <c r="AA10" s="68">
        <f>IF(OR($Y10="",ISNUMBER($V10),N($Y10)&lt;'設定'!$B$6),"",IF($Z10&lt;&gt;"",$Z10,$Y10))</f>
        <v/>
      </c>
      <c r="AB10" s="69">
        <f>IF($AA10="","",$AA10-'設定'!$B$6)</f>
        <v/>
      </c>
      <c r="AC10" s="28">
        <f>IF(NOT(OR($B10&lt;&gt;"",$C10&lt;&gt;"")),"",IF(ISNUMBER($V10),IF($V10&lt;'設定'!$B$6,"終了","終了予定"),IF($Y10="","有効",IF($Y10&lt;'設定'!$B$6,"満了",IF(AND($T10="更新する",ISNUMBER($U10),N($U10)&lt;='設定'!$B$6,OR($AO10="",N($U10)&gt;N($AO10))),"確認済み",IF($AB10&lt;0,"通知期限切れ",IF($AB10&lt;=N('設定'!$B$7),"要対応","有効")))))))</f>
        <v/>
      </c>
      <c r="AD10" s="68">
        <f>IF(OR(NOT(ISNUMBER($M10)),$AC10="",$AC10="終了",$AC10="終了予定",$AC10="満了"),"",IF($N10="日前",'設定'!$B$6+$M10,EDATE('設定'!$B$6,$M10)))</f>
        <v/>
      </c>
      <c r="AE10" s="70">
        <f>IF(NOT(ISNUMBER($O10)),"",IF($P10="月額",$O10*12,IF($P10="年額",$O10,"")))</f>
        <v/>
      </c>
      <c r="AF10" s="30">
        <f>MID(IF(AND(ISNUMBER($G10),ISNUMBER($H10)),IF(N($H10)&lt;N($G10)," / 満了日が開始日より前",""),"")&amp;IF(AND($I10="あり",NOT(ISNUMBER($H10)))," / 自動更新ありなのに満了日が空","")&amp;IF(AND($I10="あり",ISNUMBER($H10),NOT(ISNUMBER($J10)))," / 更新期間が空（更新を計算できない）","")&amp;IF($AH10="","",IF(AND(DAY($AH10)&gt;=29,OR(MOD($J10,12)&lt;&gt;0,MONTH($AH10)=2))," / 更新の初日が29〜31日（更新を重ねると満了日が1日ずれることがある。満了日を今の期間の満了日に書き換えると直る）",""))&amp;IF(AND(ISNUMBER($K10),$L10="")," / 通知の単位が空（か月前で計算）","")&amp;IF(AND(ISNUMBER($M10),$N10="")," / 解約予告の単位が空（か月前で計算）","")&amp;IF(AND(ISNUMBER($O10),$P10="")," / 金額の区分が空","")&amp;IF(AND($T10&lt;&gt;"",NOT(ISNUMBER($U10)))," / 対応を決めた日が空","")&amp;IF(AND(ISNUMBER($U10),$T10="")," / 今期の対応が空","")&amp;IF(AND($T10="更新しない",NOT(ISNUMBER($V10)))," / 更新しないなら、解約・終了した日（契約が終わる日）を入れる",""),4,300)</f>
        <v/>
      </c>
      <c r="AG10" s="53" t="n"/>
      <c r="AH10" s="71">
        <f>IF(AND(ISNUMBER($H10),$I10="あり",ISNUMBER($J10)),IF($J10&gt;=1,$H10+1,""),"")</f>
        <v/>
      </c>
      <c r="AI10" s="32">
        <f>IF($AH10="","",(YEAR('設定'!$B$6)-YEAR($AH10))*12+MONTH('設定'!$B$6)-MONTH($AH10))</f>
        <v/>
      </c>
      <c r="AJ10" s="32">
        <f>IF($AH10="","",MAX(1,ROUNDUP($AI10/$J10,0)))</f>
        <v/>
      </c>
      <c r="AK10" s="71">
        <f>IF($AJ10="","",IF(DAY(EDATE($AH10,$AJ10*$J10))&lt;DAY($AH10),EDATE($AH10,$AJ10*$J10),EDATE($AH10,$AJ10*$J10)-1))</f>
        <v/>
      </c>
      <c r="AL10" s="71">
        <f>IF($AJ10="","",IF(DAY(EDATE($AH10,($AJ10+1)*$J10))&lt;DAY($AH10),EDATE($AH10,($AJ10+1)*$J10),EDATE($AH10,($AJ10+1)*$J10)-1))</f>
        <v/>
      </c>
      <c r="AM10" s="71">
        <f>IF($AJ10="","",IF($AJ10=1,$H10,IF(DAY(EDATE($AH10,($AJ10-1)*$J10))&lt;DAY($AH10),EDATE($AH10,($AJ10-1)*$J10),EDATE($AH10,($AJ10-1)*$J10)-1)))</f>
        <v/>
      </c>
      <c r="AN10" s="32">
        <f>IF(NOT(ISNUMBER($H10)),"",IF(OR($AH10="",$H10&gt;='設定'!$B$6),0,IF($AK10&gt;='設定'!$B$6,$AJ10,$AJ10+1)))</f>
        <v/>
      </c>
      <c r="AO10" s="71">
        <f>IF($AN10="","",IF($AN10=0,"",IF($AN10=$AJ10,$AM10,$AK10)))</f>
        <v/>
      </c>
      <c r="AP10" s="32">
        <f>IF(OR($AC10="要対応",$AC10="通知期限切れ",$AC10="確認済み",$AC10="有効",$AC10="終了予定"),1,0)</f>
        <v/>
      </c>
      <c r="AQ10" s="32">
        <f>IF(OR($AC10="要対応",$AC10="通知期限切れ"),1,0)</f>
        <v/>
      </c>
      <c r="AR10" s="72">
        <f>IF(AND(ISNUMBER($AB10),OR($AC10="要対応",$AC10="通知期限切れ",$AC10="確認済み",$AC10="有効")),$AB10+ROW()/100000,"")</f>
        <v/>
      </c>
      <c r="AS10" s="32">
        <f>IF($E10="","",IF(COUNTIF($E$5:$E10,$E10)=1,ROW(),""))</f>
        <v/>
      </c>
      <c r="AT10" s="32">
        <f>IF($S10="","",IF(COUNTIF($S$5:$S10,$S10)=1,ROW(),""))</f>
        <v/>
      </c>
    </row>
    <row r="11" ht="29" customHeight="1">
      <c r="A11" s="20" t="n">
        <v>7</v>
      </c>
      <c r="B11" s="21" t="inlineStr">
        <is>
          <t>K-007</t>
        </is>
      </c>
      <c r="C11" s="22" t="inlineStr">
        <is>
          <t>秘密保持契約書（見積り・試作のため）</t>
        </is>
      </c>
      <c r="D11" s="22" t="inlineStr">
        <is>
          <t>秘密保持</t>
        </is>
      </c>
      <c r="E11" s="22" t="inlineStr">
        <is>
          <t>株式会社見本物産</t>
        </is>
      </c>
      <c r="F11" s="66" t="n">
        <v>43969</v>
      </c>
      <c r="G11" s="66" t="n">
        <v>43969</v>
      </c>
      <c r="H11" s="66" t="n">
        <v>45794</v>
      </c>
      <c r="I11" s="21" t="inlineStr">
        <is>
          <t>なし</t>
        </is>
      </c>
      <c r="J11" s="24" t="n"/>
      <c r="K11" s="24" t="n"/>
      <c r="L11" s="21" t="n"/>
      <c r="M11" s="24" t="n"/>
      <c r="N11" s="21" t="n"/>
      <c r="O11" s="67" t="n"/>
      <c r="P11" s="21" t="n"/>
      <c r="Q11" s="21" t="inlineStr">
        <is>
          <t>紙</t>
        </is>
      </c>
      <c r="R11" s="22" t="inlineStr">
        <is>
          <t>金庫</t>
        </is>
      </c>
      <c r="S11" s="22" t="inlineStr">
        <is>
          <t>見本 太郎</t>
        </is>
      </c>
      <c r="T11" s="21" t="n"/>
      <c r="U11" s="66" t="n"/>
      <c r="V11" s="66" t="n"/>
      <c r="W11" s="66" t="n">
        <v>49460</v>
      </c>
      <c r="X11" s="8" t="inlineStr">
        <is>
          <t>期間は満了。秘密を守る義務は満了後も3年続く条項あり（第9条）</t>
        </is>
      </c>
      <c r="Y11" s="68">
        <f>IF($AN11="","",IF($AN11=0,$H11,IF($AN11=$AJ11,$AK11,$AL11)))</f>
        <v/>
      </c>
      <c r="Z11" s="68">
        <f>IF(OR($Y11="",NOT(ISNUMBER($K11))),"",IF($L11="日前",$Y11-$K11,EDATE($Y11,-$K11)))</f>
        <v/>
      </c>
      <c r="AA11" s="68">
        <f>IF(OR($Y11="",ISNUMBER($V11),N($Y11)&lt;'設定'!$B$6),"",IF($Z11&lt;&gt;"",$Z11,$Y11))</f>
        <v/>
      </c>
      <c r="AB11" s="69">
        <f>IF($AA11="","",$AA11-'設定'!$B$6)</f>
        <v/>
      </c>
      <c r="AC11" s="28">
        <f>IF(NOT(OR($B11&lt;&gt;"",$C11&lt;&gt;"")),"",IF(ISNUMBER($V11),IF($V11&lt;'設定'!$B$6,"終了","終了予定"),IF($Y11="","有効",IF($Y11&lt;'設定'!$B$6,"満了",IF(AND($T11="更新する",ISNUMBER($U11),N($U11)&lt;='設定'!$B$6,OR($AO11="",N($U11)&gt;N($AO11))),"確認済み",IF($AB11&lt;0,"通知期限切れ",IF($AB11&lt;=N('設定'!$B$7),"要対応","有効")))))))</f>
        <v/>
      </c>
      <c r="AD11" s="68">
        <f>IF(OR(NOT(ISNUMBER($M11)),$AC11="",$AC11="終了",$AC11="終了予定",$AC11="満了"),"",IF($N11="日前",'設定'!$B$6+$M11,EDATE('設定'!$B$6,$M11)))</f>
        <v/>
      </c>
      <c r="AE11" s="70">
        <f>IF(NOT(ISNUMBER($O11)),"",IF($P11="月額",$O11*12,IF($P11="年額",$O11,"")))</f>
        <v/>
      </c>
      <c r="AF11" s="30">
        <f>MID(IF(AND(ISNUMBER($G11),ISNUMBER($H11)),IF(N($H11)&lt;N($G11)," / 満了日が開始日より前",""),"")&amp;IF(AND($I11="あり",NOT(ISNUMBER($H11)))," / 自動更新ありなのに満了日が空","")&amp;IF(AND($I11="あり",ISNUMBER($H11),NOT(ISNUMBER($J11)))," / 更新期間が空（更新を計算できない）","")&amp;IF($AH11="","",IF(AND(DAY($AH11)&gt;=29,OR(MOD($J11,12)&lt;&gt;0,MONTH($AH11)=2))," / 更新の初日が29〜31日（更新を重ねると満了日が1日ずれることがある。満了日を今の期間の満了日に書き換えると直る）",""))&amp;IF(AND(ISNUMBER($K11),$L11="")," / 通知の単位が空（か月前で計算）","")&amp;IF(AND(ISNUMBER($M11),$N11="")," / 解約予告の単位が空（か月前で計算）","")&amp;IF(AND(ISNUMBER($O11),$P11="")," / 金額の区分が空","")&amp;IF(AND($T11&lt;&gt;"",NOT(ISNUMBER($U11)))," / 対応を決めた日が空","")&amp;IF(AND(ISNUMBER($U11),$T11="")," / 今期の対応が空","")&amp;IF(AND($T11="更新しない",NOT(ISNUMBER($V11)))," / 更新しないなら、解約・終了した日（契約が終わる日）を入れる",""),4,300)</f>
        <v/>
      </c>
      <c r="AG11" s="53" t="n"/>
      <c r="AH11" s="71">
        <f>IF(AND(ISNUMBER($H11),$I11="あり",ISNUMBER($J11)),IF($J11&gt;=1,$H11+1,""),"")</f>
        <v/>
      </c>
      <c r="AI11" s="32">
        <f>IF($AH11="","",(YEAR('設定'!$B$6)-YEAR($AH11))*12+MONTH('設定'!$B$6)-MONTH($AH11))</f>
        <v/>
      </c>
      <c r="AJ11" s="32">
        <f>IF($AH11="","",MAX(1,ROUNDUP($AI11/$J11,0)))</f>
        <v/>
      </c>
      <c r="AK11" s="71">
        <f>IF($AJ11="","",IF(DAY(EDATE($AH11,$AJ11*$J11))&lt;DAY($AH11),EDATE($AH11,$AJ11*$J11),EDATE($AH11,$AJ11*$J11)-1))</f>
        <v/>
      </c>
      <c r="AL11" s="71">
        <f>IF($AJ11="","",IF(DAY(EDATE($AH11,($AJ11+1)*$J11))&lt;DAY($AH11),EDATE($AH11,($AJ11+1)*$J11),EDATE($AH11,($AJ11+1)*$J11)-1))</f>
        <v/>
      </c>
      <c r="AM11" s="71">
        <f>IF($AJ11="","",IF($AJ11=1,$H11,IF(DAY(EDATE($AH11,($AJ11-1)*$J11))&lt;DAY($AH11),EDATE($AH11,($AJ11-1)*$J11),EDATE($AH11,($AJ11-1)*$J11)-1)))</f>
        <v/>
      </c>
      <c r="AN11" s="32">
        <f>IF(NOT(ISNUMBER($H11)),"",IF(OR($AH11="",$H11&gt;='設定'!$B$6),0,IF($AK11&gt;='設定'!$B$6,$AJ11,$AJ11+1)))</f>
        <v/>
      </c>
      <c r="AO11" s="71">
        <f>IF($AN11="","",IF($AN11=0,"",IF($AN11=$AJ11,$AM11,$AK11)))</f>
        <v/>
      </c>
      <c r="AP11" s="32">
        <f>IF(OR($AC11="要対応",$AC11="通知期限切れ",$AC11="確認済み",$AC11="有効",$AC11="終了予定"),1,0)</f>
        <v/>
      </c>
      <c r="AQ11" s="32">
        <f>IF(OR($AC11="要対応",$AC11="通知期限切れ"),1,0)</f>
        <v/>
      </c>
      <c r="AR11" s="72">
        <f>IF(AND(ISNUMBER($AB11),OR($AC11="要対応",$AC11="通知期限切れ",$AC11="確認済み",$AC11="有効")),$AB11+ROW()/100000,"")</f>
        <v/>
      </c>
      <c r="AS11" s="32">
        <f>IF($E11="","",IF(COUNTIF($E$5:$E11,$E11)=1,ROW(),""))</f>
        <v/>
      </c>
      <c r="AT11" s="32">
        <f>IF($S11="","",IF(COUNTIF($S$5:$S11,$S11)=1,ROW(),""))</f>
        <v/>
      </c>
    </row>
    <row r="12" ht="29" customHeight="1">
      <c r="A12" s="20" t="n">
        <v>8</v>
      </c>
      <c r="B12" s="21" t="inlineStr">
        <is>
          <t>K-008</t>
        </is>
      </c>
      <c r="C12" s="22" t="inlineStr">
        <is>
          <t>取引基本契約書（仕入先）</t>
        </is>
      </c>
      <c r="D12" s="22" t="inlineStr">
        <is>
          <t>取引基本（売買）</t>
        </is>
      </c>
      <c r="E12" s="22" t="inlineStr">
        <is>
          <t>例示金属株式会社</t>
        </is>
      </c>
      <c r="F12" s="66" t="n">
        <v>43728</v>
      </c>
      <c r="G12" s="66" t="n">
        <v>43739</v>
      </c>
      <c r="H12" s="66" t="n">
        <v>44104</v>
      </c>
      <c r="I12" s="21" t="inlineStr">
        <is>
          <t>あり</t>
        </is>
      </c>
      <c r="J12" s="24" t="n">
        <v>12</v>
      </c>
      <c r="K12" s="24" t="n">
        <v>1</v>
      </c>
      <c r="L12" s="21" t="inlineStr">
        <is>
          <t>か月前</t>
        </is>
      </c>
      <c r="M12" s="24" t="n"/>
      <c r="N12" s="21" t="n"/>
      <c r="O12" s="67" t="n"/>
      <c r="P12" s="21" t="inlineStr">
        <is>
          <t>単価・都度</t>
        </is>
      </c>
      <c r="Q12" s="21" t="inlineStr">
        <is>
          <t>紙</t>
        </is>
      </c>
      <c r="R12" s="22" t="inlineStr">
        <is>
          <t>金庫</t>
        </is>
      </c>
      <c r="S12" s="22" t="inlineStr">
        <is>
          <t>サンプル 次郎</t>
        </is>
      </c>
      <c r="T12" s="21" t="n"/>
      <c r="U12" s="66" t="n"/>
      <c r="V12" s="66" t="n"/>
      <c r="W12" s="66" t="n"/>
      <c r="X12" s="8" t="inlineStr">
        <is>
          <t>材料の仕入れ。2026年10月1日から7回目の更新期間</t>
        </is>
      </c>
      <c r="Y12" s="68">
        <f>IF($AN12="","",IF($AN12=0,$H12,IF($AN12=$AJ12,$AK12,$AL12)))</f>
        <v/>
      </c>
      <c r="Z12" s="68">
        <f>IF(OR($Y12="",NOT(ISNUMBER($K12))),"",IF($L12="日前",$Y12-$K12,EDATE($Y12,-$K12)))</f>
        <v/>
      </c>
      <c r="AA12" s="68">
        <f>IF(OR($Y12="",ISNUMBER($V12),N($Y12)&lt;'設定'!$B$6),"",IF($Z12&lt;&gt;"",$Z12,$Y12))</f>
        <v/>
      </c>
      <c r="AB12" s="69">
        <f>IF($AA12="","",$AA12-'設定'!$B$6)</f>
        <v/>
      </c>
      <c r="AC12" s="28">
        <f>IF(NOT(OR($B12&lt;&gt;"",$C12&lt;&gt;"")),"",IF(ISNUMBER($V12),IF($V12&lt;'設定'!$B$6,"終了","終了予定"),IF($Y12="","有効",IF($Y12&lt;'設定'!$B$6,"満了",IF(AND($T12="更新する",ISNUMBER($U12),N($U12)&lt;='設定'!$B$6,OR($AO12="",N($U12)&gt;N($AO12))),"確認済み",IF($AB12&lt;0,"通知期限切れ",IF($AB12&lt;=N('設定'!$B$7),"要対応","有効")))))))</f>
        <v/>
      </c>
      <c r="AD12" s="68">
        <f>IF(OR(NOT(ISNUMBER($M12)),$AC12="",$AC12="終了",$AC12="終了予定",$AC12="満了"),"",IF($N12="日前",'設定'!$B$6+$M12,EDATE('設定'!$B$6,$M12)))</f>
        <v/>
      </c>
      <c r="AE12" s="70">
        <f>IF(NOT(ISNUMBER($O12)),"",IF($P12="月額",$O12*12,IF($P12="年額",$O12,"")))</f>
        <v/>
      </c>
      <c r="AF12" s="30">
        <f>MID(IF(AND(ISNUMBER($G12),ISNUMBER($H12)),IF(N($H12)&lt;N($G12)," / 満了日が開始日より前",""),"")&amp;IF(AND($I12="あり",NOT(ISNUMBER($H12)))," / 自動更新ありなのに満了日が空","")&amp;IF(AND($I12="あり",ISNUMBER($H12),NOT(ISNUMBER($J12)))," / 更新期間が空（更新を計算できない）","")&amp;IF($AH12="","",IF(AND(DAY($AH12)&gt;=29,OR(MOD($J12,12)&lt;&gt;0,MONTH($AH12)=2))," / 更新の初日が29〜31日（更新を重ねると満了日が1日ずれることがある。満了日を今の期間の満了日に書き換えると直る）",""))&amp;IF(AND(ISNUMBER($K12),$L12="")," / 通知の単位が空（か月前で計算）","")&amp;IF(AND(ISNUMBER($M12),$N12="")," / 解約予告の単位が空（か月前で計算）","")&amp;IF(AND(ISNUMBER($O12),$P12="")," / 金額の区分が空","")&amp;IF(AND($T12&lt;&gt;"",NOT(ISNUMBER($U12)))," / 対応を決めた日が空","")&amp;IF(AND(ISNUMBER($U12),$T12="")," / 今期の対応が空","")&amp;IF(AND($T12="更新しない",NOT(ISNUMBER($V12)))," / 更新しないなら、解約・終了した日（契約が終わる日）を入れる",""),4,300)</f>
        <v/>
      </c>
      <c r="AG12" s="53" t="n"/>
      <c r="AH12" s="71">
        <f>IF(AND(ISNUMBER($H12),$I12="あり",ISNUMBER($J12)),IF($J12&gt;=1,$H12+1,""),"")</f>
        <v/>
      </c>
      <c r="AI12" s="32">
        <f>IF($AH12="","",(YEAR('設定'!$B$6)-YEAR($AH12))*12+MONTH('設定'!$B$6)-MONTH($AH12))</f>
        <v/>
      </c>
      <c r="AJ12" s="32">
        <f>IF($AH12="","",MAX(1,ROUNDUP($AI12/$J12,0)))</f>
        <v/>
      </c>
      <c r="AK12" s="71">
        <f>IF($AJ12="","",IF(DAY(EDATE($AH12,$AJ12*$J12))&lt;DAY($AH12),EDATE($AH12,$AJ12*$J12),EDATE($AH12,$AJ12*$J12)-1))</f>
        <v/>
      </c>
      <c r="AL12" s="71">
        <f>IF($AJ12="","",IF(DAY(EDATE($AH12,($AJ12+1)*$J12))&lt;DAY($AH12),EDATE($AH12,($AJ12+1)*$J12),EDATE($AH12,($AJ12+1)*$J12)-1))</f>
        <v/>
      </c>
      <c r="AM12" s="71">
        <f>IF($AJ12="","",IF($AJ12=1,$H12,IF(DAY(EDATE($AH12,($AJ12-1)*$J12))&lt;DAY($AH12),EDATE($AH12,($AJ12-1)*$J12),EDATE($AH12,($AJ12-1)*$J12)-1)))</f>
        <v/>
      </c>
      <c r="AN12" s="32">
        <f>IF(NOT(ISNUMBER($H12)),"",IF(OR($AH12="",$H12&gt;='設定'!$B$6),0,IF($AK12&gt;='設定'!$B$6,$AJ12,$AJ12+1)))</f>
        <v/>
      </c>
      <c r="AO12" s="71">
        <f>IF($AN12="","",IF($AN12=0,"",IF($AN12=$AJ12,$AM12,$AK12)))</f>
        <v/>
      </c>
      <c r="AP12" s="32">
        <f>IF(OR($AC12="要対応",$AC12="通知期限切れ",$AC12="確認済み",$AC12="有効",$AC12="終了予定"),1,0)</f>
        <v/>
      </c>
      <c r="AQ12" s="32">
        <f>IF(OR($AC12="要対応",$AC12="通知期限切れ"),1,0)</f>
        <v/>
      </c>
      <c r="AR12" s="72">
        <f>IF(AND(ISNUMBER($AB12),OR($AC12="要対応",$AC12="通知期限切れ",$AC12="確認済み",$AC12="有効")),$AB12+ROW()/100000,"")</f>
        <v/>
      </c>
      <c r="AS12" s="32">
        <f>IF($E12="","",IF(COUNTIF($E$5:$E12,$E12)=1,ROW(),""))</f>
        <v/>
      </c>
      <c r="AT12" s="32">
        <f>IF($S12="","",IF(COUNTIF($S$5:$S12,$S12)=1,ROW(),""))</f>
        <v/>
      </c>
    </row>
    <row r="13" ht="55" customHeight="1">
      <c r="A13" s="20" t="n">
        <v>9</v>
      </c>
      <c r="B13" s="21" t="inlineStr">
        <is>
          <t>K-009</t>
        </is>
      </c>
      <c r="C13" s="22" t="inlineStr">
        <is>
          <t>マシニングセンタ 保守契約書</t>
        </is>
      </c>
      <c r="D13" s="22" t="inlineStr">
        <is>
          <t>保守</t>
        </is>
      </c>
      <c r="E13" s="22" t="inlineStr">
        <is>
          <t>見本工機サービス株式会社</t>
        </is>
      </c>
      <c r="F13" s="66" t="n">
        <v>45940</v>
      </c>
      <c r="G13" s="66" t="n">
        <v>45962</v>
      </c>
      <c r="H13" s="66" t="n">
        <v>46326</v>
      </c>
      <c r="I13" s="21" t="inlineStr">
        <is>
          <t>あり</t>
        </is>
      </c>
      <c r="J13" s="24" t="n">
        <v>12</v>
      </c>
      <c r="K13" s="24" t="n">
        <v>2</v>
      </c>
      <c r="L13" s="21" t="inlineStr">
        <is>
          <t>か月前</t>
        </is>
      </c>
      <c r="M13" s="24" t="n"/>
      <c r="N13" s="21" t="n"/>
      <c r="O13" s="67" t="n">
        <v>264000</v>
      </c>
      <c r="P13" s="21" t="inlineStr">
        <is>
          <t>年額</t>
        </is>
      </c>
      <c r="Q13" s="21" t="inlineStr">
        <is>
          <t>紙</t>
        </is>
      </c>
      <c r="R13" s="22" t="inlineStr">
        <is>
          <t>キャビネットB（工場事務所）</t>
        </is>
      </c>
      <c r="S13" s="22" t="inlineStr">
        <is>
          <t>サンプル 次郎</t>
        </is>
      </c>
      <c r="T13" s="21" t="inlineStr">
        <is>
          <t>見直す</t>
        </is>
      </c>
      <c r="U13" s="66" t="n">
        <v>46294</v>
      </c>
      <c r="V13" s="66" t="n"/>
      <c r="W13" s="66" t="n"/>
      <c r="X13" s="8" t="inlineStr">
        <is>
          <t>別の業者に見積もりを取ったが、通知期限の2026年8月31日を過ぎていた。2026年11月1日から1年更新される</t>
        </is>
      </c>
      <c r="Y13" s="68">
        <f>IF($AN13="","",IF($AN13=0,$H13,IF($AN13=$AJ13,$AK13,$AL13)))</f>
        <v/>
      </c>
      <c r="Z13" s="68">
        <f>IF(OR($Y13="",NOT(ISNUMBER($K13))),"",IF($L13="日前",$Y13-$K13,EDATE($Y13,-$K13)))</f>
        <v/>
      </c>
      <c r="AA13" s="68">
        <f>IF(OR($Y13="",ISNUMBER($V13),N($Y13)&lt;'設定'!$B$6),"",IF($Z13&lt;&gt;"",$Z13,$Y13))</f>
        <v/>
      </c>
      <c r="AB13" s="69">
        <f>IF($AA13="","",$AA13-'設定'!$B$6)</f>
        <v/>
      </c>
      <c r="AC13" s="28">
        <f>IF(NOT(OR($B13&lt;&gt;"",$C13&lt;&gt;"")),"",IF(ISNUMBER($V13),IF($V13&lt;'設定'!$B$6,"終了","終了予定"),IF($Y13="","有効",IF($Y13&lt;'設定'!$B$6,"満了",IF(AND($T13="更新する",ISNUMBER($U13),N($U13)&lt;='設定'!$B$6,OR($AO13="",N($U13)&gt;N($AO13))),"確認済み",IF($AB13&lt;0,"通知期限切れ",IF($AB13&lt;=N('設定'!$B$7),"要対応","有効")))))))</f>
        <v/>
      </c>
      <c r="AD13" s="68">
        <f>IF(OR(NOT(ISNUMBER($M13)),$AC13="",$AC13="終了",$AC13="終了予定",$AC13="満了"),"",IF($N13="日前",'設定'!$B$6+$M13,EDATE('設定'!$B$6,$M13)))</f>
        <v/>
      </c>
      <c r="AE13" s="70">
        <f>IF(NOT(ISNUMBER($O13)),"",IF($P13="月額",$O13*12,IF($P13="年額",$O13,"")))</f>
        <v/>
      </c>
      <c r="AF13" s="30">
        <f>MID(IF(AND(ISNUMBER($G13),ISNUMBER($H13)),IF(N($H13)&lt;N($G13)," / 満了日が開始日より前",""),"")&amp;IF(AND($I13="あり",NOT(ISNUMBER($H13)))," / 自動更新ありなのに満了日が空","")&amp;IF(AND($I13="あり",ISNUMBER($H13),NOT(ISNUMBER($J13)))," / 更新期間が空（更新を計算できない）","")&amp;IF($AH13="","",IF(AND(DAY($AH13)&gt;=29,OR(MOD($J13,12)&lt;&gt;0,MONTH($AH13)=2))," / 更新の初日が29〜31日（更新を重ねると満了日が1日ずれることがある。満了日を今の期間の満了日に書き換えると直る）",""))&amp;IF(AND(ISNUMBER($K13),$L13="")," / 通知の単位が空（か月前で計算）","")&amp;IF(AND(ISNUMBER($M13),$N13="")," / 解約予告の単位が空（か月前で計算）","")&amp;IF(AND(ISNUMBER($O13),$P13="")," / 金額の区分が空","")&amp;IF(AND($T13&lt;&gt;"",NOT(ISNUMBER($U13)))," / 対応を決めた日が空","")&amp;IF(AND(ISNUMBER($U13),$T13="")," / 今期の対応が空","")&amp;IF(AND($T13="更新しない",NOT(ISNUMBER($V13)))," / 更新しないなら、解約・終了した日（契約が終わる日）を入れる",""),4,300)</f>
        <v/>
      </c>
      <c r="AG13" s="53" t="n"/>
      <c r="AH13" s="71">
        <f>IF(AND(ISNUMBER($H13),$I13="あり",ISNUMBER($J13)),IF($J13&gt;=1,$H13+1,""),"")</f>
        <v/>
      </c>
      <c r="AI13" s="32">
        <f>IF($AH13="","",(YEAR('設定'!$B$6)-YEAR($AH13))*12+MONTH('設定'!$B$6)-MONTH($AH13))</f>
        <v/>
      </c>
      <c r="AJ13" s="32">
        <f>IF($AH13="","",MAX(1,ROUNDUP($AI13/$J13,0)))</f>
        <v/>
      </c>
      <c r="AK13" s="71">
        <f>IF($AJ13="","",IF(DAY(EDATE($AH13,$AJ13*$J13))&lt;DAY($AH13),EDATE($AH13,$AJ13*$J13),EDATE($AH13,$AJ13*$J13)-1))</f>
        <v/>
      </c>
      <c r="AL13" s="71">
        <f>IF($AJ13="","",IF(DAY(EDATE($AH13,($AJ13+1)*$J13))&lt;DAY($AH13),EDATE($AH13,($AJ13+1)*$J13),EDATE($AH13,($AJ13+1)*$J13)-1))</f>
        <v/>
      </c>
      <c r="AM13" s="71">
        <f>IF($AJ13="","",IF($AJ13=1,$H13,IF(DAY(EDATE($AH13,($AJ13-1)*$J13))&lt;DAY($AH13),EDATE($AH13,($AJ13-1)*$J13),EDATE($AH13,($AJ13-1)*$J13)-1)))</f>
        <v/>
      </c>
      <c r="AN13" s="32">
        <f>IF(NOT(ISNUMBER($H13)),"",IF(OR($AH13="",$H13&gt;='設定'!$B$6),0,IF($AK13&gt;='設定'!$B$6,$AJ13,$AJ13+1)))</f>
        <v/>
      </c>
      <c r="AO13" s="71">
        <f>IF($AN13="","",IF($AN13=0,"",IF($AN13=$AJ13,$AM13,$AK13)))</f>
        <v/>
      </c>
      <c r="AP13" s="32">
        <f>IF(OR($AC13="要対応",$AC13="通知期限切れ",$AC13="確認済み",$AC13="有効",$AC13="終了予定"),1,0)</f>
        <v/>
      </c>
      <c r="AQ13" s="32">
        <f>IF(OR($AC13="要対応",$AC13="通知期限切れ"),1,0)</f>
        <v/>
      </c>
      <c r="AR13" s="72">
        <f>IF(AND(ISNUMBER($AB13),OR($AC13="要対応",$AC13="通知期限切れ",$AC13="確認済み",$AC13="有効")),$AB13+ROW()/100000,"")</f>
        <v/>
      </c>
      <c r="AS13" s="32">
        <f>IF($E13="","",IF(COUNTIF($E$5:$E13,$E13)=1,ROW(),""))</f>
        <v/>
      </c>
      <c r="AT13" s="32">
        <f>IF($S13="","",IF(COUNTIF($S$5:$S13,$S13)=1,ROW(),""))</f>
        <v/>
      </c>
    </row>
    <row r="14" ht="29" customHeight="1">
      <c r="A14" s="20" t="n">
        <v>10</v>
      </c>
      <c r="B14" s="21" t="inlineStr">
        <is>
          <t>K-010</t>
        </is>
      </c>
      <c r="C14" s="22" t="inlineStr">
        <is>
          <t>ホームページ保守 業務委託契約書</t>
        </is>
      </c>
      <c r="D14" s="22" t="inlineStr">
        <is>
          <t>業務委託</t>
        </is>
      </c>
      <c r="E14" s="22" t="inlineStr">
        <is>
          <t>株式会社例示デザイン</t>
        </is>
      </c>
      <c r="F14" s="66" t="n">
        <v>46003</v>
      </c>
      <c r="G14" s="66" t="n">
        <v>46023</v>
      </c>
      <c r="H14" s="66" t="n">
        <v>46387</v>
      </c>
      <c r="I14" s="21" t="inlineStr">
        <is>
          <t>あり</t>
        </is>
      </c>
      <c r="J14" s="24" t="n">
        <v>12</v>
      </c>
      <c r="K14" s="24" t="n">
        <v>1</v>
      </c>
      <c r="L14" s="21" t="inlineStr">
        <is>
          <t>か月前</t>
        </is>
      </c>
      <c r="M14" s="24" t="n">
        <v>1</v>
      </c>
      <c r="N14" s="21" t="inlineStr">
        <is>
          <t>か月前</t>
        </is>
      </c>
      <c r="O14" s="67" t="n">
        <v>16500</v>
      </c>
      <c r="P14" s="21" t="inlineStr">
        <is>
          <t>月額</t>
        </is>
      </c>
      <c r="Q14" s="21" t="inlineStr">
        <is>
          <t>電子</t>
        </is>
      </c>
      <c r="R14" s="22" t="inlineStr">
        <is>
          <t>電子契約サービス</t>
        </is>
      </c>
      <c r="S14" s="22" t="inlineStr">
        <is>
          <t>サンプル 花子</t>
        </is>
      </c>
      <c r="T14" s="21" t="n"/>
      <c r="U14" s="66" t="n"/>
      <c r="V14" s="66" t="n"/>
      <c r="W14" s="66" t="n"/>
      <c r="X14" s="8" t="inlineStr">
        <is>
          <t>更新の作業量に合わせて月額を見直したい</t>
        </is>
      </c>
      <c r="Y14" s="68">
        <f>IF($AN14="","",IF($AN14=0,$H14,IF($AN14=$AJ14,$AK14,$AL14)))</f>
        <v/>
      </c>
      <c r="Z14" s="68">
        <f>IF(OR($Y14="",NOT(ISNUMBER($K14))),"",IF($L14="日前",$Y14-$K14,EDATE($Y14,-$K14)))</f>
        <v/>
      </c>
      <c r="AA14" s="68">
        <f>IF(OR($Y14="",ISNUMBER($V14),N($Y14)&lt;'設定'!$B$6),"",IF($Z14&lt;&gt;"",$Z14,$Y14))</f>
        <v/>
      </c>
      <c r="AB14" s="69">
        <f>IF($AA14="","",$AA14-'設定'!$B$6)</f>
        <v/>
      </c>
      <c r="AC14" s="28">
        <f>IF(NOT(OR($B14&lt;&gt;"",$C14&lt;&gt;"")),"",IF(ISNUMBER($V14),IF($V14&lt;'設定'!$B$6,"終了","終了予定"),IF($Y14="","有効",IF($Y14&lt;'設定'!$B$6,"満了",IF(AND($T14="更新する",ISNUMBER($U14),N($U14)&lt;='設定'!$B$6,OR($AO14="",N($U14)&gt;N($AO14))),"確認済み",IF($AB14&lt;0,"通知期限切れ",IF($AB14&lt;=N('設定'!$B$7),"要対応","有効")))))))</f>
        <v/>
      </c>
      <c r="AD14" s="68">
        <f>IF(OR(NOT(ISNUMBER($M14)),$AC14="",$AC14="終了",$AC14="終了予定",$AC14="満了"),"",IF($N14="日前",'設定'!$B$6+$M14,EDATE('設定'!$B$6,$M14)))</f>
        <v/>
      </c>
      <c r="AE14" s="70">
        <f>IF(NOT(ISNUMBER($O14)),"",IF($P14="月額",$O14*12,IF($P14="年額",$O14,"")))</f>
        <v/>
      </c>
      <c r="AF14" s="30">
        <f>MID(IF(AND(ISNUMBER($G14),ISNUMBER($H14)),IF(N($H14)&lt;N($G14)," / 満了日が開始日より前",""),"")&amp;IF(AND($I14="あり",NOT(ISNUMBER($H14)))," / 自動更新ありなのに満了日が空","")&amp;IF(AND($I14="あり",ISNUMBER($H14),NOT(ISNUMBER($J14)))," / 更新期間が空（更新を計算できない）","")&amp;IF($AH14="","",IF(AND(DAY($AH14)&gt;=29,OR(MOD($J14,12)&lt;&gt;0,MONTH($AH14)=2))," / 更新の初日が29〜31日（更新を重ねると満了日が1日ずれることがある。満了日を今の期間の満了日に書き換えると直る）",""))&amp;IF(AND(ISNUMBER($K14),$L14="")," / 通知の単位が空（か月前で計算）","")&amp;IF(AND(ISNUMBER($M14),$N14="")," / 解約予告の単位が空（か月前で計算）","")&amp;IF(AND(ISNUMBER($O14),$P14="")," / 金額の区分が空","")&amp;IF(AND($T14&lt;&gt;"",NOT(ISNUMBER($U14)))," / 対応を決めた日が空","")&amp;IF(AND(ISNUMBER($U14),$T14="")," / 今期の対応が空","")&amp;IF(AND($T14="更新しない",NOT(ISNUMBER($V14)))," / 更新しないなら、解約・終了した日（契約が終わる日）を入れる",""),4,300)</f>
        <v/>
      </c>
      <c r="AG14" s="53" t="n"/>
      <c r="AH14" s="71">
        <f>IF(AND(ISNUMBER($H14),$I14="あり",ISNUMBER($J14)),IF($J14&gt;=1,$H14+1,""),"")</f>
        <v/>
      </c>
      <c r="AI14" s="32">
        <f>IF($AH14="","",(YEAR('設定'!$B$6)-YEAR($AH14))*12+MONTH('設定'!$B$6)-MONTH($AH14))</f>
        <v/>
      </c>
      <c r="AJ14" s="32">
        <f>IF($AH14="","",MAX(1,ROUNDUP($AI14/$J14,0)))</f>
        <v/>
      </c>
      <c r="AK14" s="71">
        <f>IF($AJ14="","",IF(DAY(EDATE($AH14,$AJ14*$J14))&lt;DAY($AH14),EDATE($AH14,$AJ14*$J14),EDATE($AH14,$AJ14*$J14)-1))</f>
        <v/>
      </c>
      <c r="AL14" s="71">
        <f>IF($AJ14="","",IF(DAY(EDATE($AH14,($AJ14+1)*$J14))&lt;DAY($AH14),EDATE($AH14,($AJ14+1)*$J14),EDATE($AH14,($AJ14+1)*$J14)-1))</f>
        <v/>
      </c>
      <c r="AM14" s="71">
        <f>IF($AJ14="","",IF($AJ14=1,$H14,IF(DAY(EDATE($AH14,($AJ14-1)*$J14))&lt;DAY($AH14),EDATE($AH14,($AJ14-1)*$J14),EDATE($AH14,($AJ14-1)*$J14)-1)))</f>
        <v/>
      </c>
      <c r="AN14" s="32">
        <f>IF(NOT(ISNUMBER($H14)),"",IF(OR($AH14="",$H14&gt;='設定'!$B$6),0,IF($AK14&gt;='設定'!$B$6,$AJ14,$AJ14+1)))</f>
        <v/>
      </c>
      <c r="AO14" s="71">
        <f>IF($AN14="","",IF($AN14=0,"",IF($AN14=$AJ14,$AM14,$AK14)))</f>
        <v/>
      </c>
      <c r="AP14" s="32">
        <f>IF(OR($AC14="要対応",$AC14="通知期限切れ",$AC14="確認済み",$AC14="有効",$AC14="終了予定"),1,0)</f>
        <v/>
      </c>
      <c r="AQ14" s="32">
        <f>IF(OR($AC14="要対応",$AC14="通知期限切れ"),1,0)</f>
        <v/>
      </c>
      <c r="AR14" s="72">
        <f>IF(AND(ISNUMBER($AB14),OR($AC14="要対応",$AC14="通知期限切れ",$AC14="確認済み",$AC14="有効")),$AB14+ROW()/100000,"")</f>
        <v/>
      </c>
      <c r="AS14" s="32">
        <f>IF($E14="","",IF(COUNTIF($E$5:$E14,$E14)=1,ROW(),""))</f>
        <v/>
      </c>
      <c r="AT14" s="32">
        <f>IF($S14="","",IF(COUNTIF($S$5:$S14,$S14)=1,ROW(),""))</f>
        <v/>
      </c>
    </row>
    <row r="15" ht="20" customHeight="1">
      <c r="A15" s="20" t="n">
        <v>11</v>
      </c>
      <c r="B15" s="21" t="inlineStr">
        <is>
          <t>K-011</t>
        </is>
      </c>
      <c r="C15" s="22" t="inlineStr">
        <is>
          <t>工場清掃 業務委託契約書</t>
        </is>
      </c>
      <c r="D15" s="22" t="inlineStr">
        <is>
          <t>業務委託</t>
        </is>
      </c>
      <c r="E15" s="22" t="inlineStr">
        <is>
          <t>見本ビルメンテナンス株式会社</t>
        </is>
      </c>
      <c r="F15" s="66" t="n">
        <v>45372</v>
      </c>
      <c r="G15" s="66" t="n">
        <v>45383</v>
      </c>
      <c r="H15" s="66" t="n">
        <v>45747</v>
      </c>
      <c r="I15" s="21" t="inlineStr">
        <is>
          <t>あり</t>
        </is>
      </c>
      <c r="J15" s="24" t="n">
        <v>12</v>
      </c>
      <c r="K15" s="24" t="n">
        <v>3</v>
      </c>
      <c r="L15" s="21" t="inlineStr">
        <is>
          <t>か月前</t>
        </is>
      </c>
      <c r="M15" s="24" t="n">
        <v>3</v>
      </c>
      <c r="N15" s="21" t="inlineStr">
        <is>
          <t>か月前</t>
        </is>
      </c>
      <c r="O15" s="67" t="n">
        <v>27500</v>
      </c>
      <c r="P15" s="21" t="inlineStr">
        <is>
          <t>月額</t>
        </is>
      </c>
      <c r="Q15" s="21" t="inlineStr">
        <is>
          <t>紙</t>
        </is>
      </c>
      <c r="R15" s="22" t="inlineStr">
        <is>
          <t>キャビネットB（工場事務所）</t>
        </is>
      </c>
      <c r="S15" s="22" t="inlineStr">
        <is>
          <t>サンプル 次郎</t>
        </is>
      </c>
      <c r="T15" s="21" t="n"/>
      <c r="U15" s="66" t="n"/>
      <c r="V15" s="66" t="n"/>
      <c r="W15" s="66" t="n"/>
      <c r="X15" s="8" t="inlineStr">
        <is>
          <t>月2回の定期清掃</t>
        </is>
      </c>
      <c r="Y15" s="68">
        <f>IF($AN15="","",IF($AN15=0,$H15,IF($AN15=$AJ15,$AK15,$AL15)))</f>
        <v/>
      </c>
      <c r="Z15" s="68">
        <f>IF(OR($Y15="",NOT(ISNUMBER($K15))),"",IF($L15="日前",$Y15-$K15,EDATE($Y15,-$K15)))</f>
        <v/>
      </c>
      <c r="AA15" s="68">
        <f>IF(OR($Y15="",ISNUMBER($V15),N($Y15)&lt;'設定'!$B$6),"",IF($Z15&lt;&gt;"",$Z15,$Y15))</f>
        <v/>
      </c>
      <c r="AB15" s="69">
        <f>IF($AA15="","",$AA15-'設定'!$B$6)</f>
        <v/>
      </c>
      <c r="AC15" s="28">
        <f>IF(NOT(OR($B15&lt;&gt;"",$C15&lt;&gt;"")),"",IF(ISNUMBER($V15),IF($V15&lt;'設定'!$B$6,"終了","終了予定"),IF($Y15="","有効",IF($Y15&lt;'設定'!$B$6,"満了",IF(AND($T15="更新する",ISNUMBER($U15),N($U15)&lt;='設定'!$B$6,OR($AO15="",N($U15)&gt;N($AO15))),"確認済み",IF($AB15&lt;0,"通知期限切れ",IF($AB15&lt;=N('設定'!$B$7),"要対応","有効")))))))</f>
        <v/>
      </c>
      <c r="AD15" s="68">
        <f>IF(OR(NOT(ISNUMBER($M15)),$AC15="",$AC15="終了",$AC15="終了予定",$AC15="満了"),"",IF($N15="日前",'設定'!$B$6+$M15,EDATE('設定'!$B$6,$M15)))</f>
        <v/>
      </c>
      <c r="AE15" s="70">
        <f>IF(NOT(ISNUMBER($O15)),"",IF($P15="月額",$O15*12,IF($P15="年額",$O15,"")))</f>
        <v/>
      </c>
      <c r="AF15" s="30">
        <f>MID(IF(AND(ISNUMBER($G15),ISNUMBER($H15)),IF(N($H15)&lt;N($G15)," / 満了日が開始日より前",""),"")&amp;IF(AND($I15="あり",NOT(ISNUMBER($H15)))," / 自動更新ありなのに満了日が空","")&amp;IF(AND($I15="あり",ISNUMBER($H15),NOT(ISNUMBER($J15)))," / 更新期間が空（更新を計算できない）","")&amp;IF($AH15="","",IF(AND(DAY($AH15)&gt;=29,OR(MOD($J15,12)&lt;&gt;0,MONTH($AH15)=2))," / 更新の初日が29〜31日（更新を重ねると満了日が1日ずれることがある。満了日を今の期間の満了日に書き換えると直る）",""))&amp;IF(AND(ISNUMBER($K15),$L15="")," / 通知の単位が空（か月前で計算）","")&amp;IF(AND(ISNUMBER($M15),$N15="")," / 解約予告の単位が空（か月前で計算）","")&amp;IF(AND(ISNUMBER($O15),$P15="")," / 金額の区分が空","")&amp;IF(AND($T15&lt;&gt;"",NOT(ISNUMBER($U15)))," / 対応を決めた日が空","")&amp;IF(AND(ISNUMBER($U15),$T15="")," / 今期の対応が空","")&amp;IF(AND($T15="更新しない",NOT(ISNUMBER($V15)))," / 更新しないなら、解約・終了した日（契約が終わる日）を入れる",""),4,300)</f>
        <v/>
      </c>
      <c r="AG15" s="53" t="n"/>
      <c r="AH15" s="71">
        <f>IF(AND(ISNUMBER($H15),$I15="あり",ISNUMBER($J15)),IF($J15&gt;=1,$H15+1,""),"")</f>
        <v/>
      </c>
      <c r="AI15" s="32">
        <f>IF($AH15="","",(YEAR('設定'!$B$6)-YEAR($AH15))*12+MONTH('設定'!$B$6)-MONTH($AH15))</f>
        <v/>
      </c>
      <c r="AJ15" s="32">
        <f>IF($AH15="","",MAX(1,ROUNDUP($AI15/$J15,0)))</f>
        <v/>
      </c>
      <c r="AK15" s="71">
        <f>IF($AJ15="","",IF(DAY(EDATE($AH15,$AJ15*$J15))&lt;DAY($AH15),EDATE($AH15,$AJ15*$J15),EDATE($AH15,$AJ15*$J15)-1))</f>
        <v/>
      </c>
      <c r="AL15" s="71">
        <f>IF($AJ15="","",IF(DAY(EDATE($AH15,($AJ15+1)*$J15))&lt;DAY($AH15),EDATE($AH15,($AJ15+1)*$J15),EDATE($AH15,($AJ15+1)*$J15)-1))</f>
        <v/>
      </c>
      <c r="AM15" s="71">
        <f>IF($AJ15="","",IF($AJ15=1,$H15,IF(DAY(EDATE($AH15,($AJ15-1)*$J15))&lt;DAY($AH15),EDATE($AH15,($AJ15-1)*$J15),EDATE($AH15,($AJ15-1)*$J15)-1)))</f>
        <v/>
      </c>
      <c r="AN15" s="32">
        <f>IF(NOT(ISNUMBER($H15)),"",IF(OR($AH15="",$H15&gt;='設定'!$B$6),0,IF($AK15&gt;='設定'!$B$6,$AJ15,$AJ15+1)))</f>
        <v/>
      </c>
      <c r="AO15" s="71">
        <f>IF($AN15="","",IF($AN15=0,"",IF($AN15=$AJ15,$AM15,$AK15)))</f>
        <v/>
      </c>
      <c r="AP15" s="32">
        <f>IF(OR($AC15="要対応",$AC15="通知期限切れ",$AC15="確認済み",$AC15="有効",$AC15="終了予定"),1,0)</f>
        <v/>
      </c>
      <c r="AQ15" s="32">
        <f>IF(OR($AC15="要対応",$AC15="通知期限切れ"),1,0)</f>
        <v/>
      </c>
      <c r="AR15" s="72">
        <f>IF(AND(ISNUMBER($AB15),OR($AC15="要対応",$AC15="通知期限切れ",$AC15="確認済み",$AC15="有効")),$AB15+ROW()/100000,"")</f>
        <v/>
      </c>
      <c r="AS15" s="32">
        <f>IF($E15="","",IF(COUNTIF($E$5:$E15,$E15)=1,ROW(),""))</f>
        <v/>
      </c>
      <c r="AT15" s="32">
        <f>IF($S15="","",IF(COUNTIF($S$5:$S15,$S15)=1,ROW(),""))</f>
        <v/>
      </c>
    </row>
    <row r="16" ht="29" customHeight="1">
      <c r="A16" s="20" t="n">
        <v>12</v>
      </c>
      <c r="B16" s="21" t="inlineStr">
        <is>
          <t>K-012</t>
        </is>
      </c>
      <c r="C16" s="22" t="inlineStr">
        <is>
          <t>機械警備契約書</t>
        </is>
      </c>
      <c r="D16" s="22" t="inlineStr">
        <is>
          <t>業務委託</t>
        </is>
      </c>
      <c r="E16" s="22" t="inlineStr">
        <is>
          <t>見本警備保障株式会社</t>
        </is>
      </c>
      <c r="F16" s="66" t="n">
        <v>45089</v>
      </c>
      <c r="G16" s="66" t="n">
        <v>45108</v>
      </c>
      <c r="H16" s="66" t="n">
        <v>45473</v>
      </c>
      <c r="I16" s="21" t="inlineStr">
        <is>
          <t>あり</t>
        </is>
      </c>
      <c r="J16" s="24" t="n">
        <v>12</v>
      </c>
      <c r="K16" s="24" t="n">
        <v>3</v>
      </c>
      <c r="L16" s="21" t="inlineStr">
        <is>
          <t>か月前</t>
        </is>
      </c>
      <c r="M16" s="24" t="n">
        <v>3</v>
      </c>
      <c r="N16" s="21" t="inlineStr">
        <is>
          <t>か月前</t>
        </is>
      </c>
      <c r="O16" s="67" t="n">
        <v>19800</v>
      </c>
      <c r="P16" s="21" t="inlineStr">
        <is>
          <t>月額</t>
        </is>
      </c>
      <c r="Q16" s="21" t="inlineStr">
        <is>
          <t>紙</t>
        </is>
      </c>
      <c r="R16" s="22" t="inlineStr">
        <is>
          <t>キャビネットA（総務）</t>
        </is>
      </c>
      <c r="S16" s="22" t="inlineStr">
        <is>
          <t>見本 太郎</t>
        </is>
      </c>
      <c r="T16" s="21" t="n"/>
      <c r="U16" s="66" t="n"/>
      <c r="V16" s="66" t="n"/>
      <c r="W16" s="66" t="n"/>
      <c r="X16" s="8" t="inlineStr">
        <is>
          <t>警報機器は先方の貸与品（解約時に返却）</t>
        </is>
      </c>
      <c r="Y16" s="68">
        <f>IF($AN16="","",IF($AN16=0,$H16,IF($AN16=$AJ16,$AK16,$AL16)))</f>
        <v/>
      </c>
      <c r="Z16" s="68">
        <f>IF(OR($Y16="",NOT(ISNUMBER($K16))),"",IF($L16="日前",$Y16-$K16,EDATE($Y16,-$K16)))</f>
        <v/>
      </c>
      <c r="AA16" s="68">
        <f>IF(OR($Y16="",ISNUMBER($V16),N($Y16)&lt;'設定'!$B$6),"",IF($Z16&lt;&gt;"",$Z16,$Y16))</f>
        <v/>
      </c>
      <c r="AB16" s="69">
        <f>IF($AA16="","",$AA16-'設定'!$B$6)</f>
        <v/>
      </c>
      <c r="AC16" s="28">
        <f>IF(NOT(OR($B16&lt;&gt;"",$C16&lt;&gt;"")),"",IF(ISNUMBER($V16),IF($V16&lt;'設定'!$B$6,"終了","終了予定"),IF($Y16="","有効",IF($Y16&lt;'設定'!$B$6,"満了",IF(AND($T16="更新する",ISNUMBER($U16),N($U16)&lt;='設定'!$B$6,OR($AO16="",N($U16)&gt;N($AO16))),"確認済み",IF($AB16&lt;0,"通知期限切れ",IF($AB16&lt;=N('設定'!$B$7),"要対応","有効")))))))</f>
        <v/>
      </c>
      <c r="AD16" s="68">
        <f>IF(OR(NOT(ISNUMBER($M16)),$AC16="",$AC16="終了",$AC16="終了予定",$AC16="満了"),"",IF($N16="日前",'設定'!$B$6+$M16,EDATE('設定'!$B$6,$M16)))</f>
        <v/>
      </c>
      <c r="AE16" s="70">
        <f>IF(NOT(ISNUMBER($O16)),"",IF($P16="月額",$O16*12,IF($P16="年額",$O16,"")))</f>
        <v/>
      </c>
      <c r="AF16" s="30">
        <f>MID(IF(AND(ISNUMBER($G16),ISNUMBER($H16)),IF(N($H16)&lt;N($G16)," / 満了日が開始日より前",""),"")&amp;IF(AND($I16="あり",NOT(ISNUMBER($H16)))," / 自動更新ありなのに満了日が空","")&amp;IF(AND($I16="あり",ISNUMBER($H16),NOT(ISNUMBER($J16)))," / 更新期間が空（更新を計算できない）","")&amp;IF($AH16="","",IF(AND(DAY($AH16)&gt;=29,OR(MOD($J16,12)&lt;&gt;0,MONTH($AH16)=2))," / 更新の初日が29〜31日（更新を重ねると満了日が1日ずれることがある。満了日を今の期間の満了日に書き換えると直る）",""))&amp;IF(AND(ISNUMBER($K16),$L16="")," / 通知の単位が空（か月前で計算）","")&amp;IF(AND(ISNUMBER($M16),$N16="")," / 解約予告の単位が空（か月前で計算）","")&amp;IF(AND(ISNUMBER($O16),$P16="")," / 金額の区分が空","")&amp;IF(AND($T16&lt;&gt;"",NOT(ISNUMBER($U16)))," / 対応を決めた日が空","")&amp;IF(AND(ISNUMBER($U16),$T16="")," / 今期の対応が空","")&amp;IF(AND($T16="更新しない",NOT(ISNUMBER($V16)))," / 更新しないなら、解約・終了した日（契約が終わる日）を入れる",""),4,300)</f>
        <v/>
      </c>
      <c r="AG16" s="53" t="n"/>
      <c r="AH16" s="71">
        <f>IF(AND(ISNUMBER($H16),$I16="あり",ISNUMBER($J16)),IF($J16&gt;=1,$H16+1,""),"")</f>
        <v/>
      </c>
      <c r="AI16" s="32">
        <f>IF($AH16="","",(YEAR('設定'!$B$6)-YEAR($AH16))*12+MONTH('設定'!$B$6)-MONTH($AH16))</f>
        <v/>
      </c>
      <c r="AJ16" s="32">
        <f>IF($AH16="","",MAX(1,ROUNDUP($AI16/$J16,0)))</f>
        <v/>
      </c>
      <c r="AK16" s="71">
        <f>IF($AJ16="","",IF(DAY(EDATE($AH16,$AJ16*$J16))&lt;DAY($AH16),EDATE($AH16,$AJ16*$J16),EDATE($AH16,$AJ16*$J16)-1))</f>
        <v/>
      </c>
      <c r="AL16" s="71">
        <f>IF($AJ16="","",IF(DAY(EDATE($AH16,($AJ16+1)*$J16))&lt;DAY($AH16),EDATE($AH16,($AJ16+1)*$J16),EDATE($AH16,($AJ16+1)*$J16)-1))</f>
        <v/>
      </c>
      <c r="AM16" s="71">
        <f>IF($AJ16="","",IF($AJ16=1,$H16,IF(DAY(EDATE($AH16,($AJ16-1)*$J16))&lt;DAY($AH16),EDATE($AH16,($AJ16-1)*$J16),EDATE($AH16,($AJ16-1)*$J16)-1)))</f>
        <v/>
      </c>
      <c r="AN16" s="32">
        <f>IF(NOT(ISNUMBER($H16)),"",IF(OR($AH16="",$H16&gt;='設定'!$B$6),0,IF($AK16&gt;='設定'!$B$6,$AJ16,$AJ16+1)))</f>
        <v/>
      </c>
      <c r="AO16" s="71">
        <f>IF($AN16="","",IF($AN16=0,"",IF($AN16=$AJ16,$AM16,$AK16)))</f>
        <v/>
      </c>
      <c r="AP16" s="32">
        <f>IF(OR($AC16="要対応",$AC16="通知期限切れ",$AC16="確認済み",$AC16="有効",$AC16="終了予定"),1,0)</f>
        <v/>
      </c>
      <c r="AQ16" s="32">
        <f>IF(OR($AC16="要対応",$AC16="通知期限切れ"),1,0)</f>
        <v/>
      </c>
      <c r="AR16" s="72">
        <f>IF(AND(ISNUMBER($AB16),OR($AC16="要対応",$AC16="通知期限切れ",$AC16="確認済み",$AC16="有効")),$AB16+ROW()/100000,"")</f>
        <v/>
      </c>
      <c r="AS16" s="32">
        <f>IF($E16="","",IF(COUNTIF($E$5:$E16,$E16)=1,ROW(),""))</f>
        <v/>
      </c>
      <c r="AT16" s="32">
        <f>IF($S16="","",IF(COUNTIF($S$5:$S16,$S16)=1,ROW(),""))</f>
        <v/>
      </c>
    </row>
    <row r="17" ht="29" customHeight="1">
      <c r="A17" s="20" t="n">
        <v>13</v>
      </c>
      <c r="B17" s="21" t="inlineStr">
        <is>
          <t>K-013</t>
        </is>
      </c>
      <c r="C17" s="22" t="inlineStr">
        <is>
          <t>月極駐車場 賃貸借契約書（2台目）</t>
        </is>
      </c>
      <c r="D17" s="22" t="inlineStr">
        <is>
          <t>賃貸借</t>
        </is>
      </c>
      <c r="E17" s="22" t="inlineStr">
        <is>
          <t>サンプル駐車場管理株式会社</t>
        </is>
      </c>
      <c r="F17" s="66" t="n">
        <v>45681</v>
      </c>
      <c r="G17" s="66" t="n">
        <v>45689</v>
      </c>
      <c r="H17" s="66" t="n">
        <v>46053</v>
      </c>
      <c r="I17" s="21" t="inlineStr">
        <is>
          <t>あり</t>
        </is>
      </c>
      <c r="J17" s="24" t="n">
        <v>12</v>
      </c>
      <c r="K17" s="24" t="n">
        <v>1</v>
      </c>
      <c r="L17" s="21" t="inlineStr">
        <is>
          <t>か月前</t>
        </is>
      </c>
      <c r="M17" s="24" t="n">
        <v>1</v>
      </c>
      <c r="N17" s="21" t="inlineStr">
        <is>
          <t>か月前</t>
        </is>
      </c>
      <c r="O17" s="67" t="n">
        <v>15000</v>
      </c>
      <c r="P17" s="21" t="inlineStr">
        <is>
          <t>月額</t>
        </is>
      </c>
      <c r="Q17" s="21" t="inlineStr">
        <is>
          <t>紙</t>
        </is>
      </c>
      <c r="R17" s="22" t="inlineStr">
        <is>
          <t>キャビネットA（総務）</t>
        </is>
      </c>
      <c r="S17" s="22" t="inlineStr">
        <is>
          <t>サンプル 花子</t>
        </is>
      </c>
      <c r="T17" s="21" t="inlineStr">
        <is>
          <t>更新しない</t>
        </is>
      </c>
      <c r="U17" s="66" t="n">
        <v>46280</v>
      </c>
      <c r="V17" s="66" t="n">
        <v>46326</v>
      </c>
      <c r="W17" s="66" t="n"/>
      <c r="X17" s="8" t="inlineStr">
        <is>
          <t>社用車を1台減らすため、2026年9月15日に書面で解約を申し入れた</t>
        </is>
      </c>
      <c r="Y17" s="68">
        <f>IF($AN17="","",IF($AN17=0,$H17,IF($AN17=$AJ17,$AK17,$AL17)))</f>
        <v/>
      </c>
      <c r="Z17" s="68">
        <f>IF(OR($Y17="",NOT(ISNUMBER($K17))),"",IF($L17="日前",$Y17-$K17,EDATE($Y17,-$K17)))</f>
        <v/>
      </c>
      <c r="AA17" s="68">
        <f>IF(OR($Y17="",ISNUMBER($V17),N($Y17)&lt;'設定'!$B$6),"",IF($Z17&lt;&gt;"",$Z17,$Y17))</f>
        <v/>
      </c>
      <c r="AB17" s="69">
        <f>IF($AA17="","",$AA17-'設定'!$B$6)</f>
        <v/>
      </c>
      <c r="AC17" s="28">
        <f>IF(NOT(OR($B17&lt;&gt;"",$C17&lt;&gt;"")),"",IF(ISNUMBER($V17),IF($V17&lt;'設定'!$B$6,"終了","終了予定"),IF($Y17="","有効",IF($Y17&lt;'設定'!$B$6,"満了",IF(AND($T17="更新する",ISNUMBER($U17),N($U17)&lt;='設定'!$B$6,OR($AO17="",N($U17)&gt;N($AO17))),"確認済み",IF($AB17&lt;0,"通知期限切れ",IF($AB17&lt;=N('設定'!$B$7),"要対応","有効")))))))</f>
        <v/>
      </c>
      <c r="AD17" s="68">
        <f>IF(OR(NOT(ISNUMBER($M17)),$AC17="",$AC17="終了",$AC17="終了予定",$AC17="満了"),"",IF($N17="日前",'設定'!$B$6+$M17,EDATE('設定'!$B$6,$M17)))</f>
        <v/>
      </c>
      <c r="AE17" s="70">
        <f>IF(NOT(ISNUMBER($O17)),"",IF($P17="月額",$O17*12,IF($P17="年額",$O17,"")))</f>
        <v/>
      </c>
      <c r="AF17" s="30">
        <f>MID(IF(AND(ISNUMBER($G17),ISNUMBER($H17)),IF(N($H17)&lt;N($G17)," / 満了日が開始日より前",""),"")&amp;IF(AND($I17="あり",NOT(ISNUMBER($H17)))," / 自動更新ありなのに満了日が空","")&amp;IF(AND($I17="あり",ISNUMBER($H17),NOT(ISNUMBER($J17)))," / 更新期間が空（更新を計算できない）","")&amp;IF($AH17="","",IF(AND(DAY($AH17)&gt;=29,OR(MOD($J17,12)&lt;&gt;0,MONTH($AH17)=2))," / 更新の初日が29〜31日（更新を重ねると満了日が1日ずれることがある。満了日を今の期間の満了日に書き換えると直る）",""))&amp;IF(AND(ISNUMBER($K17),$L17="")," / 通知の単位が空（か月前で計算）","")&amp;IF(AND(ISNUMBER($M17),$N17="")," / 解約予告の単位が空（か月前で計算）","")&amp;IF(AND(ISNUMBER($O17),$P17="")," / 金額の区分が空","")&amp;IF(AND($T17&lt;&gt;"",NOT(ISNUMBER($U17)))," / 対応を決めた日が空","")&amp;IF(AND(ISNUMBER($U17),$T17="")," / 今期の対応が空","")&amp;IF(AND($T17="更新しない",NOT(ISNUMBER($V17)))," / 更新しないなら、解約・終了した日（契約が終わる日）を入れる",""),4,300)</f>
        <v/>
      </c>
      <c r="AG17" s="53" t="n"/>
      <c r="AH17" s="71">
        <f>IF(AND(ISNUMBER($H17),$I17="あり",ISNUMBER($J17)),IF($J17&gt;=1,$H17+1,""),"")</f>
        <v/>
      </c>
      <c r="AI17" s="32">
        <f>IF($AH17="","",(YEAR('設定'!$B$6)-YEAR($AH17))*12+MONTH('設定'!$B$6)-MONTH($AH17))</f>
        <v/>
      </c>
      <c r="AJ17" s="32">
        <f>IF($AH17="","",MAX(1,ROUNDUP($AI17/$J17,0)))</f>
        <v/>
      </c>
      <c r="AK17" s="71">
        <f>IF($AJ17="","",IF(DAY(EDATE($AH17,$AJ17*$J17))&lt;DAY($AH17),EDATE($AH17,$AJ17*$J17),EDATE($AH17,$AJ17*$J17)-1))</f>
        <v/>
      </c>
      <c r="AL17" s="71">
        <f>IF($AJ17="","",IF(DAY(EDATE($AH17,($AJ17+1)*$J17))&lt;DAY($AH17),EDATE($AH17,($AJ17+1)*$J17),EDATE($AH17,($AJ17+1)*$J17)-1))</f>
        <v/>
      </c>
      <c r="AM17" s="71">
        <f>IF($AJ17="","",IF($AJ17=1,$H17,IF(DAY(EDATE($AH17,($AJ17-1)*$J17))&lt;DAY($AH17),EDATE($AH17,($AJ17-1)*$J17),EDATE($AH17,($AJ17-1)*$J17)-1)))</f>
        <v/>
      </c>
      <c r="AN17" s="32">
        <f>IF(NOT(ISNUMBER($H17)),"",IF(OR($AH17="",$H17&gt;='設定'!$B$6),0,IF($AK17&gt;='設定'!$B$6,$AJ17,$AJ17+1)))</f>
        <v/>
      </c>
      <c r="AO17" s="71">
        <f>IF($AN17="","",IF($AN17=0,"",IF($AN17=$AJ17,$AM17,$AK17)))</f>
        <v/>
      </c>
      <c r="AP17" s="32">
        <f>IF(OR($AC17="要対応",$AC17="通知期限切れ",$AC17="確認済み",$AC17="有効",$AC17="終了予定"),1,0)</f>
        <v/>
      </c>
      <c r="AQ17" s="32">
        <f>IF(OR($AC17="要対応",$AC17="通知期限切れ"),1,0)</f>
        <v/>
      </c>
      <c r="AR17" s="72">
        <f>IF(AND(ISNUMBER($AB17),OR($AC17="要対応",$AC17="通知期限切れ",$AC17="確認済み",$AC17="有効")),$AB17+ROW()/100000,"")</f>
        <v/>
      </c>
      <c r="AS17" s="32">
        <f>IF($E17="","",IF(COUNTIF($E$5:$E17,$E17)=1,ROW(),""))</f>
        <v/>
      </c>
      <c r="AT17" s="32">
        <f>IF($S17="","",IF(COUNTIF($S$5:$S17,$S17)=1,ROW(),""))</f>
        <v/>
      </c>
    </row>
    <row r="18" ht="42" customHeight="1">
      <c r="A18" s="20" t="n">
        <v>14</v>
      </c>
      <c r="B18" s="21" t="inlineStr">
        <is>
          <t>K-014</t>
        </is>
      </c>
      <c r="C18" s="22" t="inlineStr">
        <is>
          <t>検査業務 委託契約書</t>
        </is>
      </c>
      <c r="D18" s="22" t="inlineStr">
        <is>
          <t>業務委託</t>
        </is>
      </c>
      <c r="E18" s="22" t="inlineStr">
        <is>
          <t>見本検査工業株式会社</t>
        </is>
      </c>
      <c r="F18" s="66" t="n">
        <v>46106</v>
      </c>
      <c r="G18" s="66" t="n">
        <v>46113</v>
      </c>
      <c r="H18" s="66" t="n">
        <v>46477</v>
      </c>
      <c r="I18" s="21" t="inlineStr">
        <is>
          <t>なし</t>
        </is>
      </c>
      <c r="J18" s="24" t="n"/>
      <c r="K18" s="24" t="n">
        <v>2</v>
      </c>
      <c r="L18" s="21" t="inlineStr">
        <is>
          <t>か月前</t>
        </is>
      </c>
      <c r="M18" s="24" t="n"/>
      <c r="N18" s="21" t="n"/>
      <c r="O18" s="67" t="n"/>
      <c r="P18" s="21" t="inlineStr">
        <is>
          <t>単価・都度</t>
        </is>
      </c>
      <c r="Q18" s="21" t="inlineStr">
        <is>
          <t>紙</t>
        </is>
      </c>
      <c r="R18" s="22" t="inlineStr">
        <is>
          <t>キャビネットB（工場事務所）</t>
        </is>
      </c>
      <c r="S18" s="22" t="inlineStr">
        <is>
          <t>サンプル 次郎</t>
        </is>
      </c>
      <c r="T18" s="21" t="n"/>
      <c r="U18" s="66" t="n"/>
      <c r="V18" s="66" t="n"/>
      <c r="W18" s="66" t="n"/>
      <c r="X18" s="8" t="inlineStr">
        <is>
          <t>自動更新なし。続けるなら満了の2か月前までに申し入れて、新しい契約書を交わす</t>
        </is>
      </c>
      <c r="Y18" s="68">
        <f>IF($AN18="","",IF($AN18=0,$H18,IF($AN18=$AJ18,$AK18,$AL18)))</f>
        <v/>
      </c>
      <c r="Z18" s="68">
        <f>IF(OR($Y18="",NOT(ISNUMBER($K18))),"",IF($L18="日前",$Y18-$K18,EDATE($Y18,-$K18)))</f>
        <v/>
      </c>
      <c r="AA18" s="68">
        <f>IF(OR($Y18="",ISNUMBER($V18),N($Y18)&lt;'設定'!$B$6),"",IF($Z18&lt;&gt;"",$Z18,$Y18))</f>
        <v/>
      </c>
      <c r="AB18" s="69">
        <f>IF($AA18="","",$AA18-'設定'!$B$6)</f>
        <v/>
      </c>
      <c r="AC18" s="28">
        <f>IF(NOT(OR($B18&lt;&gt;"",$C18&lt;&gt;"")),"",IF(ISNUMBER($V18),IF($V18&lt;'設定'!$B$6,"終了","終了予定"),IF($Y18="","有効",IF($Y18&lt;'設定'!$B$6,"満了",IF(AND($T18="更新する",ISNUMBER($U18),N($U18)&lt;='設定'!$B$6,OR($AO18="",N($U18)&gt;N($AO18))),"確認済み",IF($AB18&lt;0,"通知期限切れ",IF($AB18&lt;=N('設定'!$B$7),"要対応","有効")))))))</f>
        <v/>
      </c>
      <c r="AD18" s="68">
        <f>IF(OR(NOT(ISNUMBER($M18)),$AC18="",$AC18="終了",$AC18="終了予定",$AC18="満了"),"",IF($N18="日前",'設定'!$B$6+$M18,EDATE('設定'!$B$6,$M18)))</f>
        <v/>
      </c>
      <c r="AE18" s="70">
        <f>IF(NOT(ISNUMBER($O18)),"",IF($P18="月額",$O18*12,IF($P18="年額",$O18,"")))</f>
        <v/>
      </c>
      <c r="AF18" s="30">
        <f>MID(IF(AND(ISNUMBER($G18),ISNUMBER($H18)),IF(N($H18)&lt;N($G18)," / 満了日が開始日より前",""),"")&amp;IF(AND($I18="あり",NOT(ISNUMBER($H18)))," / 自動更新ありなのに満了日が空","")&amp;IF(AND($I18="あり",ISNUMBER($H18),NOT(ISNUMBER($J18)))," / 更新期間が空（更新を計算できない）","")&amp;IF($AH18="","",IF(AND(DAY($AH18)&gt;=29,OR(MOD($J18,12)&lt;&gt;0,MONTH($AH18)=2))," / 更新の初日が29〜31日（更新を重ねると満了日が1日ずれることがある。満了日を今の期間の満了日に書き換えると直る）",""))&amp;IF(AND(ISNUMBER($K18),$L18="")," / 通知の単位が空（か月前で計算）","")&amp;IF(AND(ISNUMBER($M18),$N18="")," / 解約予告の単位が空（か月前で計算）","")&amp;IF(AND(ISNUMBER($O18),$P18="")," / 金額の区分が空","")&amp;IF(AND($T18&lt;&gt;"",NOT(ISNUMBER($U18)))," / 対応を決めた日が空","")&amp;IF(AND(ISNUMBER($U18),$T18="")," / 今期の対応が空","")&amp;IF(AND($T18="更新しない",NOT(ISNUMBER($V18)))," / 更新しないなら、解約・終了した日（契約が終わる日）を入れる",""),4,300)</f>
        <v/>
      </c>
      <c r="AG18" s="53" t="n"/>
      <c r="AH18" s="71">
        <f>IF(AND(ISNUMBER($H18),$I18="あり",ISNUMBER($J18)),IF($J18&gt;=1,$H18+1,""),"")</f>
        <v/>
      </c>
      <c r="AI18" s="32">
        <f>IF($AH18="","",(YEAR('設定'!$B$6)-YEAR($AH18))*12+MONTH('設定'!$B$6)-MONTH($AH18))</f>
        <v/>
      </c>
      <c r="AJ18" s="32">
        <f>IF($AH18="","",MAX(1,ROUNDUP($AI18/$J18,0)))</f>
        <v/>
      </c>
      <c r="AK18" s="71">
        <f>IF($AJ18="","",IF(DAY(EDATE($AH18,$AJ18*$J18))&lt;DAY($AH18),EDATE($AH18,$AJ18*$J18),EDATE($AH18,$AJ18*$J18)-1))</f>
        <v/>
      </c>
      <c r="AL18" s="71">
        <f>IF($AJ18="","",IF(DAY(EDATE($AH18,($AJ18+1)*$J18))&lt;DAY($AH18),EDATE($AH18,($AJ18+1)*$J18),EDATE($AH18,($AJ18+1)*$J18)-1))</f>
        <v/>
      </c>
      <c r="AM18" s="71">
        <f>IF($AJ18="","",IF($AJ18=1,$H18,IF(DAY(EDATE($AH18,($AJ18-1)*$J18))&lt;DAY($AH18),EDATE($AH18,($AJ18-1)*$J18),EDATE($AH18,($AJ18-1)*$J18)-1)))</f>
        <v/>
      </c>
      <c r="AN18" s="32">
        <f>IF(NOT(ISNUMBER($H18)),"",IF(OR($AH18="",$H18&gt;='設定'!$B$6),0,IF($AK18&gt;='設定'!$B$6,$AJ18,$AJ18+1)))</f>
        <v/>
      </c>
      <c r="AO18" s="71">
        <f>IF($AN18="","",IF($AN18=0,"",IF($AN18=$AJ18,$AM18,$AK18)))</f>
        <v/>
      </c>
      <c r="AP18" s="32">
        <f>IF(OR($AC18="要対応",$AC18="通知期限切れ",$AC18="確認済み",$AC18="有効",$AC18="終了予定"),1,0)</f>
        <v/>
      </c>
      <c r="AQ18" s="32">
        <f>IF(OR($AC18="要対応",$AC18="通知期限切れ"),1,0)</f>
        <v/>
      </c>
      <c r="AR18" s="72">
        <f>IF(AND(ISNUMBER($AB18),OR($AC18="要対応",$AC18="通知期限切れ",$AC18="確認済み",$AC18="有効")),$AB18+ROW()/100000,"")</f>
        <v/>
      </c>
      <c r="AS18" s="32">
        <f>IF($E18="","",IF(COUNTIF($E$5:$E18,$E18)=1,ROW(),""))</f>
        <v/>
      </c>
      <c r="AT18" s="32">
        <f>IF($S18="","",IF(COUNTIF($S$5:$S18,$S18)=1,ROW(),""))</f>
        <v/>
      </c>
    </row>
    <row r="19" ht="20" customHeight="1">
      <c r="A19" s="20" t="n">
        <v>15</v>
      </c>
      <c r="B19" s="21" t="inlineStr">
        <is>
          <t>K-015</t>
        </is>
      </c>
      <c r="C19" s="22" t="inlineStr">
        <is>
          <t>生産管理システム ライセンス契約書</t>
        </is>
      </c>
      <c r="D19" s="22" t="inlineStr">
        <is>
          <t>ライセンス・利用</t>
        </is>
      </c>
      <c r="E19" s="22" t="inlineStr">
        <is>
          <t>例示システム株式会社</t>
        </is>
      </c>
      <c r="F19" s="66" t="n">
        <v>45310</v>
      </c>
      <c r="G19" s="66" t="n">
        <v>45323</v>
      </c>
      <c r="H19" s="66" t="n">
        <v>45688</v>
      </c>
      <c r="I19" s="21" t="inlineStr">
        <is>
          <t>あり</t>
        </is>
      </c>
      <c r="J19" s="24" t="n">
        <v>12</v>
      </c>
      <c r="K19" s="24" t="n">
        <v>3</v>
      </c>
      <c r="L19" s="21" t="inlineStr">
        <is>
          <t>か月前</t>
        </is>
      </c>
      <c r="M19" s="24" t="n"/>
      <c r="N19" s="21" t="n"/>
      <c r="O19" s="67" t="n">
        <v>396000</v>
      </c>
      <c r="P19" s="21" t="inlineStr">
        <is>
          <t>年額</t>
        </is>
      </c>
      <c r="Q19" s="21" t="inlineStr">
        <is>
          <t>電子</t>
        </is>
      </c>
      <c r="R19" s="22" t="inlineStr">
        <is>
          <t>電子契約サービス</t>
        </is>
      </c>
      <c r="S19" s="22" t="inlineStr">
        <is>
          <t>サンプル 次郎</t>
        </is>
      </c>
      <c r="T19" s="21" t="n"/>
      <c r="U19" s="66" t="n"/>
      <c r="V19" s="66" t="n"/>
      <c r="W19" s="66" t="n"/>
      <c r="X19" s="8" t="inlineStr">
        <is>
          <t>保守とサポートを含む年額</t>
        </is>
      </c>
      <c r="Y19" s="68">
        <f>IF($AN19="","",IF($AN19=0,$H19,IF($AN19=$AJ19,$AK19,$AL19)))</f>
        <v/>
      </c>
      <c r="Z19" s="68">
        <f>IF(OR($Y19="",NOT(ISNUMBER($K19))),"",IF($L19="日前",$Y19-$K19,EDATE($Y19,-$K19)))</f>
        <v/>
      </c>
      <c r="AA19" s="68">
        <f>IF(OR($Y19="",ISNUMBER($V19),N($Y19)&lt;'設定'!$B$6),"",IF($Z19&lt;&gt;"",$Z19,$Y19))</f>
        <v/>
      </c>
      <c r="AB19" s="69">
        <f>IF($AA19="","",$AA19-'設定'!$B$6)</f>
        <v/>
      </c>
      <c r="AC19" s="28">
        <f>IF(NOT(OR($B19&lt;&gt;"",$C19&lt;&gt;"")),"",IF(ISNUMBER($V19),IF($V19&lt;'設定'!$B$6,"終了","終了予定"),IF($Y19="","有効",IF($Y19&lt;'設定'!$B$6,"満了",IF(AND($T19="更新する",ISNUMBER($U19),N($U19)&lt;='設定'!$B$6,OR($AO19="",N($U19)&gt;N($AO19))),"確認済み",IF($AB19&lt;0,"通知期限切れ",IF($AB19&lt;=N('設定'!$B$7),"要対応","有効")))))))</f>
        <v/>
      </c>
      <c r="AD19" s="68">
        <f>IF(OR(NOT(ISNUMBER($M19)),$AC19="",$AC19="終了",$AC19="終了予定",$AC19="満了"),"",IF($N19="日前",'設定'!$B$6+$M19,EDATE('設定'!$B$6,$M19)))</f>
        <v/>
      </c>
      <c r="AE19" s="70">
        <f>IF(NOT(ISNUMBER($O19)),"",IF($P19="月額",$O19*12,IF($P19="年額",$O19,"")))</f>
        <v/>
      </c>
      <c r="AF19" s="30">
        <f>MID(IF(AND(ISNUMBER($G19),ISNUMBER($H19)),IF(N($H19)&lt;N($G19)," / 満了日が開始日より前",""),"")&amp;IF(AND($I19="あり",NOT(ISNUMBER($H19)))," / 自動更新ありなのに満了日が空","")&amp;IF(AND($I19="あり",ISNUMBER($H19),NOT(ISNUMBER($J19)))," / 更新期間が空（更新を計算できない）","")&amp;IF($AH19="","",IF(AND(DAY($AH19)&gt;=29,OR(MOD($J19,12)&lt;&gt;0,MONTH($AH19)=2))," / 更新の初日が29〜31日（更新を重ねると満了日が1日ずれることがある。満了日を今の期間の満了日に書き換えると直る）",""))&amp;IF(AND(ISNUMBER($K19),$L19="")," / 通知の単位が空（か月前で計算）","")&amp;IF(AND(ISNUMBER($M19),$N19="")," / 解約予告の単位が空（か月前で計算）","")&amp;IF(AND(ISNUMBER($O19),$P19="")," / 金額の区分が空","")&amp;IF(AND($T19&lt;&gt;"",NOT(ISNUMBER($U19)))," / 対応を決めた日が空","")&amp;IF(AND(ISNUMBER($U19),$T19="")," / 今期の対応が空","")&amp;IF(AND($T19="更新しない",NOT(ISNUMBER($V19)))," / 更新しないなら、解約・終了した日（契約が終わる日）を入れる",""),4,300)</f>
        <v/>
      </c>
      <c r="AG19" s="53" t="n"/>
      <c r="AH19" s="71">
        <f>IF(AND(ISNUMBER($H19),$I19="あり",ISNUMBER($J19)),IF($J19&gt;=1,$H19+1,""),"")</f>
        <v/>
      </c>
      <c r="AI19" s="32">
        <f>IF($AH19="","",(YEAR('設定'!$B$6)-YEAR($AH19))*12+MONTH('設定'!$B$6)-MONTH($AH19))</f>
        <v/>
      </c>
      <c r="AJ19" s="32">
        <f>IF($AH19="","",MAX(1,ROUNDUP($AI19/$J19,0)))</f>
        <v/>
      </c>
      <c r="AK19" s="71">
        <f>IF($AJ19="","",IF(DAY(EDATE($AH19,$AJ19*$J19))&lt;DAY($AH19),EDATE($AH19,$AJ19*$J19),EDATE($AH19,$AJ19*$J19)-1))</f>
        <v/>
      </c>
      <c r="AL19" s="71">
        <f>IF($AJ19="","",IF(DAY(EDATE($AH19,($AJ19+1)*$J19))&lt;DAY($AH19),EDATE($AH19,($AJ19+1)*$J19),EDATE($AH19,($AJ19+1)*$J19)-1))</f>
        <v/>
      </c>
      <c r="AM19" s="71">
        <f>IF($AJ19="","",IF($AJ19=1,$H19,IF(DAY(EDATE($AH19,($AJ19-1)*$J19))&lt;DAY($AH19),EDATE($AH19,($AJ19-1)*$J19),EDATE($AH19,($AJ19-1)*$J19)-1)))</f>
        <v/>
      </c>
      <c r="AN19" s="32">
        <f>IF(NOT(ISNUMBER($H19)),"",IF(OR($AH19="",$H19&gt;='設定'!$B$6),0,IF($AK19&gt;='設定'!$B$6,$AJ19,$AJ19+1)))</f>
        <v/>
      </c>
      <c r="AO19" s="71">
        <f>IF($AN19="","",IF($AN19=0,"",IF($AN19=$AJ19,$AM19,$AK19)))</f>
        <v/>
      </c>
      <c r="AP19" s="32">
        <f>IF(OR($AC19="要対応",$AC19="通知期限切れ",$AC19="確認済み",$AC19="有効",$AC19="終了予定"),1,0)</f>
        <v/>
      </c>
      <c r="AQ19" s="32">
        <f>IF(OR($AC19="要対応",$AC19="通知期限切れ"),1,0)</f>
        <v/>
      </c>
      <c r="AR19" s="72">
        <f>IF(AND(ISNUMBER($AB19),OR($AC19="要対応",$AC19="通知期限切れ",$AC19="確認済み",$AC19="有効")),$AB19+ROW()/100000,"")</f>
        <v/>
      </c>
      <c r="AS19" s="32">
        <f>IF($E19="","",IF(COUNTIF($E$5:$E19,$E19)=1,ROW(),""))</f>
        <v/>
      </c>
      <c r="AT19" s="32">
        <f>IF($S19="","",IF(COUNTIF($S$5:$S19,$S19)=1,ROW(),""))</f>
        <v/>
      </c>
    </row>
    <row r="20" ht="29" customHeight="1">
      <c r="A20" s="20" t="n">
        <v>16</v>
      </c>
      <c r="B20" s="21" t="inlineStr">
        <is>
          <t>K-016</t>
        </is>
      </c>
      <c r="C20" s="22" t="inlineStr">
        <is>
          <t>金型製作 請負契約書</t>
        </is>
      </c>
      <c r="D20" s="22" t="inlineStr">
        <is>
          <t>請負</t>
        </is>
      </c>
      <c r="E20" s="22" t="inlineStr">
        <is>
          <t>見本モールド株式会社</t>
        </is>
      </c>
      <c r="F20" s="66" t="n">
        <v>46178</v>
      </c>
      <c r="G20" s="66" t="n">
        <v>46178</v>
      </c>
      <c r="H20" s="66" t="n">
        <v>46381</v>
      </c>
      <c r="I20" s="21" t="inlineStr">
        <is>
          <t>なし</t>
        </is>
      </c>
      <c r="J20" s="24" t="n"/>
      <c r="K20" s="24" t="n"/>
      <c r="L20" s="21" t="n"/>
      <c r="M20" s="24" t="n"/>
      <c r="N20" s="21" t="n"/>
      <c r="O20" s="67" t="n">
        <v>1650000</v>
      </c>
      <c r="P20" s="21" t="inlineStr">
        <is>
          <t>総額</t>
        </is>
      </c>
      <c r="Q20" s="21" t="inlineStr">
        <is>
          <t>紙</t>
        </is>
      </c>
      <c r="R20" s="22" t="inlineStr">
        <is>
          <t>金庫</t>
        </is>
      </c>
      <c r="S20" s="22" t="inlineStr">
        <is>
          <t>見本 太郎</t>
        </is>
      </c>
      <c r="T20" s="21" t="n"/>
      <c r="U20" s="66" t="n"/>
      <c r="V20" s="66" t="n"/>
      <c r="W20" s="66" t="n"/>
      <c r="X20" s="8" t="inlineStr">
        <is>
          <t>納期は2026年12月25日。検収のあと一括で支払う</t>
        </is>
      </c>
      <c r="Y20" s="68">
        <f>IF($AN20="","",IF($AN20=0,$H20,IF($AN20=$AJ20,$AK20,$AL20)))</f>
        <v/>
      </c>
      <c r="Z20" s="68">
        <f>IF(OR($Y20="",NOT(ISNUMBER($K20))),"",IF($L20="日前",$Y20-$K20,EDATE($Y20,-$K20)))</f>
        <v/>
      </c>
      <c r="AA20" s="68">
        <f>IF(OR($Y20="",ISNUMBER($V20),N($Y20)&lt;'設定'!$B$6),"",IF($Z20&lt;&gt;"",$Z20,$Y20))</f>
        <v/>
      </c>
      <c r="AB20" s="69">
        <f>IF($AA20="","",$AA20-'設定'!$B$6)</f>
        <v/>
      </c>
      <c r="AC20" s="28">
        <f>IF(NOT(OR($B20&lt;&gt;"",$C20&lt;&gt;"")),"",IF(ISNUMBER($V20),IF($V20&lt;'設定'!$B$6,"終了","終了予定"),IF($Y20="","有効",IF($Y20&lt;'設定'!$B$6,"満了",IF(AND($T20="更新する",ISNUMBER($U20),N($U20)&lt;='設定'!$B$6,OR($AO20="",N($U20)&gt;N($AO20))),"確認済み",IF($AB20&lt;0,"通知期限切れ",IF($AB20&lt;=N('設定'!$B$7),"要対応","有効")))))))</f>
        <v/>
      </c>
      <c r="AD20" s="68">
        <f>IF(OR(NOT(ISNUMBER($M20)),$AC20="",$AC20="終了",$AC20="終了予定",$AC20="満了"),"",IF($N20="日前",'設定'!$B$6+$M20,EDATE('設定'!$B$6,$M20)))</f>
        <v/>
      </c>
      <c r="AE20" s="70">
        <f>IF(NOT(ISNUMBER($O20)),"",IF($P20="月額",$O20*12,IF($P20="年額",$O20,"")))</f>
        <v/>
      </c>
      <c r="AF20" s="30">
        <f>MID(IF(AND(ISNUMBER($G20),ISNUMBER($H20)),IF(N($H20)&lt;N($G20)," / 満了日が開始日より前",""),"")&amp;IF(AND($I20="あり",NOT(ISNUMBER($H20)))," / 自動更新ありなのに満了日が空","")&amp;IF(AND($I20="あり",ISNUMBER($H20),NOT(ISNUMBER($J20)))," / 更新期間が空（更新を計算できない）","")&amp;IF($AH20="","",IF(AND(DAY($AH20)&gt;=29,OR(MOD($J20,12)&lt;&gt;0,MONTH($AH20)=2))," / 更新の初日が29〜31日（更新を重ねると満了日が1日ずれることがある。満了日を今の期間の満了日に書き換えると直る）",""))&amp;IF(AND(ISNUMBER($K20),$L20="")," / 通知の単位が空（か月前で計算）","")&amp;IF(AND(ISNUMBER($M20),$N20="")," / 解約予告の単位が空（か月前で計算）","")&amp;IF(AND(ISNUMBER($O20),$P20="")," / 金額の区分が空","")&amp;IF(AND($T20&lt;&gt;"",NOT(ISNUMBER($U20)))," / 対応を決めた日が空","")&amp;IF(AND(ISNUMBER($U20),$T20="")," / 今期の対応が空","")&amp;IF(AND($T20="更新しない",NOT(ISNUMBER($V20)))," / 更新しないなら、解約・終了した日（契約が終わる日）を入れる",""),4,300)</f>
        <v/>
      </c>
      <c r="AG20" s="53" t="n"/>
      <c r="AH20" s="71">
        <f>IF(AND(ISNUMBER($H20),$I20="あり",ISNUMBER($J20)),IF($J20&gt;=1,$H20+1,""),"")</f>
        <v/>
      </c>
      <c r="AI20" s="32">
        <f>IF($AH20="","",(YEAR('設定'!$B$6)-YEAR($AH20))*12+MONTH('設定'!$B$6)-MONTH($AH20))</f>
        <v/>
      </c>
      <c r="AJ20" s="32">
        <f>IF($AH20="","",MAX(1,ROUNDUP($AI20/$J20,0)))</f>
        <v/>
      </c>
      <c r="AK20" s="71">
        <f>IF($AJ20="","",IF(DAY(EDATE($AH20,$AJ20*$J20))&lt;DAY($AH20),EDATE($AH20,$AJ20*$J20),EDATE($AH20,$AJ20*$J20)-1))</f>
        <v/>
      </c>
      <c r="AL20" s="71">
        <f>IF($AJ20="","",IF(DAY(EDATE($AH20,($AJ20+1)*$J20))&lt;DAY($AH20),EDATE($AH20,($AJ20+1)*$J20),EDATE($AH20,($AJ20+1)*$J20)-1))</f>
        <v/>
      </c>
      <c r="AM20" s="71">
        <f>IF($AJ20="","",IF($AJ20=1,$H20,IF(DAY(EDATE($AH20,($AJ20-1)*$J20))&lt;DAY($AH20),EDATE($AH20,($AJ20-1)*$J20),EDATE($AH20,($AJ20-1)*$J20)-1)))</f>
        <v/>
      </c>
      <c r="AN20" s="32">
        <f>IF(NOT(ISNUMBER($H20)),"",IF(OR($AH20="",$H20&gt;='設定'!$B$6),0,IF($AK20&gt;='設定'!$B$6,$AJ20,$AJ20+1)))</f>
        <v/>
      </c>
      <c r="AO20" s="71">
        <f>IF($AN20="","",IF($AN20=0,"",IF($AN20=$AJ20,$AM20,$AK20)))</f>
        <v/>
      </c>
      <c r="AP20" s="32">
        <f>IF(OR($AC20="要対応",$AC20="通知期限切れ",$AC20="確認済み",$AC20="有効",$AC20="終了予定"),1,0)</f>
        <v/>
      </c>
      <c r="AQ20" s="32">
        <f>IF(OR($AC20="要対応",$AC20="通知期限切れ"),1,0)</f>
        <v/>
      </c>
      <c r="AR20" s="72">
        <f>IF(AND(ISNUMBER($AB20),OR($AC20="要対応",$AC20="通知期限切れ",$AC20="確認済み",$AC20="有効")),$AB20+ROW()/100000,"")</f>
        <v/>
      </c>
      <c r="AS20" s="32">
        <f>IF($E20="","",IF(COUNTIF($E$5:$E20,$E20)=1,ROW(),""))</f>
        <v/>
      </c>
      <c r="AT20" s="32">
        <f>IF($S20="","",IF(COUNTIF($S$5:$S20,$S20)=1,ROW(),""))</f>
        <v/>
      </c>
    </row>
    <row r="21" ht="20" customHeight="1">
      <c r="A21" s="20" t="n">
        <v>17</v>
      </c>
      <c r="B21" s="21" t="inlineStr">
        <is>
          <t>K-017</t>
        </is>
      </c>
      <c r="C21" s="22" t="inlineStr">
        <is>
          <t>産業廃棄物 処理委託契約書</t>
        </is>
      </c>
      <c r="D21" s="22" t="inlineStr">
        <is>
          <t>業務委託</t>
        </is>
      </c>
      <c r="E21" s="22" t="inlineStr">
        <is>
          <t>サンプル環境サービス株式会社</t>
        </is>
      </c>
      <c r="F21" s="66" t="n">
        <v>45012</v>
      </c>
      <c r="G21" s="66" t="n">
        <v>45017</v>
      </c>
      <c r="H21" s="66" t="n">
        <v>45382</v>
      </c>
      <c r="I21" s="21" t="inlineStr">
        <is>
          <t>あり</t>
        </is>
      </c>
      <c r="J21" s="24" t="n">
        <v>12</v>
      </c>
      <c r="K21" s="24" t="n">
        <v>1</v>
      </c>
      <c r="L21" s="21" t="inlineStr">
        <is>
          <t>か月前</t>
        </is>
      </c>
      <c r="M21" s="24" t="n"/>
      <c r="N21" s="21" t="n"/>
      <c r="O21" s="67" t="n"/>
      <c r="P21" s="21" t="inlineStr">
        <is>
          <t>単価・都度</t>
        </is>
      </c>
      <c r="Q21" s="21" t="inlineStr">
        <is>
          <t>紙</t>
        </is>
      </c>
      <c r="R21" s="22" t="inlineStr">
        <is>
          <t>金庫</t>
        </is>
      </c>
      <c r="S21" s="22" t="inlineStr">
        <is>
          <t>サンプル 次郎</t>
        </is>
      </c>
      <c r="T21" s="21" t="n"/>
      <c r="U21" s="66" t="n"/>
      <c r="V21" s="66" t="n"/>
      <c r="W21" s="66" t="n"/>
      <c r="X21" s="8" t="inlineStr">
        <is>
          <t>料金は品目ごとの単価表による</t>
        </is>
      </c>
      <c r="Y21" s="68">
        <f>IF($AN21="","",IF($AN21=0,$H21,IF($AN21=$AJ21,$AK21,$AL21)))</f>
        <v/>
      </c>
      <c r="Z21" s="68">
        <f>IF(OR($Y21="",NOT(ISNUMBER($K21))),"",IF($L21="日前",$Y21-$K21,EDATE($Y21,-$K21)))</f>
        <v/>
      </c>
      <c r="AA21" s="68">
        <f>IF(OR($Y21="",ISNUMBER($V21),N($Y21)&lt;'設定'!$B$6),"",IF($Z21&lt;&gt;"",$Z21,$Y21))</f>
        <v/>
      </c>
      <c r="AB21" s="69">
        <f>IF($AA21="","",$AA21-'設定'!$B$6)</f>
        <v/>
      </c>
      <c r="AC21" s="28">
        <f>IF(NOT(OR($B21&lt;&gt;"",$C21&lt;&gt;"")),"",IF(ISNUMBER($V21),IF($V21&lt;'設定'!$B$6,"終了","終了予定"),IF($Y21="","有効",IF($Y21&lt;'設定'!$B$6,"満了",IF(AND($T21="更新する",ISNUMBER($U21),N($U21)&lt;='設定'!$B$6,OR($AO21="",N($U21)&gt;N($AO21))),"確認済み",IF($AB21&lt;0,"通知期限切れ",IF($AB21&lt;=N('設定'!$B$7),"要対応","有効")))))))</f>
        <v/>
      </c>
      <c r="AD21" s="68">
        <f>IF(OR(NOT(ISNUMBER($M21)),$AC21="",$AC21="終了",$AC21="終了予定",$AC21="満了"),"",IF($N21="日前",'設定'!$B$6+$M21,EDATE('設定'!$B$6,$M21)))</f>
        <v/>
      </c>
      <c r="AE21" s="70">
        <f>IF(NOT(ISNUMBER($O21)),"",IF($P21="月額",$O21*12,IF($P21="年額",$O21,"")))</f>
        <v/>
      </c>
      <c r="AF21" s="30">
        <f>MID(IF(AND(ISNUMBER($G21),ISNUMBER($H21)),IF(N($H21)&lt;N($G21)," / 満了日が開始日より前",""),"")&amp;IF(AND($I21="あり",NOT(ISNUMBER($H21)))," / 自動更新ありなのに満了日が空","")&amp;IF(AND($I21="あり",ISNUMBER($H21),NOT(ISNUMBER($J21)))," / 更新期間が空（更新を計算できない）","")&amp;IF($AH21="","",IF(AND(DAY($AH21)&gt;=29,OR(MOD($J21,12)&lt;&gt;0,MONTH($AH21)=2))," / 更新の初日が29〜31日（更新を重ねると満了日が1日ずれることがある。満了日を今の期間の満了日に書き換えると直る）",""))&amp;IF(AND(ISNUMBER($K21),$L21="")," / 通知の単位が空（か月前で計算）","")&amp;IF(AND(ISNUMBER($M21),$N21="")," / 解約予告の単位が空（か月前で計算）","")&amp;IF(AND(ISNUMBER($O21),$P21="")," / 金額の区分が空","")&amp;IF(AND($T21&lt;&gt;"",NOT(ISNUMBER($U21)))," / 対応を決めた日が空","")&amp;IF(AND(ISNUMBER($U21),$T21="")," / 今期の対応が空","")&amp;IF(AND($T21="更新しない",NOT(ISNUMBER($V21)))," / 更新しないなら、解約・終了した日（契約が終わる日）を入れる",""),4,300)</f>
        <v/>
      </c>
      <c r="AG21" s="53" t="n"/>
      <c r="AH21" s="71">
        <f>IF(AND(ISNUMBER($H21),$I21="あり",ISNUMBER($J21)),IF($J21&gt;=1,$H21+1,""),"")</f>
        <v/>
      </c>
      <c r="AI21" s="32">
        <f>IF($AH21="","",(YEAR('設定'!$B$6)-YEAR($AH21))*12+MONTH('設定'!$B$6)-MONTH($AH21))</f>
        <v/>
      </c>
      <c r="AJ21" s="32">
        <f>IF($AH21="","",MAX(1,ROUNDUP($AI21/$J21,0)))</f>
        <v/>
      </c>
      <c r="AK21" s="71">
        <f>IF($AJ21="","",IF(DAY(EDATE($AH21,$AJ21*$J21))&lt;DAY($AH21),EDATE($AH21,$AJ21*$J21),EDATE($AH21,$AJ21*$J21)-1))</f>
        <v/>
      </c>
      <c r="AL21" s="71">
        <f>IF($AJ21="","",IF(DAY(EDATE($AH21,($AJ21+1)*$J21))&lt;DAY($AH21),EDATE($AH21,($AJ21+1)*$J21),EDATE($AH21,($AJ21+1)*$J21)-1))</f>
        <v/>
      </c>
      <c r="AM21" s="71">
        <f>IF($AJ21="","",IF($AJ21=1,$H21,IF(DAY(EDATE($AH21,($AJ21-1)*$J21))&lt;DAY($AH21),EDATE($AH21,($AJ21-1)*$J21),EDATE($AH21,($AJ21-1)*$J21)-1)))</f>
        <v/>
      </c>
      <c r="AN21" s="32">
        <f>IF(NOT(ISNUMBER($H21)),"",IF(OR($AH21="",$H21&gt;='設定'!$B$6),0,IF($AK21&gt;='設定'!$B$6,$AJ21,$AJ21+1)))</f>
        <v/>
      </c>
      <c r="AO21" s="71">
        <f>IF($AN21="","",IF($AN21=0,"",IF($AN21=$AJ21,$AM21,$AK21)))</f>
        <v/>
      </c>
      <c r="AP21" s="32">
        <f>IF(OR($AC21="要対応",$AC21="通知期限切れ",$AC21="確認済み",$AC21="有効",$AC21="終了予定"),1,0)</f>
        <v/>
      </c>
      <c r="AQ21" s="32">
        <f>IF(OR($AC21="要対応",$AC21="通知期限切れ"),1,0)</f>
        <v/>
      </c>
      <c r="AR21" s="72">
        <f>IF(AND(ISNUMBER($AB21),OR($AC21="要対応",$AC21="通知期限切れ",$AC21="確認済み",$AC21="有効")),$AB21+ROW()/100000,"")</f>
        <v/>
      </c>
      <c r="AS21" s="32">
        <f>IF($E21="","",IF(COUNTIF($E$5:$E21,$E21)=1,ROW(),""))</f>
        <v/>
      </c>
      <c r="AT21" s="32">
        <f>IF($S21="","",IF(COUNTIF($S$5:$S21,$S21)=1,ROW(),""))</f>
        <v/>
      </c>
    </row>
    <row r="22" ht="29" customHeight="1">
      <c r="A22" s="20" t="n">
        <v>18</v>
      </c>
      <c r="B22" s="21" t="inlineStr">
        <is>
          <t>K-018</t>
        </is>
      </c>
      <c r="C22" s="22" t="inlineStr">
        <is>
          <t>秘密保持契約書（共同開発の検討）</t>
        </is>
      </c>
      <c r="D22" s="22" t="inlineStr">
        <is>
          <t>秘密保持</t>
        </is>
      </c>
      <c r="E22" s="22" t="inlineStr">
        <is>
          <t>例示テクノ株式会社</t>
        </is>
      </c>
      <c r="F22" s="66" t="n">
        <v>46237</v>
      </c>
      <c r="G22" s="66" t="n">
        <v>46237</v>
      </c>
      <c r="H22" s="66" t="n">
        <v>46601</v>
      </c>
      <c r="I22" s="21" t="inlineStr">
        <is>
          <t>なし</t>
        </is>
      </c>
      <c r="J22" s="24" t="n"/>
      <c r="K22" s="24" t="n"/>
      <c r="L22" s="21" t="n"/>
      <c r="M22" s="24" t="n"/>
      <c r="N22" s="21" t="n"/>
      <c r="O22" s="67" t="n"/>
      <c r="P22" s="21" t="n"/>
      <c r="Q22" s="21" t="inlineStr">
        <is>
          <t>電子</t>
        </is>
      </c>
      <c r="R22" s="22" t="inlineStr">
        <is>
          <t>電子契約サービス</t>
        </is>
      </c>
      <c r="S22" s="22" t="inlineStr">
        <is>
          <t>見本 太郎</t>
        </is>
      </c>
      <c r="T22" s="21" t="n"/>
      <c r="U22" s="66" t="n"/>
      <c r="V22" s="66" t="n"/>
      <c r="W22" s="66" t="n"/>
      <c r="X22" s="8" t="inlineStr">
        <is>
          <t>共同開発に進むなら、別に共同開発契約を結ぶ</t>
        </is>
      </c>
      <c r="Y22" s="68">
        <f>IF($AN22="","",IF($AN22=0,$H22,IF($AN22=$AJ22,$AK22,$AL22)))</f>
        <v/>
      </c>
      <c r="Z22" s="68">
        <f>IF(OR($Y22="",NOT(ISNUMBER($K22))),"",IF($L22="日前",$Y22-$K22,EDATE($Y22,-$K22)))</f>
        <v/>
      </c>
      <c r="AA22" s="68">
        <f>IF(OR($Y22="",ISNUMBER($V22),N($Y22)&lt;'設定'!$B$6),"",IF($Z22&lt;&gt;"",$Z22,$Y22))</f>
        <v/>
      </c>
      <c r="AB22" s="69">
        <f>IF($AA22="","",$AA22-'設定'!$B$6)</f>
        <v/>
      </c>
      <c r="AC22" s="28">
        <f>IF(NOT(OR($B22&lt;&gt;"",$C22&lt;&gt;"")),"",IF(ISNUMBER($V22),IF($V22&lt;'設定'!$B$6,"終了","終了予定"),IF($Y22="","有効",IF($Y22&lt;'設定'!$B$6,"満了",IF(AND($T22="更新する",ISNUMBER($U22),N($U22)&lt;='設定'!$B$6,OR($AO22="",N($U22)&gt;N($AO22))),"確認済み",IF($AB22&lt;0,"通知期限切れ",IF($AB22&lt;=N('設定'!$B$7),"要対応","有効")))))))</f>
        <v/>
      </c>
      <c r="AD22" s="68">
        <f>IF(OR(NOT(ISNUMBER($M22)),$AC22="",$AC22="終了",$AC22="終了予定",$AC22="満了"),"",IF($N22="日前",'設定'!$B$6+$M22,EDATE('設定'!$B$6,$M22)))</f>
        <v/>
      </c>
      <c r="AE22" s="70">
        <f>IF(NOT(ISNUMBER($O22)),"",IF($P22="月額",$O22*12,IF($P22="年額",$O22,"")))</f>
        <v/>
      </c>
      <c r="AF22" s="30">
        <f>MID(IF(AND(ISNUMBER($G22),ISNUMBER($H22)),IF(N($H22)&lt;N($G22)," / 満了日が開始日より前",""),"")&amp;IF(AND($I22="あり",NOT(ISNUMBER($H22)))," / 自動更新ありなのに満了日が空","")&amp;IF(AND($I22="あり",ISNUMBER($H22),NOT(ISNUMBER($J22)))," / 更新期間が空（更新を計算できない）","")&amp;IF($AH22="","",IF(AND(DAY($AH22)&gt;=29,OR(MOD($J22,12)&lt;&gt;0,MONTH($AH22)=2))," / 更新の初日が29〜31日（更新を重ねると満了日が1日ずれることがある。満了日を今の期間の満了日に書き換えると直る）",""))&amp;IF(AND(ISNUMBER($K22),$L22="")," / 通知の単位が空（か月前で計算）","")&amp;IF(AND(ISNUMBER($M22),$N22="")," / 解約予告の単位が空（か月前で計算）","")&amp;IF(AND(ISNUMBER($O22),$P22="")," / 金額の区分が空","")&amp;IF(AND($T22&lt;&gt;"",NOT(ISNUMBER($U22)))," / 対応を決めた日が空","")&amp;IF(AND(ISNUMBER($U22),$T22="")," / 今期の対応が空","")&amp;IF(AND($T22="更新しない",NOT(ISNUMBER($V22)))," / 更新しないなら、解約・終了した日（契約が終わる日）を入れる",""),4,300)</f>
        <v/>
      </c>
      <c r="AG22" s="53" t="n"/>
      <c r="AH22" s="71">
        <f>IF(AND(ISNUMBER($H22),$I22="あり",ISNUMBER($J22)),IF($J22&gt;=1,$H22+1,""),"")</f>
        <v/>
      </c>
      <c r="AI22" s="32">
        <f>IF($AH22="","",(YEAR('設定'!$B$6)-YEAR($AH22))*12+MONTH('設定'!$B$6)-MONTH($AH22))</f>
        <v/>
      </c>
      <c r="AJ22" s="32">
        <f>IF($AH22="","",MAX(1,ROUNDUP($AI22/$J22,0)))</f>
        <v/>
      </c>
      <c r="AK22" s="71">
        <f>IF($AJ22="","",IF(DAY(EDATE($AH22,$AJ22*$J22))&lt;DAY($AH22),EDATE($AH22,$AJ22*$J22),EDATE($AH22,$AJ22*$J22)-1))</f>
        <v/>
      </c>
      <c r="AL22" s="71">
        <f>IF($AJ22="","",IF(DAY(EDATE($AH22,($AJ22+1)*$J22))&lt;DAY($AH22),EDATE($AH22,($AJ22+1)*$J22),EDATE($AH22,($AJ22+1)*$J22)-1))</f>
        <v/>
      </c>
      <c r="AM22" s="71">
        <f>IF($AJ22="","",IF($AJ22=1,$H22,IF(DAY(EDATE($AH22,($AJ22-1)*$J22))&lt;DAY($AH22),EDATE($AH22,($AJ22-1)*$J22),EDATE($AH22,($AJ22-1)*$J22)-1)))</f>
        <v/>
      </c>
      <c r="AN22" s="32">
        <f>IF(NOT(ISNUMBER($H22)),"",IF(OR($AH22="",$H22&gt;='設定'!$B$6),0,IF($AK22&gt;='設定'!$B$6,$AJ22,$AJ22+1)))</f>
        <v/>
      </c>
      <c r="AO22" s="71">
        <f>IF($AN22="","",IF($AN22=0,"",IF($AN22=$AJ22,$AM22,$AK22)))</f>
        <v/>
      </c>
      <c r="AP22" s="32">
        <f>IF(OR($AC22="要対応",$AC22="通知期限切れ",$AC22="確認済み",$AC22="有効",$AC22="終了予定"),1,0)</f>
        <v/>
      </c>
      <c r="AQ22" s="32">
        <f>IF(OR($AC22="要対応",$AC22="通知期限切れ"),1,0)</f>
        <v/>
      </c>
      <c r="AR22" s="72">
        <f>IF(AND(ISNUMBER($AB22),OR($AC22="要対応",$AC22="通知期限切れ",$AC22="確認済み",$AC22="有効")),$AB22+ROW()/100000,"")</f>
        <v/>
      </c>
      <c r="AS22" s="32">
        <f>IF($E22="","",IF(COUNTIF($E$5:$E22,$E22)=1,ROW(),""))</f>
        <v/>
      </c>
      <c r="AT22" s="32">
        <f>IF($S22="","",IF(COUNTIF($S$5:$S22,$S22)=1,ROW(),""))</f>
        <v/>
      </c>
    </row>
    <row r="23" ht="29" customHeight="1">
      <c r="A23" s="20" t="n">
        <v>19</v>
      </c>
      <c r="B23" s="21" t="inlineStr">
        <is>
          <t>K-019</t>
        </is>
      </c>
      <c r="C23" s="22" t="inlineStr">
        <is>
          <t>Web会議サービス 利用契約（月額プラン）</t>
        </is>
      </c>
      <c r="D23" s="22" t="inlineStr">
        <is>
          <t>ライセンス・利用</t>
        </is>
      </c>
      <c r="E23" s="22" t="inlineStr">
        <is>
          <t>サンプルクラウド株式会社</t>
        </is>
      </c>
      <c r="F23" s="66" t="n">
        <v>45828</v>
      </c>
      <c r="G23" s="66" t="n">
        <v>45839</v>
      </c>
      <c r="H23" s="66" t="n">
        <v>45869</v>
      </c>
      <c r="I23" s="21" t="inlineStr">
        <is>
          <t>あり</t>
        </is>
      </c>
      <c r="J23" s="24" t="n">
        <v>1</v>
      </c>
      <c r="K23" s="24" t="n"/>
      <c r="L23" s="21" t="n"/>
      <c r="M23" s="24" t="n"/>
      <c r="N23" s="21" t="n"/>
      <c r="O23" s="67" t="n">
        <v>2200</v>
      </c>
      <c r="P23" s="21" t="inlineStr">
        <is>
          <t>月額</t>
        </is>
      </c>
      <c r="Q23" s="21" t="inlineStr">
        <is>
          <t>電子</t>
        </is>
      </c>
      <c r="R23" s="22" t="inlineStr">
        <is>
          <t>クラウド（管理画面）</t>
        </is>
      </c>
      <c r="S23" s="22" t="inlineStr">
        <is>
          <t>サンプル 花子</t>
        </is>
      </c>
      <c r="T23" s="21" t="inlineStr">
        <is>
          <t>更新する</t>
        </is>
      </c>
      <c r="U23" s="66" t="n">
        <v>46296</v>
      </c>
      <c r="V23" s="66" t="n"/>
      <c r="W23" s="66" t="n"/>
      <c r="X23" s="8" t="inlineStr">
        <is>
          <t>毎月1日に自動更新。やめるときは月末までに管理画面で解約</t>
        </is>
      </c>
      <c r="Y23" s="68">
        <f>IF($AN23="","",IF($AN23=0,$H23,IF($AN23=$AJ23,$AK23,$AL23)))</f>
        <v/>
      </c>
      <c r="Z23" s="68">
        <f>IF(OR($Y23="",NOT(ISNUMBER($K23))),"",IF($L23="日前",$Y23-$K23,EDATE($Y23,-$K23)))</f>
        <v/>
      </c>
      <c r="AA23" s="68">
        <f>IF(OR($Y23="",ISNUMBER($V23),N($Y23)&lt;'設定'!$B$6),"",IF($Z23&lt;&gt;"",$Z23,$Y23))</f>
        <v/>
      </c>
      <c r="AB23" s="69">
        <f>IF($AA23="","",$AA23-'設定'!$B$6)</f>
        <v/>
      </c>
      <c r="AC23" s="28">
        <f>IF(NOT(OR($B23&lt;&gt;"",$C23&lt;&gt;"")),"",IF(ISNUMBER($V23),IF($V23&lt;'設定'!$B$6,"終了","終了予定"),IF($Y23="","有効",IF($Y23&lt;'設定'!$B$6,"満了",IF(AND($T23="更新する",ISNUMBER($U23),N($U23)&lt;='設定'!$B$6,OR($AO23="",N($U23)&gt;N($AO23))),"確認済み",IF($AB23&lt;0,"通知期限切れ",IF($AB23&lt;=N('設定'!$B$7),"要対応","有効")))))))</f>
        <v/>
      </c>
      <c r="AD23" s="68">
        <f>IF(OR(NOT(ISNUMBER($M23)),$AC23="",$AC23="終了",$AC23="終了予定",$AC23="満了"),"",IF($N23="日前",'設定'!$B$6+$M23,EDATE('設定'!$B$6,$M23)))</f>
        <v/>
      </c>
      <c r="AE23" s="70">
        <f>IF(NOT(ISNUMBER($O23)),"",IF($P23="月額",$O23*12,IF($P23="年額",$O23,"")))</f>
        <v/>
      </c>
      <c r="AF23" s="30">
        <f>MID(IF(AND(ISNUMBER($G23),ISNUMBER($H23)),IF(N($H23)&lt;N($G23)," / 満了日が開始日より前",""),"")&amp;IF(AND($I23="あり",NOT(ISNUMBER($H23)))," / 自動更新ありなのに満了日が空","")&amp;IF(AND($I23="あり",ISNUMBER($H23),NOT(ISNUMBER($J23)))," / 更新期間が空（更新を計算できない）","")&amp;IF($AH23="","",IF(AND(DAY($AH23)&gt;=29,OR(MOD($J23,12)&lt;&gt;0,MONTH($AH23)=2))," / 更新の初日が29〜31日（更新を重ねると満了日が1日ずれることがある。満了日を今の期間の満了日に書き換えると直る）",""))&amp;IF(AND(ISNUMBER($K23),$L23="")," / 通知の単位が空（か月前で計算）","")&amp;IF(AND(ISNUMBER($M23),$N23="")," / 解約予告の単位が空（か月前で計算）","")&amp;IF(AND(ISNUMBER($O23),$P23="")," / 金額の区分が空","")&amp;IF(AND($T23&lt;&gt;"",NOT(ISNUMBER($U23)))," / 対応を決めた日が空","")&amp;IF(AND(ISNUMBER($U23),$T23="")," / 今期の対応が空","")&amp;IF(AND($T23="更新しない",NOT(ISNUMBER($V23)))," / 更新しないなら、解約・終了した日（契約が終わる日）を入れる",""),4,300)</f>
        <v/>
      </c>
      <c r="AG23" s="53" t="n"/>
      <c r="AH23" s="71">
        <f>IF(AND(ISNUMBER($H23),$I23="あり",ISNUMBER($J23)),IF($J23&gt;=1,$H23+1,""),"")</f>
        <v/>
      </c>
      <c r="AI23" s="32">
        <f>IF($AH23="","",(YEAR('設定'!$B$6)-YEAR($AH23))*12+MONTH('設定'!$B$6)-MONTH($AH23))</f>
        <v/>
      </c>
      <c r="AJ23" s="32">
        <f>IF($AH23="","",MAX(1,ROUNDUP($AI23/$J23,0)))</f>
        <v/>
      </c>
      <c r="AK23" s="71">
        <f>IF($AJ23="","",IF(DAY(EDATE($AH23,$AJ23*$J23))&lt;DAY($AH23),EDATE($AH23,$AJ23*$J23),EDATE($AH23,$AJ23*$J23)-1))</f>
        <v/>
      </c>
      <c r="AL23" s="71">
        <f>IF($AJ23="","",IF(DAY(EDATE($AH23,($AJ23+1)*$J23))&lt;DAY($AH23),EDATE($AH23,($AJ23+1)*$J23),EDATE($AH23,($AJ23+1)*$J23)-1))</f>
        <v/>
      </c>
      <c r="AM23" s="71">
        <f>IF($AJ23="","",IF($AJ23=1,$H23,IF(DAY(EDATE($AH23,($AJ23-1)*$J23))&lt;DAY($AH23),EDATE($AH23,($AJ23-1)*$J23),EDATE($AH23,($AJ23-1)*$J23)-1)))</f>
        <v/>
      </c>
      <c r="AN23" s="32">
        <f>IF(NOT(ISNUMBER($H23)),"",IF(OR($AH23="",$H23&gt;='設定'!$B$6),0,IF($AK23&gt;='設定'!$B$6,$AJ23,$AJ23+1)))</f>
        <v/>
      </c>
      <c r="AO23" s="71">
        <f>IF($AN23="","",IF($AN23=0,"",IF($AN23=$AJ23,$AM23,$AK23)))</f>
        <v/>
      </c>
      <c r="AP23" s="32">
        <f>IF(OR($AC23="要対応",$AC23="通知期限切れ",$AC23="確認済み",$AC23="有効",$AC23="終了予定"),1,0)</f>
        <v/>
      </c>
      <c r="AQ23" s="32">
        <f>IF(OR($AC23="要対応",$AC23="通知期限切れ"),1,0)</f>
        <v/>
      </c>
      <c r="AR23" s="72">
        <f>IF(AND(ISNUMBER($AB23),OR($AC23="要対応",$AC23="通知期限切れ",$AC23="確認済み",$AC23="有効")),$AB23+ROW()/100000,"")</f>
        <v/>
      </c>
      <c r="AS23" s="32">
        <f>IF($E23="","",IF(COUNTIF($E$5:$E23,$E23)=1,ROW(),""))</f>
        <v/>
      </c>
      <c r="AT23" s="32">
        <f>IF($S23="","",IF(COUNTIF($S$5:$S23,$S23)=1,ROW(),""))</f>
        <v/>
      </c>
    </row>
    <row r="24" ht="29" customHeight="1">
      <c r="A24" s="20" t="n">
        <v>20</v>
      </c>
      <c r="B24" s="21" t="inlineStr">
        <is>
          <t>K-020</t>
        </is>
      </c>
      <c r="C24" s="22" t="inlineStr">
        <is>
          <t>倉庫 賃貸借契約書</t>
        </is>
      </c>
      <c r="D24" s="22" t="inlineStr">
        <is>
          <t>賃貸借</t>
        </is>
      </c>
      <c r="E24" s="22" t="inlineStr">
        <is>
          <t>見本不動産株式会社</t>
        </is>
      </c>
      <c r="F24" s="66" t="n">
        <v>45555</v>
      </c>
      <c r="G24" s="66" t="n">
        <v>45566</v>
      </c>
      <c r="H24" s="66" t="n">
        <v>46295</v>
      </c>
      <c r="I24" s="21" t="inlineStr">
        <is>
          <t>あり</t>
        </is>
      </c>
      <c r="J24" s="24" t="n">
        <v>24</v>
      </c>
      <c r="K24" s="24" t="n">
        <v>6</v>
      </c>
      <c r="L24" s="21" t="inlineStr">
        <is>
          <t>か月前</t>
        </is>
      </c>
      <c r="M24" s="24" t="n">
        <v>3</v>
      </c>
      <c r="N24" s="21" t="inlineStr">
        <is>
          <t>か月前</t>
        </is>
      </c>
      <c r="O24" s="67" t="n">
        <v>85000</v>
      </c>
      <c r="P24" s="21" t="inlineStr">
        <is>
          <t>月額</t>
        </is>
      </c>
      <c r="Q24" s="21" t="inlineStr">
        <is>
          <t>紙</t>
        </is>
      </c>
      <c r="R24" s="22" t="inlineStr">
        <is>
          <t>金庫</t>
        </is>
      </c>
      <c r="S24" s="22" t="inlineStr">
        <is>
          <t>見本 太郎</t>
        </is>
      </c>
      <c r="T24" s="21" t="n"/>
      <c r="U24" s="66" t="n"/>
      <c r="V24" s="66" t="n"/>
      <c r="W24" s="66" t="n"/>
      <c r="X24" s="8" t="inlineStr">
        <is>
          <t>2026年10月1日から2年の更新期間に入った</t>
        </is>
      </c>
      <c r="Y24" s="68">
        <f>IF($AN24="","",IF($AN24=0,$H24,IF($AN24=$AJ24,$AK24,$AL24)))</f>
        <v/>
      </c>
      <c r="Z24" s="68">
        <f>IF(OR($Y24="",NOT(ISNUMBER($K24))),"",IF($L24="日前",$Y24-$K24,EDATE($Y24,-$K24)))</f>
        <v/>
      </c>
      <c r="AA24" s="68">
        <f>IF(OR($Y24="",ISNUMBER($V24),N($Y24)&lt;'設定'!$B$6),"",IF($Z24&lt;&gt;"",$Z24,$Y24))</f>
        <v/>
      </c>
      <c r="AB24" s="69">
        <f>IF($AA24="","",$AA24-'設定'!$B$6)</f>
        <v/>
      </c>
      <c r="AC24" s="28">
        <f>IF(NOT(OR($B24&lt;&gt;"",$C24&lt;&gt;"")),"",IF(ISNUMBER($V24),IF($V24&lt;'設定'!$B$6,"終了","終了予定"),IF($Y24="","有効",IF($Y24&lt;'設定'!$B$6,"満了",IF(AND($T24="更新する",ISNUMBER($U24),N($U24)&lt;='設定'!$B$6,OR($AO24="",N($U24)&gt;N($AO24))),"確認済み",IF($AB24&lt;0,"通知期限切れ",IF($AB24&lt;=N('設定'!$B$7),"要対応","有効")))))))</f>
        <v/>
      </c>
      <c r="AD24" s="68">
        <f>IF(OR(NOT(ISNUMBER($M24)),$AC24="",$AC24="終了",$AC24="終了予定",$AC24="満了"),"",IF($N24="日前",'設定'!$B$6+$M24,EDATE('設定'!$B$6,$M24)))</f>
        <v/>
      </c>
      <c r="AE24" s="70">
        <f>IF(NOT(ISNUMBER($O24)),"",IF($P24="月額",$O24*12,IF($P24="年額",$O24,"")))</f>
        <v/>
      </c>
      <c r="AF24" s="30">
        <f>MID(IF(AND(ISNUMBER($G24),ISNUMBER($H24)),IF(N($H24)&lt;N($G24)," / 満了日が開始日より前",""),"")&amp;IF(AND($I24="あり",NOT(ISNUMBER($H24)))," / 自動更新ありなのに満了日が空","")&amp;IF(AND($I24="あり",ISNUMBER($H24),NOT(ISNUMBER($J24)))," / 更新期間が空（更新を計算できない）","")&amp;IF($AH24="","",IF(AND(DAY($AH24)&gt;=29,OR(MOD($J24,12)&lt;&gt;0,MONTH($AH24)=2))," / 更新の初日が29〜31日（更新を重ねると満了日が1日ずれることがある。満了日を今の期間の満了日に書き換えると直る）",""))&amp;IF(AND(ISNUMBER($K24),$L24="")," / 通知の単位が空（か月前で計算）","")&amp;IF(AND(ISNUMBER($M24),$N24="")," / 解約予告の単位が空（か月前で計算）","")&amp;IF(AND(ISNUMBER($O24),$P24="")," / 金額の区分が空","")&amp;IF(AND($T24&lt;&gt;"",NOT(ISNUMBER($U24)))," / 対応を決めた日が空","")&amp;IF(AND(ISNUMBER($U24),$T24="")," / 今期の対応が空","")&amp;IF(AND($T24="更新しない",NOT(ISNUMBER($V24)))," / 更新しないなら、解約・終了した日（契約が終わる日）を入れる",""),4,300)</f>
        <v/>
      </c>
      <c r="AG24" s="53" t="n"/>
      <c r="AH24" s="71">
        <f>IF(AND(ISNUMBER($H24),$I24="あり",ISNUMBER($J24)),IF($J24&gt;=1,$H24+1,""),"")</f>
        <v/>
      </c>
      <c r="AI24" s="32">
        <f>IF($AH24="","",(YEAR('設定'!$B$6)-YEAR($AH24))*12+MONTH('設定'!$B$6)-MONTH($AH24))</f>
        <v/>
      </c>
      <c r="AJ24" s="32">
        <f>IF($AH24="","",MAX(1,ROUNDUP($AI24/$J24,0)))</f>
        <v/>
      </c>
      <c r="AK24" s="71">
        <f>IF($AJ24="","",IF(DAY(EDATE($AH24,$AJ24*$J24))&lt;DAY($AH24),EDATE($AH24,$AJ24*$J24),EDATE($AH24,$AJ24*$J24)-1))</f>
        <v/>
      </c>
      <c r="AL24" s="71">
        <f>IF($AJ24="","",IF(DAY(EDATE($AH24,($AJ24+1)*$J24))&lt;DAY($AH24),EDATE($AH24,($AJ24+1)*$J24),EDATE($AH24,($AJ24+1)*$J24)-1))</f>
        <v/>
      </c>
      <c r="AM24" s="71">
        <f>IF($AJ24="","",IF($AJ24=1,$H24,IF(DAY(EDATE($AH24,($AJ24-1)*$J24))&lt;DAY($AH24),EDATE($AH24,($AJ24-1)*$J24),EDATE($AH24,($AJ24-1)*$J24)-1)))</f>
        <v/>
      </c>
      <c r="AN24" s="32">
        <f>IF(NOT(ISNUMBER($H24)),"",IF(OR($AH24="",$H24&gt;='設定'!$B$6),0,IF($AK24&gt;='設定'!$B$6,$AJ24,$AJ24+1)))</f>
        <v/>
      </c>
      <c r="AO24" s="71">
        <f>IF($AN24="","",IF($AN24=0,"",IF($AN24=$AJ24,$AM24,$AK24)))</f>
        <v/>
      </c>
      <c r="AP24" s="32">
        <f>IF(OR($AC24="要対応",$AC24="通知期限切れ",$AC24="確認済み",$AC24="有効",$AC24="終了予定"),1,0)</f>
        <v/>
      </c>
      <c r="AQ24" s="32">
        <f>IF(OR($AC24="要対応",$AC24="通知期限切れ"),1,0)</f>
        <v/>
      </c>
      <c r="AR24" s="72">
        <f>IF(AND(ISNUMBER($AB24),OR($AC24="要対応",$AC24="通知期限切れ",$AC24="確認済み",$AC24="有効")),$AB24+ROW()/100000,"")</f>
        <v/>
      </c>
      <c r="AS24" s="32">
        <f>IF($E24="","",IF(COUNTIF($E$5:$E24,$E24)=1,ROW(),""))</f>
        <v/>
      </c>
      <c r="AT24" s="32">
        <f>IF($S24="","",IF(COUNTIF($S$5:$S24,$S24)=1,ROW(),""))</f>
        <v/>
      </c>
    </row>
    <row r="25" ht="42" customHeight="1">
      <c r="A25" s="20" t="n">
        <v>21</v>
      </c>
      <c r="B25" s="21" t="inlineStr">
        <is>
          <t>K-021</t>
        </is>
      </c>
      <c r="C25" s="22" t="inlineStr">
        <is>
          <t>給与計算ソフト 利用申込（年間プラン）</t>
        </is>
      </c>
      <c r="D25" s="22" t="inlineStr">
        <is>
          <t>ライセンス・利用</t>
        </is>
      </c>
      <c r="E25" s="22" t="inlineStr">
        <is>
          <t>例示ソフト株式会社</t>
        </is>
      </c>
      <c r="F25" s="66" t="n">
        <v>45254</v>
      </c>
      <c r="G25" s="66" t="n">
        <v>45261</v>
      </c>
      <c r="H25" s="66" t="n">
        <v>45626</v>
      </c>
      <c r="I25" s="21" t="inlineStr">
        <is>
          <t>あり</t>
        </is>
      </c>
      <c r="J25" s="24" t="n">
        <v>12</v>
      </c>
      <c r="K25" s="24" t="n">
        <v>14</v>
      </c>
      <c r="L25" s="21" t="inlineStr">
        <is>
          <t>日前</t>
        </is>
      </c>
      <c r="M25" s="24" t="n"/>
      <c r="N25" s="21" t="n"/>
      <c r="O25" s="67" t="n">
        <v>39600</v>
      </c>
      <c r="P25" s="21" t="inlineStr">
        <is>
          <t>年額</t>
        </is>
      </c>
      <c r="Q25" s="21" t="inlineStr">
        <is>
          <t>電子</t>
        </is>
      </c>
      <c r="R25" s="22" t="inlineStr">
        <is>
          <t>クラウド（管理画面）</t>
        </is>
      </c>
      <c r="S25" s="22" t="inlineStr">
        <is>
          <t>サンプル 花子</t>
        </is>
      </c>
      <c r="T25" s="21" t="inlineStr">
        <is>
          <t>更新しない</t>
        </is>
      </c>
      <c r="U25" s="66" t="n">
        <v>45971</v>
      </c>
      <c r="V25" s="66" t="n">
        <v>45991</v>
      </c>
      <c r="W25" s="66" t="n">
        <v>49643</v>
      </c>
      <c r="X25" s="8" t="inlineStr">
        <is>
          <t>会計ソフトの給与機能に切り替えたため、2025年11月10日に管理画面で解約</t>
        </is>
      </c>
      <c r="Y25" s="68">
        <f>IF($AN25="","",IF($AN25=0,$H25,IF($AN25=$AJ25,$AK25,$AL25)))</f>
        <v/>
      </c>
      <c r="Z25" s="68">
        <f>IF(OR($Y25="",NOT(ISNUMBER($K25))),"",IF($L25="日前",$Y25-$K25,EDATE($Y25,-$K25)))</f>
        <v/>
      </c>
      <c r="AA25" s="68">
        <f>IF(OR($Y25="",ISNUMBER($V25),N($Y25)&lt;'設定'!$B$6),"",IF($Z25&lt;&gt;"",$Z25,$Y25))</f>
        <v/>
      </c>
      <c r="AB25" s="69">
        <f>IF($AA25="","",$AA25-'設定'!$B$6)</f>
        <v/>
      </c>
      <c r="AC25" s="28">
        <f>IF(NOT(OR($B25&lt;&gt;"",$C25&lt;&gt;"")),"",IF(ISNUMBER($V25),IF($V25&lt;'設定'!$B$6,"終了","終了予定"),IF($Y25="","有効",IF($Y25&lt;'設定'!$B$6,"満了",IF(AND($T25="更新する",ISNUMBER($U25),N($U25)&lt;='設定'!$B$6,OR($AO25="",N($U25)&gt;N($AO25))),"確認済み",IF($AB25&lt;0,"通知期限切れ",IF($AB25&lt;=N('設定'!$B$7),"要対応","有効")))))))</f>
        <v/>
      </c>
      <c r="AD25" s="68">
        <f>IF(OR(NOT(ISNUMBER($M25)),$AC25="",$AC25="終了",$AC25="終了予定",$AC25="満了"),"",IF($N25="日前",'設定'!$B$6+$M25,EDATE('設定'!$B$6,$M25)))</f>
        <v/>
      </c>
      <c r="AE25" s="70">
        <f>IF(NOT(ISNUMBER($O25)),"",IF($P25="月額",$O25*12,IF($P25="年額",$O25,"")))</f>
        <v/>
      </c>
      <c r="AF25" s="30">
        <f>MID(IF(AND(ISNUMBER($G25),ISNUMBER($H25)),IF(N($H25)&lt;N($G25)," / 満了日が開始日より前",""),"")&amp;IF(AND($I25="あり",NOT(ISNUMBER($H25)))," / 自動更新ありなのに満了日が空","")&amp;IF(AND($I25="あり",ISNUMBER($H25),NOT(ISNUMBER($J25)))," / 更新期間が空（更新を計算できない）","")&amp;IF($AH25="","",IF(AND(DAY($AH25)&gt;=29,OR(MOD($J25,12)&lt;&gt;0,MONTH($AH25)=2))," / 更新の初日が29〜31日（更新を重ねると満了日が1日ずれることがある。満了日を今の期間の満了日に書き換えると直る）",""))&amp;IF(AND(ISNUMBER($K25),$L25="")," / 通知の単位が空（か月前で計算）","")&amp;IF(AND(ISNUMBER($M25),$N25="")," / 解約予告の単位が空（か月前で計算）","")&amp;IF(AND(ISNUMBER($O25),$P25="")," / 金額の区分が空","")&amp;IF(AND($T25&lt;&gt;"",NOT(ISNUMBER($U25)))," / 対応を決めた日が空","")&amp;IF(AND(ISNUMBER($U25),$T25="")," / 今期の対応が空","")&amp;IF(AND($T25="更新しない",NOT(ISNUMBER($V25)))," / 更新しないなら、解約・終了した日（契約が終わる日）を入れる",""),4,300)</f>
        <v/>
      </c>
      <c r="AG25" s="53" t="n"/>
      <c r="AH25" s="71">
        <f>IF(AND(ISNUMBER($H25),$I25="あり",ISNUMBER($J25)),IF($J25&gt;=1,$H25+1,""),"")</f>
        <v/>
      </c>
      <c r="AI25" s="32">
        <f>IF($AH25="","",(YEAR('設定'!$B$6)-YEAR($AH25))*12+MONTH('設定'!$B$6)-MONTH($AH25))</f>
        <v/>
      </c>
      <c r="AJ25" s="32">
        <f>IF($AH25="","",MAX(1,ROUNDUP($AI25/$J25,0)))</f>
        <v/>
      </c>
      <c r="AK25" s="71">
        <f>IF($AJ25="","",IF(DAY(EDATE($AH25,$AJ25*$J25))&lt;DAY($AH25),EDATE($AH25,$AJ25*$J25),EDATE($AH25,$AJ25*$J25)-1))</f>
        <v/>
      </c>
      <c r="AL25" s="71">
        <f>IF($AJ25="","",IF(DAY(EDATE($AH25,($AJ25+1)*$J25))&lt;DAY($AH25),EDATE($AH25,($AJ25+1)*$J25),EDATE($AH25,($AJ25+1)*$J25)-1))</f>
        <v/>
      </c>
      <c r="AM25" s="71">
        <f>IF($AJ25="","",IF($AJ25=1,$H25,IF(DAY(EDATE($AH25,($AJ25-1)*$J25))&lt;DAY($AH25),EDATE($AH25,($AJ25-1)*$J25),EDATE($AH25,($AJ25-1)*$J25)-1)))</f>
        <v/>
      </c>
      <c r="AN25" s="32">
        <f>IF(NOT(ISNUMBER($H25)),"",IF(OR($AH25="",$H25&gt;='設定'!$B$6),0,IF($AK25&gt;='設定'!$B$6,$AJ25,$AJ25+1)))</f>
        <v/>
      </c>
      <c r="AO25" s="71">
        <f>IF($AN25="","",IF($AN25=0,"",IF($AN25=$AJ25,$AM25,$AK25)))</f>
        <v/>
      </c>
      <c r="AP25" s="32">
        <f>IF(OR($AC25="要対応",$AC25="通知期限切れ",$AC25="確認済み",$AC25="有効",$AC25="終了予定"),1,0)</f>
        <v/>
      </c>
      <c r="AQ25" s="32">
        <f>IF(OR($AC25="要対応",$AC25="通知期限切れ"),1,0)</f>
        <v/>
      </c>
      <c r="AR25" s="72">
        <f>IF(AND(ISNUMBER($AB25),OR($AC25="要対応",$AC25="通知期限切れ",$AC25="確認済み",$AC25="有効")),$AB25+ROW()/100000,"")</f>
        <v/>
      </c>
      <c r="AS25" s="32">
        <f>IF($E25="","",IF(COUNTIF($E$5:$E25,$E25)=1,ROW(),""))</f>
        <v/>
      </c>
      <c r="AT25" s="32">
        <f>IF($S25="","",IF(COUNTIF($S$5:$S25,$S25)=1,ROW(),""))</f>
        <v/>
      </c>
    </row>
    <row r="26" ht="20" customHeight="1">
      <c r="A26" s="20" t="n">
        <v>22</v>
      </c>
      <c r="B26" s="21" t="n"/>
      <c r="C26" s="22" t="n"/>
      <c r="D26" s="22" t="n"/>
      <c r="E26" s="22" t="n"/>
      <c r="F26" s="66" t="n"/>
      <c r="G26" s="66" t="n"/>
      <c r="H26" s="66" t="n"/>
      <c r="I26" s="21" t="n"/>
      <c r="J26" s="24" t="n"/>
      <c r="K26" s="24" t="n"/>
      <c r="L26" s="21" t="n"/>
      <c r="M26" s="24" t="n"/>
      <c r="N26" s="21" t="n"/>
      <c r="O26" s="67" t="n"/>
      <c r="P26" s="21" t="n"/>
      <c r="Q26" s="21" t="n"/>
      <c r="R26" s="22" t="n"/>
      <c r="S26" s="22" t="n"/>
      <c r="T26" s="21" t="n"/>
      <c r="U26" s="66" t="n"/>
      <c r="V26" s="66" t="n"/>
      <c r="W26" s="66" t="n"/>
      <c r="X26" s="8" t="n"/>
      <c r="Y26" s="68">
        <f>IF($AN26="","",IF($AN26=0,$H26,IF($AN26=$AJ26,$AK26,$AL26)))</f>
        <v/>
      </c>
      <c r="Z26" s="68">
        <f>IF(OR($Y26="",NOT(ISNUMBER($K26))),"",IF($L26="日前",$Y26-$K26,EDATE($Y26,-$K26)))</f>
        <v/>
      </c>
      <c r="AA26" s="68">
        <f>IF(OR($Y26="",ISNUMBER($V26),N($Y26)&lt;'設定'!$B$6),"",IF($Z26&lt;&gt;"",$Z26,$Y26))</f>
        <v/>
      </c>
      <c r="AB26" s="69">
        <f>IF($AA26="","",$AA26-'設定'!$B$6)</f>
        <v/>
      </c>
      <c r="AC26" s="28">
        <f>IF(NOT(OR($B26&lt;&gt;"",$C26&lt;&gt;"")),"",IF(ISNUMBER($V26),IF($V26&lt;'設定'!$B$6,"終了","終了予定"),IF($Y26="","有効",IF($Y26&lt;'設定'!$B$6,"満了",IF(AND($T26="更新する",ISNUMBER($U26),N($U26)&lt;='設定'!$B$6,OR($AO26="",N($U26)&gt;N($AO26))),"確認済み",IF($AB26&lt;0,"通知期限切れ",IF($AB26&lt;=N('設定'!$B$7),"要対応","有効")))))))</f>
        <v/>
      </c>
      <c r="AD26" s="68">
        <f>IF(OR(NOT(ISNUMBER($M26)),$AC26="",$AC26="終了",$AC26="終了予定",$AC26="満了"),"",IF($N26="日前",'設定'!$B$6+$M26,EDATE('設定'!$B$6,$M26)))</f>
        <v/>
      </c>
      <c r="AE26" s="70">
        <f>IF(NOT(ISNUMBER($O26)),"",IF($P26="月額",$O26*12,IF($P26="年額",$O26,"")))</f>
        <v/>
      </c>
      <c r="AF26" s="30">
        <f>MID(IF(AND(ISNUMBER($G26),ISNUMBER($H26)),IF(N($H26)&lt;N($G26)," / 満了日が開始日より前",""),"")&amp;IF(AND($I26="あり",NOT(ISNUMBER($H26)))," / 自動更新ありなのに満了日が空","")&amp;IF(AND($I26="あり",ISNUMBER($H26),NOT(ISNUMBER($J26)))," / 更新期間が空（更新を計算できない）","")&amp;IF($AH26="","",IF(AND(DAY($AH26)&gt;=29,OR(MOD($J26,12)&lt;&gt;0,MONTH($AH26)=2))," / 更新の初日が29〜31日（更新を重ねると満了日が1日ずれることがある。満了日を今の期間の満了日に書き換えると直る）",""))&amp;IF(AND(ISNUMBER($K26),$L26="")," / 通知の単位が空（か月前で計算）","")&amp;IF(AND(ISNUMBER($M26),$N26="")," / 解約予告の単位が空（か月前で計算）","")&amp;IF(AND(ISNUMBER($O26),$P26="")," / 金額の区分が空","")&amp;IF(AND($T26&lt;&gt;"",NOT(ISNUMBER($U26)))," / 対応を決めた日が空","")&amp;IF(AND(ISNUMBER($U26),$T26="")," / 今期の対応が空","")&amp;IF(AND($T26="更新しない",NOT(ISNUMBER($V26)))," / 更新しないなら、解約・終了した日（契約が終わる日）を入れる",""),4,300)</f>
        <v/>
      </c>
      <c r="AG26" s="53" t="n"/>
      <c r="AH26" s="71">
        <f>IF(AND(ISNUMBER($H26),$I26="あり",ISNUMBER($J26)),IF($J26&gt;=1,$H26+1,""),"")</f>
        <v/>
      </c>
      <c r="AI26" s="32">
        <f>IF($AH26="","",(YEAR('設定'!$B$6)-YEAR($AH26))*12+MONTH('設定'!$B$6)-MONTH($AH26))</f>
        <v/>
      </c>
      <c r="AJ26" s="32">
        <f>IF($AH26="","",MAX(1,ROUNDUP($AI26/$J26,0)))</f>
        <v/>
      </c>
      <c r="AK26" s="71">
        <f>IF($AJ26="","",IF(DAY(EDATE($AH26,$AJ26*$J26))&lt;DAY($AH26),EDATE($AH26,$AJ26*$J26),EDATE($AH26,$AJ26*$J26)-1))</f>
        <v/>
      </c>
      <c r="AL26" s="71">
        <f>IF($AJ26="","",IF(DAY(EDATE($AH26,($AJ26+1)*$J26))&lt;DAY($AH26),EDATE($AH26,($AJ26+1)*$J26),EDATE($AH26,($AJ26+1)*$J26)-1))</f>
        <v/>
      </c>
      <c r="AM26" s="71">
        <f>IF($AJ26="","",IF($AJ26=1,$H26,IF(DAY(EDATE($AH26,($AJ26-1)*$J26))&lt;DAY($AH26),EDATE($AH26,($AJ26-1)*$J26),EDATE($AH26,($AJ26-1)*$J26)-1)))</f>
        <v/>
      </c>
      <c r="AN26" s="32">
        <f>IF(NOT(ISNUMBER($H26)),"",IF(OR($AH26="",$H26&gt;='設定'!$B$6),0,IF($AK26&gt;='設定'!$B$6,$AJ26,$AJ26+1)))</f>
        <v/>
      </c>
      <c r="AO26" s="71">
        <f>IF($AN26="","",IF($AN26=0,"",IF($AN26=$AJ26,$AM26,$AK26)))</f>
        <v/>
      </c>
      <c r="AP26" s="32">
        <f>IF(OR($AC26="要対応",$AC26="通知期限切れ",$AC26="確認済み",$AC26="有効",$AC26="終了予定"),1,0)</f>
        <v/>
      </c>
      <c r="AQ26" s="32">
        <f>IF(OR($AC26="要対応",$AC26="通知期限切れ"),1,0)</f>
        <v/>
      </c>
      <c r="AR26" s="72">
        <f>IF(AND(ISNUMBER($AB26),OR($AC26="要対応",$AC26="通知期限切れ",$AC26="確認済み",$AC26="有効")),$AB26+ROW()/100000,"")</f>
        <v/>
      </c>
      <c r="AS26" s="32">
        <f>IF($E26="","",IF(COUNTIF($E$5:$E26,$E26)=1,ROW(),""))</f>
        <v/>
      </c>
      <c r="AT26" s="32">
        <f>IF($S26="","",IF(COUNTIF($S$5:$S26,$S26)=1,ROW(),""))</f>
        <v/>
      </c>
    </row>
    <row r="27" ht="20" customHeight="1">
      <c r="A27" s="20" t="n">
        <v>23</v>
      </c>
      <c r="B27" s="21" t="n"/>
      <c r="C27" s="22" t="n"/>
      <c r="D27" s="22" t="n"/>
      <c r="E27" s="22" t="n"/>
      <c r="F27" s="66" t="n"/>
      <c r="G27" s="66" t="n"/>
      <c r="H27" s="66" t="n"/>
      <c r="I27" s="21" t="n"/>
      <c r="J27" s="24" t="n"/>
      <c r="K27" s="24" t="n"/>
      <c r="L27" s="21" t="n"/>
      <c r="M27" s="24" t="n"/>
      <c r="N27" s="21" t="n"/>
      <c r="O27" s="67" t="n"/>
      <c r="P27" s="21" t="n"/>
      <c r="Q27" s="21" t="n"/>
      <c r="R27" s="22" t="n"/>
      <c r="S27" s="22" t="n"/>
      <c r="T27" s="21" t="n"/>
      <c r="U27" s="66" t="n"/>
      <c r="V27" s="66" t="n"/>
      <c r="W27" s="66" t="n"/>
      <c r="X27" s="8" t="n"/>
      <c r="Y27" s="68">
        <f>IF($AN27="","",IF($AN27=0,$H27,IF($AN27=$AJ27,$AK27,$AL27)))</f>
        <v/>
      </c>
      <c r="Z27" s="68">
        <f>IF(OR($Y27="",NOT(ISNUMBER($K27))),"",IF($L27="日前",$Y27-$K27,EDATE($Y27,-$K27)))</f>
        <v/>
      </c>
      <c r="AA27" s="68">
        <f>IF(OR($Y27="",ISNUMBER($V27),N($Y27)&lt;'設定'!$B$6),"",IF($Z27&lt;&gt;"",$Z27,$Y27))</f>
        <v/>
      </c>
      <c r="AB27" s="69">
        <f>IF($AA27="","",$AA27-'設定'!$B$6)</f>
        <v/>
      </c>
      <c r="AC27" s="28">
        <f>IF(NOT(OR($B27&lt;&gt;"",$C27&lt;&gt;"")),"",IF(ISNUMBER($V27),IF($V27&lt;'設定'!$B$6,"終了","終了予定"),IF($Y27="","有効",IF($Y27&lt;'設定'!$B$6,"満了",IF(AND($T27="更新する",ISNUMBER($U27),N($U27)&lt;='設定'!$B$6,OR($AO27="",N($U27)&gt;N($AO27))),"確認済み",IF($AB27&lt;0,"通知期限切れ",IF($AB27&lt;=N('設定'!$B$7),"要対応","有効")))))))</f>
        <v/>
      </c>
      <c r="AD27" s="68">
        <f>IF(OR(NOT(ISNUMBER($M27)),$AC27="",$AC27="終了",$AC27="終了予定",$AC27="満了"),"",IF($N27="日前",'設定'!$B$6+$M27,EDATE('設定'!$B$6,$M27)))</f>
        <v/>
      </c>
      <c r="AE27" s="70">
        <f>IF(NOT(ISNUMBER($O27)),"",IF($P27="月額",$O27*12,IF($P27="年額",$O27,"")))</f>
        <v/>
      </c>
      <c r="AF27" s="30">
        <f>MID(IF(AND(ISNUMBER($G27),ISNUMBER($H27)),IF(N($H27)&lt;N($G27)," / 満了日が開始日より前",""),"")&amp;IF(AND($I27="あり",NOT(ISNUMBER($H27)))," / 自動更新ありなのに満了日が空","")&amp;IF(AND($I27="あり",ISNUMBER($H27),NOT(ISNUMBER($J27)))," / 更新期間が空（更新を計算できない）","")&amp;IF($AH27="","",IF(AND(DAY($AH27)&gt;=29,OR(MOD($J27,12)&lt;&gt;0,MONTH($AH27)=2))," / 更新の初日が29〜31日（更新を重ねると満了日が1日ずれることがある。満了日を今の期間の満了日に書き換えると直る）",""))&amp;IF(AND(ISNUMBER($K27),$L27="")," / 通知の単位が空（か月前で計算）","")&amp;IF(AND(ISNUMBER($M27),$N27="")," / 解約予告の単位が空（か月前で計算）","")&amp;IF(AND(ISNUMBER($O27),$P27="")," / 金額の区分が空","")&amp;IF(AND($T27&lt;&gt;"",NOT(ISNUMBER($U27)))," / 対応を決めた日が空","")&amp;IF(AND(ISNUMBER($U27),$T27="")," / 今期の対応が空","")&amp;IF(AND($T27="更新しない",NOT(ISNUMBER($V27)))," / 更新しないなら、解約・終了した日（契約が終わる日）を入れる",""),4,300)</f>
        <v/>
      </c>
      <c r="AG27" s="53" t="n"/>
      <c r="AH27" s="71">
        <f>IF(AND(ISNUMBER($H27),$I27="あり",ISNUMBER($J27)),IF($J27&gt;=1,$H27+1,""),"")</f>
        <v/>
      </c>
      <c r="AI27" s="32">
        <f>IF($AH27="","",(YEAR('設定'!$B$6)-YEAR($AH27))*12+MONTH('設定'!$B$6)-MONTH($AH27))</f>
        <v/>
      </c>
      <c r="AJ27" s="32">
        <f>IF($AH27="","",MAX(1,ROUNDUP($AI27/$J27,0)))</f>
        <v/>
      </c>
      <c r="AK27" s="71">
        <f>IF($AJ27="","",IF(DAY(EDATE($AH27,$AJ27*$J27))&lt;DAY($AH27),EDATE($AH27,$AJ27*$J27),EDATE($AH27,$AJ27*$J27)-1))</f>
        <v/>
      </c>
      <c r="AL27" s="71">
        <f>IF($AJ27="","",IF(DAY(EDATE($AH27,($AJ27+1)*$J27))&lt;DAY($AH27),EDATE($AH27,($AJ27+1)*$J27),EDATE($AH27,($AJ27+1)*$J27)-1))</f>
        <v/>
      </c>
      <c r="AM27" s="71">
        <f>IF($AJ27="","",IF($AJ27=1,$H27,IF(DAY(EDATE($AH27,($AJ27-1)*$J27))&lt;DAY($AH27),EDATE($AH27,($AJ27-1)*$J27),EDATE($AH27,($AJ27-1)*$J27)-1)))</f>
        <v/>
      </c>
      <c r="AN27" s="32">
        <f>IF(NOT(ISNUMBER($H27)),"",IF(OR($AH27="",$H27&gt;='設定'!$B$6),0,IF($AK27&gt;='設定'!$B$6,$AJ27,$AJ27+1)))</f>
        <v/>
      </c>
      <c r="AO27" s="71">
        <f>IF($AN27="","",IF($AN27=0,"",IF($AN27=$AJ27,$AM27,$AK27)))</f>
        <v/>
      </c>
      <c r="AP27" s="32">
        <f>IF(OR($AC27="要対応",$AC27="通知期限切れ",$AC27="確認済み",$AC27="有効",$AC27="終了予定"),1,0)</f>
        <v/>
      </c>
      <c r="AQ27" s="32">
        <f>IF(OR($AC27="要対応",$AC27="通知期限切れ"),1,0)</f>
        <v/>
      </c>
      <c r="AR27" s="72">
        <f>IF(AND(ISNUMBER($AB27),OR($AC27="要対応",$AC27="通知期限切れ",$AC27="確認済み",$AC27="有効")),$AB27+ROW()/100000,"")</f>
        <v/>
      </c>
      <c r="AS27" s="32">
        <f>IF($E27="","",IF(COUNTIF($E$5:$E27,$E27)=1,ROW(),""))</f>
        <v/>
      </c>
      <c r="AT27" s="32">
        <f>IF($S27="","",IF(COUNTIF($S$5:$S27,$S27)=1,ROW(),""))</f>
        <v/>
      </c>
    </row>
    <row r="28" ht="20" customHeight="1">
      <c r="A28" s="20" t="n">
        <v>24</v>
      </c>
      <c r="B28" s="21" t="n"/>
      <c r="C28" s="22" t="n"/>
      <c r="D28" s="22" t="n"/>
      <c r="E28" s="22" t="n"/>
      <c r="F28" s="66" t="n"/>
      <c r="G28" s="66" t="n"/>
      <c r="H28" s="66" t="n"/>
      <c r="I28" s="21" t="n"/>
      <c r="J28" s="24" t="n"/>
      <c r="K28" s="24" t="n"/>
      <c r="L28" s="21" t="n"/>
      <c r="M28" s="24" t="n"/>
      <c r="N28" s="21" t="n"/>
      <c r="O28" s="67" t="n"/>
      <c r="P28" s="21" t="n"/>
      <c r="Q28" s="21" t="n"/>
      <c r="R28" s="22" t="n"/>
      <c r="S28" s="22" t="n"/>
      <c r="T28" s="21" t="n"/>
      <c r="U28" s="66" t="n"/>
      <c r="V28" s="66" t="n"/>
      <c r="W28" s="66" t="n"/>
      <c r="X28" s="8" t="n"/>
      <c r="Y28" s="68">
        <f>IF($AN28="","",IF($AN28=0,$H28,IF($AN28=$AJ28,$AK28,$AL28)))</f>
        <v/>
      </c>
      <c r="Z28" s="68">
        <f>IF(OR($Y28="",NOT(ISNUMBER($K28))),"",IF($L28="日前",$Y28-$K28,EDATE($Y28,-$K28)))</f>
        <v/>
      </c>
      <c r="AA28" s="68">
        <f>IF(OR($Y28="",ISNUMBER($V28),N($Y28)&lt;'設定'!$B$6),"",IF($Z28&lt;&gt;"",$Z28,$Y28))</f>
        <v/>
      </c>
      <c r="AB28" s="69">
        <f>IF($AA28="","",$AA28-'設定'!$B$6)</f>
        <v/>
      </c>
      <c r="AC28" s="28">
        <f>IF(NOT(OR($B28&lt;&gt;"",$C28&lt;&gt;"")),"",IF(ISNUMBER($V28),IF($V28&lt;'設定'!$B$6,"終了","終了予定"),IF($Y28="","有効",IF($Y28&lt;'設定'!$B$6,"満了",IF(AND($T28="更新する",ISNUMBER($U28),N($U28)&lt;='設定'!$B$6,OR($AO28="",N($U28)&gt;N($AO28))),"確認済み",IF($AB28&lt;0,"通知期限切れ",IF($AB28&lt;=N('設定'!$B$7),"要対応","有効")))))))</f>
        <v/>
      </c>
      <c r="AD28" s="68">
        <f>IF(OR(NOT(ISNUMBER($M28)),$AC28="",$AC28="終了",$AC28="終了予定",$AC28="満了"),"",IF($N28="日前",'設定'!$B$6+$M28,EDATE('設定'!$B$6,$M28)))</f>
        <v/>
      </c>
      <c r="AE28" s="70">
        <f>IF(NOT(ISNUMBER($O28)),"",IF($P28="月額",$O28*12,IF($P28="年額",$O28,"")))</f>
        <v/>
      </c>
      <c r="AF28" s="30">
        <f>MID(IF(AND(ISNUMBER($G28),ISNUMBER($H28)),IF(N($H28)&lt;N($G28)," / 満了日が開始日より前",""),"")&amp;IF(AND($I28="あり",NOT(ISNUMBER($H28)))," / 自動更新ありなのに満了日が空","")&amp;IF(AND($I28="あり",ISNUMBER($H28),NOT(ISNUMBER($J28)))," / 更新期間が空（更新を計算できない）","")&amp;IF($AH28="","",IF(AND(DAY($AH28)&gt;=29,OR(MOD($J28,12)&lt;&gt;0,MONTH($AH28)=2))," / 更新の初日が29〜31日（更新を重ねると満了日が1日ずれることがある。満了日を今の期間の満了日に書き換えると直る）",""))&amp;IF(AND(ISNUMBER($K28),$L28="")," / 通知の単位が空（か月前で計算）","")&amp;IF(AND(ISNUMBER($M28),$N28="")," / 解約予告の単位が空（か月前で計算）","")&amp;IF(AND(ISNUMBER($O28),$P28="")," / 金額の区分が空","")&amp;IF(AND($T28&lt;&gt;"",NOT(ISNUMBER($U28)))," / 対応を決めた日が空","")&amp;IF(AND(ISNUMBER($U28),$T28="")," / 今期の対応が空","")&amp;IF(AND($T28="更新しない",NOT(ISNUMBER($V28)))," / 更新しないなら、解約・終了した日（契約が終わる日）を入れる",""),4,300)</f>
        <v/>
      </c>
      <c r="AG28" s="53" t="n"/>
      <c r="AH28" s="71">
        <f>IF(AND(ISNUMBER($H28),$I28="あり",ISNUMBER($J28)),IF($J28&gt;=1,$H28+1,""),"")</f>
        <v/>
      </c>
      <c r="AI28" s="32">
        <f>IF($AH28="","",(YEAR('設定'!$B$6)-YEAR($AH28))*12+MONTH('設定'!$B$6)-MONTH($AH28))</f>
        <v/>
      </c>
      <c r="AJ28" s="32">
        <f>IF($AH28="","",MAX(1,ROUNDUP($AI28/$J28,0)))</f>
        <v/>
      </c>
      <c r="AK28" s="71">
        <f>IF($AJ28="","",IF(DAY(EDATE($AH28,$AJ28*$J28))&lt;DAY($AH28),EDATE($AH28,$AJ28*$J28),EDATE($AH28,$AJ28*$J28)-1))</f>
        <v/>
      </c>
      <c r="AL28" s="71">
        <f>IF($AJ28="","",IF(DAY(EDATE($AH28,($AJ28+1)*$J28))&lt;DAY($AH28),EDATE($AH28,($AJ28+1)*$J28),EDATE($AH28,($AJ28+1)*$J28)-1))</f>
        <v/>
      </c>
      <c r="AM28" s="71">
        <f>IF($AJ28="","",IF($AJ28=1,$H28,IF(DAY(EDATE($AH28,($AJ28-1)*$J28))&lt;DAY($AH28),EDATE($AH28,($AJ28-1)*$J28),EDATE($AH28,($AJ28-1)*$J28)-1)))</f>
        <v/>
      </c>
      <c r="AN28" s="32">
        <f>IF(NOT(ISNUMBER($H28)),"",IF(OR($AH28="",$H28&gt;='設定'!$B$6),0,IF($AK28&gt;='設定'!$B$6,$AJ28,$AJ28+1)))</f>
        <v/>
      </c>
      <c r="AO28" s="71">
        <f>IF($AN28="","",IF($AN28=0,"",IF($AN28=$AJ28,$AM28,$AK28)))</f>
        <v/>
      </c>
      <c r="AP28" s="32">
        <f>IF(OR($AC28="要対応",$AC28="通知期限切れ",$AC28="確認済み",$AC28="有効",$AC28="終了予定"),1,0)</f>
        <v/>
      </c>
      <c r="AQ28" s="32">
        <f>IF(OR($AC28="要対応",$AC28="通知期限切れ"),1,0)</f>
        <v/>
      </c>
      <c r="AR28" s="72">
        <f>IF(AND(ISNUMBER($AB28),OR($AC28="要対応",$AC28="通知期限切れ",$AC28="確認済み",$AC28="有効")),$AB28+ROW()/100000,"")</f>
        <v/>
      </c>
      <c r="AS28" s="32">
        <f>IF($E28="","",IF(COUNTIF($E$5:$E28,$E28)=1,ROW(),""))</f>
        <v/>
      </c>
      <c r="AT28" s="32">
        <f>IF($S28="","",IF(COUNTIF($S$5:$S28,$S28)=1,ROW(),""))</f>
        <v/>
      </c>
    </row>
    <row r="29" ht="20" customHeight="1">
      <c r="A29" s="20" t="n">
        <v>25</v>
      </c>
      <c r="B29" s="21" t="n"/>
      <c r="C29" s="22" t="n"/>
      <c r="D29" s="22" t="n"/>
      <c r="E29" s="22" t="n"/>
      <c r="F29" s="66" t="n"/>
      <c r="G29" s="66" t="n"/>
      <c r="H29" s="66" t="n"/>
      <c r="I29" s="21" t="n"/>
      <c r="J29" s="24" t="n"/>
      <c r="K29" s="24" t="n"/>
      <c r="L29" s="21" t="n"/>
      <c r="M29" s="24" t="n"/>
      <c r="N29" s="21" t="n"/>
      <c r="O29" s="67" t="n"/>
      <c r="P29" s="21" t="n"/>
      <c r="Q29" s="21" t="n"/>
      <c r="R29" s="22" t="n"/>
      <c r="S29" s="22" t="n"/>
      <c r="T29" s="21" t="n"/>
      <c r="U29" s="66" t="n"/>
      <c r="V29" s="66" t="n"/>
      <c r="W29" s="66" t="n"/>
      <c r="X29" s="8" t="n"/>
      <c r="Y29" s="68">
        <f>IF($AN29="","",IF($AN29=0,$H29,IF($AN29=$AJ29,$AK29,$AL29)))</f>
        <v/>
      </c>
      <c r="Z29" s="68">
        <f>IF(OR($Y29="",NOT(ISNUMBER($K29))),"",IF($L29="日前",$Y29-$K29,EDATE($Y29,-$K29)))</f>
        <v/>
      </c>
      <c r="AA29" s="68">
        <f>IF(OR($Y29="",ISNUMBER($V29),N($Y29)&lt;'設定'!$B$6),"",IF($Z29&lt;&gt;"",$Z29,$Y29))</f>
        <v/>
      </c>
      <c r="AB29" s="69">
        <f>IF($AA29="","",$AA29-'設定'!$B$6)</f>
        <v/>
      </c>
      <c r="AC29" s="28">
        <f>IF(NOT(OR($B29&lt;&gt;"",$C29&lt;&gt;"")),"",IF(ISNUMBER($V29),IF($V29&lt;'設定'!$B$6,"終了","終了予定"),IF($Y29="","有効",IF($Y29&lt;'設定'!$B$6,"満了",IF(AND($T29="更新する",ISNUMBER($U29),N($U29)&lt;='設定'!$B$6,OR($AO29="",N($U29)&gt;N($AO29))),"確認済み",IF($AB29&lt;0,"通知期限切れ",IF($AB29&lt;=N('設定'!$B$7),"要対応","有効")))))))</f>
        <v/>
      </c>
      <c r="AD29" s="68">
        <f>IF(OR(NOT(ISNUMBER($M29)),$AC29="",$AC29="終了",$AC29="終了予定",$AC29="満了"),"",IF($N29="日前",'設定'!$B$6+$M29,EDATE('設定'!$B$6,$M29)))</f>
        <v/>
      </c>
      <c r="AE29" s="70">
        <f>IF(NOT(ISNUMBER($O29)),"",IF($P29="月額",$O29*12,IF($P29="年額",$O29,"")))</f>
        <v/>
      </c>
      <c r="AF29" s="30">
        <f>MID(IF(AND(ISNUMBER($G29),ISNUMBER($H29)),IF(N($H29)&lt;N($G29)," / 満了日が開始日より前",""),"")&amp;IF(AND($I29="あり",NOT(ISNUMBER($H29)))," / 自動更新ありなのに満了日が空","")&amp;IF(AND($I29="あり",ISNUMBER($H29),NOT(ISNUMBER($J29)))," / 更新期間が空（更新を計算できない）","")&amp;IF($AH29="","",IF(AND(DAY($AH29)&gt;=29,OR(MOD($J29,12)&lt;&gt;0,MONTH($AH29)=2))," / 更新の初日が29〜31日（更新を重ねると満了日が1日ずれることがある。満了日を今の期間の満了日に書き換えると直る）",""))&amp;IF(AND(ISNUMBER($K29),$L29="")," / 通知の単位が空（か月前で計算）","")&amp;IF(AND(ISNUMBER($M29),$N29="")," / 解約予告の単位が空（か月前で計算）","")&amp;IF(AND(ISNUMBER($O29),$P29="")," / 金額の区分が空","")&amp;IF(AND($T29&lt;&gt;"",NOT(ISNUMBER($U29)))," / 対応を決めた日が空","")&amp;IF(AND(ISNUMBER($U29),$T29="")," / 今期の対応が空","")&amp;IF(AND($T29="更新しない",NOT(ISNUMBER($V29)))," / 更新しないなら、解約・終了した日（契約が終わる日）を入れる",""),4,300)</f>
        <v/>
      </c>
      <c r="AG29" s="53" t="n"/>
      <c r="AH29" s="71">
        <f>IF(AND(ISNUMBER($H29),$I29="あり",ISNUMBER($J29)),IF($J29&gt;=1,$H29+1,""),"")</f>
        <v/>
      </c>
      <c r="AI29" s="32">
        <f>IF($AH29="","",(YEAR('設定'!$B$6)-YEAR($AH29))*12+MONTH('設定'!$B$6)-MONTH($AH29))</f>
        <v/>
      </c>
      <c r="AJ29" s="32">
        <f>IF($AH29="","",MAX(1,ROUNDUP($AI29/$J29,0)))</f>
        <v/>
      </c>
      <c r="AK29" s="71">
        <f>IF($AJ29="","",IF(DAY(EDATE($AH29,$AJ29*$J29))&lt;DAY($AH29),EDATE($AH29,$AJ29*$J29),EDATE($AH29,$AJ29*$J29)-1))</f>
        <v/>
      </c>
      <c r="AL29" s="71">
        <f>IF($AJ29="","",IF(DAY(EDATE($AH29,($AJ29+1)*$J29))&lt;DAY($AH29),EDATE($AH29,($AJ29+1)*$J29),EDATE($AH29,($AJ29+1)*$J29)-1))</f>
        <v/>
      </c>
      <c r="AM29" s="71">
        <f>IF($AJ29="","",IF($AJ29=1,$H29,IF(DAY(EDATE($AH29,($AJ29-1)*$J29))&lt;DAY($AH29),EDATE($AH29,($AJ29-1)*$J29),EDATE($AH29,($AJ29-1)*$J29)-1)))</f>
        <v/>
      </c>
      <c r="AN29" s="32">
        <f>IF(NOT(ISNUMBER($H29)),"",IF(OR($AH29="",$H29&gt;='設定'!$B$6),0,IF($AK29&gt;='設定'!$B$6,$AJ29,$AJ29+1)))</f>
        <v/>
      </c>
      <c r="AO29" s="71">
        <f>IF($AN29="","",IF($AN29=0,"",IF($AN29=$AJ29,$AM29,$AK29)))</f>
        <v/>
      </c>
      <c r="AP29" s="32">
        <f>IF(OR($AC29="要対応",$AC29="通知期限切れ",$AC29="確認済み",$AC29="有効",$AC29="終了予定"),1,0)</f>
        <v/>
      </c>
      <c r="AQ29" s="32">
        <f>IF(OR($AC29="要対応",$AC29="通知期限切れ"),1,0)</f>
        <v/>
      </c>
      <c r="AR29" s="72">
        <f>IF(AND(ISNUMBER($AB29),OR($AC29="要対応",$AC29="通知期限切れ",$AC29="確認済み",$AC29="有効")),$AB29+ROW()/100000,"")</f>
        <v/>
      </c>
      <c r="AS29" s="32">
        <f>IF($E29="","",IF(COUNTIF($E$5:$E29,$E29)=1,ROW(),""))</f>
        <v/>
      </c>
      <c r="AT29" s="32">
        <f>IF($S29="","",IF(COUNTIF($S$5:$S29,$S29)=1,ROW(),""))</f>
        <v/>
      </c>
    </row>
    <row r="30" ht="20" customHeight="1">
      <c r="A30" s="20" t="n">
        <v>26</v>
      </c>
      <c r="B30" s="21" t="n"/>
      <c r="C30" s="22" t="n"/>
      <c r="D30" s="22" t="n"/>
      <c r="E30" s="22" t="n"/>
      <c r="F30" s="66" t="n"/>
      <c r="G30" s="66" t="n"/>
      <c r="H30" s="66" t="n"/>
      <c r="I30" s="21" t="n"/>
      <c r="J30" s="24" t="n"/>
      <c r="K30" s="24" t="n"/>
      <c r="L30" s="21" t="n"/>
      <c r="M30" s="24" t="n"/>
      <c r="N30" s="21" t="n"/>
      <c r="O30" s="67" t="n"/>
      <c r="P30" s="21" t="n"/>
      <c r="Q30" s="21" t="n"/>
      <c r="R30" s="22" t="n"/>
      <c r="S30" s="22" t="n"/>
      <c r="T30" s="21" t="n"/>
      <c r="U30" s="66" t="n"/>
      <c r="V30" s="66" t="n"/>
      <c r="W30" s="66" t="n"/>
      <c r="X30" s="8" t="n"/>
      <c r="Y30" s="68">
        <f>IF($AN30="","",IF($AN30=0,$H30,IF($AN30=$AJ30,$AK30,$AL30)))</f>
        <v/>
      </c>
      <c r="Z30" s="68">
        <f>IF(OR($Y30="",NOT(ISNUMBER($K30))),"",IF($L30="日前",$Y30-$K30,EDATE($Y30,-$K30)))</f>
        <v/>
      </c>
      <c r="AA30" s="68">
        <f>IF(OR($Y30="",ISNUMBER($V30),N($Y30)&lt;'設定'!$B$6),"",IF($Z30&lt;&gt;"",$Z30,$Y30))</f>
        <v/>
      </c>
      <c r="AB30" s="69">
        <f>IF($AA30="","",$AA30-'設定'!$B$6)</f>
        <v/>
      </c>
      <c r="AC30" s="28">
        <f>IF(NOT(OR($B30&lt;&gt;"",$C30&lt;&gt;"")),"",IF(ISNUMBER($V30),IF($V30&lt;'設定'!$B$6,"終了","終了予定"),IF($Y30="","有効",IF($Y30&lt;'設定'!$B$6,"満了",IF(AND($T30="更新する",ISNUMBER($U30),N($U30)&lt;='設定'!$B$6,OR($AO30="",N($U30)&gt;N($AO30))),"確認済み",IF($AB30&lt;0,"通知期限切れ",IF($AB30&lt;=N('設定'!$B$7),"要対応","有効")))))))</f>
        <v/>
      </c>
      <c r="AD30" s="68">
        <f>IF(OR(NOT(ISNUMBER($M30)),$AC30="",$AC30="終了",$AC30="終了予定",$AC30="満了"),"",IF($N30="日前",'設定'!$B$6+$M30,EDATE('設定'!$B$6,$M30)))</f>
        <v/>
      </c>
      <c r="AE30" s="70">
        <f>IF(NOT(ISNUMBER($O30)),"",IF($P30="月額",$O30*12,IF($P30="年額",$O30,"")))</f>
        <v/>
      </c>
      <c r="AF30" s="30">
        <f>MID(IF(AND(ISNUMBER($G30),ISNUMBER($H30)),IF(N($H30)&lt;N($G30)," / 満了日が開始日より前",""),"")&amp;IF(AND($I30="あり",NOT(ISNUMBER($H30)))," / 自動更新ありなのに満了日が空","")&amp;IF(AND($I30="あり",ISNUMBER($H30),NOT(ISNUMBER($J30)))," / 更新期間が空（更新を計算できない）","")&amp;IF($AH30="","",IF(AND(DAY($AH30)&gt;=29,OR(MOD($J30,12)&lt;&gt;0,MONTH($AH30)=2))," / 更新の初日が29〜31日（更新を重ねると満了日が1日ずれることがある。満了日を今の期間の満了日に書き換えると直る）",""))&amp;IF(AND(ISNUMBER($K30),$L30="")," / 通知の単位が空（か月前で計算）","")&amp;IF(AND(ISNUMBER($M30),$N30="")," / 解約予告の単位が空（か月前で計算）","")&amp;IF(AND(ISNUMBER($O30),$P30="")," / 金額の区分が空","")&amp;IF(AND($T30&lt;&gt;"",NOT(ISNUMBER($U30)))," / 対応を決めた日が空","")&amp;IF(AND(ISNUMBER($U30),$T30="")," / 今期の対応が空","")&amp;IF(AND($T30="更新しない",NOT(ISNUMBER($V30)))," / 更新しないなら、解約・終了した日（契約が終わる日）を入れる",""),4,300)</f>
        <v/>
      </c>
      <c r="AG30" s="53" t="n"/>
      <c r="AH30" s="71">
        <f>IF(AND(ISNUMBER($H30),$I30="あり",ISNUMBER($J30)),IF($J30&gt;=1,$H30+1,""),"")</f>
        <v/>
      </c>
      <c r="AI30" s="32">
        <f>IF($AH30="","",(YEAR('設定'!$B$6)-YEAR($AH30))*12+MONTH('設定'!$B$6)-MONTH($AH30))</f>
        <v/>
      </c>
      <c r="AJ30" s="32">
        <f>IF($AH30="","",MAX(1,ROUNDUP($AI30/$J30,0)))</f>
        <v/>
      </c>
      <c r="AK30" s="71">
        <f>IF($AJ30="","",IF(DAY(EDATE($AH30,$AJ30*$J30))&lt;DAY($AH30),EDATE($AH30,$AJ30*$J30),EDATE($AH30,$AJ30*$J30)-1))</f>
        <v/>
      </c>
      <c r="AL30" s="71">
        <f>IF($AJ30="","",IF(DAY(EDATE($AH30,($AJ30+1)*$J30))&lt;DAY($AH30),EDATE($AH30,($AJ30+1)*$J30),EDATE($AH30,($AJ30+1)*$J30)-1))</f>
        <v/>
      </c>
      <c r="AM30" s="71">
        <f>IF($AJ30="","",IF($AJ30=1,$H30,IF(DAY(EDATE($AH30,($AJ30-1)*$J30))&lt;DAY($AH30),EDATE($AH30,($AJ30-1)*$J30),EDATE($AH30,($AJ30-1)*$J30)-1)))</f>
        <v/>
      </c>
      <c r="AN30" s="32">
        <f>IF(NOT(ISNUMBER($H30)),"",IF(OR($AH30="",$H30&gt;='設定'!$B$6),0,IF($AK30&gt;='設定'!$B$6,$AJ30,$AJ30+1)))</f>
        <v/>
      </c>
      <c r="AO30" s="71">
        <f>IF($AN30="","",IF($AN30=0,"",IF($AN30=$AJ30,$AM30,$AK30)))</f>
        <v/>
      </c>
      <c r="AP30" s="32">
        <f>IF(OR($AC30="要対応",$AC30="通知期限切れ",$AC30="確認済み",$AC30="有効",$AC30="終了予定"),1,0)</f>
        <v/>
      </c>
      <c r="AQ30" s="32">
        <f>IF(OR($AC30="要対応",$AC30="通知期限切れ"),1,0)</f>
        <v/>
      </c>
      <c r="AR30" s="72">
        <f>IF(AND(ISNUMBER($AB30),OR($AC30="要対応",$AC30="通知期限切れ",$AC30="確認済み",$AC30="有効")),$AB30+ROW()/100000,"")</f>
        <v/>
      </c>
      <c r="AS30" s="32">
        <f>IF($E30="","",IF(COUNTIF($E$5:$E30,$E30)=1,ROW(),""))</f>
        <v/>
      </c>
      <c r="AT30" s="32">
        <f>IF($S30="","",IF(COUNTIF($S$5:$S30,$S30)=1,ROW(),""))</f>
        <v/>
      </c>
    </row>
    <row r="31" ht="20" customHeight="1">
      <c r="A31" s="20" t="n">
        <v>27</v>
      </c>
      <c r="B31" s="21" t="n"/>
      <c r="C31" s="22" t="n"/>
      <c r="D31" s="22" t="n"/>
      <c r="E31" s="22" t="n"/>
      <c r="F31" s="66" t="n"/>
      <c r="G31" s="66" t="n"/>
      <c r="H31" s="66" t="n"/>
      <c r="I31" s="21" t="n"/>
      <c r="J31" s="24" t="n"/>
      <c r="K31" s="24" t="n"/>
      <c r="L31" s="21" t="n"/>
      <c r="M31" s="24" t="n"/>
      <c r="N31" s="21" t="n"/>
      <c r="O31" s="67" t="n"/>
      <c r="P31" s="21" t="n"/>
      <c r="Q31" s="21" t="n"/>
      <c r="R31" s="22" t="n"/>
      <c r="S31" s="22" t="n"/>
      <c r="T31" s="21" t="n"/>
      <c r="U31" s="66" t="n"/>
      <c r="V31" s="66" t="n"/>
      <c r="W31" s="66" t="n"/>
      <c r="X31" s="8" t="n"/>
      <c r="Y31" s="68">
        <f>IF($AN31="","",IF($AN31=0,$H31,IF($AN31=$AJ31,$AK31,$AL31)))</f>
        <v/>
      </c>
      <c r="Z31" s="68">
        <f>IF(OR($Y31="",NOT(ISNUMBER($K31))),"",IF($L31="日前",$Y31-$K31,EDATE($Y31,-$K31)))</f>
        <v/>
      </c>
      <c r="AA31" s="68">
        <f>IF(OR($Y31="",ISNUMBER($V31),N($Y31)&lt;'設定'!$B$6),"",IF($Z31&lt;&gt;"",$Z31,$Y31))</f>
        <v/>
      </c>
      <c r="AB31" s="69">
        <f>IF($AA31="","",$AA31-'設定'!$B$6)</f>
        <v/>
      </c>
      <c r="AC31" s="28">
        <f>IF(NOT(OR($B31&lt;&gt;"",$C31&lt;&gt;"")),"",IF(ISNUMBER($V31),IF($V31&lt;'設定'!$B$6,"終了","終了予定"),IF($Y31="","有効",IF($Y31&lt;'設定'!$B$6,"満了",IF(AND($T31="更新する",ISNUMBER($U31),N($U31)&lt;='設定'!$B$6,OR($AO31="",N($U31)&gt;N($AO31))),"確認済み",IF($AB31&lt;0,"通知期限切れ",IF($AB31&lt;=N('設定'!$B$7),"要対応","有効")))))))</f>
        <v/>
      </c>
      <c r="AD31" s="68">
        <f>IF(OR(NOT(ISNUMBER($M31)),$AC31="",$AC31="終了",$AC31="終了予定",$AC31="満了"),"",IF($N31="日前",'設定'!$B$6+$M31,EDATE('設定'!$B$6,$M31)))</f>
        <v/>
      </c>
      <c r="AE31" s="70">
        <f>IF(NOT(ISNUMBER($O31)),"",IF($P31="月額",$O31*12,IF($P31="年額",$O31,"")))</f>
        <v/>
      </c>
      <c r="AF31" s="30">
        <f>MID(IF(AND(ISNUMBER($G31),ISNUMBER($H31)),IF(N($H31)&lt;N($G31)," / 満了日が開始日より前",""),"")&amp;IF(AND($I31="あり",NOT(ISNUMBER($H31)))," / 自動更新ありなのに満了日が空","")&amp;IF(AND($I31="あり",ISNUMBER($H31),NOT(ISNUMBER($J31)))," / 更新期間が空（更新を計算できない）","")&amp;IF($AH31="","",IF(AND(DAY($AH31)&gt;=29,OR(MOD($J31,12)&lt;&gt;0,MONTH($AH31)=2))," / 更新の初日が29〜31日（更新を重ねると満了日が1日ずれることがある。満了日を今の期間の満了日に書き換えると直る）",""))&amp;IF(AND(ISNUMBER($K31),$L31="")," / 通知の単位が空（か月前で計算）","")&amp;IF(AND(ISNUMBER($M31),$N31="")," / 解約予告の単位が空（か月前で計算）","")&amp;IF(AND(ISNUMBER($O31),$P31="")," / 金額の区分が空","")&amp;IF(AND($T31&lt;&gt;"",NOT(ISNUMBER($U31)))," / 対応を決めた日が空","")&amp;IF(AND(ISNUMBER($U31),$T31="")," / 今期の対応が空","")&amp;IF(AND($T31="更新しない",NOT(ISNUMBER($V31)))," / 更新しないなら、解約・終了した日（契約が終わる日）を入れる",""),4,300)</f>
        <v/>
      </c>
      <c r="AG31" s="53" t="n"/>
      <c r="AH31" s="71">
        <f>IF(AND(ISNUMBER($H31),$I31="あり",ISNUMBER($J31)),IF($J31&gt;=1,$H31+1,""),"")</f>
        <v/>
      </c>
      <c r="AI31" s="32">
        <f>IF($AH31="","",(YEAR('設定'!$B$6)-YEAR($AH31))*12+MONTH('設定'!$B$6)-MONTH($AH31))</f>
        <v/>
      </c>
      <c r="AJ31" s="32">
        <f>IF($AH31="","",MAX(1,ROUNDUP($AI31/$J31,0)))</f>
        <v/>
      </c>
      <c r="AK31" s="71">
        <f>IF($AJ31="","",IF(DAY(EDATE($AH31,$AJ31*$J31))&lt;DAY($AH31),EDATE($AH31,$AJ31*$J31),EDATE($AH31,$AJ31*$J31)-1))</f>
        <v/>
      </c>
      <c r="AL31" s="71">
        <f>IF($AJ31="","",IF(DAY(EDATE($AH31,($AJ31+1)*$J31))&lt;DAY($AH31),EDATE($AH31,($AJ31+1)*$J31),EDATE($AH31,($AJ31+1)*$J31)-1))</f>
        <v/>
      </c>
      <c r="AM31" s="71">
        <f>IF($AJ31="","",IF($AJ31=1,$H31,IF(DAY(EDATE($AH31,($AJ31-1)*$J31))&lt;DAY($AH31),EDATE($AH31,($AJ31-1)*$J31),EDATE($AH31,($AJ31-1)*$J31)-1)))</f>
        <v/>
      </c>
      <c r="AN31" s="32">
        <f>IF(NOT(ISNUMBER($H31)),"",IF(OR($AH31="",$H31&gt;='設定'!$B$6),0,IF($AK31&gt;='設定'!$B$6,$AJ31,$AJ31+1)))</f>
        <v/>
      </c>
      <c r="AO31" s="71">
        <f>IF($AN31="","",IF($AN31=0,"",IF($AN31=$AJ31,$AM31,$AK31)))</f>
        <v/>
      </c>
      <c r="AP31" s="32">
        <f>IF(OR($AC31="要対応",$AC31="通知期限切れ",$AC31="確認済み",$AC31="有効",$AC31="終了予定"),1,0)</f>
        <v/>
      </c>
      <c r="AQ31" s="32">
        <f>IF(OR($AC31="要対応",$AC31="通知期限切れ"),1,0)</f>
        <v/>
      </c>
      <c r="AR31" s="72">
        <f>IF(AND(ISNUMBER($AB31),OR($AC31="要対応",$AC31="通知期限切れ",$AC31="確認済み",$AC31="有効")),$AB31+ROW()/100000,"")</f>
        <v/>
      </c>
      <c r="AS31" s="32">
        <f>IF($E31="","",IF(COUNTIF($E$5:$E31,$E31)=1,ROW(),""))</f>
        <v/>
      </c>
      <c r="AT31" s="32">
        <f>IF($S31="","",IF(COUNTIF($S$5:$S31,$S31)=1,ROW(),""))</f>
        <v/>
      </c>
    </row>
    <row r="32" ht="20" customHeight="1">
      <c r="A32" s="20" t="n">
        <v>28</v>
      </c>
      <c r="B32" s="21" t="n"/>
      <c r="C32" s="22" t="n"/>
      <c r="D32" s="22" t="n"/>
      <c r="E32" s="22" t="n"/>
      <c r="F32" s="66" t="n"/>
      <c r="G32" s="66" t="n"/>
      <c r="H32" s="66" t="n"/>
      <c r="I32" s="21" t="n"/>
      <c r="J32" s="24" t="n"/>
      <c r="K32" s="24" t="n"/>
      <c r="L32" s="21" t="n"/>
      <c r="M32" s="24" t="n"/>
      <c r="N32" s="21" t="n"/>
      <c r="O32" s="67" t="n"/>
      <c r="P32" s="21" t="n"/>
      <c r="Q32" s="21" t="n"/>
      <c r="R32" s="22" t="n"/>
      <c r="S32" s="22" t="n"/>
      <c r="T32" s="21" t="n"/>
      <c r="U32" s="66" t="n"/>
      <c r="V32" s="66" t="n"/>
      <c r="W32" s="66" t="n"/>
      <c r="X32" s="8" t="n"/>
      <c r="Y32" s="68">
        <f>IF($AN32="","",IF($AN32=0,$H32,IF($AN32=$AJ32,$AK32,$AL32)))</f>
        <v/>
      </c>
      <c r="Z32" s="68">
        <f>IF(OR($Y32="",NOT(ISNUMBER($K32))),"",IF($L32="日前",$Y32-$K32,EDATE($Y32,-$K32)))</f>
        <v/>
      </c>
      <c r="AA32" s="68">
        <f>IF(OR($Y32="",ISNUMBER($V32),N($Y32)&lt;'設定'!$B$6),"",IF($Z32&lt;&gt;"",$Z32,$Y32))</f>
        <v/>
      </c>
      <c r="AB32" s="69">
        <f>IF($AA32="","",$AA32-'設定'!$B$6)</f>
        <v/>
      </c>
      <c r="AC32" s="28">
        <f>IF(NOT(OR($B32&lt;&gt;"",$C32&lt;&gt;"")),"",IF(ISNUMBER($V32),IF($V32&lt;'設定'!$B$6,"終了","終了予定"),IF($Y32="","有効",IF($Y32&lt;'設定'!$B$6,"満了",IF(AND($T32="更新する",ISNUMBER($U32),N($U32)&lt;='設定'!$B$6,OR($AO32="",N($U32)&gt;N($AO32))),"確認済み",IF($AB32&lt;0,"通知期限切れ",IF($AB32&lt;=N('設定'!$B$7),"要対応","有効")))))))</f>
        <v/>
      </c>
      <c r="AD32" s="68">
        <f>IF(OR(NOT(ISNUMBER($M32)),$AC32="",$AC32="終了",$AC32="終了予定",$AC32="満了"),"",IF($N32="日前",'設定'!$B$6+$M32,EDATE('設定'!$B$6,$M32)))</f>
        <v/>
      </c>
      <c r="AE32" s="70">
        <f>IF(NOT(ISNUMBER($O32)),"",IF($P32="月額",$O32*12,IF($P32="年額",$O32,"")))</f>
        <v/>
      </c>
      <c r="AF32" s="30">
        <f>MID(IF(AND(ISNUMBER($G32),ISNUMBER($H32)),IF(N($H32)&lt;N($G32)," / 満了日が開始日より前",""),"")&amp;IF(AND($I32="あり",NOT(ISNUMBER($H32)))," / 自動更新ありなのに満了日が空","")&amp;IF(AND($I32="あり",ISNUMBER($H32),NOT(ISNUMBER($J32)))," / 更新期間が空（更新を計算できない）","")&amp;IF($AH32="","",IF(AND(DAY($AH32)&gt;=29,OR(MOD($J32,12)&lt;&gt;0,MONTH($AH32)=2))," / 更新の初日が29〜31日（更新を重ねると満了日が1日ずれることがある。満了日を今の期間の満了日に書き換えると直る）",""))&amp;IF(AND(ISNUMBER($K32),$L32="")," / 通知の単位が空（か月前で計算）","")&amp;IF(AND(ISNUMBER($M32),$N32="")," / 解約予告の単位が空（か月前で計算）","")&amp;IF(AND(ISNUMBER($O32),$P32="")," / 金額の区分が空","")&amp;IF(AND($T32&lt;&gt;"",NOT(ISNUMBER($U32)))," / 対応を決めた日が空","")&amp;IF(AND(ISNUMBER($U32),$T32="")," / 今期の対応が空","")&amp;IF(AND($T32="更新しない",NOT(ISNUMBER($V32)))," / 更新しないなら、解約・終了した日（契約が終わる日）を入れる",""),4,300)</f>
        <v/>
      </c>
      <c r="AG32" s="53" t="n"/>
      <c r="AH32" s="71">
        <f>IF(AND(ISNUMBER($H32),$I32="あり",ISNUMBER($J32)),IF($J32&gt;=1,$H32+1,""),"")</f>
        <v/>
      </c>
      <c r="AI32" s="32">
        <f>IF($AH32="","",(YEAR('設定'!$B$6)-YEAR($AH32))*12+MONTH('設定'!$B$6)-MONTH($AH32))</f>
        <v/>
      </c>
      <c r="AJ32" s="32">
        <f>IF($AH32="","",MAX(1,ROUNDUP($AI32/$J32,0)))</f>
        <v/>
      </c>
      <c r="AK32" s="71">
        <f>IF($AJ32="","",IF(DAY(EDATE($AH32,$AJ32*$J32))&lt;DAY($AH32),EDATE($AH32,$AJ32*$J32),EDATE($AH32,$AJ32*$J32)-1))</f>
        <v/>
      </c>
      <c r="AL32" s="71">
        <f>IF($AJ32="","",IF(DAY(EDATE($AH32,($AJ32+1)*$J32))&lt;DAY($AH32),EDATE($AH32,($AJ32+1)*$J32),EDATE($AH32,($AJ32+1)*$J32)-1))</f>
        <v/>
      </c>
      <c r="AM32" s="71">
        <f>IF($AJ32="","",IF($AJ32=1,$H32,IF(DAY(EDATE($AH32,($AJ32-1)*$J32))&lt;DAY($AH32),EDATE($AH32,($AJ32-1)*$J32),EDATE($AH32,($AJ32-1)*$J32)-1)))</f>
        <v/>
      </c>
      <c r="AN32" s="32">
        <f>IF(NOT(ISNUMBER($H32)),"",IF(OR($AH32="",$H32&gt;='設定'!$B$6),0,IF($AK32&gt;='設定'!$B$6,$AJ32,$AJ32+1)))</f>
        <v/>
      </c>
      <c r="AO32" s="71">
        <f>IF($AN32="","",IF($AN32=0,"",IF($AN32=$AJ32,$AM32,$AK32)))</f>
        <v/>
      </c>
      <c r="AP32" s="32">
        <f>IF(OR($AC32="要対応",$AC32="通知期限切れ",$AC32="確認済み",$AC32="有効",$AC32="終了予定"),1,0)</f>
        <v/>
      </c>
      <c r="AQ32" s="32">
        <f>IF(OR($AC32="要対応",$AC32="通知期限切れ"),1,0)</f>
        <v/>
      </c>
      <c r="AR32" s="72">
        <f>IF(AND(ISNUMBER($AB32),OR($AC32="要対応",$AC32="通知期限切れ",$AC32="確認済み",$AC32="有効")),$AB32+ROW()/100000,"")</f>
        <v/>
      </c>
      <c r="AS32" s="32">
        <f>IF($E32="","",IF(COUNTIF($E$5:$E32,$E32)=1,ROW(),""))</f>
        <v/>
      </c>
      <c r="AT32" s="32">
        <f>IF($S32="","",IF(COUNTIF($S$5:$S32,$S32)=1,ROW(),""))</f>
        <v/>
      </c>
    </row>
    <row r="33" ht="20" customHeight="1">
      <c r="A33" s="20" t="n">
        <v>29</v>
      </c>
      <c r="B33" s="21" t="n"/>
      <c r="C33" s="22" t="n"/>
      <c r="D33" s="22" t="n"/>
      <c r="E33" s="22" t="n"/>
      <c r="F33" s="66" t="n"/>
      <c r="G33" s="66" t="n"/>
      <c r="H33" s="66" t="n"/>
      <c r="I33" s="21" t="n"/>
      <c r="J33" s="24" t="n"/>
      <c r="K33" s="24" t="n"/>
      <c r="L33" s="21" t="n"/>
      <c r="M33" s="24" t="n"/>
      <c r="N33" s="21" t="n"/>
      <c r="O33" s="67" t="n"/>
      <c r="P33" s="21" t="n"/>
      <c r="Q33" s="21" t="n"/>
      <c r="R33" s="22" t="n"/>
      <c r="S33" s="22" t="n"/>
      <c r="T33" s="21" t="n"/>
      <c r="U33" s="66" t="n"/>
      <c r="V33" s="66" t="n"/>
      <c r="W33" s="66" t="n"/>
      <c r="X33" s="8" t="n"/>
      <c r="Y33" s="68">
        <f>IF($AN33="","",IF($AN33=0,$H33,IF($AN33=$AJ33,$AK33,$AL33)))</f>
        <v/>
      </c>
      <c r="Z33" s="68">
        <f>IF(OR($Y33="",NOT(ISNUMBER($K33))),"",IF($L33="日前",$Y33-$K33,EDATE($Y33,-$K33)))</f>
        <v/>
      </c>
      <c r="AA33" s="68">
        <f>IF(OR($Y33="",ISNUMBER($V33),N($Y33)&lt;'設定'!$B$6),"",IF($Z33&lt;&gt;"",$Z33,$Y33))</f>
        <v/>
      </c>
      <c r="AB33" s="69">
        <f>IF($AA33="","",$AA33-'設定'!$B$6)</f>
        <v/>
      </c>
      <c r="AC33" s="28">
        <f>IF(NOT(OR($B33&lt;&gt;"",$C33&lt;&gt;"")),"",IF(ISNUMBER($V33),IF($V33&lt;'設定'!$B$6,"終了","終了予定"),IF($Y33="","有効",IF($Y33&lt;'設定'!$B$6,"満了",IF(AND($T33="更新する",ISNUMBER($U33),N($U33)&lt;='設定'!$B$6,OR($AO33="",N($U33)&gt;N($AO33))),"確認済み",IF($AB33&lt;0,"通知期限切れ",IF($AB33&lt;=N('設定'!$B$7),"要対応","有効")))))))</f>
        <v/>
      </c>
      <c r="AD33" s="68">
        <f>IF(OR(NOT(ISNUMBER($M33)),$AC33="",$AC33="終了",$AC33="終了予定",$AC33="満了"),"",IF($N33="日前",'設定'!$B$6+$M33,EDATE('設定'!$B$6,$M33)))</f>
        <v/>
      </c>
      <c r="AE33" s="70">
        <f>IF(NOT(ISNUMBER($O33)),"",IF($P33="月額",$O33*12,IF($P33="年額",$O33,"")))</f>
        <v/>
      </c>
      <c r="AF33" s="30">
        <f>MID(IF(AND(ISNUMBER($G33),ISNUMBER($H33)),IF(N($H33)&lt;N($G33)," / 満了日が開始日より前",""),"")&amp;IF(AND($I33="あり",NOT(ISNUMBER($H33)))," / 自動更新ありなのに満了日が空","")&amp;IF(AND($I33="あり",ISNUMBER($H33),NOT(ISNUMBER($J33)))," / 更新期間が空（更新を計算できない）","")&amp;IF($AH33="","",IF(AND(DAY($AH33)&gt;=29,OR(MOD($J33,12)&lt;&gt;0,MONTH($AH33)=2))," / 更新の初日が29〜31日（更新を重ねると満了日が1日ずれることがある。満了日を今の期間の満了日に書き換えると直る）",""))&amp;IF(AND(ISNUMBER($K33),$L33="")," / 通知の単位が空（か月前で計算）","")&amp;IF(AND(ISNUMBER($M33),$N33="")," / 解約予告の単位が空（か月前で計算）","")&amp;IF(AND(ISNUMBER($O33),$P33="")," / 金額の区分が空","")&amp;IF(AND($T33&lt;&gt;"",NOT(ISNUMBER($U33)))," / 対応を決めた日が空","")&amp;IF(AND(ISNUMBER($U33),$T33="")," / 今期の対応が空","")&amp;IF(AND($T33="更新しない",NOT(ISNUMBER($V33)))," / 更新しないなら、解約・終了した日（契約が終わる日）を入れる",""),4,300)</f>
        <v/>
      </c>
      <c r="AG33" s="53" t="n"/>
      <c r="AH33" s="71">
        <f>IF(AND(ISNUMBER($H33),$I33="あり",ISNUMBER($J33)),IF($J33&gt;=1,$H33+1,""),"")</f>
        <v/>
      </c>
      <c r="AI33" s="32">
        <f>IF($AH33="","",(YEAR('設定'!$B$6)-YEAR($AH33))*12+MONTH('設定'!$B$6)-MONTH($AH33))</f>
        <v/>
      </c>
      <c r="AJ33" s="32">
        <f>IF($AH33="","",MAX(1,ROUNDUP($AI33/$J33,0)))</f>
        <v/>
      </c>
      <c r="AK33" s="71">
        <f>IF($AJ33="","",IF(DAY(EDATE($AH33,$AJ33*$J33))&lt;DAY($AH33),EDATE($AH33,$AJ33*$J33),EDATE($AH33,$AJ33*$J33)-1))</f>
        <v/>
      </c>
      <c r="AL33" s="71">
        <f>IF($AJ33="","",IF(DAY(EDATE($AH33,($AJ33+1)*$J33))&lt;DAY($AH33),EDATE($AH33,($AJ33+1)*$J33),EDATE($AH33,($AJ33+1)*$J33)-1))</f>
        <v/>
      </c>
      <c r="AM33" s="71">
        <f>IF($AJ33="","",IF($AJ33=1,$H33,IF(DAY(EDATE($AH33,($AJ33-1)*$J33))&lt;DAY($AH33),EDATE($AH33,($AJ33-1)*$J33),EDATE($AH33,($AJ33-1)*$J33)-1)))</f>
        <v/>
      </c>
      <c r="AN33" s="32">
        <f>IF(NOT(ISNUMBER($H33)),"",IF(OR($AH33="",$H33&gt;='設定'!$B$6),0,IF($AK33&gt;='設定'!$B$6,$AJ33,$AJ33+1)))</f>
        <v/>
      </c>
      <c r="AO33" s="71">
        <f>IF($AN33="","",IF($AN33=0,"",IF($AN33=$AJ33,$AM33,$AK33)))</f>
        <v/>
      </c>
      <c r="AP33" s="32">
        <f>IF(OR($AC33="要対応",$AC33="通知期限切れ",$AC33="確認済み",$AC33="有効",$AC33="終了予定"),1,0)</f>
        <v/>
      </c>
      <c r="AQ33" s="32">
        <f>IF(OR($AC33="要対応",$AC33="通知期限切れ"),1,0)</f>
        <v/>
      </c>
      <c r="AR33" s="72">
        <f>IF(AND(ISNUMBER($AB33),OR($AC33="要対応",$AC33="通知期限切れ",$AC33="確認済み",$AC33="有効")),$AB33+ROW()/100000,"")</f>
        <v/>
      </c>
      <c r="AS33" s="32">
        <f>IF($E33="","",IF(COUNTIF($E$5:$E33,$E33)=1,ROW(),""))</f>
        <v/>
      </c>
      <c r="AT33" s="32">
        <f>IF($S33="","",IF(COUNTIF($S$5:$S33,$S33)=1,ROW(),""))</f>
        <v/>
      </c>
    </row>
    <row r="34" ht="20" customHeight="1">
      <c r="A34" s="20" t="n">
        <v>30</v>
      </c>
      <c r="B34" s="21" t="n"/>
      <c r="C34" s="22" t="n"/>
      <c r="D34" s="22" t="n"/>
      <c r="E34" s="22" t="n"/>
      <c r="F34" s="66" t="n"/>
      <c r="G34" s="66" t="n"/>
      <c r="H34" s="66" t="n"/>
      <c r="I34" s="21" t="n"/>
      <c r="J34" s="24" t="n"/>
      <c r="K34" s="24" t="n"/>
      <c r="L34" s="21" t="n"/>
      <c r="M34" s="24" t="n"/>
      <c r="N34" s="21" t="n"/>
      <c r="O34" s="67" t="n"/>
      <c r="P34" s="21" t="n"/>
      <c r="Q34" s="21" t="n"/>
      <c r="R34" s="22" t="n"/>
      <c r="S34" s="22" t="n"/>
      <c r="T34" s="21" t="n"/>
      <c r="U34" s="66" t="n"/>
      <c r="V34" s="66" t="n"/>
      <c r="W34" s="66" t="n"/>
      <c r="X34" s="8" t="n"/>
      <c r="Y34" s="68">
        <f>IF($AN34="","",IF($AN34=0,$H34,IF($AN34=$AJ34,$AK34,$AL34)))</f>
        <v/>
      </c>
      <c r="Z34" s="68">
        <f>IF(OR($Y34="",NOT(ISNUMBER($K34))),"",IF($L34="日前",$Y34-$K34,EDATE($Y34,-$K34)))</f>
        <v/>
      </c>
      <c r="AA34" s="68">
        <f>IF(OR($Y34="",ISNUMBER($V34),N($Y34)&lt;'設定'!$B$6),"",IF($Z34&lt;&gt;"",$Z34,$Y34))</f>
        <v/>
      </c>
      <c r="AB34" s="69">
        <f>IF($AA34="","",$AA34-'設定'!$B$6)</f>
        <v/>
      </c>
      <c r="AC34" s="28">
        <f>IF(NOT(OR($B34&lt;&gt;"",$C34&lt;&gt;"")),"",IF(ISNUMBER($V34),IF($V34&lt;'設定'!$B$6,"終了","終了予定"),IF($Y34="","有効",IF($Y34&lt;'設定'!$B$6,"満了",IF(AND($T34="更新する",ISNUMBER($U34),N($U34)&lt;='設定'!$B$6,OR($AO34="",N($U34)&gt;N($AO34))),"確認済み",IF($AB34&lt;0,"通知期限切れ",IF($AB34&lt;=N('設定'!$B$7),"要対応","有効")))))))</f>
        <v/>
      </c>
      <c r="AD34" s="68">
        <f>IF(OR(NOT(ISNUMBER($M34)),$AC34="",$AC34="終了",$AC34="終了予定",$AC34="満了"),"",IF($N34="日前",'設定'!$B$6+$M34,EDATE('設定'!$B$6,$M34)))</f>
        <v/>
      </c>
      <c r="AE34" s="70">
        <f>IF(NOT(ISNUMBER($O34)),"",IF($P34="月額",$O34*12,IF($P34="年額",$O34,"")))</f>
        <v/>
      </c>
      <c r="AF34" s="30">
        <f>MID(IF(AND(ISNUMBER($G34),ISNUMBER($H34)),IF(N($H34)&lt;N($G34)," / 満了日が開始日より前",""),"")&amp;IF(AND($I34="あり",NOT(ISNUMBER($H34)))," / 自動更新ありなのに満了日が空","")&amp;IF(AND($I34="あり",ISNUMBER($H34),NOT(ISNUMBER($J34)))," / 更新期間が空（更新を計算できない）","")&amp;IF($AH34="","",IF(AND(DAY($AH34)&gt;=29,OR(MOD($J34,12)&lt;&gt;0,MONTH($AH34)=2))," / 更新の初日が29〜31日（更新を重ねると満了日が1日ずれることがある。満了日を今の期間の満了日に書き換えると直る）",""))&amp;IF(AND(ISNUMBER($K34),$L34="")," / 通知の単位が空（か月前で計算）","")&amp;IF(AND(ISNUMBER($M34),$N34="")," / 解約予告の単位が空（か月前で計算）","")&amp;IF(AND(ISNUMBER($O34),$P34="")," / 金額の区分が空","")&amp;IF(AND($T34&lt;&gt;"",NOT(ISNUMBER($U34)))," / 対応を決めた日が空","")&amp;IF(AND(ISNUMBER($U34),$T34="")," / 今期の対応が空","")&amp;IF(AND($T34="更新しない",NOT(ISNUMBER($V34)))," / 更新しないなら、解約・終了した日（契約が終わる日）を入れる",""),4,300)</f>
        <v/>
      </c>
      <c r="AG34" s="53" t="n"/>
      <c r="AH34" s="71">
        <f>IF(AND(ISNUMBER($H34),$I34="あり",ISNUMBER($J34)),IF($J34&gt;=1,$H34+1,""),"")</f>
        <v/>
      </c>
      <c r="AI34" s="32">
        <f>IF($AH34="","",(YEAR('設定'!$B$6)-YEAR($AH34))*12+MONTH('設定'!$B$6)-MONTH($AH34))</f>
        <v/>
      </c>
      <c r="AJ34" s="32">
        <f>IF($AH34="","",MAX(1,ROUNDUP($AI34/$J34,0)))</f>
        <v/>
      </c>
      <c r="AK34" s="71">
        <f>IF($AJ34="","",IF(DAY(EDATE($AH34,$AJ34*$J34))&lt;DAY($AH34),EDATE($AH34,$AJ34*$J34),EDATE($AH34,$AJ34*$J34)-1))</f>
        <v/>
      </c>
      <c r="AL34" s="71">
        <f>IF($AJ34="","",IF(DAY(EDATE($AH34,($AJ34+1)*$J34))&lt;DAY($AH34),EDATE($AH34,($AJ34+1)*$J34),EDATE($AH34,($AJ34+1)*$J34)-1))</f>
        <v/>
      </c>
      <c r="AM34" s="71">
        <f>IF($AJ34="","",IF($AJ34=1,$H34,IF(DAY(EDATE($AH34,($AJ34-1)*$J34))&lt;DAY($AH34),EDATE($AH34,($AJ34-1)*$J34),EDATE($AH34,($AJ34-1)*$J34)-1)))</f>
        <v/>
      </c>
      <c r="AN34" s="32">
        <f>IF(NOT(ISNUMBER($H34)),"",IF(OR($AH34="",$H34&gt;='設定'!$B$6),0,IF($AK34&gt;='設定'!$B$6,$AJ34,$AJ34+1)))</f>
        <v/>
      </c>
      <c r="AO34" s="71">
        <f>IF($AN34="","",IF($AN34=0,"",IF($AN34=$AJ34,$AM34,$AK34)))</f>
        <v/>
      </c>
      <c r="AP34" s="32">
        <f>IF(OR($AC34="要対応",$AC34="通知期限切れ",$AC34="確認済み",$AC34="有効",$AC34="終了予定"),1,0)</f>
        <v/>
      </c>
      <c r="AQ34" s="32">
        <f>IF(OR($AC34="要対応",$AC34="通知期限切れ"),1,0)</f>
        <v/>
      </c>
      <c r="AR34" s="72">
        <f>IF(AND(ISNUMBER($AB34),OR($AC34="要対応",$AC34="通知期限切れ",$AC34="確認済み",$AC34="有効")),$AB34+ROW()/100000,"")</f>
        <v/>
      </c>
      <c r="AS34" s="32">
        <f>IF($E34="","",IF(COUNTIF($E$5:$E34,$E34)=1,ROW(),""))</f>
        <v/>
      </c>
      <c r="AT34" s="32">
        <f>IF($S34="","",IF(COUNTIF($S$5:$S34,$S34)=1,ROW(),""))</f>
        <v/>
      </c>
    </row>
    <row r="35" ht="20" customHeight="1">
      <c r="A35" s="20" t="n">
        <v>31</v>
      </c>
      <c r="B35" s="21" t="n"/>
      <c r="C35" s="22" t="n"/>
      <c r="D35" s="22" t="n"/>
      <c r="E35" s="22" t="n"/>
      <c r="F35" s="66" t="n"/>
      <c r="G35" s="66" t="n"/>
      <c r="H35" s="66" t="n"/>
      <c r="I35" s="21" t="n"/>
      <c r="J35" s="24" t="n"/>
      <c r="K35" s="24" t="n"/>
      <c r="L35" s="21" t="n"/>
      <c r="M35" s="24" t="n"/>
      <c r="N35" s="21" t="n"/>
      <c r="O35" s="67" t="n"/>
      <c r="P35" s="21" t="n"/>
      <c r="Q35" s="21" t="n"/>
      <c r="R35" s="22" t="n"/>
      <c r="S35" s="22" t="n"/>
      <c r="T35" s="21" t="n"/>
      <c r="U35" s="66" t="n"/>
      <c r="V35" s="66" t="n"/>
      <c r="W35" s="66" t="n"/>
      <c r="X35" s="8" t="n"/>
      <c r="Y35" s="68">
        <f>IF($AN35="","",IF($AN35=0,$H35,IF($AN35=$AJ35,$AK35,$AL35)))</f>
        <v/>
      </c>
      <c r="Z35" s="68">
        <f>IF(OR($Y35="",NOT(ISNUMBER($K35))),"",IF($L35="日前",$Y35-$K35,EDATE($Y35,-$K35)))</f>
        <v/>
      </c>
      <c r="AA35" s="68">
        <f>IF(OR($Y35="",ISNUMBER($V35),N($Y35)&lt;'設定'!$B$6),"",IF($Z35&lt;&gt;"",$Z35,$Y35))</f>
        <v/>
      </c>
      <c r="AB35" s="69">
        <f>IF($AA35="","",$AA35-'設定'!$B$6)</f>
        <v/>
      </c>
      <c r="AC35" s="28">
        <f>IF(NOT(OR($B35&lt;&gt;"",$C35&lt;&gt;"")),"",IF(ISNUMBER($V35),IF($V35&lt;'設定'!$B$6,"終了","終了予定"),IF($Y35="","有効",IF($Y35&lt;'設定'!$B$6,"満了",IF(AND($T35="更新する",ISNUMBER($U35),N($U35)&lt;='設定'!$B$6,OR($AO35="",N($U35)&gt;N($AO35))),"確認済み",IF($AB35&lt;0,"通知期限切れ",IF($AB35&lt;=N('設定'!$B$7),"要対応","有効")))))))</f>
        <v/>
      </c>
      <c r="AD35" s="68">
        <f>IF(OR(NOT(ISNUMBER($M35)),$AC35="",$AC35="終了",$AC35="終了予定",$AC35="満了"),"",IF($N35="日前",'設定'!$B$6+$M35,EDATE('設定'!$B$6,$M35)))</f>
        <v/>
      </c>
      <c r="AE35" s="70">
        <f>IF(NOT(ISNUMBER($O35)),"",IF($P35="月額",$O35*12,IF($P35="年額",$O35,"")))</f>
        <v/>
      </c>
      <c r="AF35" s="30">
        <f>MID(IF(AND(ISNUMBER($G35),ISNUMBER($H35)),IF(N($H35)&lt;N($G35)," / 満了日が開始日より前",""),"")&amp;IF(AND($I35="あり",NOT(ISNUMBER($H35)))," / 自動更新ありなのに満了日が空","")&amp;IF(AND($I35="あり",ISNUMBER($H35),NOT(ISNUMBER($J35)))," / 更新期間が空（更新を計算できない）","")&amp;IF($AH35="","",IF(AND(DAY($AH35)&gt;=29,OR(MOD($J35,12)&lt;&gt;0,MONTH($AH35)=2))," / 更新の初日が29〜31日（更新を重ねると満了日が1日ずれることがある。満了日を今の期間の満了日に書き換えると直る）",""))&amp;IF(AND(ISNUMBER($K35),$L35="")," / 通知の単位が空（か月前で計算）","")&amp;IF(AND(ISNUMBER($M35),$N35="")," / 解約予告の単位が空（か月前で計算）","")&amp;IF(AND(ISNUMBER($O35),$P35="")," / 金額の区分が空","")&amp;IF(AND($T35&lt;&gt;"",NOT(ISNUMBER($U35)))," / 対応を決めた日が空","")&amp;IF(AND(ISNUMBER($U35),$T35="")," / 今期の対応が空","")&amp;IF(AND($T35="更新しない",NOT(ISNUMBER($V35)))," / 更新しないなら、解約・終了した日（契約が終わる日）を入れる",""),4,300)</f>
        <v/>
      </c>
      <c r="AG35" s="53" t="n"/>
      <c r="AH35" s="71">
        <f>IF(AND(ISNUMBER($H35),$I35="あり",ISNUMBER($J35)),IF($J35&gt;=1,$H35+1,""),"")</f>
        <v/>
      </c>
      <c r="AI35" s="32">
        <f>IF($AH35="","",(YEAR('設定'!$B$6)-YEAR($AH35))*12+MONTH('設定'!$B$6)-MONTH($AH35))</f>
        <v/>
      </c>
      <c r="AJ35" s="32">
        <f>IF($AH35="","",MAX(1,ROUNDUP($AI35/$J35,0)))</f>
        <v/>
      </c>
      <c r="AK35" s="71">
        <f>IF($AJ35="","",IF(DAY(EDATE($AH35,$AJ35*$J35))&lt;DAY($AH35),EDATE($AH35,$AJ35*$J35),EDATE($AH35,$AJ35*$J35)-1))</f>
        <v/>
      </c>
      <c r="AL35" s="71">
        <f>IF($AJ35="","",IF(DAY(EDATE($AH35,($AJ35+1)*$J35))&lt;DAY($AH35),EDATE($AH35,($AJ35+1)*$J35),EDATE($AH35,($AJ35+1)*$J35)-1))</f>
        <v/>
      </c>
      <c r="AM35" s="71">
        <f>IF($AJ35="","",IF($AJ35=1,$H35,IF(DAY(EDATE($AH35,($AJ35-1)*$J35))&lt;DAY($AH35),EDATE($AH35,($AJ35-1)*$J35),EDATE($AH35,($AJ35-1)*$J35)-1)))</f>
        <v/>
      </c>
      <c r="AN35" s="32">
        <f>IF(NOT(ISNUMBER($H35)),"",IF(OR($AH35="",$H35&gt;='設定'!$B$6),0,IF($AK35&gt;='設定'!$B$6,$AJ35,$AJ35+1)))</f>
        <v/>
      </c>
      <c r="AO35" s="71">
        <f>IF($AN35="","",IF($AN35=0,"",IF($AN35=$AJ35,$AM35,$AK35)))</f>
        <v/>
      </c>
      <c r="AP35" s="32">
        <f>IF(OR($AC35="要対応",$AC35="通知期限切れ",$AC35="確認済み",$AC35="有効",$AC35="終了予定"),1,0)</f>
        <v/>
      </c>
      <c r="AQ35" s="32">
        <f>IF(OR($AC35="要対応",$AC35="通知期限切れ"),1,0)</f>
        <v/>
      </c>
      <c r="AR35" s="72">
        <f>IF(AND(ISNUMBER($AB35),OR($AC35="要対応",$AC35="通知期限切れ",$AC35="確認済み",$AC35="有効")),$AB35+ROW()/100000,"")</f>
        <v/>
      </c>
      <c r="AS35" s="32">
        <f>IF($E35="","",IF(COUNTIF($E$5:$E35,$E35)=1,ROW(),""))</f>
        <v/>
      </c>
      <c r="AT35" s="32">
        <f>IF($S35="","",IF(COUNTIF($S$5:$S35,$S35)=1,ROW(),""))</f>
        <v/>
      </c>
    </row>
    <row r="36" ht="20" customHeight="1">
      <c r="A36" s="20" t="n">
        <v>32</v>
      </c>
      <c r="B36" s="21" t="n"/>
      <c r="C36" s="22" t="n"/>
      <c r="D36" s="22" t="n"/>
      <c r="E36" s="22" t="n"/>
      <c r="F36" s="66" t="n"/>
      <c r="G36" s="66" t="n"/>
      <c r="H36" s="66" t="n"/>
      <c r="I36" s="21" t="n"/>
      <c r="J36" s="24" t="n"/>
      <c r="K36" s="24" t="n"/>
      <c r="L36" s="21" t="n"/>
      <c r="M36" s="24" t="n"/>
      <c r="N36" s="21" t="n"/>
      <c r="O36" s="67" t="n"/>
      <c r="P36" s="21" t="n"/>
      <c r="Q36" s="21" t="n"/>
      <c r="R36" s="22" t="n"/>
      <c r="S36" s="22" t="n"/>
      <c r="T36" s="21" t="n"/>
      <c r="U36" s="66" t="n"/>
      <c r="V36" s="66" t="n"/>
      <c r="W36" s="66" t="n"/>
      <c r="X36" s="8" t="n"/>
      <c r="Y36" s="68">
        <f>IF($AN36="","",IF($AN36=0,$H36,IF($AN36=$AJ36,$AK36,$AL36)))</f>
        <v/>
      </c>
      <c r="Z36" s="68">
        <f>IF(OR($Y36="",NOT(ISNUMBER($K36))),"",IF($L36="日前",$Y36-$K36,EDATE($Y36,-$K36)))</f>
        <v/>
      </c>
      <c r="AA36" s="68">
        <f>IF(OR($Y36="",ISNUMBER($V36),N($Y36)&lt;'設定'!$B$6),"",IF($Z36&lt;&gt;"",$Z36,$Y36))</f>
        <v/>
      </c>
      <c r="AB36" s="69">
        <f>IF($AA36="","",$AA36-'設定'!$B$6)</f>
        <v/>
      </c>
      <c r="AC36" s="28">
        <f>IF(NOT(OR($B36&lt;&gt;"",$C36&lt;&gt;"")),"",IF(ISNUMBER($V36),IF($V36&lt;'設定'!$B$6,"終了","終了予定"),IF($Y36="","有効",IF($Y36&lt;'設定'!$B$6,"満了",IF(AND($T36="更新する",ISNUMBER($U36),N($U36)&lt;='設定'!$B$6,OR($AO36="",N($U36)&gt;N($AO36))),"確認済み",IF($AB36&lt;0,"通知期限切れ",IF($AB36&lt;=N('設定'!$B$7),"要対応","有効")))))))</f>
        <v/>
      </c>
      <c r="AD36" s="68">
        <f>IF(OR(NOT(ISNUMBER($M36)),$AC36="",$AC36="終了",$AC36="終了予定",$AC36="満了"),"",IF($N36="日前",'設定'!$B$6+$M36,EDATE('設定'!$B$6,$M36)))</f>
        <v/>
      </c>
      <c r="AE36" s="70">
        <f>IF(NOT(ISNUMBER($O36)),"",IF($P36="月額",$O36*12,IF($P36="年額",$O36,"")))</f>
        <v/>
      </c>
      <c r="AF36" s="30">
        <f>MID(IF(AND(ISNUMBER($G36),ISNUMBER($H36)),IF(N($H36)&lt;N($G36)," / 満了日が開始日より前",""),"")&amp;IF(AND($I36="あり",NOT(ISNUMBER($H36)))," / 自動更新ありなのに満了日が空","")&amp;IF(AND($I36="あり",ISNUMBER($H36),NOT(ISNUMBER($J36)))," / 更新期間が空（更新を計算できない）","")&amp;IF($AH36="","",IF(AND(DAY($AH36)&gt;=29,OR(MOD($J36,12)&lt;&gt;0,MONTH($AH36)=2))," / 更新の初日が29〜31日（更新を重ねると満了日が1日ずれることがある。満了日を今の期間の満了日に書き換えると直る）",""))&amp;IF(AND(ISNUMBER($K36),$L36="")," / 通知の単位が空（か月前で計算）","")&amp;IF(AND(ISNUMBER($M36),$N36="")," / 解約予告の単位が空（か月前で計算）","")&amp;IF(AND(ISNUMBER($O36),$P36="")," / 金額の区分が空","")&amp;IF(AND($T36&lt;&gt;"",NOT(ISNUMBER($U36)))," / 対応を決めた日が空","")&amp;IF(AND(ISNUMBER($U36),$T36="")," / 今期の対応が空","")&amp;IF(AND($T36="更新しない",NOT(ISNUMBER($V36)))," / 更新しないなら、解約・終了した日（契約が終わる日）を入れる",""),4,300)</f>
        <v/>
      </c>
      <c r="AG36" s="53" t="n"/>
      <c r="AH36" s="71">
        <f>IF(AND(ISNUMBER($H36),$I36="あり",ISNUMBER($J36)),IF($J36&gt;=1,$H36+1,""),"")</f>
        <v/>
      </c>
      <c r="AI36" s="32">
        <f>IF($AH36="","",(YEAR('設定'!$B$6)-YEAR($AH36))*12+MONTH('設定'!$B$6)-MONTH($AH36))</f>
        <v/>
      </c>
      <c r="AJ36" s="32">
        <f>IF($AH36="","",MAX(1,ROUNDUP($AI36/$J36,0)))</f>
        <v/>
      </c>
      <c r="AK36" s="71">
        <f>IF($AJ36="","",IF(DAY(EDATE($AH36,$AJ36*$J36))&lt;DAY($AH36),EDATE($AH36,$AJ36*$J36),EDATE($AH36,$AJ36*$J36)-1))</f>
        <v/>
      </c>
      <c r="AL36" s="71">
        <f>IF($AJ36="","",IF(DAY(EDATE($AH36,($AJ36+1)*$J36))&lt;DAY($AH36),EDATE($AH36,($AJ36+1)*$J36),EDATE($AH36,($AJ36+1)*$J36)-1))</f>
        <v/>
      </c>
      <c r="AM36" s="71">
        <f>IF($AJ36="","",IF($AJ36=1,$H36,IF(DAY(EDATE($AH36,($AJ36-1)*$J36))&lt;DAY($AH36),EDATE($AH36,($AJ36-1)*$J36),EDATE($AH36,($AJ36-1)*$J36)-1)))</f>
        <v/>
      </c>
      <c r="AN36" s="32">
        <f>IF(NOT(ISNUMBER($H36)),"",IF(OR($AH36="",$H36&gt;='設定'!$B$6),0,IF($AK36&gt;='設定'!$B$6,$AJ36,$AJ36+1)))</f>
        <v/>
      </c>
      <c r="AO36" s="71">
        <f>IF($AN36="","",IF($AN36=0,"",IF($AN36=$AJ36,$AM36,$AK36)))</f>
        <v/>
      </c>
      <c r="AP36" s="32">
        <f>IF(OR($AC36="要対応",$AC36="通知期限切れ",$AC36="確認済み",$AC36="有効",$AC36="終了予定"),1,0)</f>
        <v/>
      </c>
      <c r="AQ36" s="32">
        <f>IF(OR($AC36="要対応",$AC36="通知期限切れ"),1,0)</f>
        <v/>
      </c>
      <c r="AR36" s="72">
        <f>IF(AND(ISNUMBER($AB36),OR($AC36="要対応",$AC36="通知期限切れ",$AC36="確認済み",$AC36="有効")),$AB36+ROW()/100000,"")</f>
        <v/>
      </c>
      <c r="AS36" s="32">
        <f>IF($E36="","",IF(COUNTIF($E$5:$E36,$E36)=1,ROW(),""))</f>
        <v/>
      </c>
      <c r="AT36" s="32">
        <f>IF($S36="","",IF(COUNTIF($S$5:$S36,$S36)=1,ROW(),""))</f>
        <v/>
      </c>
    </row>
    <row r="37" ht="20" customHeight="1">
      <c r="A37" s="20" t="n">
        <v>33</v>
      </c>
      <c r="B37" s="21" t="n"/>
      <c r="C37" s="22" t="n"/>
      <c r="D37" s="22" t="n"/>
      <c r="E37" s="22" t="n"/>
      <c r="F37" s="66" t="n"/>
      <c r="G37" s="66" t="n"/>
      <c r="H37" s="66" t="n"/>
      <c r="I37" s="21" t="n"/>
      <c r="J37" s="24" t="n"/>
      <c r="K37" s="24" t="n"/>
      <c r="L37" s="21" t="n"/>
      <c r="M37" s="24" t="n"/>
      <c r="N37" s="21" t="n"/>
      <c r="O37" s="67" t="n"/>
      <c r="P37" s="21" t="n"/>
      <c r="Q37" s="21" t="n"/>
      <c r="R37" s="22" t="n"/>
      <c r="S37" s="22" t="n"/>
      <c r="T37" s="21" t="n"/>
      <c r="U37" s="66" t="n"/>
      <c r="V37" s="66" t="n"/>
      <c r="W37" s="66" t="n"/>
      <c r="X37" s="8" t="n"/>
      <c r="Y37" s="68">
        <f>IF($AN37="","",IF($AN37=0,$H37,IF($AN37=$AJ37,$AK37,$AL37)))</f>
        <v/>
      </c>
      <c r="Z37" s="68">
        <f>IF(OR($Y37="",NOT(ISNUMBER($K37))),"",IF($L37="日前",$Y37-$K37,EDATE($Y37,-$K37)))</f>
        <v/>
      </c>
      <c r="AA37" s="68">
        <f>IF(OR($Y37="",ISNUMBER($V37),N($Y37)&lt;'設定'!$B$6),"",IF($Z37&lt;&gt;"",$Z37,$Y37))</f>
        <v/>
      </c>
      <c r="AB37" s="69">
        <f>IF($AA37="","",$AA37-'設定'!$B$6)</f>
        <v/>
      </c>
      <c r="AC37" s="28">
        <f>IF(NOT(OR($B37&lt;&gt;"",$C37&lt;&gt;"")),"",IF(ISNUMBER($V37),IF($V37&lt;'設定'!$B$6,"終了","終了予定"),IF($Y37="","有効",IF($Y37&lt;'設定'!$B$6,"満了",IF(AND($T37="更新する",ISNUMBER($U37),N($U37)&lt;='設定'!$B$6,OR($AO37="",N($U37)&gt;N($AO37))),"確認済み",IF($AB37&lt;0,"通知期限切れ",IF($AB37&lt;=N('設定'!$B$7),"要対応","有効")))))))</f>
        <v/>
      </c>
      <c r="AD37" s="68">
        <f>IF(OR(NOT(ISNUMBER($M37)),$AC37="",$AC37="終了",$AC37="終了予定",$AC37="満了"),"",IF($N37="日前",'設定'!$B$6+$M37,EDATE('設定'!$B$6,$M37)))</f>
        <v/>
      </c>
      <c r="AE37" s="70">
        <f>IF(NOT(ISNUMBER($O37)),"",IF($P37="月額",$O37*12,IF($P37="年額",$O37,"")))</f>
        <v/>
      </c>
      <c r="AF37" s="30">
        <f>MID(IF(AND(ISNUMBER($G37),ISNUMBER($H37)),IF(N($H37)&lt;N($G37)," / 満了日が開始日より前",""),"")&amp;IF(AND($I37="あり",NOT(ISNUMBER($H37)))," / 自動更新ありなのに満了日が空","")&amp;IF(AND($I37="あり",ISNUMBER($H37),NOT(ISNUMBER($J37)))," / 更新期間が空（更新を計算できない）","")&amp;IF($AH37="","",IF(AND(DAY($AH37)&gt;=29,OR(MOD($J37,12)&lt;&gt;0,MONTH($AH37)=2))," / 更新の初日が29〜31日（更新を重ねると満了日が1日ずれることがある。満了日を今の期間の満了日に書き換えると直る）",""))&amp;IF(AND(ISNUMBER($K37),$L37="")," / 通知の単位が空（か月前で計算）","")&amp;IF(AND(ISNUMBER($M37),$N37="")," / 解約予告の単位が空（か月前で計算）","")&amp;IF(AND(ISNUMBER($O37),$P37="")," / 金額の区分が空","")&amp;IF(AND($T37&lt;&gt;"",NOT(ISNUMBER($U37)))," / 対応を決めた日が空","")&amp;IF(AND(ISNUMBER($U37),$T37="")," / 今期の対応が空","")&amp;IF(AND($T37="更新しない",NOT(ISNUMBER($V37)))," / 更新しないなら、解約・終了した日（契約が終わる日）を入れる",""),4,300)</f>
        <v/>
      </c>
      <c r="AG37" s="53" t="n"/>
      <c r="AH37" s="71">
        <f>IF(AND(ISNUMBER($H37),$I37="あり",ISNUMBER($J37)),IF($J37&gt;=1,$H37+1,""),"")</f>
        <v/>
      </c>
      <c r="AI37" s="32">
        <f>IF($AH37="","",(YEAR('設定'!$B$6)-YEAR($AH37))*12+MONTH('設定'!$B$6)-MONTH($AH37))</f>
        <v/>
      </c>
      <c r="AJ37" s="32">
        <f>IF($AH37="","",MAX(1,ROUNDUP($AI37/$J37,0)))</f>
        <v/>
      </c>
      <c r="AK37" s="71">
        <f>IF($AJ37="","",IF(DAY(EDATE($AH37,$AJ37*$J37))&lt;DAY($AH37),EDATE($AH37,$AJ37*$J37),EDATE($AH37,$AJ37*$J37)-1))</f>
        <v/>
      </c>
      <c r="AL37" s="71">
        <f>IF($AJ37="","",IF(DAY(EDATE($AH37,($AJ37+1)*$J37))&lt;DAY($AH37),EDATE($AH37,($AJ37+1)*$J37),EDATE($AH37,($AJ37+1)*$J37)-1))</f>
        <v/>
      </c>
      <c r="AM37" s="71">
        <f>IF($AJ37="","",IF($AJ37=1,$H37,IF(DAY(EDATE($AH37,($AJ37-1)*$J37))&lt;DAY($AH37),EDATE($AH37,($AJ37-1)*$J37),EDATE($AH37,($AJ37-1)*$J37)-1)))</f>
        <v/>
      </c>
      <c r="AN37" s="32">
        <f>IF(NOT(ISNUMBER($H37)),"",IF(OR($AH37="",$H37&gt;='設定'!$B$6),0,IF($AK37&gt;='設定'!$B$6,$AJ37,$AJ37+1)))</f>
        <v/>
      </c>
      <c r="AO37" s="71">
        <f>IF($AN37="","",IF($AN37=0,"",IF($AN37=$AJ37,$AM37,$AK37)))</f>
        <v/>
      </c>
      <c r="AP37" s="32">
        <f>IF(OR($AC37="要対応",$AC37="通知期限切れ",$AC37="確認済み",$AC37="有効",$AC37="終了予定"),1,0)</f>
        <v/>
      </c>
      <c r="AQ37" s="32">
        <f>IF(OR($AC37="要対応",$AC37="通知期限切れ"),1,0)</f>
        <v/>
      </c>
      <c r="AR37" s="72">
        <f>IF(AND(ISNUMBER($AB37),OR($AC37="要対応",$AC37="通知期限切れ",$AC37="確認済み",$AC37="有効")),$AB37+ROW()/100000,"")</f>
        <v/>
      </c>
      <c r="AS37" s="32">
        <f>IF($E37="","",IF(COUNTIF($E$5:$E37,$E37)=1,ROW(),""))</f>
        <v/>
      </c>
      <c r="AT37" s="32">
        <f>IF($S37="","",IF(COUNTIF($S$5:$S37,$S37)=1,ROW(),""))</f>
        <v/>
      </c>
    </row>
    <row r="38" ht="20" customHeight="1">
      <c r="A38" s="20" t="n">
        <v>34</v>
      </c>
      <c r="B38" s="21" t="n"/>
      <c r="C38" s="22" t="n"/>
      <c r="D38" s="22" t="n"/>
      <c r="E38" s="22" t="n"/>
      <c r="F38" s="66" t="n"/>
      <c r="G38" s="66" t="n"/>
      <c r="H38" s="66" t="n"/>
      <c r="I38" s="21" t="n"/>
      <c r="J38" s="24" t="n"/>
      <c r="K38" s="24" t="n"/>
      <c r="L38" s="21" t="n"/>
      <c r="M38" s="24" t="n"/>
      <c r="N38" s="21" t="n"/>
      <c r="O38" s="67" t="n"/>
      <c r="P38" s="21" t="n"/>
      <c r="Q38" s="21" t="n"/>
      <c r="R38" s="22" t="n"/>
      <c r="S38" s="22" t="n"/>
      <c r="T38" s="21" t="n"/>
      <c r="U38" s="66" t="n"/>
      <c r="V38" s="66" t="n"/>
      <c r="W38" s="66" t="n"/>
      <c r="X38" s="8" t="n"/>
      <c r="Y38" s="68">
        <f>IF($AN38="","",IF($AN38=0,$H38,IF($AN38=$AJ38,$AK38,$AL38)))</f>
        <v/>
      </c>
      <c r="Z38" s="68">
        <f>IF(OR($Y38="",NOT(ISNUMBER($K38))),"",IF($L38="日前",$Y38-$K38,EDATE($Y38,-$K38)))</f>
        <v/>
      </c>
      <c r="AA38" s="68">
        <f>IF(OR($Y38="",ISNUMBER($V38),N($Y38)&lt;'設定'!$B$6),"",IF($Z38&lt;&gt;"",$Z38,$Y38))</f>
        <v/>
      </c>
      <c r="AB38" s="69">
        <f>IF($AA38="","",$AA38-'設定'!$B$6)</f>
        <v/>
      </c>
      <c r="AC38" s="28">
        <f>IF(NOT(OR($B38&lt;&gt;"",$C38&lt;&gt;"")),"",IF(ISNUMBER($V38),IF($V38&lt;'設定'!$B$6,"終了","終了予定"),IF($Y38="","有効",IF($Y38&lt;'設定'!$B$6,"満了",IF(AND($T38="更新する",ISNUMBER($U38),N($U38)&lt;='設定'!$B$6,OR($AO38="",N($U38)&gt;N($AO38))),"確認済み",IF($AB38&lt;0,"通知期限切れ",IF($AB38&lt;=N('設定'!$B$7),"要対応","有効")))))))</f>
        <v/>
      </c>
      <c r="AD38" s="68">
        <f>IF(OR(NOT(ISNUMBER($M38)),$AC38="",$AC38="終了",$AC38="終了予定",$AC38="満了"),"",IF($N38="日前",'設定'!$B$6+$M38,EDATE('設定'!$B$6,$M38)))</f>
        <v/>
      </c>
      <c r="AE38" s="70">
        <f>IF(NOT(ISNUMBER($O38)),"",IF($P38="月額",$O38*12,IF($P38="年額",$O38,"")))</f>
        <v/>
      </c>
      <c r="AF38" s="30">
        <f>MID(IF(AND(ISNUMBER($G38),ISNUMBER($H38)),IF(N($H38)&lt;N($G38)," / 満了日が開始日より前",""),"")&amp;IF(AND($I38="あり",NOT(ISNUMBER($H38)))," / 自動更新ありなのに満了日が空","")&amp;IF(AND($I38="あり",ISNUMBER($H38),NOT(ISNUMBER($J38)))," / 更新期間が空（更新を計算できない）","")&amp;IF($AH38="","",IF(AND(DAY($AH38)&gt;=29,OR(MOD($J38,12)&lt;&gt;0,MONTH($AH38)=2))," / 更新の初日が29〜31日（更新を重ねると満了日が1日ずれることがある。満了日を今の期間の満了日に書き換えると直る）",""))&amp;IF(AND(ISNUMBER($K38),$L38="")," / 通知の単位が空（か月前で計算）","")&amp;IF(AND(ISNUMBER($M38),$N38="")," / 解約予告の単位が空（か月前で計算）","")&amp;IF(AND(ISNUMBER($O38),$P38="")," / 金額の区分が空","")&amp;IF(AND($T38&lt;&gt;"",NOT(ISNUMBER($U38)))," / 対応を決めた日が空","")&amp;IF(AND(ISNUMBER($U38),$T38="")," / 今期の対応が空","")&amp;IF(AND($T38="更新しない",NOT(ISNUMBER($V38)))," / 更新しないなら、解約・終了した日（契約が終わる日）を入れる",""),4,300)</f>
        <v/>
      </c>
      <c r="AG38" s="53" t="n"/>
      <c r="AH38" s="71">
        <f>IF(AND(ISNUMBER($H38),$I38="あり",ISNUMBER($J38)),IF($J38&gt;=1,$H38+1,""),"")</f>
        <v/>
      </c>
      <c r="AI38" s="32">
        <f>IF($AH38="","",(YEAR('設定'!$B$6)-YEAR($AH38))*12+MONTH('設定'!$B$6)-MONTH($AH38))</f>
        <v/>
      </c>
      <c r="AJ38" s="32">
        <f>IF($AH38="","",MAX(1,ROUNDUP($AI38/$J38,0)))</f>
        <v/>
      </c>
      <c r="AK38" s="71">
        <f>IF($AJ38="","",IF(DAY(EDATE($AH38,$AJ38*$J38))&lt;DAY($AH38),EDATE($AH38,$AJ38*$J38),EDATE($AH38,$AJ38*$J38)-1))</f>
        <v/>
      </c>
      <c r="AL38" s="71">
        <f>IF($AJ38="","",IF(DAY(EDATE($AH38,($AJ38+1)*$J38))&lt;DAY($AH38),EDATE($AH38,($AJ38+1)*$J38),EDATE($AH38,($AJ38+1)*$J38)-1))</f>
        <v/>
      </c>
      <c r="AM38" s="71">
        <f>IF($AJ38="","",IF($AJ38=1,$H38,IF(DAY(EDATE($AH38,($AJ38-1)*$J38))&lt;DAY($AH38),EDATE($AH38,($AJ38-1)*$J38),EDATE($AH38,($AJ38-1)*$J38)-1)))</f>
        <v/>
      </c>
      <c r="AN38" s="32">
        <f>IF(NOT(ISNUMBER($H38)),"",IF(OR($AH38="",$H38&gt;='設定'!$B$6),0,IF($AK38&gt;='設定'!$B$6,$AJ38,$AJ38+1)))</f>
        <v/>
      </c>
      <c r="AO38" s="71">
        <f>IF($AN38="","",IF($AN38=0,"",IF($AN38=$AJ38,$AM38,$AK38)))</f>
        <v/>
      </c>
      <c r="AP38" s="32">
        <f>IF(OR($AC38="要対応",$AC38="通知期限切れ",$AC38="確認済み",$AC38="有効",$AC38="終了予定"),1,0)</f>
        <v/>
      </c>
      <c r="AQ38" s="32">
        <f>IF(OR($AC38="要対応",$AC38="通知期限切れ"),1,0)</f>
        <v/>
      </c>
      <c r="AR38" s="72">
        <f>IF(AND(ISNUMBER($AB38),OR($AC38="要対応",$AC38="通知期限切れ",$AC38="確認済み",$AC38="有効")),$AB38+ROW()/100000,"")</f>
        <v/>
      </c>
      <c r="AS38" s="32">
        <f>IF($E38="","",IF(COUNTIF($E$5:$E38,$E38)=1,ROW(),""))</f>
        <v/>
      </c>
      <c r="AT38" s="32">
        <f>IF($S38="","",IF(COUNTIF($S$5:$S38,$S38)=1,ROW(),""))</f>
        <v/>
      </c>
    </row>
    <row r="39" ht="20" customHeight="1">
      <c r="A39" s="20" t="n">
        <v>35</v>
      </c>
      <c r="B39" s="21" t="n"/>
      <c r="C39" s="22" t="n"/>
      <c r="D39" s="22" t="n"/>
      <c r="E39" s="22" t="n"/>
      <c r="F39" s="66" t="n"/>
      <c r="G39" s="66" t="n"/>
      <c r="H39" s="66" t="n"/>
      <c r="I39" s="21" t="n"/>
      <c r="J39" s="24" t="n"/>
      <c r="K39" s="24" t="n"/>
      <c r="L39" s="21" t="n"/>
      <c r="M39" s="24" t="n"/>
      <c r="N39" s="21" t="n"/>
      <c r="O39" s="67" t="n"/>
      <c r="P39" s="21" t="n"/>
      <c r="Q39" s="21" t="n"/>
      <c r="R39" s="22" t="n"/>
      <c r="S39" s="22" t="n"/>
      <c r="T39" s="21" t="n"/>
      <c r="U39" s="66" t="n"/>
      <c r="V39" s="66" t="n"/>
      <c r="W39" s="66" t="n"/>
      <c r="X39" s="8" t="n"/>
      <c r="Y39" s="68">
        <f>IF($AN39="","",IF($AN39=0,$H39,IF($AN39=$AJ39,$AK39,$AL39)))</f>
        <v/>
      </c>
      <c r="Z39" s="68">
        <f>IF(OR($Y39="",NOT(ISNUMBER($K39))),"",IF($L39="日前",$Y39-$K39,EDATE($Y39,-$K39)))</f>
        <v/>
      </c>
      <c r="AA39" s="68">
        <f>IF(OR($Y39="",ISNUMBER($V39),N($Y39)&lt;'設定'!$B$6),"",IF($Z39&lt;&gt;"",$Z39,$Y39))</f>
        <v/>
      </c>
      <c r="AB39" s="69">
        <f>IF($AA39="","",$AA39-'設定'!$B$6)</f>
        <v/>
      </c>
      <c r="AC39" s="28">
        <f>IF(NOT(OR($B39&lt;&gt;"",$C39&lt;&gt;"")),"",IF(ISNUMBER($V39),IF($V39&lt;'設定'!$B$6,"終了","終了予定"),IF($Y39="","有効",IF($Y39&lt;'設定'!$B$6,"満了",IF(AND($T39="更新する",ISNUMBER($U39),N($U39)&lt;='設定'!$B$6,OR($AO39="",N($U39)&gt;N($AO39))),"確認済み",IF($AB39&lt;0,"通知期限切れ",IF($AB39&lt;=N('設定'!$B$7),"要対応","有効")))))))</f>
        <v/>
      </c>
      <c r="AD39" s="68">
        <f>IF(OR(NOT(ISNUMBER($M39)),$AC39="",$AC39="終了",$AC39="終了予定",$AC39="満了"),"",IF($N39="日前",'設定'!$B$6+$M39,EDATE('設定'!$B$6,$M39)))</f>
        <v/>
      </c>
      <c r="AE39" s="70">
        <f>IF(NOT(ISNUMBER($O39)),"",IF($P39="月額",$O39*12,IF($P39="年額",$O39,"")))</f>
        <v/>
      </c>
      <c r="AF39" s="30">
        <f>MID(IF(AND(ISNUMBER($G39),ISNUMBER($H39)),IF(N($H39)&lt;N($G39)," / 満了日が開始日より前",""),"")&amp;IF(AND($I39="あり",NOT(ISNUMBER($H39)))," / 自動更新ありなのに満了日が空","")&amp;IF(AND($I39="あり",ISNUMBER($H39),NOT(ISNUMBER($J39)))," / 更新期間が空（更新を計算できない）","")&amp;IF($AH39="","",IF(AND(DAY($AH39)&gt;=29,OR(MOD($J39,12)&lt;&gt;0,MONTH($AH39)=2))," / 更新の初日が29〜31日（更新を重ねると満了日が1日ずれることがある。満了日を今の期間の満了日に書き換えると直る）",""))&amp;IF(AND(ISNUMBER($K39),$L39="")," / 通知の単位が空（か月前で計算）","")&amp;IF(AND(ISNUMBER($M39),$N39="")," / 解約予告の単位が空（か月前で計算）","")&amp;IF(AND(ISNUMBER($O39),$P39="")," / 金額の区分が空","")&amp;IF(AND($T39&lt;&gt;"",NOT(ISNUMBER($U39)))," / 対応を決めた日が空","")&amp;IF(AND(ISNUMBER($U39),$T39="")," / 今期の対応が空","")&amp;IF(AND($T39="更新しない",NOT(ISNUMBER($V39)))," / 更新しないなら、解約・終了した日（契約が終わる日）を入れる",""),4,300)</f>
        <v/>
      </c>
      <c r="AG39" s="53" t="n"/>
      <c r="AH39" s="71">
        <f>IF(AND(ISNUMBER($H39),$I39="あり",ISNUMBER($J39)),IF($J39&gt;=1,$H39+1,""),"")</f>
        <v/>
      </c>
      <c r="AI39" s="32">
        <f>IF($AH39="","",(YEAR('設定'!$B$6)-YEAR($AH39))*12+MONTH('設定'!$B$6)-MONTH($AH39))</f>
        <v/>
      </c>
      <c r="AJ39" s="32">
        <f>IF($AH39="","",MAX(1,ROUNDUP($AI39/$J39,0)))</f>
        <v/>
      </c>
      <c r="AK39" s="71">
        <f>IF($AJ39="","",IF(DAY(EDATE($AH39,$AJ39*$J39))&lt;DAY($AH39),EDATE($AH39,$AJ39*$J39),EDATE($AH39,$AJ39*$J39)-1))</f>
        <v/>
      </c>
      <c r="AL39" s="71">
        <f>IF($AJ39="","",IF(DAY(EDATE($AH39,($AJ39+1)*$J39))&lt;DAY($AH39),EDATE($AH39,($AJ39+1)*$J39),EDATE($AH39,($AJ39+1)*$J39)-1))</f>
        <v/>
      </c>
      <c r="AM39" s="71">
        <f>IF($AJ39="","",IF($AJ39=1,$H39,IF(DAY(EDATE($AH39,($AJ39-1)*$J39))&lt;DAY($AH39),EDATE($AH39,($AJ39-1)*$J39),EDATE($AH39,($AJ39-1)*$J39)-1)))</f>
        <v/>
      </c>
      <c r="AN39" s="32">
        <f>IF(NOT(ISNUMBER($H39)),"",IF(OR($AH39="",$H39&gt;='設定'!$B$6),0,IF($AK39&gt;='設定'!$B$6,$AJ39,$AJ39+1)))</f>
        <v/>
      </c>
      <c r="AO39" s="71">
        <f>IF($AN39="","",IF($AN39=0,"",IF($AN39=$AJ39,$AM39,$AK39)))</f>
        <v/>
      </c>
      <c r="AP39" s="32">
        <f>IF(OR($AC39="要対応",$AC39="通知期限切れ",$AC39="確認済み",$AC39="有効",$AC39="終了予定"),1,0)</f>
        <v/>
      </c>
      <c r="AQ39" s="32">
        <f>IF(OR($AC39="要対応",$AC39="通知期限切れ"),1,0)</f>
        <v/>
      </c>
      <c r="AR39" s="72">
        <f>IF(AND(ISNUMBER($AB39),OR($AC39="要対応",$AC39="通知期限切れ",$AC39="確認済み",$AC39="有効")),$AB39+ROW()/100000,"")</f>
        <v/>
      </c>
      <c r="AS39" s="32">
        <f>IF($E39="","",IF(COUNTIF($E$5:$E39,$E39)=1,ROW(),""))</f>
        <v/>
      </c>
      <c r="AT39" s="32">
        <f>IF($S39="","",IF(COUNTIF($S$5:$S39,$S39)=1,ROW(),""))</f>
        <v/>
      </c>
    </row>
    <row r="40" ht="20" customHeight="1">
      <c r="A40" s="20" t="n">
        <v>36</v>
      </c>
      <c r="B40" s="21" t="n"/>
      <c r="C40" s="22" t="n"/>
      <c r="D40" s="22" t="n"/>
      <c r="E40" s="22" t="n"/>
      <c r="F40" s="66" t="n"/>
      <c r="G40" s="66" t="n"/>
      <c r="H40" s="66" t="n"/>
      <c r="I40" s="21" t="n"/>
      <c r="J40" s="24" t="n"/>
      <c r="K40" s="24" t="n"/>
      <c r="L40" s="21" t="n"/>
      <c r="M40" s="24" t="n"/>
      <c r="N40" s="21" t="n"/>
      <c r="O40" s="67" t="n"/>
      <c r="P40" s="21" t="n"/>
      <c r="Q40" s="21" t="n"/>
      <c r="R40" s="22" t="n"/>
      <c r="S40" s="22" t="n"/>
      <c r="T40" s="21" t="n"/>
      <c r="U40" s="66" t="n"/>
      <c r="V40" s="66" t="n"/>
      <c r="W40" s="66" t="n"/>
      <c r="X40" s="8" t="n"/>
      <c r="Y40" s="68">
        <f>IF($AN40="","",IF($AN40=0,$H40,IF($AN40=$AJ40,$AK40,$AL40)))</f>
        <v/>
      </c>
      <c r="Z40" s="68">
        <f>IF(OR($Y40="",NOT(ISNUMBER($K40))),"",IF($L40="日前",$Y40-$K40,EDATE($Y40,-$K40)))</f>
        <v/>
      </c>
      <c r="AA40" s="68">
        <f>IF(OR($Y40="",ISNUMBER($V40),N($Y40)&lt;'設定'!$B$6),"",IF($Z40&lt;&gt;"",$Z40,$Y40))</f>
        <v/>
      </c>
      <c r="AB40" s="69">
        <f>IF($AA40="","",$AA40-'設定'!$B$6)</f>
        <v/>
      </c>
      <c r="AC40" s="28">
        <f>IF(NOT(OR($B40&lt;&gt;"",$C40&lt;&gt;"")),"",IF(ISNUMBER($V40),IF($V40&lt;'設定'!$B$6,"終了","終了予定"),IF($Y40="","有効",IF($Y40&lt;'設定'!$B$6,"満了",IF(AND($T40="更新する",ISNUMBER($U40),N($U40)&lt;='設定'!$B$6,OR($AO40="",N($U40)&gt;N($AO40))),"確認済み",IF($AB40&lt;0,"通知期限切れ",IF($AB40&lt;=N('設定'!$B$7),"要対応","有効")))))))</f>
        <v/>
      </c>
      <c r="AD40" s="68">
        <f>IF(OR(NOT(ISNUMBER($M40)),$AC40="",$AC40="終了",$AC40="終了予定",$AC40="満了"),"",IF($N40="日前",'設定'!$B$6+$M40,EDATE('設定'!$B$6,$M40)))</f>
        <v/>
      </c>
      <c r="AE40" s="70">
        <f>IF(NOT(ISNUMBER($O40)),"",IF($P40="月額",$O40*12,IF($P40="年額",$O40,"")))</f>
        <v/>
      </c>
      <c r="AF40" s="30">
        <f>MID(IF(AND(ISNUMBER($G40),ISNUMBER($H40)),IF(N($H40)&lt;N($G40)," / 満了日が開始日より前",""),"")&amp;IF(AND($I40="あり",NOT(ISNUMBER($H40)))," / 自動更新ありなのに満了日が空","")&amp;IF(AND($I40="あり",ISNUMBER($H40),NOT(ISNUMBER($J40)))," / 更新期間が空（更新を計算できない）","")&amp;IF($AH40="","",IF(AND(DAY($AH40)&gt;=29,OR(MOD($J40,12)&lt;&gt;0,MONTH($AH40)=2))," / 更新の初日が29〜31日（更新を重ねると満了日が1日ずれることがある。満了日を今の期間の満了日に書き換えると直る）",""))&amp;IF(AND(ISNUMBER($K40),$L40="")," / 通知の単位が空（か月前で計算）","")&amp;IF(AND(ISNUMBER($M40),$N40="")," / 解約予告の単位が空（か月前で計算）","")&amp;IF(AND(ISNUMBER($O40),$P40="")," / 金額の区分が空","")&amp;IF(AND($T40&lt;&gt;"",NOT(ISNUMBER($U40)))," / 対応を決めた日が空","")&amp;IF(AND(ISNUMBER($U40),$T40="")," / 今期の対応が空","")&amp;IF(AND($T40="更新しない",NOT(ISNUMBER($V40)))," / 更新しないなら、解約・終了した日（契約が終わる日）を入れる",""),4,300)</f>
        <v/>
      </c>
      <c r="AG40" s="53" t="n"/>
      <c r="AH40" s="71">
        <f>IF(AND(ISNUMBER($H40),$I40="あり",ISNUMBER($J40)),IF($J40&gt;=1,$H40+1,""),"")</f>
        <v/>
      </c>
      <c r="AI40" s="32">
        <f>IF($AH40="","",(YEAR('設定'!$B$6)-YEAR($AH40))*12+MONTH('設定'!$B$6)-MONTH($AH40))</f>
        <v/>
      </c>
      <c r="AJ40" s="32">
        <f>IF($AH40="","",MAX(1,ROUNDUP($AI40/$J40,0)))</f>
        <v/>
      </c>
      <c r="AK40" s="71">
        <f>IF($AJ40="","",IF(DAY(EDATE($AH40,$AJ40*$J40))&lt;DAY($AH40),EDATE($AH40,$AJ40*$J40),EDATE($AH40,$AJ40*$J40)-1))</f>
        <v/>
      </c>
      <c r="AL40" s="71">
        <f>IF($AJ40="","",IF(DAY(EDATE($AH40,($AJ40+1)*$J40))&lt;DAY($AH40),EDATE($AH40,($AJ40+1)*$J40),EDATE($AH40,($AJ40+1)*$J40)-1))</f>
        <v/>
      </c>
      <c r="AM40" s="71">
        <f>IF($AJ40="","",IF($AJ40=1,$H40,IF(DAY(EDATE($AH40,($AJ40-1)*$J40))&lt;DAY($AH40),EDATE($AH40,($AJ40-1)*$J40),EDATE($AH40,($AJ40-1)*$J40)-1)))</f>
        <v/>
      </c>
      <c r="AN40" s="32">
        <f>IF(NOT(ISNUMBER($H40)),"",IF(OR($AH40="",$H40&gt;='設定'!$B$6),0,IF($AK40&gt;='設定'!$B$6,$AJ40,$AJ40+1)))</f>
        <v/>
      </c>
      <c r="AO40" s="71">
        <f>IF($AN40="","",IF($AN40=0,"",IF($AN40=$AJ40,$AM40,$AK40)))</f>
        <v/>
      </c>
      <c r="AP40" s="32">
        <f>IF(OR($AC40="要対応",$AC40="通知期限切れ",$AC40="確認済み",$AC40="有効",$AC40="終了予定"),1,0)</f>
        <v/>
      </c>
      <c r="AQ40" s="32">
        <f>IF(OR($AC40="要対応",$AC40="通知期限切れ"),1,0)</f>
        <v/>
      </c>
      <c r="AR40" s="72">
        <f>IF(AND(ISNUMBER($AB40),OR($AC40="要対応",$AC40="通知期限切れ",$AC40="確認済み",$AC40="有効")),$AB40+ROW()/100000,"")</f>
        <v/>
      </c>
      <c r="AS40" s="32">
        <f>IF($E40="","",IF(COUNTIF($E$5:$E40,$E40)=1,ROW(),""))</f>
        <v/>
      </c>
      <c r="AT40" s="32">
        <f>IF($S40="","",IF(COUNTIF($S$5:$S40,$S40)=1,ROW(),""))</f>
        <v/>
      </c>
    </row>
    <row r="41" ht="20" customHeight="1">
      <c r="A41" s="20" t="n">
        <v>37</v>
      </c>
      <c r="B41" s="21" t="n"/>
      <c r="C41" s="22" t="n"/>
      <c r="D41" s="22" t="n"/>
      <c r="E41" s="22" t="n"/>
      <c r="F41" s="66" t="n"/>
      <c r="G41" s="66" t="n"/>
      <c r="H41" s="66" t="n"/>
      <c r="I41" s="21" t="n"/>
      <c r="J41" s="24" t="n"/>
      <c r="K41" s="24" t="n"/>
      <c r="L41" s="21" t="n"/>
      <c r="M41" s="24" t="n"/>
      <c r="N41" s="21" t="n"/>
      <c r="O41" s="67" t="n"/>
      <c r="P41" s="21" t="n"/>
      <c r="Q41" s="21" t="n"/>
      <c r="R41" s="22" t="n"/>
      <c r="S41" s="22" t="n"/>
      <c r="T41" s="21" t="n"/>
      <c r="U41" s="66" t="n"/>
      <c r="V41" s="66" t="n"/>
      <c r="W41" s="66" t="n"/>
      <c r="X41" s="8" t="n"/>
      <c r="Y41" s="68">
        <f>IF($AN41="","",IF($AN41=0,$H41,IF($AN41=$AJ41,$AK41,$AL41)))</f>
        <v/>
      </c>
      <c r="Z41" s="68">
        <f>IF(OR($Y41="",NOT(ISNUMBER($K41))),"",IF($L41="日前",$Y41-$K41,EDATE($Y41,-$K41)))</f>
        <v/>
      </c>
      <c r="AA41" s="68">
        <f>IF(OR($Y41="",ISNUMBER($V41),N($Y41)&lt;'設定'!$B$6),"",IF($Z41&lt;&gt;"",$Z41,$Y41))</f>
        <v/>
      </c>
      <c r="AB41" s="69">
        <f>IF($AA41="","",$AA41-'設定'!$B$6)</f>
        <v/>
      </c>
      <c r="AC41" s="28">
        <f>IF(NOT(OR($B41&lt;&gt;"",$C41&lt;&gt;"")),"",IF(ISNUMBER($V41),IF($V41&lt;'設定'!$B$6,"終了","終了予定"),IF($Y41="","有効",IF($Y41&lt;'設定'!$B$6,"満了",IF(AND($T41="更新する",ISNUMBER($U41),N($U41)&lt;='設定'!$B$6,OR($AO41="",N($U41)&gt;N($AO41))),"確認済み",IF($AB41&lt;0,"通知期限切れ",IF($AB41&lt;=N('設定'!$B$7),"要対応","有効")))))))</f>
        <v/>
      </c>
      <c r="AD41" s="68">
        <f>IF(OR(NOT(ISNUMBER($M41)),$AC41="",$AC41="終了",$AC41="終了予定",$AC41="満了"),"",IF($N41="日前",'設定'!$B$6+$M41,EDATE('設定'!$B$6,$M41)))</f>
        <v/>
      </c>
      <c r="AE41" s="70">
        <f>IF(NOT(ISNUMBER($O41)),"",IF($P41="月額",$O41*12,IF($P41="年額",$O41,"")))</f>
        <v/>
      </c>
      <c r="AF41" s="30">
        <f>MID(IF(AND(ISNUMBER($G41),ISNUMBER($H41)),IF(N($H41)&lt;N($G41)," / 満了日が開始日より前",""),"")&amp;IF(AND($I41="あり",NOT(ISNUMBER($H41)))," / 自動更新ありなのに満了日が空","")&amp;IF(AND($I41="あり",ISNUMBER($H41),NOT(ISNUMBER($J41)))," / 更新期間が空（更新を計算できない）","")&amp;IF($AH41="","",IF(AND(DAY($AH41)&gt;=29,OR(MOD($J41,12)&lt;&gt;0,MONTH($AH41)=2))," / 更新の初日が29〜31日（更新を重ねると満了日が1日ずれることがある。満了日を今の期間の満了日に書き換えると直る）",""))&amp;IF(AND(ISNUMBER($K41),$L41="")," / 通知の単位が空（か月前で計算）","")&amp;IF(AND(ISNUMBER($M41),$N41="")," / 解約予告の単位が空（か月前で計算）","")&amp;IF(AND(ISNUMBER($O41),$P41="")," / 金額の区分が空","")&amp;IF(AND($T41&lt;&gt;"",NOT(ISNUMBER($U41)))," / 対応を決めた日が空","")&amp;IF(AND(ISNUMBER($U41),$T41="")," / 今期の対応が空","")&amp;IF(AND($T41="更新しない",NOT(ISNUMBER($V41)))," / 更新しないなら、解約・終了した日（契約が終わる日）を入れる",""),4,300)</f>
        <v/>
      </c>
      <c r="AG41" s="53" t="n"/>
      <c r="AH41" s="71">
        <f>IF(AND(ISNUMBER($H41),$I41="あり",ISNUMBER($J41)),IF($J41&gt;=1,$H41+1,""),"")</f>
        <v/>
      </c>
      <c r="AI41" s="32">
        <f>IF($AH41="","",(YEAR('設定'!$B$6)-YEAR($AH41))*12+MONTH('設定'!$B$6)-MONTH($AH41))</f>
        <v/>
      </c>
      <c r="AJ41" s="32">
        <f>IF($AH41="","",MAX(1,ROUNDUP($AI41/$J41,0)))</f>
        <v/>
      </c>
      <c r="AK41" s="71">
        <f>IF($AJ41="","",IF(DAY(EDATE($AH41,$AJ41*$J41))&lt;DAY($AH41),EDATE($AH41,$AJ41*$J41),EDATE($AH41,$AJ41*$J41)-1))</f>
        <v/>
      </c>
      <c r="AL41" s="71">
        <f>IF($AJ41="","",IF(DAY(EDATE($AH41,($AJ41+1)*$J41))&lt;DAY($AH41),EDATE($AH41,($AJ41+1)*$J41),EDATE($AH41,($AJ41+1)*$J41)-1))</f>
        <v/>
      </c>
      <c r="AM41" s="71">
        <f>IF($AJ41="","",IF($AJ41=1,$H41,IF(DAY(EDATE($AH41,($AJ41-1)*$J41))&lt;DAY($AH41),EDATE($AH41,($AJ41-1)*$J41),EDATE($AH41,($AJ41-1)*$J41)-1)))</f>
        <v/>
      </c>
      <c r="AN41" s="32">
        <f>IF(NOT(ISNUMBER($H41)),"",IF(OR($AH41="",$H41&gt;='設定'!$B$6),0,IF($AK41&gt;='設定'!$B$6,$AJ41,$AJ41+1)))</f>
        <v/>
      </c>
      <c r="AO41" s="71">
        <f>IF($AN41="","",IF($AN41=0,"",IF($AN41=$AJ41,$AM41,$AK41)))</f>
        <v/>
      </c>
      <c r="AP41" s="32">
        <f>IF(OR($AC41="要対応",$AC41="通知期限切れ",$AC41="確認済み",$AC41="有効",$AC41="終了予定"),1,0)</f>
        <v/>
      </c>
      <c r="AQ41" s="32">
        <f>IF(OR($AC41="要対応",$AC41="通知期限切れ"),1,0)</f>
        <v/>
      </c>
      <c r="AR41" s="72">
        <f>IF(AND(ISNUMBER($AB41),OR($AC41="要対応",$AC41="通知期限切れ",$AC41="確認済み",$AC41="有効")),$AB41+ROW()/100000,"")</f>
        <v/>
      </c>
      <c r="AS41" s="32">
        <f>IF($E41="","",IF(COUNTIF($E$5:$E41,$E41)=1,ROW(),""))</f>
        <v/>
      </c>
      <c r="AT41" s="32">
        <f>IF($S41="","",IF(COUNTIF($S$5:$S41,$S41)=1,ROW(),""))</f>
        <v/>
      </c>
    </row>
    <row r="42" ht="20" customHeight="1">
      <c r="A42" s="20" t="n">
        <v>38</v>
      </c>
      <c r="B42" s="21" t="n"/>
      <c r="C42" s="22" t="n"/>
      <c r="D42" s="22" t="n"/>
      <c r="E42" s="22" t="n"/>
      <c r="F42" s="66" t="n"/>
      <c r="G42" s="66" t="n"/>
      <c r="H42" s="66" t="n"/>
      <c r="I42" s="21" t="n"/>
      <c r="J42" s="24" t="n"/>
      <c r="K42" s="24" t="n"/>
      <c r="L42" s="21" t="n"/>
      <c r="M42" s="24" t="n"/>
      <c r="N42" s="21" t="n"/>
      <c r="O42" s="67" t="n"/>
      <c r="P42" s="21" t="n"/>
      <c r="Q42" s="21" t="n"/>
      <c r="R42" s="22" t="n"/>
      <c r="S42" s="22" t="n"/>
      <c r="T42" s="21" t="n"/>
      <c r="U42" s="66" t="n"/>
      <c r="V42" s="66" t="n"/>
      <c r="W42" s="66" t="n"/>
      <c r="X42" s="8" t="n"/>
      <c r="Y42" s="68">
        <f>IF($AN42="","",IF($AN42=0,$H42,IF($AN42=$AJ42,$AK42,$AL42)))</f>
        <v/>
      </c>
      <c r="Z42" s="68">
        <f>IF(OR($Y42="",NOT(ISNUMBER($K42))),"",IF($L42="日前",$Y42-$K42,EDATE($Y42,-$K42)))</f>
        <v/>
      </c>
      <c r="AA42" s="68">
        <f>IF(OR($Y42="",ISNUMBER($V42),N($Y42)&lt;'設定'!$B$6),"",IF($Z42&lt;&gt;"",$Z42,$Y42))</f>
        <v/>
      </c>
      <c r="AB42" s="69">
        <f>IF($AA42="","",$AA42-'設定'!$B$6)</f>
        <v/>
      </c>
      <c r="AC42" s="28">
        <f>IF(NOT(OR($B42&lt;&gt;"",$C42&lt;&gt;"")),"",IF(ISNUMBER($V42),IF($V42&lt;'設定'!$B$6,"終了","終了予定"),IF($Y42="","有効",IF($Y42&lt;'設定'!$B$6,"満了",IF(AND($T42="更新する",ISNUMBER($U42),N($U42)&lt;='設定'!$B$6,OR($AO42="",N($U42)&gt;N($AO42))),"確認済み",IF($AB42&lt;0,"通知期限切れ",IF($AB42&lt;=N('設定'!$B$7),"要対応","有効")))))))</f>
        <v/>
      </c>
      <c r="AD42" s="68">
        <f>IF(OR(NOT(ISNUMBER($M42)),$AC42="",$AC42="終了",$AC42="終了予定",$AC42="満了"),"",IF($N42="日前",'設定'!$B$6+$M42,EDATE('設定'!$B$6,$M42)))</f>
        <v/>
      </c>
      <c r="AE42" s="70">
        <f>IF(NOT(ISNUMBER($O42)),"",IF($P42="月額",$O42*12,IF($P42="年額",$O42,"")))</f>
        <v/>
      </c>
      <c r="AF42" s="30">
        <f>MID(IF(AND(ISNUMBER($G42),ISNUMBER($H42)),IF(N($H42)&lt;N($G42)," / 満了日が開始日より前",""),"")&amp;IF(AND($I42="あり",NOT(ISNUMBER($H42)))," / 自動更新ありなのに満了日が空","")&amp;IF(AND($I42="あり",ISNUMBER($H42),NOT(ISNUMBER($J42)))," / 更新期間が空（更新を計算できない）","")&amp;IF($AH42="","",IF(AND(DAY($AH42)&gt;=29,OR(MOD($J42,12)&lt;&gt;0,MONTH($AH42)=2))," / 更新の初日が29〜31日（更新を重ねると満了日が1日ずれることがある。満了日を今の期間の満了日に書き換えると直る）",""))&amp;IF(AND(ISNUMBER($K42),$L42="")," / 通知の単位が空（か月前で計算）","")&amp;IF(AND(ISNUMBER($M42),$N42="")," / 解約予告の単位が空（か月前で計算）","")&amp;IF(AND(ISNUMBER($O42),$P42="")," / 金額の区分が空","")&amp;IF(AND($T42&lt;&gt;"",NOT(ISNUMBER($U42)))," / 対応を決めた日が空","")&amp;IF(AND(ISNUMBER($U42),$T42="")," / 今期の対応が空","")&amp;IF(AND($T42="更新しない",NOT(ISNUMBER($V42)))," / 更新しないなら、解約・終了した日（契約が終わる日）を入れる",""),4,300)</f>
        <v/>
      </c>
      <c r="AG42" s="53" t="n"/>
      <c r="AH42" s="71">
        <f>IF(AND(ISNUMBER($H42),$I42="あり",ISNUMBER($J42)),IF($J42&gt;=1,$H42+1,""),"")</f>
        <v/>
      </c>
      <c r="AI42" s="32">
        <f>IF($AH42="","",(YEAR('設定'!$B$6)-YEAR($AH42))*12+MONTH('設定'!$B$6)-MONTH($AH42))</f>
        <v/>
      </c>
      <c r="AJ42" s="32">
        <f>IF($AH42="","",MAX(1,ROUNDUP($AI42/$J42,0)))</f>
        <v/>
      </c>
      <c r="AK42" s="71">
        <f>IF($AJ42="","",IF(DAY(EDATE($AH42,$AJ42*$J42))&lt;DAY($AH42),EDATE($AH42,$AJ42*$J42),EDATE($AH42,$AJ42*$J42)-1))</f>
        <v/>
      </c>
      <c r="AL42" s="71">
        <f>IF($AJ42="","",IF(DAY(EDATE($AH42,($AJ42+1)*$J42))&lt;DAY($AH42),EDATE($AH42,($AJ42+1)*$J42),EDATE($AH42,($AJ42+1)*$J42)-1))</f>
        <v/>
      </c>
      <c r="AM42" s="71">
        <f>IF($AJ42="","",IF($AJ42=1,$H42,IF(DAY(EDATE($AH42,($AJ42-1)*$J42))&lt;DAY($AH42),EDATE($AH42,($AJ42-1)*$J42),EDATE($AH42,($AJ42-1)*$J42)-1)))</f>
        <v/>
      </c>
      <c r="AN42" s="32">
        <f>IF(NOT(ISNUMBER($H42)),"",IF(OR($AH42="",$H42&gt;='設定'!$B$6),0,IF($AK42&gt;='設定'!$B$6,$AJ42,$AJ42+1)))</f>
        <v/>
      </c>
      <c r="AO42" s="71">
        <f>IF($AN42="","",IF($AN42=0,"",IF($AN42=$AJ42,$AM42,$AK42)))</f>
        <v/>
      </c>
      <c r="AP42" s="32">
        <f>IF(OR($AC42="要対応",$AC42="通知期限切れ",$AC42="確認済み",$AC42="有効",$AC42="終了予定"),1,0)</f>
        <v/>
      </c>
      <c r="AQ42" s="32">
        <f>IF(OR($AC42="要対応",$AC42="通知期限切れ"),1,0)</f>
        <v/>
      </c>
      <c r="AR42" s="72">
        <f>IF(AND(ISNUMBER($AB42),OR($AC42="要対応",$AC42="通知期限切れ",$AC42="確認済み",$AC42="有効")),$AB42+ROW()/100000,"")</f>
        <v/>
      </c>
      <c r="AS42" s="32">
        <f>IF($E42="","",IF(COUNTIF($E$5:$E42,$E42)=1,ROW(),""))</f>
        <v/>
      </c>
      <c r="AT42" s="32">
        <f>IF($S42="","",IF(COUNTIF($S$5:$S42,$S42)=1,ROW(),""))</f>
        <v/>
      </c>
    </row>
    <row r="43" ht="20" customHeight="1">
      <c r="A43" s="20" t="n">
        <v>39</v>
      </c>
      <c r="B43" s="21" t="n"/>
      <c r="C43" s="22" t="n"/>
      <c r="D43" s="22" t="n"/>
      <c r="E43" s="22" t="n"/>
      <c r="F43" s="66" t="n"/>
      <c r="G43" s="66" t="n"/>
      <c r="H43" s="66" t="n"/>
      <c r="I43" s="21" t="n"/>
      <c r="J43" s="24" t="n"/>
      <c r="K43" s="24" t="n"/>
      <c r="L43" s="21" t="n"/>
      <c r="M43" s="24" t="n"/>
      <c r="N43" s="21" t="n"/>
      <c r="O43" s="67" t="n"/>
      <c r="P43" s="21" t="n"/>
      <c r="Q43" s="21" t="n"/>
      <c r="R43" s="22" t="n"/>
      <c r="S43" s="22" t="n"/>
      <c r="T43" s="21" t="n"/>
      <c r="U43" s="66" t="n"/>
      <c r="V43" s="66" t="n"/>
      <c r="W43" s="66" t="n"/>
      <c r="X43" s="8" t="n"/>
      <c r="Y43" s="68">
        <f>IF($AN43="","",IF($AN43=0,$H43,IF($AN43=$AJ43,$AK43,$AL43)))</f>
        <v/>
      </c>
      <c r="Z43" s="68">
        <f>IF(OR($Y43="",NOT(ISNUMBER($K43))),"",IF($L43="日前",$Y43-$K43,EDATE($Y43,-$K43)))</f>
        <v/>
      </c>
      <c r="AA43" s="68">
        <f>IF(OR($Y43="",ISNUMBER($V43),N($Y43)&lt;'設定'!$B$6),"",IF($Z43&lt;&gt;"",$Z43,$Y43))</f>
        <v/>
      </c>
      <c r="AB43" s="69">
        <f>IF($AA43="","",$AA43-'設定'!$B$6)</f>
        <v/>
      </c>
      <c r="AC43" s="28">
        <f>IF(NOT(OR($B43&lt;&gt;"",$C43&lt;&gt;"")),"",IF(ISNUMBER($V43),IF($V43&lt;'設定'!$B$6,"終了","終了予定"),IF($Y43="","有効",IF($Y43&lt;'設定'!$B$6,"満了",IF(AND($T43="更新する",ISNUMBER($U43),N($U43)&lt;='設定'!$B$6,OR($AO43="",N($U43)&gt;N($AO43))),"確認済み",IF($AB43&lt;0,"通知期限切れ",IF($AB43&lt;=N('設定'!$B$7),"要対応","有効")))))))</f>
        <v/>
      </c>
      <c r="AD43" s="68">
        <f>IF(OR(NOT(ISNUMBER($M43)),$AC43="",$AC43="終了",$AC43="終了予定",$AC43="満了"),"",IF($N43="日前",'設定'!$B$6+$M43,EDATE('設定'!$B$6,$M43)))</f>
        <v/>
      </c>
      <c r="AE43" s="70">
        <f>IF(NOT(ISNUMBER($O43)),"",IF($P43="月額",$O43*12,IF($P43="年額",$O43,"")))</f>
        <v/>
      </c>
      <c r="AF43" s="30">
        <f>MID(IF(AND(ISNUMBER($G43),ISNUMBER($H43)),IF(N($H43)&lt;N($G43)," / 満了日が開始日より前",""),"")&amp;IF(AND($I43="あり",NOT(ISNUMBER($H43)))," / 自動更新ありなのに満了日が空","")&amp;IF(AND($I43="あり",ISNUMBER($H43),NOT(ISNUMBER($J43)))," / 更新期間が空（更新を計算できない）","")&amp;IF($AH43="","",IF(AND(DAY($AH43)&gt;=29,OR(MOD($J43,12)&lt;&gt;0,MONTH($AH43)=2))," / 更新の初日が29〜31日（更新を重ねると満了日が1日ずれることがある。満了日を今の期間の満了日に書き換えると直る）",""))&amp;IF(AND(ISNUMBER($K43),$L43="")," / 通知の単位が空（か月前で計算）","")&amp;IF(AND(ISNUMBER($M43),$N43="")," / 解約予告の単位が空（か月前で計算）","")&amp;IF(AND(ISNUMBER($O43),$P43="")," / 金額の区分が空","")&amp;IF(AND($T43&lt;&gt;"",NOT(ISNUMBER($U43)))," / 対応を決めた日が空","")&amp;IF(AND(ISNUMBER($U43),$T43="")," / 今期の対応が空","")&amp;IF(AND($T43="更新しない",NOT(ISNUMBER($V43)))," / 更新しないなら、解約・終了した日（契約が終わる日）を入れる",""),4,300)</f>
        <v/>
      </c>
      <c r="AG43" s="53" t="n"/>
      <c r="AH43" s="71">
        <f>IF(AND(ISNUMBER($H43),$I43="あり",ISNUMBER($J43)),IF($J43&gt;=1,$H43+1,""),"")</f>
        <v/>
      </c>
      <c r="AI43" s="32">
        <f>IF($AH43="","",(YEAR('設定'!$B$6)-YEAR($AH43))*12+MONTH('設定'!$B$6)-MONTH($AH43))</f>
        <v/>
      </c>
      <c r="AJ43" s="32">
        <f>IF($AH43="","",MAX(1,ROUNDUP($AI43/$J43,0)))</f>
        <v/>
      </c>
      <c r="AK43" s="71">
        <f>IF($AJ43="","",IF(DAY(EDATE($AH43,$AJ43*$J43))&lt;DAY($AH43),EDATE($AH43,$AJ43*$J43),EDATE($AH43,$AJ43*$J43)-1))</f>
        <v/>
      </c>
      <c r="AL43" s="71">
        <f>IF($AJ43="","",IF(DAY(EDATE($AH43,($AJ43+1)*$J43))&lt;DAY($AH43),EDATE($AH43,($AJ43+1)*$J43),EDATE($AH43,($AJ43+1)*$J43)-1))</f>
        <v/>
      </c>
      <c r="AM43" s="71">
        <f>IF($AJ43="","",IF($AJ43=1,$H43,IF(DAY(EDATE($AH43,($AJ43-1)*$J43))&lt;DAY($AH43),EDATE($AH43,($AJ43-1)*$J43),EDATE($AH43,($AJ43-1)*$J43)-1)))</f>
        <v/>
      </c>
      <c r="AN43" s="32">
        <f>IF(NOT(ISNUMBER($H43)),"",IF(OR($AH43="",$H43&gt;='設定'!$B$6),0,IF($AK43&gt;='設定'!$B$6,$AJ43,$AJ43+1)))</f>
        <v/>
      </c>
      <c r="AO43" s="71">
        <f>IF($AN43="","",IF($AN43=0,"",IF($AN43=$AJ43,$AM43,$AK43)))</f>
        <v/>
      </c>
      <c r="AP43" s="32">
        <f>IF(OR($AC43="要対応",$AC43="通知期限切れ",$AC43="確認済み",$AC43="有効",$AC43="終了予定"),1,0)</f>
        <v/>
      </c>
      <c r="AQ43" s="32">
        <f>IF(OR($AC43="要対応",$AC43="通知期限切れ"),1,0)</f>
        <v/>
      </c>
      <c r="AR43" s="72">
        <f>IF(AND(ISNUMBER($AB43),OR($AC43="要対応",$AC43="通知期限切れ",$AC43="確認済み",$AC43="有効")),$AB43+ROW()/100000,"")</f>
        <v/>
      </c>
      <c r="AS43" s="32">
        <f>IF($E43="","",IF(COUNTIF($E$5:$E43,$E43)=1,ROW(),""))</f>
        <v/>
      </c>
      <c r="AT43" s="32">
        <f>IF($S43="","",IF(COUNTIF($S$5:$S43,$S43)=1,ROW(),""))</f>
        <v/>
      </c>
    </row>
    <row r="44" ht="20" customHeight="1">
      <c r="A44" s="20" t="n">
        <v>40</v>
      </c>
      <c r="B44" s="21" t="n"/>
      <c r="C44" s="22" t="n"/>
      <c r="D44" s="22" t="n"/>
      <c r="E44" s="22" t="n"/>
      <c r="F44" s="66" t="n"/>
      <c r="G44" s="66" t="n"/>
      <c r="H44" s="66" t="n"/>
      <c r="I44" s="21" t="n"/>
      <c r="J44" s="24" t="n"/>
      <c r="K44" s="24" t="n"/>
      <c r="L44" s="21" t="n"/>
      <c r="M44" s="24" t="n"/>
      <c r="N44" s="21" t="n"/>
      <c r="O44" s="67" t="n"/>
      <c r="P44" s="21" t="n"/>
      <c r="Q44" s="21" t="n"/>
      <c r="R44" s="22" t="n"/>
      <c r="S44" s="22" t="n"/>
      <c r="T44" s="21" t="n"/>
      <c r="U44" s="66" t="n"/>
      <c r="V44" s="66" t="n"/>
      <c r="W44" s="66" t="n"/>
      <c r="X44" s="8" t="n"/>
      <c r="Y44" s="68">
        <f>IF($AN44="","",IF($AN44=0,$H44,IF($AN44=$AJ44,$AK44,$AL44)))</f>
        <v/>
      </c>
      <c r="Z44" s="68">
        <f>IF(OR($Y44="",NOT(ISNUMBER($K44))),"",IF($L44="日前",$Y44-$K44,EDATE($Y44,-$K44)))</f>
        <v/>
      </c>
      <c r="AA44" s="68">
        <f>IF(OR($Y44="",ISNUMBER($V44),N($Y44)&lt;'設定'!$B$6),"",IF($Z44&lt;&gt;"",$Z44,$Y44))</f>
        <v/>
      </c>
      <c r="AB44" s="69">
        <f>IF($AA44="","",$AA44-'設定'!$B$6)</f>
        <v/>
      </c>
      <c r="AC44" s="28">
        <f>IF(NOT(OR($B44&lt;&gt;"",$C44&lt;&gt;"")),"",IF(ISNUMBER($V44),IF($V44&lt;'設定'!$B$6,"終了","終了予定"),IF($Y44="","有効",IF($Y44&lt;'設定'!$B$6,"満了",IF(AND($T44="更新する",ISNUMBER($U44),N($U44)&lt;='設定'!$B$6,OR($AO44="",N($U44)&gt;N($AO44))),"確認済み",IF($AB44&lt;0,"通知期限切れ",IF($AB44&lt;=N('設定'!$B$7),"要対応","有効")))))))</f>
        <v/>
      </c>
      <c r="AD44" s="68">
        <f>IF(OR(NOT(ISNUMBER($M44)),$AC44="",$AC44="終了",$AC44="終了予定",$AC44="満了"),"",IF($N44="日前",'設定'!$B$6+$M44,EDATE('設定'!$B$6,$M44)))</f>
        <v/>
      </c>
      <c r="AE44" s="70">
        <f>IF(NOT(ISNUMBER($O44)),"",IF($P44="月額",$O44*12,IF($P44="年額",$O44,"")))</f>
        <v/>
      </c>
      <c r="AF44" s="30">
        <f>MID(IF(AND(ISNUMBER($G44),ISNUMBER($H44)),IF(N($H44)&lt;N($G44)," / 満了日が開始日より前",""),"")&amp;IF(AND($I44="あり",NOT(ISNUMBER($H44)))," / 自動更新ありなのに満了日が空","")&amp;IF(AND($I44="あり",ISNUMBER($H44),NOT(ISNUMBER($J44)))," / 更新期間が空（更新を計算できない）","")&amp;IF($AH44="","",IF(AND(DAY($AH44)&gt;=29,OR(MOD($J44,12)&lt;&gt;0,MONTH($AH44)=2))," / 更新の初日が29〜31日（更新を重ねると満了日が1日ずれることがある。満了日を今の期間の満了日に書き換えると直る）",""))&amp;IF(AND(ISNUMBER($K44),$L44="")," / 通知の単位が空（か月前で計算）","")&amp;IF(AND(ISNUMBER($M44),$N44="")," / 解約予告の単位が空（か月前で計算）","")&amp;IF(AND(ISNUMBER($O44),$P44="")," / 金額の区分が空","")&amp;IF(AND($T44&lt;&gt;"",NOT(ISNUMBER($U44)))," / 対応を決めた日が空","")&amp;IF(AND(ISNUMBER($U44),$T44="")," / 今期の対応が空","")&amp;IF(AND($T44="更新しない",NOT(ISNUMBER($V44)))," / 更新しないなら、解約・終了した日（契約が終わる日）を入れる",""),4,300)</f>
        <v/>
      </c>
      <c r="AG44" s="53" t="n"/>
      <c r="AH44" s="71">
        <f>IF(AND(ISNUMBER($H44),$I44="あり",ISNUMBER($J44)),IF($J44&gt;=1,$H44+1,""),"")</f>
        <v/>
      </c>
      <c r="AI44" s="32">
        <f>IF($AH44="","",(YEAR('設定'!$B$6)-YEAR($AH44))*12+MONTH('設定'!$B$6)-MONTH($AH44))</f>
        <v/>
      </c>
      <c r="AJ44" s="32">
        <f>IF($AH44="","",MAX(1,ROUNDUP($AI44/$J44,0)))</f>
        <v/>
      </c>
      <c r="AK44" s="71">
        <f>IF($AJ44="","",IF(DAY(EDATE($AH44,$AJ44*$J44))&lt;DAY($AH44),EDATE($AH44,$AJ44*$J44),EDATE($AH44,$AJ44*$J44)-1))</f>
        <v/>
      </c>
      <c r="AL44" s="71">
        <f>IF($AJ44="","",IF(DAY(EDATE($AH44,($AJ44+1)*$J44))&lt;DAY($AH44),EDATE($AH44,($AJ44+1)*$J44),EDATE($AH44,($AJ44+1)*$J44)-1))</f>
        <v/>
      </c>
      <c r="AM44" s="71">
        <f>IF($AJ44="","",IF($AJ44=1,$H44,IF(DAY(EDATE($AH44,($AJ44-1)*$J44))&lt;DAY($AH44),EDATE($AH44,($AJ44-1)*$J44),EDATE($AH44,($AJ44-1)*$J44)-1)))</f>
        <v/>
      </c>
      <c r="AN44" s="32">
        <f>IF(NOT(ISNUMBER($H44)),"",IF(OR($AH44="",$H44&gt;='設定'!$B$6),0,IF($AK44&gt;='設定'!$B$6,$AJ44,$AJ44+1)))</f>
        <v/>
      </c>
      <c r="AO44" s="71">
        <f>IF($AN44="","",IF($AN44=0,"",IF($AN44=$AJ44,$AM44,$AK44)))</f>
        <v/>
      </c>
      <c r="AP44" s="32">
        <f>IF(OR($AC44="要対応",$AC44="通知期限切れ",$AC44="確認済み",$AC44="有効",$AC44="終了予定"),1,0)</f>
        <v/>
      </c>
      <c r="AQ44" s="32">
        <f>IF(OR($AC44="要対応",$AC44="通知期限切れ"),1,0)</f>
        <v/>
      </c>
      <c r="AR44" s="72">
        <f>IF(AND(ISNUMBER($AB44),OR($AC44="要対応",$AC44="通知期限切れ",$AC44="確認済み",$AC44="有効")),$AB44+ROW()/100000,"")</f>
        <v/>
      </c>
      <c r="AS44" s="32">
        <f>IF($E44="","",IF(COUNTIF($E$5:$E44,$E44)=1,ROW(),""))</f>
        <v/>
      </c>
      <c r="AT44" s="32">
        <f>IF($S44="","",IF(COUNTIF($S$5:$S44,$S44)=1,ROW(),""))</f>
        <v/>
      </c>
    </row>
    <row r="45" ht="20" customHeight="1">
      <c r="A45" s="20" t="n">
        <v>41</v>
      </c>
      <c r="B45" s="21" t="n"/>
      <c r="C45" s="22" t="n"/>
      <c r="D45" s="22" t="n"/>
      <c r="E45" s="22" t="n"/>
      <c r="F45" s="66" t="n"/>
      <c r="G45" s="66" t="n"/>
      <c r="H45" s="66" t="n"/>
      <c r="I45" s="21" t="n"/>
      <c r="J45" s="24" t="n"/>
      <c r="K45" s="24" t="n"/>
      <c r="L45" s="21" t="n"/>
      <c r="M45" s="24" t="n"/>
      <c r="N45" s="21" t="n"/>
      <c r="O45" s="67" t="n"/>
      <c r="P45" s="21" t="n"/>
      <c r="Q45" s="21" t="n"/>
      <c r="R45" s="22" t="n"/>
      <c r="S45" s="22" t="n"/>
      <c r="T45" s="21" t="n"/>
      <c r="U45" s="66" t="n"/>
      <c r="V45" s="66" t="n"/>
      <c r="W45" s="66" t="n"/>
      <c r="X45" s="8" t="n"/>
      <c r="Y45" s="68">
        <f>IF($AN45="","",IF($AN45=0,$H45,IF($AN45=$AJ45,$AK45,$AL45)))</f>
        <v/>
      </c>
      <c r="Z45" s="68">
        <f>IF(OR($Y45="",NOT(ISNUMBER($K45))),"",IF($L45="日前",$Y45-$K45,EDATE($Y45,-$K45)))</f>
        <v/>
      </c>
      <c r="AA45" s="68">
        <f>IF(OR($Y45="",ISNUMBER($V45),N($Y45)&lt;'設定'!$B$6),"",IF($Z45&lt;&gt;"",$Z45,$Y45))</f>
        <v/>
      </c>
      <c r="AB45" s="69">
        <f>IF($AA45="","",$AA45-'設定'!$B$6)</f>
        <v/>
      </c>
      <c r="AC45" s="28">
        <f>IF(NOT(OR($B45&lt;&gt;"",$C45&lt;&gt;"")),"",IF(ISNUMBER($V45),IF($V45&lt;'設定'!$B$6,"終了","終了予定"),IF($Y45="","有効",IF($Y45&lt;'設定'!$B$6,"満了",IF(AND($T45="更新する",ISNUMBER($U45),N($U45)&lt;='設定'!$B$6,OR($AO45="",N($U45)&gt;N($AO45))),"確認済み",IF($AB45&lt;0,"通知期限切れ",IF($AB45&lt;=N('設定'!$B$7),"要対応","有効")))))))</f>
        <v/>
      </c>
      <c r="AD45" s="68">
        <f>IF(OR(NOT(ISNUMBER($M45)),$AC45="",$AC45="終了",$AC45="終了予定",$AC45="満了"),"",IF($N45="日前",'設定'!$B$6+$M45,EDATE('設定'!$B$6,$M45)))</f>
        <v/>
      </c>
      <c r="AE45" s="70">
        <f>IF(NOT(ISNUMBER($O45)),"",IF($P45="月額",$O45*12,IF($P45="年額",$O45,"")))</f>
        <v/>
      </c>
      <c r="AF45" s="30">
        <f>MID(IF(AND(ISNUMBER($G45),ISNUMBER($H45)),IF(N($H45)&lt;N($G45)," / 満了日が開始日より前",""),"")&amp;IF(AND($I45="あり",NOT(ISNUMBER($H45)))," / 自動更新ありなのに満了日が空","")&amp;IF(AND($I45="あり",ISNUMBER($H45),NOT(ISNUMBER($J45)))," / 更新期間が空（更新を計算できない）","")&amp;IF($AH45="","",IF(AND(DAY($AH45)&gt;=29,OR(MOD($J45,12)&lt;&gt;0,MONTH($AH45)=2))," / 更新の初日が29〜31日（更新を重ねると満了日が1日ずれることがある。満了日を今の期間の満了日に書き換えると直る）",""))&amp;IF(AND(ISNUMBER($K45),$L45="")," / 通知の単位が空（か月前で計算）","")&amp;IF(AND(ISNUMBER($M45),$N45="")," / 解約予告の単位が空（か月前で計算）","")&amp;IF(AND(ISNUMBER($O45),$P45="")," / 金額の区分が空","")&amp;IF(AND($T45&lt;&gt;"",NOT(ISNUMBER($U45)))," / 対応を決めた日が空","")&amp;IF(AND(ISNUMBER($U45),$T45="")," / 今期の対応が空","")&amp;IF(AND($T45="更新しない",NOT(ISNUMBER($V45)))," / 更新しないなら、解約・終了した日（契約が終わる日）を入れる",""),4,300)</f>
        <v/>
      </c>
      <c r="AG45" s="53" t="n"/>
      <c r="AH45" s="71">
        <f>IF(AND(ISNUMBER($H45),$I45="あり",ISNUMBER($J45)),IF($J45&gt;=1,$H45+1,""),"")</f>
        <v/>
      </c>
      <c r="AI45" s="32">
        <f>IF($AH45="","",(YEAR('設定'!$B$6)-YEAR($AH45))*12+MONTH('設定'!$B$6)-MONTH($AH45))</f>
        <v/>
      </c>
      <c r="AJ45" s="32">
        <f>IF($AH45="","",MAX(1,ROUNDUP($AI45/$J45,0)))</f>
        <v/>
      </c>
      <c r="AK45" s="71">
        <f>IF($AJ45="","",IF(DAY(EDATE($AH45,$AJ45*$J45))&lt;DAY($AH45),EDATE($AH45,$AJ45*$J45),EDATE($AH45,$AJ45*$J45)-1))</f>
        <v/>
      </c>
      <c r="AL45" s="71">
        <f>IF($AJ45="","",IF(DAY(EDATE($AH45,($AJ45+1)*$J45))&lt;DAY($AH45),EDATE($AH45,($AJ45+1)*$J45),EDATE($AH45,($AJ45+1)*$J45)-1))</f>
        <v/>
      </c>
      <c r="AM45" s="71">
        <f>IF($AJ45="","",IF($AJ45=1,$H45,IF(DAY(EDATE($AH45,($AJ45-1)*$J45))&lt;DAY($AH45),EDATE($AH45,($AJ45-1)*$J45),EDATE($AH45,($AJ45-1)*$J45)-1)))</f>
        <v/>
      </c>
      <c r="AN45" s="32">
        <f>IF(NOT(ISNUMBER($H45)),"",IF(OR($AH45="",$H45&gt;='設定'!$B$6),0,IF($AK45&gt;='設定'!$B$6,$AJ45,$AJ45+1)))</f>
        <v/>
      </c>
      <c r="AO45" s="71">
        <f>IF($AN45="","",IF($AN45=0,"",IF($AN45=$AJ45,$AM45,$AK45)))</f>
        <v/>
      </c>
      <c r="AP45" s="32">
        <f>IF(OR($AC45="要対応",$AC45="通知期限切れ",$AC45="確認済み",$AC45="有効",$AC45="終了予定"),1,0)</f>
        <v/>
      </c>
      <c r="AQ45" s="32">
        <f>IF(OR($AC45="要対応",$AC45="通知期限切れ"),1,0)</f>
        <v/>
      </c>
      <c r="AR45" s="72">
        <f>IF(AND(ISNUMBER($AB45),OR($AC45="要対応",$AC45="通知期限切れ",$AC45="確認済み",$AC45="有効")),$AB45+ROW()/100000,"")</f>
        <v/>
      </c>
      <c r="AS45" s="32">
        <f>IF($E45="","",IF(COUNTIF($E$5:$E45,$E45)=1,ROW(),""))</f>
        <v/>
      </c>
      <c r="AT45" s="32">
        <f>IF($S45="","",IF(COUNTIF($S$5:$S45,$S45)=1,ROW(),""))</f>
        <v/>
      </c>
    </row>
    <row r="46" ht="20" customHeight="1">
      <c r="A46" s="20" t="n">
        <v>42</v>
      </c>
      <c r="B46" s="21" t="n"/>
      <c r="C46" s="22" t="n"/>
      <c r="D46" s="22" t="n"/>
      <c r="E46" s="22" t="n"/>
      <c r="F46" s="66" t="n"/>
      <c r="G46" s="66" t="n"/>
      <c r="H46" s="66" t="n"/>
      <c r="I46" s="21" t="n"/>
      <c r="J46" s="24" t="n"/>
      <c r="K46" s="24" t="n"/>
      <c r="L46" s="21" t="n"/>
      <c r="M46" s="24" t="n"/>
      <c r="N46" s="21" t="n"/>
      <c r="O46" s="67" t="n"/>
      <c r="P46" s="21" t="n"/>
      <c r="Q46" s="21" t="n"/>
      <c r="R46" s="22" t="n"/>
      <c r="S46" s="22" t="n"/>
      <c r="T46" s="21" t="n"/>
      <c r="U46" s="66" t="n"/>
      <c r="V46" s="66" t="n"/>
      <c r="W46" s="66" t="n"/>
      <c r="X46" s="8" t="n"/>
      <c r="Y46" s="68">
        <f>IF($AN46="","",IF($AN46=0,$H46,IF($AN46=$AJ46,$AK46,$AL46)))</f>
        <v/>
      </c>
      <c r="Z46" s="68">
        <f>IF(OR($Y46="",NOT(ISNUMBER($K46))),"",IF($L46="日前",$Y46-$K46,EDATE($Y46,-$K46)))</f>
        <v/>
      </c>
      <c r="AA46" s="68">
        <f>IF(OR($Y46="",ISNUMBER($V46),N($Y46)&lt;'設定'!$B$6),"",IF($Z46&lt;&gt;"",$Z46,$Y46))</f>
        <v/>
      </c>
      <c r="AB46" s="69">
        <f>IF($AA46="","",$AA46-'設定'!$B$6)</f>
        <v/>
      </c>
      <c r="AC46" s="28">
        <f>IF(NOT(OR($B46&lt;&gt;"",$C46&lt;&gt;"")),"",IF(ISNUMBER($V46),IF($V46&lt;'設定'!$B$6,"終了","終了予定"),IF($Y46="","有効",IF($Y46&lt;'設定'!$B$6,"満了",IF(AND($T46="更新する",ISNUMBER($U46),N($U46)&lt;='設定'!$B$6,OR($AO46="",N($U46)&gt;N($AO46))),"確認済み",IF($AB46&lt;0,"通知期限切れ",IF($AB46&lt;=N('設定'!$B$7),"要対応","有効")))))))</f>
        <v/>
      </c>
      <c r="AD46" s="68">
        <f>IF(OR(NOT(ISNUMBER($M46)),$AC46="",$AC46="終了",$AC46="終了予定",$AC46="満了"),"",IF($N46="日前",'設定'!$B$6+$M46,EDATE('設定'!$B$6,$M46)))</f>
        <v/>
      </c>
      <c r="AE46" s="70">
        <f>IF(NOT(ISNUMBER($O46)),"",IF($P46="月額",$O46*12,IF($P46="年額",$O46,"")))</f>
        <v/>
      </c>
      <c r="AF46" s="30">
        <f>MID(IF(AND(ISNUMBER($G46),ISNUMBER($H46)),IF(N($H46)&lt;N($G46)," / 満了日が開始日より前",""),"")&amp;IF(AND($I46="あり",NOT(ISNUMBER($H46)))," / 自動更新ありなのに満了日が空","")&amp;IF(AND($I46="あり",ISNUMBER($H46),NOT(ISNUMBER($J46)))," / 更新期間が空（更新を計算できない）","")&amp;IF($AH46="","",IF(AND(DAY($AH46)&gt;=29,OR(MOD($J46,12)&lt;&gt;0,MONTH($AH46)=2))," / 更新の初日が29〜31日（更新を重ねると満了日が1日ずれることがある。満了日を今の期間の満了日に書き換えると直る）",""))&amp;IF(AND(ISNUMBER($K46),$L46="")," / 通知の単位が空（か月前で計算）","")&amp;IF(AND(ISNUMBER($M46),$N46="")," / 解約予告の単位が空（か月前で計算）","")&amp;IF(AND(ISNUMBER($O46),$P46="")," / 金額の区分が空","")&amp;IF(AND($T46&lt;&gt;"",NOT(ISNUMBER($U46)))," / 対応を決めた日が空","")&amp;IF(AND(ISNUMBER($U46),$T46="")," / 今期の対応が空","")&amp;IF(AND($T46="更新しない",NOT(ISNUMBER($V46)))," / 更新しないなら、解約・終了した日（契約が終わる日）を入れる",""),4,300)</f>
        <v/>
      </c>
      <c r="AG46" s="53" t="n"/>
      <c r="AH46" s="71">
        <f>IF(AND(ISNUMBER($H46),$I46="あり",ISNUMBER($J46)),IF($J46&gt;=1,$H46+1,""),"")</f>
        <v/>
      </c>
      <c r="AI46" s="32">
        <f>IF($AH46="","",(YEAR('設定'!$B$6)-YEAR($AH46))*12+MONTH('設定'!$B$6)-MONTH($AH46))</f>
        <v/>
      </c>
      <c r="AJ46" s="32">
        <f>IF($AH46="","",MAX(1,ROUNDUP($AI46/$J46,0)))</f>
        <v/>
      </c>
      <c r="AK46" s="71">
        <f>IF($AJ46="","",IF(DAY(EDATE($AH46,$AJ46*$J46))&lt;DAY($AH46),EDATE($AH46,$AJ46*$J46),EDATE($AH46,$AJ46*$J46)-1))</f>
        <v/>
      </c>
      <c r="AL46" s="71">
        <f>IF($AJ46="","",IF(DAY(EDATE($AH46,($AJ46+1)*$J46))&lt;DAY($AH46),EDATE($AH46,($AJ46+1)*$J46),EDATE($AH46,($AJ46+1)*$J46)-1))</f>
        <v/>
      </c>
      <c r="AM46" s="71">
        <f>IF($AJ46="","",IF($AJ46=1,$H46,IF(DAY(EDATE($AH46,($AJ46-1)*$J46))&lt;DAY($AH46),EDATE($AH46,($AJ46-1)*$J46),EDATE($AH46,($AJ46-1)*$J46)-1)))</f>
        <v/>
      </c>
      <c r="AN46" s="32">
        <f>IF(NOT(ISNUMBER($H46)),"",IF(OR($AH46="",$H46&gt;='設定'!$B$6),0,IF($AK46&gt;='設定'!$B$6,$AJ46,$AJ46+1)))</f>
        <v/>
      </c>
      <c r="AO46" s="71">
        <f>IF($AN46="","",IF($AN46=0,"",IF($AN46=$AJ46,$AM46,$AK46)))</f>
        <v/>
      </c>
      <c r="AP46" s="32">
        <f>IF(OR($AC46="要対応",$AC46="通知期限切れ",$AC46="確認済み",$AC46="有効",$AC46="終了予定"),1,0)</f>
        <v/>
      </c>
      <c r="AQ46" s="32">
        <f>IF(OR($AC46="要対応",$AC46="通知期限切れ"),1,0)</f>
        <v/>
      </c>
      <c r="AR46" s="72">
        <f>IF(AND(ISNUMBER($AB46),OR($AC46="要対応",$AC46="通知期限切れ",$AC46="確認済み",$AC46="有効")),$AB46+ROW()/100000,"")</f>
        <v/>
      </c>
      <c r="AS46" s="32">
        <f>IF($E46="","",IF(COUNTIF($E$5:$E46,$E46)=1,ROW(),""))</f>
        <v/>
      </c>
      <c r="AT46" s="32">
        <f>IF($S46="","",IF(COUNTIF($S$5:$S46,$S46)=1,ROW(),""))</f>
        <v/>
      </c>
    </row>
    <row r="47" ht="20" customHeight="1">
      <c r="A47" s="20" t="n">
        <v>43</v>
      </c>
      <c r="B47" s="21" t="n"/>
      <c r="C47" s="22" t="n"/>
      <c r="D47" s="22" t="n"/>
      <c r="E47" s="22" t="n"/>
      <c r="F47" s="66" t="n"/>
      <c r="G47" s="66" t="n"/>
      <c r="H47" s="66" t="n"/>
      <c r="I47" s="21" t="n"/>
      <c r="J47" s="24" t="n"/>
      <c r="K47" s="24" t="n"/>
      <c r="L47" s="21" t="n"/>
      <c r="M47" s="24" t="n"/>
      <c r="N47" s="21" t="n"/>
      <c r="O47" s="67" t="n"/>
      <c r="P47" s="21" t="n"/>
      <c r="Q47" s="21" t="n"/>
      <c r="R47" s="22" t="n"/>
      <c r="S47" s="22" t="n"/>
      <c r="T47" s="21" t="n"/>
      <c r="U47" s="66" t="n"/>
      <c r="V47" s="66" t="n"/>
      <c r="W47" s="66" t="n"/>
      <c r="X47" s="8" t="n"/>
      <c r="Y47" s="68">
        <f>IF($AN47="","",IF($AN47=0,$H47,IF($AN47=$AJ47,$AK47,$AL47)))</f>
        <v/>
      </c>
      <c r="Z47" s="68">
        <f>IF(OR($Y47="",NOT(ISNUMBER($K47))),"",IF($L47="日前",$Y47-$K47,EDATE($Y47,-$K47)))</f>
        <v/>
      </c>
      <c r="AA47" s="68">
        <f>IF(OR($Y47="",ISNUMBER($V47),N($Y47)&lt;'設定'!$B$6),"",IF($Z47&lt;&gt;"",$Z47,$Y47))</f>
        <v/>
      </c>
      <c r="AB47" s="69">
        <f>IF($AA47="","",$AA47-'設定'!$B$6)</f>
        <v/>
      </c>
      <c r="AC47" s="28">
        <f>IF(NOT(OR($B47&lt;&gt;"",$C47&lt;&gt;"")),"",IF(ISNUMBER($V47),IF($V47&lt;'設定'!$B$6,"終了","終了予定"),IF($Y47="","有効",IF($Y47&lt;'設定'!$B$6,"満了",IF(AND($T47="更新する",ISNUMBER($U47),N($U47)&lt;='設定'!$B$6,OR($AO47="",N($U47)&gt;N($AO47))),"確認済み",IF($AB47&lt;0,"通知期限切れ",IF($AB47&lt;=N('設定'!$B$7),"要対応","有効")))))))</f>
        <v/>
      </c>
      <c r="AD47" s="68">
        <f>IF(OR(NOT(ISNUMBER($M47)),$AC47="",$AC47="終了",$AC47="終了予定",$AC47="満了"),"",IF($N47="日前",'設定'!$B$6+$M47,EDATE('設定'!$B$6,$M47)))</f>
        <v/>
      </c>
      <c r="AE47" s="70">
        <f>IF(NOT(ISNUMBER($O47)),"",IF($P47="月額",$O47*12,IF($P47="年額",$O47,"")))</f>
        <v/>
      </c>
      <c r="AF47" s="30">
        <f>MID(IF(AND(ISNUMBER($G47),ISNUMBER($H47)),IF(N($H47)&lt;N($G47)," / 満了日が開始日より前",""),"")&amp;IF(AND($I47="あり",NOT(ISNUMBER($H47)))," / 自動更新ありなのに満了日が空","")&amp;IF(AND($I47="あり",ISNUMBER($H47),NOT(ISNUMBER($J47)))," / 更新期間が空（更新を計算できない）","")&amp;IF($AH47="","",IF(AND(DAY($AH47)&gt;=29,OR(MOD($J47,12)&lt;&gt;0,MONTH($AH47)=2))," / 更新の初日が29〜31日（更新を重ねると満了日が1日ずれることがある。満了日を今の期間の満了日に書き換えると直る）",""))&amp;IF(AND(ISNUMBER($K47),$L47="")," / 通知の単位が空（か月前で計算）","")&amp;IF(AND(ISNUMBER($M47),$N47="")," / 解約予告の単位が空（か月前で計算）","")&amp;IF(AND(ISNUMBER($O47),$P47="")," / 金額の区分が空","")&amp;IF(AND($T47&lt;&gt;"",NOT(ISNUMBER($U47)))," / 対応を決めた日が空","")&amp;IF(AND(ISNUMBER($U47),$T47="")," / 今期の対応が空","")&amp;IF(AND($T47="更新しない",NOT(ISNUMBER($V47)))," / 更新しないなら、解約・終了した日（契約が終わる日）を入れる",""),4,300)</f>
        <v/>
      </c>
      <c r="AG47" s="53" t="n"/>
      <c r="AH47" s="71">
        <f>IF(AND(ISNUMBER($H47),$I47="あり",ISNUMBER($J47)),IF($J47&gt;=1,$H47+1,""),"")</f>
        <v/>
      </c>
      <c r="AI47" s="32">
        <f>IF($AH47="","",(YEAR('設定'!$B$6)-YEAR($AH47))*12+MONTH('設定'!$B$6)-MONTH($AH47))</f>
        <v/>
      </c>
      <c r="AJ47" s="32">
        <f>IF($AH47="","",MAX(1,ROUNDUP($AI47/$J47,0)))</f>
        <v/>
      </c>
      <c r="AK47" s="71">
        <f>IF($AJ47="","",IF(DAY(EDATE($AH47,$AJ47*$J47))&lt;DAY($AH47),EDATE($AH47,$AJ47*$J47),EDATE($AH47,$AJ47*$J47)-1))</f>
        <v/>
      </c>
      <c r="AL47" s="71">
        <f>IF($AJ47="","",IF(DAY(EDATE($AH47,($AJ47+1)*$J47))&lt;DAY($AH47),EDATE($AH47,($AJ47+1)*$J47),EDATE($AH47,($AJ47+1)*$J47)-1))</f>
        <v/>
      </c>
      <c r="AM47" s="71">
        <f>IF($AJ47="","",IF($AJ47=1,$H47,IF(DAY(EDATE($AH47,($AJ47-1)*$J47))&lt;DAY($AH47),EDATE($AH47,($AJ47-1)*$J47),EDATE($AH47,($AJ47-1)*$J47)-1)))</f>
        <v/>
      </c>
      <c r="AN47" s="32">
        <f>IF(NOT(ISNUMBER($H47)),"",IF(OR($AH47="",$H47&gt;='設定'!$B$6),0,IF($AK47&gt;='設定'!$B$6,$AJ47,$AJ47+1)))</f>
        <v/>
      </c>
      <c r="AO47" s="71">
        <f>IF($AN47="","",IF($AN47=0,"",IF($AN47=$AJ47,$AM47,$AK47)))</f>
        <v/>
      </c>
      <c r="AP47" s="32">
        <f>IF(OR($AC47="要対応",$AC47="通知期限切れ",$AC47="確認済み",$AC47="有効",$AC47="終了予定"),1,0)</f>
        <v/>
      </c>
      <c r="AQ47" s="32">
        <f>IF(OR($AC47="要対応",$AC47="通知期限切れ"),1,0)</f>
        <v/>
      </c>
      <c r="AR47" s="72">
        <f>IF(AND(ISNUMBER($AB47),OR($AC47="要対応",$AC47="通知期限切れ",$AC47="確認済み",$AC47="有効")),$AB47+ROW()/100000,"")</f>
        <v/>
      </c>
      <c r="AS47" s="32">
        <f>IF($E47="","",IF(COUNTIF($E$5:$E47,$E47)=1,ROW(),""))</f>
        <v/>
      </c>
      <c r="AT47" s="32">
        <f>IF($S47="","",IF(COUNTIF($S$5:$S47,$S47)=1,ROW(),""))</f>
        <v/>
      </c>
    </row>
    <row r="48" ht="20" customHeight="1">
      <c r="A48" s="20" t="n">
        <v>44</v>
      </c>
      <c r="B48" s="21" t="n"/>
      <c r="C48" s="22" t="n"/>
      <c r="D48" s="22" t="n"/>
      <c r="E48" s="22" t="n"/>
      <c r="F48" s="66" t="n"/>
      <c r="G48" s="66" t="n"/>
      <c r="H48" s="66" t="n"/>
      <c r="I48" s="21" t="n"/>
      <c r="J48" s="24" t="n"/>
      <c r="K48" s="24" t="n"/>
      <c r="L48" s="21" t="n"/>
      <c r="M48" s="24" t="n"/>
      <c r="N48" s="21" t="n"/>
      <c r="O48" s="67" t="n"/>
      <c r="P48" s="21" t="n"/>
      <c r="Q48" s="21" t="n"/>
      <c r="R48" s="22" t="n"/>
      <c r="S48" s="22" t="n"/>
      <c r="T48" s="21" t="n"/>
      <c r="U48" s="66" t="n"/>
      <c r="V48" s="66" t="n"/>
      <c r="W48" s="66" t="n"/>
      <c r="X48" s="8" t="n"/>
      <c r="Y48" s="68">
        <f>IF($AN48="","",IF($AN48=0,$H48,IF($AN48=$AJ48,$AK48,$AL48)))</f>
        <v/>
      </c>
      <c r="Z48" s="68">
        <f>IF(OR($Y48="",NOT(ISNUMBER($K48))),"",IF($L48="日前",$Y48-$K48,EDATE($Y48,-$K48)))</f>
        <v/>
      </c>
      <c r="AA48" s="68">
        <f>IF(OR($Y48="",ISNUMBER($V48),N($Y48)&lt;'設定'!$B$6),"",IF($Z48&lt;&gt;"",$Z48,$Y48))</f>
        <v/>
      </c>
      <c r="AB48" s="69">
        <f>IF($AA48="","",$AA48-'設定'!$B$6)</f>
        <v/>
      </c>
      <c r="AC48" s="28">
        <f>IF(NOT(OR($B48&lt;&gt;"",$C48&lt;&gt;"")),"",IF(ISNUMBER($V48),IF($V48&lt;'設定'!$B$6,"終了","終了予定"),IF($Y48="","有効",IF($Y48&lt;'設定'!$B$6,"満了",IF(AND($T48="更新する",ISNUMBER($U48),N($U48)&lt;='設定'!$B$6,OR($AO48="",N($U48)&gt;N($AO48))),"確認済み",IF($AB48&lt;0,"通知期限切れ",IF($AB48&lt;=N('設定'!$B$7),"要対応","有効")))))))</f>
        <v/>
      </c>
      <c r="AD48" s="68">
        <f>IF(OR(NOT(ISNUMBER($M48)),$AC48="",$AC48="終了",$AC48="終了予定",$AC48="満了"),"",IF($N48="日前",'設定'!$B$6+$M48,EDATE('設定'!$B$6,$M48)))</f>
        <v/>
      </c>
      <c r="AE48" s="70">
        <f>IF(NOT(ISNUMBER($O48)),"",IF($P48="月額",$O48*12,IF($P48="年額",$O48,"")))</f>
        <v/>
      </c>
      <c r="AF48" s="30">
        <f>MID(IF(AND(ISNUMBER($G48),ISNUMBER($H48)),IF(N($H48)&lt;N($G48)," / 満了日が開始日より前",""),"")&amp;IF(AND($I48="あり",NOT(ISNUMBER($H48)))," / 自動更新ありなのに満了日が空","")&amp;IF(AND($I48="あり",ISNUMBER($H48),NOT(ISNUMBER($J48)))," / 更新期間が空（更新を計算できない）","")&amp;IF($AH48="","",IF(AND(DAY($AH48)&gt;=29,OR(MOD($J48,12)&lt;&gt;0,MONTH($AH48)=2))," / 更新の初日が29〜31日（更新を重ねると満了日が1日ずれることがある。満了日を今の期間の満了日に書き換えると直る）",""))&amp;IF(AND(ISNUMBER($K48),$L48="")," / 通知の単位が空（か月前で計算）","")&amp;IF(AND(ISNUMBER($M48),$N48="")," / 解約予告の単位が空（か月前で計算）","")&amp;IF(AND(ISNUMBER($O48),$P48="")," / 金額の区分が空","")&amp;IF(AND($T48&lt;&gt;"",NOT(ISNUMBER($U48)))," / 対応を決めた日が空","")&amp;IF(AND(ISNUMBER($U48),$T48="")," / 今期の対応が空","")&amp;IF(AND($T48="更新しない",NOT(ISNUMBER($V48)))," / 更新しないなら、解約・終了した日（契約が終わる日）を入れる",""),4,300)</f>
        <v/>
      </c>
      <c r="AG48" s="53" t="n"/>
      <c r="AH48" s="71">
        <f>IF(AND(ISNUMBER($H48),$I48="あり",ISNUMBER($J48)),IF($J48&gt;=1,$H48+1,""),"")</f>
        <v/>
      </c>
      <c r="AI48" s="32">
        <f>IF($AH48="","",(YEAR('設定'!$B$6)-YEAR($AH48))*12+MONTH('設定'!$B$6)-MONTH($AH48))</f>
        <v/>
      </c>
      <c r="AJ48" s="32">
        <f>IF($AH48="","",MAX(1,ROUNDUP($AI48/$J48,0)))</f>
        <v/>
      </c>
      <c r="AK48" s="71">
        <f>IF($AJ48="","",IF(DAY(EDATE($AH48,$AJ48*$J48))&lt;DAY($AH48),EDATE($AH48,$AJ48*$J48),EDATE($AH48,$AJ48*$J48)-1))</f>
        <v/>
      </c>
      <c r="AL48" s="71">
        <f>IF($AJ48="","",IF(DAY(EDATE($AH48,($AJ48+1)*$J48))&lt;DAY($AH48),EDATE($AH48,($AJ48+1)*$J48),EDATE($AH48,($AJ48+1)*$J48)-1))</f>
        <v/>
      </c>
      <c r="AM48" s="71">
        <f>IF($AJ48="","",IF($AJ48=1,$H48,IF(DAY(EDATE($AH48,($AJ48-1)*$J48))&lt;DAY($AH48),EDATE($AH48,($AJ48-1)*$J48),EDATE($AH48,($AJ48-1)*$J48)-1)))</f>
        <v/>
      </c>
      <c r="AN48" s="32">
        <f>IF(NOT(ISNUMBER($H48)),"",IF(OR($AH48="",$H48&gt;='設定'!$B$6),0,IF($AK48&gt;='設定'!$B$6,$AJ48,$AJ48+1)))</f>
        <v/>
      </c>
      <c r="AO48" s="71">
        <f>IF($AN48="","",IF($AN48=0,"",IF($AN48=$AJ48,$AM48,$AK48)))</f>
        <v/>
      </c>
      <c r="AP48" s="32">
        <f>IF(OR($AC48="要対応",$AC48="通知期限切れ",$AC48="確認済み",$AC48="有効",$AC48="終了予定"),1,0)</f>
        <v/>
      </c>
      <c r="AQ48" s="32">
        <f>IF(OR($AC48="要対応",$AC48="通知期限切れ"),1,0)</f>
        <v/>
      </c>
      <c r="AR48" s="72">
        <f>IF(AND(ISNUMBER($AB48),OR($AC48="要対応",$AC48="通知期限切れ",$AC48="確認済み",$AC48="有効")),$AB48+ROW()/100000,"")</f>
        <v/>
      </c>
      <c r="AS48" s="32">
        <f>IF($E48="","",IF(COUNTIF($E$5:$E48,$E48)=1,ROW(),""))</f>
        <v/>
      </c>
      <c r="AT48" s="32">
        <f>IF($S48="","",IF(COUNTIF($S$5:$S48,$S48)=1,ROW(),""))</f>
        <v/>
      </c>
    </row>
    <row r="49" ht="20" customHeight="1">
      <c r="A49" s="20" t="n">
        <v>45</v>
      </c>
      <c r="B49" s="21" t="n"/>
      <c r="C49" s="22" t="n"/>
      <c r="D49" s="22" t="n"/>
      <c r="E49" s="22" t="n"/>
      <c r="F49" s="66" t="n"/>
      <c r="G49" s="66" t="n"/>
      <c r="H49" s="66" t="n"/>
      <c r="I49" s="21" t="n"/>
      <c r="J49" s="24" t="n"/>
      <c r="K49" s="24" t="n"/>
      <c r="L49" s="21" t="n"/>
      <c r="M49" s="24" t="n"/>
      <c r="N49" s="21" t="n"/>
      <c r="O49" s="67" t="n"/>
      <c r="P49" s="21" t="n"/>
      <c r="Q49" s="21" t="n"/>
      <c r="R49" s="22" t="n"/>
      <c r="S49" s="22" t="n"/>
      <c r="T49" s="21" t="n"/>
      <c r="U49" s="66" t="n"/>
      <c r="V49" s="66" t="n"/>
      <c r="W49" s="66" t="n"/>
      <c r="X49" s="8" t="n"/>
      <c r="Y49" s="68">
        <f>IF($AN49="","",IF($AN49=0,$H49,IF($AN49=$AJ49,$AK49,$AL49)))</f>
        <v/>
      </c>
      <c r="Z49" s="68">
        <f>IF(OR($Y49="",NOT(ISNUMBER($K49))),"",IF($L49="日前",$Y49-$K49,EDATE($Y49,-$K49)))</f>
        <v/>
      </c>
      <c r="AA49" s="68">
        <f>IF(OR($Y49="",ISNUMBER($V49),N($Y49)&lt;'設定'!$B$6),"",IF($Z49&lt;&gt;"",$Z49,$Y49))</f>
        <v/>
      </c>
      <c r="AB49" s="69">
        <f>IF($AA49="","",$AA49-'設定'!$B$6)</f>
        <v/>
      </c>
      <c r="AC49" s="28">
        <f>IF(NOT(OR($B49&lt;&gt;"",$C49&lt;&gt;"")),"",IF(ISNUMBER($V49),IF($V49&lt;'設定'!$B$6,"終了","終了予定"),IF($Y49="","有効",IF($Y49&lt;'設定'!$B$6,"満了",IF(AND($T49="更新する",ISNUMBER($U49),N($U49)&lt;='設定'!$B$6,OR($AO49="",N($U49)&gt;N($AO49))),"確認済み",IF($AB49&lt;0,"通知期限切れ",IF($AB49&lt;=N('設定'!$B$7),"要対応","有効")))))))</f>
        <v/>
      </c>
      <c r="AD49" s="68">
        <f>IF(OR(NOT(ISNUMBER($M49)),$AC49="",$AC49="終了",$AC49="終了予定",$AC49="満了"),"",IF($N49="日前",'設定'!$B$6+$M49,EDATE('設定'!$B$6,$M49)))</f>
        <v/>
      </c>
      <c r="AE49" s="70">
        <f>IF(NOT(ISNUMBER($O49)),"",IF($P49="月額",$O49*12,IF($P49="年額",$O49,"")))</f>
        <v/>
      </c>
      <c r="AF49" s="30">
        <f>MID(IF(AND(ISNUMBER($G49),ISNUMBER($H49)),IF(N($H49)&lt;N($G49)," / 満了日が開始日より前",""),"")&amp;IF(AND($I49="あり",NOT(ISNUMBER($H49)))," / 自動更新ありなのに満了日が空","")&amp;IF(AND($I49="あり",ISNUMBER($H49),NOT(ISNUMBER($J49)))," / 更新期間が空（更新を計算できない）","")&amp;IF($AH49="","",IF(AND(DAY($AH49)&gt;=29,OR(MOD($J49,12)&lt;&gt;0,MONTH($AH49)=2))," / 更新の初日が29〜31日（更新を重ねると満了日が1日ずれることがある。満了日を今の期間の満了日に書き換えると直る）",""))&amp;IF(AND(ISNUMBER($K49),$L49="")," / 通知の単位が空（か月前で計算）","")&amp;IF(AND(ISNUMBER($M49),$N49="")," / 解約予告の単位が空（か月前で計算）","")&amp;IF(AND(ISNUMBER($O49),$P49="")," / 金額の区分が空","")&amp;IF(AND($T49&lt;&gt;"",NOT(ISNUMBER($U49)))," / 対応を決めた日が空","")&amp;IF(AND(ISNUMBER($U49),$T49="")," / 今期の対応が空","")&amp;IF(AND($T49="更新しない",NOT(ISNUMBER($V49)))," / 更新しないなら、解約・終了した日（契約が終わる日）を入れる",""),4,300)</f>
        <v/>
      </c>
      <c r="AG49" s="53" t="n"/>
      <c r="AH49" s="71">
        <f>IF(AND(ISNUMBER($H49),$I49="あり",ISNUMBER($J49)),IF($J49&gt;=1,$H49+1,""),"")</f>
        <v/>
      </c>
      <c r="AI49" s="32">
        <f>IF($AH49="","",(YEAR('設定'!$B$6)-YEAR($AH49))*12+MONTH('設定'!$B$6)-MONTH($AH49))</f>
        <v/>
      </c>
      <c r="AJ49" s="32">
        <f>IF($AH49="","",MAX(1,ROUNDUP($AI49/$J49,0)))</f>
        <v/>
      </c>
      <c r="AK49" s="71">
        <f>IF($AJ49="","",IF(DAY(EDATE($AH49,$AJ49*$J49))&lt;DAY($AH49),EDATE($AH49,$AJ49*$J49),EDATE($AH49,$AJ49*$J49)-1))</f>
        <v/>
      </c>
      <c r="AL49" s="71">
        <f>IF($AJ49="","",IF(DAY(EDATE($AH49,($AJ49+1)*$J49))&lt;DAY($AH49),EDATE($AH49,($AJ49+1)*$J49),EDATE($AH49,($AJ49+1)*$J49)-1))</f>
        <v/>
      </c>
      <c r="AM49" s="71">
        <f>IF($AJ49="","",IF($AJ49=1,$H49,IF(DAY(EDATE($AH49,($AJ49-1)*$J49))&lt;DAY($AH49),EDATE($AH49,($AJ49-1)*$J49),EDATE($AH49,($AJ49-1)*$J49)-1)))</f>
        <v/>
      </c>
      <c r="AN49" s="32">
        <f>IF(NOT(ISNUMBER($H49)),"",IF(OR($AH49="",$H49&gt;='設定'!$B$6),0,IF($AK49&gt;='設定'!$B$6,$AJ49,$AJ49+1)))</f>
        <v/>
      </c>
      <c r="AO49" s="71">
        <f>IF($AN49="","",IF($AN49=0,"",IF($AN49=$AJ49,$AM49,$AK49)))</f>
        <v/>
      </c>
      <c r="AP49" s="32">
        <f>IF(OR($AC49="要対応",$AC49="通知期限切れ",$AC49="確認済み",$AC49="有効",$AC49="終了予定"),1,0)</f>
        <v/>
      </c>
      <c r="AQ49" s="32">
        <f>IF(OR($AC49="要対応",$AC49="通知期限切れ"),1,0)</f>
        <v/>
      </c>
      <c r="AR49" s="72">
        <f>IF(AND(ISNUMBER($AB49),OR($AC49="要対応",$AC49="通知期限切れ",$AC49="確認済み",$AC49="有効")),$AB49+ROW()/100000,"")</f>
        <v/>
      </c>
      <c r="AS49" s="32">
        <f>IF($E49="","",IF(COUNTIF($E$5:$E49,$E49)=1,ROW(),""))</f>
        <v/>
      </c>
      <c r="AT49" s="32">
        <f>IF($S49="","",IF(COUNTIF($S$5:$S49,$S49)=1,ROW(),""))</f>
        <v/>
      </c>
    </row>
    <row r="50" ht="20" customHeight="1">
      <c r="A50" s="20" t="n">
        <v>46</v>
      </c>
      <c r="B50" s="21" t="n"/>
      <c r="C50" s="22" t="n"/>
      <c r="D50" s="22" t="n"/>
      <c r="E50" s="22" t="n"/>
      <c r="F50" s="66" t="n"/>
      <c r="G50" s="66" t="n"/>
      <c r="H50" s="66" t="n"/>
      <c r="I50" s="21" t="n"/>
      <c r="J50" s="24" t="n"/>
      <c r="K50" s="24" t="n"/>
      <c r="L50" s="21" t="n"/>
      <c r="M50" s="24" t="n"/>
      <c r="N50" s="21" t="n"/>
      <c r="O50" s="67" t="n"/>
      <c r="P50" s="21" t="n"/>
      <c r="Q50" s="21" t="n"/>
      <c r="R50" s="22" t="n"/>
      <c r="S50" s="22" t="n"/>
      <c r="T50" s="21" t="n"/>
      <c r="U50" s="66" t="n"/>
      <c r="V50" s="66" t="n"/>
      <c r="W50" s="66" t="n"/>
      <c r="X50" s="8" t="n"/>
      <c r="Y50" s="68">
        <f>IF($AN50="","",IF($AN50=0,$H50,IF($AN50=$AJ50,$AK50,$AL50)))</f>
        <v/>
      </c>
      <c r="Z50" s="68">
        <f>IF(OR($Y50="",NOT(ISNUMBER($K50))),"",IF($L50="日前",$Y50-$K50,EDATE($Y50,-$K50)))</f>
        <v/>
      </c>
      <c r="AA50" s="68">
        <f>IF(OR($Y50="",ISNUMBER($V50),N($Y50)&lt;'設定'!$B$6),"",IF($Z50&lt;&gt;"",$Z50,$Y50))</f>
        <v/>
      </c>
      <c r="AB50" s="69">
        <f>IF($AA50="","",$AA50-'設定'!$B$6)</f>
        <v/>
      </c>
      <c r="AC50" s="28">
        <f>IF(NOT(OR($B50&lt;&gt;"",$C50&lt;&gt;"")),"",IF(ISNUMBER($V50),IF($V50&lt;'設定'!$B$6,"終了","終了予定"),IF($Y50="","有効",IF($Y50&lt;'設定'!$B$6,"満了",IF(AND($T50="更新する",ISNUMBER($U50),N($U50)&lt;='設定'!$B$6,OR($AO50="",N($U50)&gt;N($AO50))),"確認済み",IF($AB50&lt;0,"通知期限切れ",IF($AB50&lt;=N('設定'!$B$7),"要対応","有効")))))))</f>
        <v/>
      </c>
      <c r="AD50" s="68">
        <f>IF(OR(NOT(ISNUMBER($M50)),$AC50="",$AC50="終了",$AC50="終了予定",$AC50="満了"),"",IF($N50="日前",'設定'!$B$6+$M50,EDATE('設定'!$B$6,$M50)))</f>
        <v/>
      </c>
      <c r="AE50" s="70">
        <f>IF(NOT(ISNUMBER($O50)),"",IF($P50="月額",$O50*12,IF($P50="年額",$O50,"")))</f>
        <v/>
      </c>
      <c r="AF50" s="30">
        <f>MID(IF(AND(ISNUMBER($G50),ISNUMBER($H50)),IF(N($H50)&lt;N($G50)," / 満了日が開始日より前",""),"")&amp;IF(AND($I50="あり",NOT(ISNUMBER($H50)))," / 自動更新ありなのに満了日が空","")&amp;IF(AND($I50="あり",ISNUMBER($H50),NOT(ISNUMBER($J50)))," / 更新期間が空（更新を計算できない）","")&amp;IF($AH50="","",IF(AND(DAY($AH50)&gt;=29,OR(MOD($J50,12)&lt;&gt;0,MONTH($AH50)=2))," / 更新の初日が29〜31日（更新を重ねると満了日が1日ずれることがある。満了日を今の期間の満了日に書き換えると直る）",""))&amp;IF(AND(ISNUMBER($K50),$L50="")," / 通知の単位が空（か月前で計算）","")&amp;IF(AND(ISNUMBER($M50),$N50="")," / 解約予告の単位が空（か月前で計算）","")&amp;IF(AND(ISNUMBER($O50),$P50="")," / 金額の区分が空","")&amp;IF(AND($T50&lt;&gt;"",NOT(ISNUMBER($U50)))," / 対応を決めた日が空","")&amp;IF(AND(ISNUMBER($U50),$T50="")," / 今期の対応が空","")&amp;IF(AND($T50="更新しない",NOT(ISNUMBER($V50)))," / 更新しないなら、解約・終了した日（契約が終わる日）を入れる",""),4,300)</f>
        <v/>
      </c>
      <c r="AG50" s="53" t="n"/>
      <c r="AH50" s="71">
        <f>IF(AND(ISNUMBER($H50),$I50="あり",ISNUMBER($J50)),IF($J50&gt;=1,$H50+1,""),"")</f>
        <v/>
      </c>
      <c r="AI50" s="32">
        <f>IF($AH50="","",(YEAR('設定'!$B$6)-YEAR($AH50))*12+MONTH('設定'!$B$6)-MONTH($AH50))</f>
        <v/>
      </c>
      <c r="AJ50" s="32">
        <f>IF($AH50="","",MAX(1,ROUNDUP($AI50/$J50,0)))</f>
        <v/>
      </c>
      <c r="AK50" s="71">
        <f>IF($AJ50="","",IF(DAY(EDATE($AH50,$AJ50*$J50))&lt;DAY($AH50),EDATE($AH50,$AJ50*$J50),EDATE($AH50,$AJ50*$J50)-1))</f>
        <v/>
      </c>
      <c r="AL50" s="71">
        <f>IF($AJ50="","",IF(DAY(EDATE($AH50,($AJ50+1)*$J50))&lt;DAY($AH50),EDATE($AH50,($AJ50+1)*$J50),EDATE($AH50,($AJ50+1)*$J50)-1))</f>
        <v/>
      </c>
      <c r="AM50" s="71">
        <f>IF($AJ50="","",IF($AJ50=1,$H50,IF(DAY(EDATE($AH50,($AJ50-1)*$J50))&lt;DAY($AH50),EDATE($AH50,($AJ50-1)*$J50),EDATE($AH50,($AJ50-1)*$J50)-1)))</f>
        <v/>
      </c>
      <c r="AN50" s="32">
        <f>IF(NOT(ISNUMBER($H50)),"",IF(OR($AH50="",$H50&gt;='設定'!$B$6),0,IF($AK50&gt;='設定'!$B$6,$AJ50,$AJ50+1)))</f>
        <v/>
      </c>
      <c r="AO50" s="71">
        <f>IF($AN50="","",IF($AN50=0,"",IF($AN50=$AJ50,$AM50,$AK50)))</f>
        <v/>
      </c>
      <c r="AP50" s="32">
        <f>IF(OR($AC50="要対応",$AC50="通知期限切れ",$AC50="確認済み",$AC50="有効",$AC50="終了予定"),1,0)</f>
        <v/>
      </c>
      <c r="AQ50" s="32">
        <f>IF(OR($AC50="要対応",$AC50="通知期限切れ"),1,0)</f>
        <v/>
      </c>
      <c r="AR50" s="72">
        <f>IF(AND(ISNUMBER($AB50),OR($AC50="要対応",$AC50="通知期限切れ",$AC50="確認済み",$AC50="有効")),$AB50+ROW()/100000,"")</f>
        <v/>
      </c>
      <c r="AS50" s="32">
        <f>IF($E50="","",IF(COUNTIF($E$5:$E50,$E50)=1,ROW(),""))</f>
        <v/>
      </c>
      <c r="AT50" s="32">
        <f>IF($S50="","",IF(COUNTIF($S$5:$S50,$S50)=1,ROW(),""))</f>
        <v/>
      </c>
    </row>
    <row r="51" ht="20" customHeight="1">
      <c r="A51" s="20" t="n">
        <v>47</v>
      </c>
      <c r="B51" s="21" t="n"/>
      <c r="C51" s="22" t="n"/>
      <c r="D51" s="22" t="n"/>
      <c r="E51" s="22" t="n"/>
      <c r="F51" s="66" t="n"/>
      <c r="G51" s="66" t="n"/>
      <c r="H51" s="66" t="n"/>
      <c r="I51" s="21" t="n"/>
      <c r="J51" s="24" t="n"/>
      <c r="K51" s="24" t="n"/>
      <c r="L51" s="21" t="n"/>
      <c r="M51" s="24" t="n"/>
      <c r="N51" s="21" t="n"/>
      <c r="O51" s="67" t="n"/>
      <c r="P51" s="21" t="n"/>
      <c r="Q51" s="21" t="n"/>
      <c r="R51" s="22" t="n"/>
      <c r="S51" s="22" t="n"/>
      <c r="T51" s="21" t="n"/>
      <c r="U51" s="66" t="n"/>
      <c r="V51" s="66" t="n"/>
      <c r="W51" s="66" t="n"/>
      <c r="X51" s="8" t="n"/>
      <c r="Y51" s="68">
        <f>IF($AN51="","",IF($AN51=0,$H51,IF($AN51=$AJ51,$AK51,$AL51)))</f>
        <v/>
      </c>
      <c r="Z51" s="68">
        <f>IF(OR($Y51="",NOT(ISNUMBER($K51))),"",IF($L51="日前",$Y51-$K51,EDATE($Y51,-$K51)))</f>
        <v/>
      </c>
      <c r="AA51" s="68">
        <f>IF(OR($Y51="",ISNUMBER($V51),N($Y51)&lt;'設定'!$B$6),"",IF($Z51&lt;&gt;"",$Z51,$Y51))</f>
        <v/>
      </c>
      <c r="AB51" s="69">
        <f>IF($AA51="","",$AA51-'設定'!$B$6)</f>
        <v/>
      </c>
      <c r="AC51" s="28">
        <f>IF(NOT(OR($B51&lt;&gt;"",$C51&lt;&gt;"")),"",IF(ISNUMBER($V51),IF($V51&lt;'設定'!$B$6,"終了","終了予定"),IF($Y51="","有効",IF($Y51&lt;'設定'!$B$6,"満了",IF(AND($T51="更新する",ISNUMBER($U51),N($U51)&lt;='設定'!$B$6,OR($AO51="",N($U51)&gt;N($AO51))),"確認済み",IF($AB51&lt;0,"通知期限切れ",IF($AB51&lt;=N('設定'!$B$7),"要対応","有効")))))))</f>
        <v/>
      </c>
      <c r="AD51" s="68">
        <f>IF(OR(NOT(ISNUMBER($M51)),$AC51="",$AC51="終了",$AC51="終了予定",$AC51="満了"),"",IF($N51="日前",'設定'!$B$6+$M51,EDATE('設定'!$B$6,$M51)))</f>
        <v/>
      </c>
      <c r="AE51" s="70">
        <f>IF(NOT(ISNUMBER($O51)),"",IF($P51="月額",$O51*12,IF($P51="年額",$O51,"")))</f>
        <v/>
      </c>
      <c r="AF51" s="30">
        <f>MID(IF(AND(ISNUMBER($G51),ISNUMBER($H51)),IF(N($H51)&lt;N($G51)," / 満了日が開始日より前",""),"")&amp;IF(AND($I51="あり",NOT(ISNUMBER($H51)))," / 自動更新ありなのに満了日が空","")&amp;IF(AND($I51="あり",ISNUMBER($H51),NOT(ISNUMBER($J51)))," / 更新期間が空（更新を計算できない）","")&amp;IF($AH51="","",IF(AND(DAY($AH51)&gt;=29,OR(MOD($J51,12)&lt;&gt;0,MONTH($AH51)=2))," / 更新の初日が29〜31日（更新を重ねると満了日が1日ずれることがある。満了日を今の期間の満了日に書き換えると直る）",""))&amp;IF(AND(ISNUMBER($K51),$L51="")," / 通知の単位が空（か月前で計算）","")&amp;IF(AND(ISNUMBER($M51),$N51="")," / 解約予告の単位が空（か月前で計算）","")&amp;IF(AND(ISNUMBER($O51),$P51="")," / 金額の区分が空","")&amp;IF(AND($T51&lt;&gt;"",NOT(ISNUMBER($U51)))," / 対応を決めた日が空","")&amp;IF(AND(ISNUMBER($U51),$T51="")," / 今期の対応が空","")&amp;IF(AND($T51="更新しない",NOT(ISNUMBER($V51)))," / 更新しないなら、解約・終了した日（契約が終わる日）を入れる",""),4,300)</f>
        <v/>
      </c>
      <c r="AG51" s="53" t="n"/>
      <c r="AH51" s="71">
        <f>IF(AND(ISNUMBER($H51),$I51="あり",ISNUMBER($J51)),IF($J51&gt;=1,$H51+1,""),"")</f>
        <v/>
      </c>
      <c r="AI51" s="32">
        <f>IF($AH51="","",(YEAR('設定'!$B$6)-YEAR($AH51))*12+MONTH('設定'!$B$6)-MONTH($AH51))</f>
        <v/>
      </c>
      <c r="AJ51" s="32">
        <f>IF($AH51="","",MAX(1,ROUNDUP($AI51/$J51,0)))</f>
        <v/>
      </c>
      <c r="AK51" s="71">
        <f>IF($AJ51="","",IF(DAY(EDATE($AH51,$AJ51*$J51))&lt;DAY($AH51),EDATE($AH51,$AJ51*$J51),EDATE($AH51,$AJ51*$J51)-1))</f>
        <v/>
      </c>
      <c r="AL51" s="71">
        <f>IF($AJ51="","",IF(DAY(EDATE($AH51,($AJ51+1)*$J51))&lt;DAY($AH51),EDATE($AH51,($AJ51+1)*$J51),EDATE($AH51,($AJ51+1)*$J51)-1))</f>
        <v/>
      </c>
      <c r="AM51" s="71">
        <f>IF($AJ51="","",IF($AJ51=1,$H51,IF(DAY(EDATE($AH51,($AJ51-1)*$J51))&lt;DAY($AH51),EDATE($AH51,($AJ51-1)*$J51),EDATE($AH51,($AJ51-1)*$J51)-1)))</f>
        <v/>
      </c>
      <c r="AN51" s="32">
        <f>IF(NOT(ISNUMBER($H51)),"",IF(OR($AH51="",$H51&gt;='設定'!$B$6),0,IF($AK51&gt;='設定'!$B$6,$AJ51,$AJ51+1)))</f>
        <v/>
      </c>
      <c r="AO51" s="71">
        <f>IF($AN51="","",IF($AN51=0,"",IF($AN51=$AJ51,$AM51,$AK51)))</f>
        <v/>
      </c>
      <c r="AP51" s="32">
        <f>IF(OR($AC51="要対応",$AC51="通知期限切れ",$AC51="確認済み",$AC51="有効",$AC51="終了予定"),1,0)</f>
        <v/>
      </c>
      <c r="AQ51" s="32">
        <f>IF(OR($AC51="要対応",$AC51="通知期限切れ"),1,0)</f>
        <v/>
      </c>
      <c r="AR51" s="72">
        <f>IF(AND(ISNUMBER($AB51),OR($AC51="要対応",$AC51="通知期限切れ",$AC51="確認済み",$AC51="有効")),$AB51+ROW()/100000,"")</f>
        <v/>
      </c>
      <c r="AS51" s="32">
        <f>IF($E51="","",IF(COUNTIF($E$5:$E51,$E51)=1,ROW(),""))</f>
        <v/>
      </c>
      <c r="AT51" s="32">
        <f>IF($S51="","",IF(COUNTIF($S$5:$S51,$S51)=1,ROW(),""))</f>
        <v/>
      </c>
    </row>
    <row r="52" ht="20" customHeight="1">
      <c r="A52" s="20" t="n">
        <v>48</v>
      </c>
      <c r="B52" s="21" t="n"/>
      <c r="C52" s="22" t="n"/>
      <c r="D52" s="22" t="n"/>
      <c r="E52" s="22" t="n"/>
      <c r="F52" s="66" t="n"/>
      <c r="G52" s="66" t="n"/>
      <c r="H52" s="66" t="n"/>
      <c r="I52" s="21" t="n"/>
      <c r="J52" s="24" t="n"/>
      <c r="K52" s="24" t="n"/>
      <c r="L52" s="21" t="n"/>
      <c r="M52" s="24" t="n"/>
      <c r="N52" s="21" t="n"/>
      <c r="O52" s="67" t="n"/>
      <c r="P52" s="21" t="n"/>
      <c r="Q52" s="21" t="n"/>
      <c r="R52" s="22" t="n"/>
      <c r="S52" s="22" t="n"/>
      <c r="T52" s="21" t="n"/>
      <c r="U52" s="66" t="n"/>
      <c r="V52" s="66" t="n"/>
      <c r="W52" s="66" t="n"/>
      <c r="X52" s="8" t="n"/>
      <c r="Y52" s="68">
        <f>IF($AN52="","",IF($AN52=0,$H52,IF($AN52=$AJ52,$AK52,$AL52)))</f>
        <v/>
      </c>
      <c r="Z52" s="68">
        <f>IF(OR($Y52="",NOT(ISNUMBER($K52))),"",IF($L52="日前",$Y52-$K52,EDATE($Y52,-$K52)))</f>
        <v/>
      </c>
      <c r="AA52" s="68">
        <f>IF(OR($Y52="",ISNUMBER($V52),N($Y52)&lt;'設定'!$B$6),"",IF($Z52&lt;&gt;"",$Z52,$Y52))</f>
        <v/>
      </c>
      <c r="AB52" s="69">
        <f>IF($AA52="","",$AA52-'設定'!$B$6)</f>
        <v/>
      </c>
      <c r="AC52" s="28">
        <f>IF(NOT(OR($B52&lt;&gt;"",$C52&lt;&gt;"")),"",IF(ISNUMBER($V52),IF($V52&lt;'設定'!$B$6,"終了","終了予定"),IF($Y52="","有効",IF($Y52&lt;'設定'!$B$6,"満了",IF(AND($T52="更新する",ISNUMBER($U52),N($U52)&lt;='設定'!$B$6,OR($AO52="",N($U52)&gt;N($AO52))),"確認済み",IF($AB52&lt;0,"通知期限切れ",IF($AB52&lt;=N('設定'!$B$7),"要対応","有効")))))))</f>
        <v/>
      </c>
      <c r="AD52" s="68">
        <f>IF(OR(NOT(ISNUMBER($M52)),$AC52="",$AC52="終了",$AC52="終了予定",$AC52="満了"),"",IF($N52="日前",'設定'!$B$6+$M52,EDATE('設定'!$B$6,$M52)))</f>
        <v/>
      </c>
      <c r="AE52" s="70">
        <f>IF(NOT(ISNUMBER($O52)),"",IF($P52="月額",$O52*12,IF($P52="年額",$O52,"")))</f>
        <v/>
      </c>
      <c r="AF52" s="30">
        <f>MID(IF(AND(ISNUMBER($G52),ISNUMBER($H52)),IF(N($H52)&lt;N($G52)," / 満了日が開始日より前",""),"")&amp;IF(AND($I52="あり",NOT(ISNUMBER($H52)))," / 自動更新ありなのに満了日が空","")&amp;IF(AND($I52="あり",ISNUMBER($H52),NOT(ISNUMBER($J52)))," / 更新期間が空（更新を計算できない）","")&amp;IF($AH52="","",IF(AND(DAY($AH52)&gt;=29,OR(MOD($J52,12)&lt;&gt;0,MONTH($AH52)=2))," / 更新の初日が29〜31日（更新を重ねると満了日が1日ずれることがある。満了日を今の期間の満了日に書き換えると直る）",""))&amp;IF(AND(ISNUMBER($K52),$L52="")," / 通知の単位が空（か月前で計算）","")&amp;IF(AND(ISNUMBER($M52),$N52="")," / 解約予告の単位が空（か月前で計算）","")&amp;IF(AND(ISNUMBER($O52),$P52="")," / 金額の区分が空","")&amp;IF(AND($T52&lt;&gt;"",NOT(ISNUMBER($U52)))," / 対応を決めた日が空","")&amp;IF(AND(ISNUMBER($U52),$T52="")," / 今期の対応が空","")&amp;IF(AND($T52="更新しない",NOT(ISNUMBER($V52)))," / 更新しないなら、解約・終了した日（契約が終わる日）を入れる",""),4,300)</f>
        <v/>
      </c>
      <c r="AG52" s="53" t="n"/>
      <c r="AH52" s="71">
        <f>IF(AND(ISNUMBER($H52),$I52="あり",ISNUMBER($J52)),IF($J52&gt;=1,$H52+1,""),"")</f>
        <v/>
      </c>
      <c r="AI52" s="32">
        <f>IF($AH52="","",(YEAR('設定'!$B$6)-YEAR($AH52))*12+MONTH('設定'!$B$6)-MONTH($AH52))</f>
        <v/>
      </c>
      <c r="AJ52" s="32">
        <f>IF($AH52="","",MAX(1,ROUNDUP($AI52/$J52,0)))</f>
        <v/>
      </c>
      <c r="AK52" s="71">
        <f>IF($AJ52="","",IF(DAY(EDATE($AH52,$AJ52*$J52))&lt;DAY($AH52),EDATE($AH52,$AJ52*$J52),EDATE($AH52,$AJ52*$J52)-1))</f>
        <v/>
      </c>
      <c r="AL52" s="71">
        <f>IF($AJ52="","",IF(DAY(EDATE($AH52,($AJ52+1)*$J52))&lt;DAY($AH52),EDATE($AH52,($AJ52+1)*$J52),EDATE($AH52,($AJ52+1)*$J52)-1))</f>
        <v/>
      </c>
      <c r="AM52" s="71">
        <f>IF($AJ52="","",IF($AJ52=1,$H52,IF(DAY(EDATE($AH52,($AJ52-1)*$J52))&lt;DAY($AH52),EDATE($AH52,($AJ52-1)*$J52),EDATE($AH52,($AJ52-1)*$J52)-1)))</f>
        <v/>
      </c>
      <c r="AN52" s="32">
        <f>IF(NOT(ISNUMBER($H52)),"",IF(OR($AH52="",$H52&gt;='設定'!$B$6),0,IF($AK52&gt;='設定'!$B$6,$AJ52,$AJ52+1)))</f>
        <v/>
      </c>
      <c r="AO52" s="71">
        <f>IF($AN52="","",IF($AN52=0,"",IF($AN52=$AJ52,$AM52,$AK52)))</f>
        <v/>
      </c>
      <c r="AP52" s="32">
        <f>IF(OR($AC52="要対応",$AC52="通知期限切れ",$AC52="確認済み",$AC52="有効",$AC52="終了予定"),1,0)</f>
        <v/>
      </c>
      <c r="AQ52" s="32">
        <f>IF(OR($AC52="要対応",$AC52="通知期限切れ"),1,0)</f>
        <v/>
      </c>
      <c r="AR52" s="72">
        <f>IF(AND(ISNUMBER($AB52),OR($AC52="要対応",$AC52="通知期限切れ",$AC52="確認済み",$AC52="有効")),$AB52+ROW()/100000,"")</f>
        <v/>
      </c>
      <c r="AS52" s="32">
        <f>IF($E52="","",IF(COUNTIF($E$5:$E52,$E52)=1,ROW(),""))</f>
        <v/>
      </c>
      <c r="AT52" s="32">
        <f>IF($S52="","",IF(COUNTIF($S$5:$S52,$S52)=1,ROW(),""))</f>
        <v/>
      </c>
    </row>
    <row r="53" ht="20" customHeight="1">
      <c r="A53" s="20" t="n">
        <v>49</v>
      </c>
      <c r="B53" s="21" t="n"/>
      <c r="C53" s="22" t="n"/>
      <c r="D53" s="22" t="n"/>
      <c r="E53" s="22" t="n"/>
      <c r="F53" s="66" t="n"/>
      <c r="G53" s="66" t="n"/>
      <c r="H53" s="66" t="n"/>
      <c r="I53" s="21" t="n"/>
      <c r="J53" s="24" t="n"/>
      <c r="K53" s="24" t="n"/>
      <c r="L53" s="21" t="n"/>
      <c r="M53" s="24" t="n"/>
      <c r="N53" s="21" t="n"/>
      <c r="O53" s="67" t="n"/>
      <c r="P53" s="21" t="n"/>
      <c r="Q53" s="21" t="n"/>
      <c r="R53" s="22" t="n"/>
      <c r="S53" s="22" t="n"/>
      <c r="T53" s="21" t="n"/>
      <c r="U53" s="66" t="n"/>
      <c r="V53" s="66" t="n"/>
      <c r="W53" s="66" t="n"/>
      <c r="X53" s="8" t="n"/>
      <c r="Y53" s="68">
        <f>IF($AN53="","",IF($AN53=0,$H53,IF($AN53=$AJ53,$AK53,$AL53)))</f>
        <v/>
      </c>
      <c r="Z53" s="68">
        <f>IF(OR($Y53="",NOT(ISNUMBER($K53))),"",IF($L53="日前",$Y53-$K53,EDATE($Y53,-$K53)))</f>
        <v/>
      </c>
      <c r="AA53" s="68">
        <f>IF(OR($Y53="",ISNUMBER($V53),N($Y53)&lt;'設定'!$B$6),"",IF($Z53&lt;&gt;"",$Z53,$Y53))</f>
        <v/>
      </c>
      <c r="AB53" s="69">
        <f>IF($AA53="","",$AA53-'設定'!$B$6)</f>
        <v/>
      </c>
      <c r="AC53" s="28">
        <f>IF(NOT(OR($B53&lt;&gt;"",$C53&lt;&gt;"")),"",IF(ISNUMBER($V53),IF($V53&lt;'設定'!$B$6,"終了","終了予定"),IF($Y53="","有効",IF($Y53&lt;'設定'!$B$6,"満了",IF(AND($T53="更新する",ISNUMBER($U53),N($U53)&lt;='設定'!$B$6,OR($AO53="",N($U53)&gt;N($AO53))),"確認済み",IF($AB53&lt;0,"通知期限切れ",IF($AB53&lt;=N('設定'!$B$7),"要対応","有効")))))))</f>
        <v/>
      </c>
      <c r="AD53" s="68">
        <f>IF(OR(NOT(ISNUMBER($M53)),$AC53="",$AC53="終了",$AC53="終了予定",$AC53="満了"),"",IF($N53="日前",'設定'!$B$6+$M53,EDATE('設定'!$B$6,$M53)))</f>
        <v/>
      </c>
      <c r="AE53" s="70">
        <f>IF(NOT(ISNUMBER($O53)),"",IF($P53="月額",$O53*12,IF($P53="年額",$O53,"")))</f>
        <v/>
      </c>
      <c r="AF53" s="30">
        <f>MID(IF(AND(ISNUMBER($G53),ISNUMBER($H53)),IF(N($H53)&lt;N($G53)," / 満了日が開始日より前",""),"")&amp;IF(AND($I53="あり",NOT(ISNUMBER($H53)))," / 自動更新ありなのに満了日が空","")&amp;IF(AND($I53="あり",ISNUMBER($H53),NOT(ISNUMBER($J53)))," / 更新期間が空（更新を計算できない）","")&amp;IF($AH53="","",IF(AND(DAY($AH53)&gt;=29,OR(MOD($J53,12)&lt;&gt;0,MONTH($AH53)=2))," / 更新の初日が29〜31日（更新を重ねると満了日が1日ずれることがある。満了日を今の期間の満了日に書き換えると直る）",""))&amp;IF(AND(ISNUMBER($K53),$L53="")," / 通知の単位が空（か月前で計算）","")&amp;IF(AND(ISNUMBER($M53),$N53="")," / 解約予告の単位が空（か月前で計算）","")&amp;IF(AND(ISNUMBER($O53),$P53="")," / 金額の区分が空","")&amp;IF(AND($T53&lt;&gt;"",NOT(ISNUMBER($U53)))," / 対応を決めた日が空","")&amp;IF(AND(ISNUMBER($U53),$T53="")," / 今期の対応が空","")&amp;IF(AND($T53="更新しない",NOT(ISNUMBER($V53)))," / 更新しないなら、解約・終了した日（契約が終わる日）を入れる",""),4,300)</f>
        <v/>
      </c>
      <c r="AG53" s="53" t="n"/>
      <c r="AH53" s="71">
        <f>IF(AND(ISNUMBER($H53),$I53="あり",ISNUMBER($J53)),IF($J53&gt;=1,$H53+1,""),"")</f>
        <v/>
      </c>
      <c r="AI53" s="32">
        <f>IF($AH53="","",(YEAR('設定'!$B$6)-YEAR($AH53))*12+MONTH('設定'!$B$6)-MONTH($AH53))</f>
        <v/>
      </c>
      <c r="AJ53" s="32">
        <f>IF($AH53="","",MAX(1,ROUNDUP($AI53/$J53,0)))</f>
        <v/>
      </c>
      <c r="AK53" s="71">
        <f>IF($AJ53="","",IF(DAY(EDATE($AH53,$AJ53*$J53))&lt;DAY($AH53),EDATE($AH53,$AJ53*$J53),EDATE($AH53,$AJ53*$J53)-1))</f>
        <v/>
      </c>
      <c r="AL53" s="71">
        <f>IF($AJ53="","",IF(DAY(EDATE($AH53,($AJ53+1)*$J53))&lt;DAY($AH53),EDATE($AH53,($AJ53+1)*$J53),EDATE($AH53,($AJ53+1)*$J53)-1))</f>
        <v/>
      </c>
      <c r="AM53" s="71">
        <f>IF($AJ53="","",IF($AJ53=1,$H53,IF(DAY(EDATE($AH53,($AJ53-1)*$J53))&lt;DAY($AH53),EDATE($AH53,($AJ53-1)*$J53),EDATE($AH53,($AJ53-1)*$J53)-1)))</f>
        <v/>
      </c>
      <c r="AN53" s="32">
        <f>IF(NOT(ISNUMBER($H53)),"",IF(OR($AH53="",$H53&gt;='設定'!$B$6),0,IF($AK53&gt;='設定'!$B$6,$AJ53,$AJ53+1)))</f>
        <v/>
      </c>
      <c r="AO53" s="71">
        <f>IF($AN53="","",IF($AN53=0,"",IF($AN53=$AJ53,$AM53,$AK53)))</f>
        <v/>
      </c>
      <c r="AP53" s="32">
        <f>IF(OR($AC53="要対応",$AC53="通知期限切れ",$AC53="確認済み",$AC53="有効",$AC53="終了予定"),1,0)</f>
        <v/>
      </c>
      <c r="AQ53" s="32">
        <f>IF(OR($AC53="要対応",$AC53="通知期限切れ"),1,0)</f>
        <v/>
      </c>
      <c r="AR53" s="72">
        <f>IF(AND(ISNUMBER($AB53),OR($AC53="要対応",$AC53="通知期限切れ",$AC53="確認済み",$AC53="有効")),$AB53+ROW()/100000,"")</f>
        <v/>
      </c>
      <c r="AS53" s="32">
        <f>IF($E53="","",IF(COUNTIF($E$5:$E53,$E53)=1,ROW(),""))</f>
        <v/>
      </c>
      <c r="AT53" s="32">
        <f>IF($S53="","",IF(COUNTIF($S$5:$S53,$S53)=1,ROW(),""))</f>
        <v/>
      </c>
    </row>
    <row r="54" ht="20" customHeight="1">
      <c r="A54" s="20" t="n">
        <v>50</v>
      </c>
      <c r="B54" s="21" t="n"/>
      <c r="C54" s="22" t="n"/>
      <c r="D54" s="22" t="n"/>
      <c r="E54" s="22" t="n"/>
      <c r="F54" s="66" t="n"/>
      <c r="G54" s="66" t="n"/>
      <c r="H54" s="66" t="n"/>
      <c r="I54" s="21" t="n"/>
      <c r="J54" s="24" t="n"/>
      <c r="K54" s="24" t="n"/>
      <c r="L54" s="21" t="n"/>
      <c r="M54" s="24" t="n"/>
      <c r="N54" s="21" t="n"/>
      <c r="O54" s="67" t="n"/>
      <c r="P54" s="21" t="n"/>
      <c r="Q54" s="21" t="n"/>
      <c r="R54" s="22" t="n"/>
      <c r="S54" s="22" t="n"/>
      <c r="T54" s="21" t="n"/>
      <c r="U54" s="66" t="n"/>
      <c r="V54" s="66" t="n"/>
      <c r="W54" s="66" t="n"/>
      <c r="X54" s="8" t="n"/>
      <c r="Y54" s="68">
        <f>IF($AN54="","",IF($AN54=0,$H54,IF($AN54=$AJ54,$AK54,$AL54)))</f>
        <v/>
      </c>
      <c r="Z54" s="68">
        <f>IF(OR($Y54="",NOT(ISNUMBER($K54))),"",IF($L54="日前",$Y54-$K54,EDATE($Y54,-$K54)))</f>
        <v/>
      </c>
      <c r="AA54" s="68">
        <f>IF(OR($Y54="",ISNUMBER($V54),N($Y54)&lt;'設定'!$B$6),"",IF($Z54&lt;&gt;"",$Z54,$Y54))</f>
        <v/>
      </c>
      <c r="AB54" s="69">
        <f>IF($AA54="","",$AA54-'設定'!$B$6)</f>
        <v/>
      </c>
      <c r="AC54" s="28">
        <f>IF(NOT(OR($B54&lt;&gt;"",$C54&lt;&gt;"")),"",IF(ISNUMBER($V54),IF($V54&lt;'設定'!$B$6,"終了","終了予定"),IF($Y54="","有効",IF($Y54&lt;'設定'!$B$6,"満了",IF(AND($T54="更新する",ISNUMBER($U54),N($U54)&lt;='設定'!$B$6,OR($AO54="",N($U54)&gt;N($AO54))),"確認済み",IF($AB54&lt;0,"通知期限切れ",IF($AB54&lt;=N('設定'!$B$7),"要対応","有効")))))))</f>
        <v/>
      </c>
      <c r="AD54" s="68">
        <f>IF(OR(NOT(ISNUMBER($M54)),$AC54="",$AC54="終了",$AC54="終了予定",$AC54="満了"),"",IF($N54="日前",'設定'!$B$6+$M54,EDATE('設定'!$B$6,$M54)))</f>
        <v/>
      </c>
      <c r="AE54" s="70">
        <f>IF(NOT(ISNUMBER($O54)),"",IF($P54="月額",$O54*12,IF($P54="年額",$O54,"")))</f>
        <v/>
      </c>
      <c r="AF54" s="30">
        <f>MID(IF(AND(ISNUMBER($G54),ISNUMBER($H54)),IF(N($H54)&lt;N($G54)," / 満了日が開始日より前",""),"")&amp;IF(AND($I54="あり",NOT(ISNUMBER($H54)))," / 自動更新ありなのに満了日が空","")&amp;IF(AND($I54="あり",ISNUMBER($H54),NOT(ISNUMBER($J54)))," / 更新期間が空（更新を計算できない）","")&amp;IF($AH54="","",IF(AND(DAY($AH54)&gt;=29,OR(MOD($J54,12)&lt;&gt;0,MONTH($AH54)=2))," / 更新の初日が29〜31日（更新を重ねると満了日が1日ずれることがある。満了日を今の期間の満了日に書き換えると直る）",""))&amp;IF(AND(ISNUMBER($K54),$L54="")," / 通知の単位が空（か月前で計算）","")&amp;IF(AND(ISNUMBER($M54),$N54="")," / 解約予告の単位が空（か月前で計算）","")&amp;IF(AND(ISNUMBER($O54),$P54="")," / 金額の区分が空","")&amp;IF(AND($T54&lt;&gt;"",NOT(ISNUMBER($U54)))," / 対応を決めた日が空","")&amp;IF(AND(ISNUMBER($U54),$T54="")," / 今期の対応が空","")&amp;IF(AND($T54="更新しない",NOT(ISNUMBER($V54)))," / 更新しないなら、解約・終了した日（契約が終わる日）を入れる",""),4,300)</f>
        <v/>
      </c>
      <c r="AG54" s="53" t="n"/>
      <c r="AH54" s="71">
        <f>IF(AND(ISNUMBER($H54),$I54="あり",ISNUMBER($J54)),IF($J54&gt;=1,$H54+1,""),"")</f>
        <v/>
      </c>
      <c r="AI54" s="32">
        <f>IF($AH54="","",(YEAR('設定'!$B$6)-YEAR($AH54))*12+MONTH('設定'!$B$6)-MONTH($AH54))</f>
        <v/>
      </c>
      <c r="AJ54" s="32">
        <f>IF($AH54="","",MAX(1,ROUNDUP($AI54/$J54,0)))</f>
        <v/>
      </c>
      <c r="AK54" s="71">
        <f>IF($AJ54="","",IF(DAY(EDATE($AH54,$AJ54*$J54))&lt;DAY($AH54),EDATE($AH54,$AJ54*$J54),EDATE($AH54,$AJ54*$J54)-1))</f>
        <v/>
      </c>
      <c r="AL54" s="71">
        <f>IF($AJ54="","",IF(DAY(EDATE($AH54,($AJ54+1)*$J54))&lt;DAY($AH54),EDATE($AH54,($AJ54+1)*$J54),EDATE($AH54,($AJ54+1)*$J54)-1))</f>
        <v/>
      </c>
      <c r="AM54" s="71">
        <f>IF($AJ54="","",IF($AJ54=1,$H54,IF(DAY(EDATE($AH54,($AJ54-1)*$J54))&lt;DAY($AH54),EDATE($AH54,($AJ54-1)*$J54),EDATE($AH54,($AJ54-1)*$J54)-1)))</f>
        <v/>
      </c>
      <c r="AN54" s="32">
        <f>IF(NOT(ISNUMBER($H54)),"",IF(OR($AH54="",$H54&gt;='設定'!$B$6),0,IF($AK54&gt;='設定'!$B$6,$AJ54,$AJ54+1)))</f>
        <v/>
      </c>
      <c r="AO54" s="71">
        <f>IF($AN54="","",IF($AN54=0,"",IF($AN54=$AJ54,$AM54,$AK54)))</f>
        <v/>
      </c>
      <c r="AP54" s="32">
        <f>IF(OR($AC54="要対応",$AC54="通知期限切れ",$AC54="確認済み",$AC54="有効",$AC54="終了予定"),1,0)</f>
        <v/>
      </c>
      <c r="AQ54" s="32">
        <f>IF(OR($AC54="要対応",$AC54="通知期限切れ"),1,0)</f>
        <v/>
      </c>
      <c r="AR54" s="72">
        <f>IF(AND(ISNUMBER($AB54),OR($AC54="要対応",$AC54="通知期限切れ",$AC54="確認済み",$AC54="有効")),$AB54+ROW()/100000,"")</f>
        <v/>
      </c>
      <c r="AS54" s="32">
        <f>IF($E54="","",IF(COUNTIF($E$5:$E54,$E54)=1,ROW(),""))</f>
        <v/>
      </c>
      <c r="AT54" s="32">
        <f>IF($S54="","",IF(COUNTIF($S$5:$S54,$S54)=1,ROW(),""))</f>
        <v/>
      </c>
    </row>
    <row r="55" ht="20" customHeight="1">
      <c r="A55" s="20" t="n">
        <v>51</v>
      </c>
      <c r="B55" s="21" t="n"/>
      <c r="C55" s="22" t="n"/>
      <c r="D55" s="22" t="n"/>
      <c r="E55" s="22" t="n"/>
      <c r="F55" s="66" t="n"/>
      <c r="G55" s="66" t="n"/>
      <c r="H55" s="66" t="n"/>
      <c r="I55" s="21" t="n"/>
      <c r="J55" s="24" t="n"/>
      <c r="K55" s="24" t="n"/>
      <c r="L55" s="21" t="n"/>
      <c r="M55" s="24" t="n"/>
      <c r="N55" s="21" t="n"/>
      <c r="O55" s="67" t="n"/>
      <c r="P55" s="21" t="n"/>
      <c r="Q55" s="21" t="n"/>
      <c r="R55" s="22" t="n"/>
      <c r="S55" s="22" t="n"/>
      <c r="T55" s="21" t="n"/>
      <c r="U55" s="66" t="n"/>
      <c r="V55" s="66" t="n"/>
      <c r="W55" s="66" t="n"/>
      <c r="X55" s="8" t="n"/>
      <c r="Y55" s="68">
        <f>IF($AN55="","",IF($AN55=0,$H55,IF($AN55=$AJ55,$AK55,$AL55)))</f>
        <v/>
      </c>
      <c r="Z55" s="68">
        <f>IF(OR($Y55="",NOT(ISNUMBER($K55))),"",IF($L55="日前",$Y55-$K55,EDATE($Y55,-$K55)))</f>
        <v/>
      </c>
      <c r="AA55" s="68">
        <f>IF(OR($Y55="",ISNUMBER($V55),N($Y55)&lt;'設定'!$B$6),"",IF($Z55&lt;&gt;"",$Z55,$Y55))</f>
        <v/>
      </c>
      <c r="AB55" s="69">
        <f>IF($AA55="","",$AA55-'設定'!$B$6)</f>
        <v/>
      </c>
      <c r="AC55" s="28">
        <f>IF(NOT(OR($B55&lt;&gt;"",$C55&lt;&gt;"")),"",IF(ISNUMBER($V55),IF($V55&lt;'設定'!$B$6,"終了","終了予定"),IF($Y55="","有効",IF($Y55&lt;'設定'!$B$6,"満了",IF(AND($T55="更新する",ISNUMBER($U55),N($U55)&lt;='設定'!$B$6,OR($AO55="",N($U55)&gt;N($AO55))),"確認済み",IF($AB55&lt;0,"通知期限切れ",IF($AB55&lt;=N('設定'!$B$7),"要対応","有効")))))))</f>
        <v/>
      </c>
      <c r="AD55" s="68">
        <f>IF(OR(NOT(ISNUMBER($M55)),$AC55="",$AC55="終了",$AC55="終了予定",$AC55="満了"),"",IF($N55="日前",'設定'!$B$6+$M55,EDATE('設定'!$B$6,$M55)))</f>
        <v/>
      </c>
      <c r="AE55" s="70">
        <f>IF(NOT(ISNUMBER($O55)),"",IF($P55="月額",$O55*12,IF($P55="年額",$O55,"")))</f>
        <v/>
      </c>
      <c r="AF55" s="30">
        <f>MID(IF(AND(ISNUMBER($G55),ISNUMBER($H55)),IF(N($H55)&lt;N($G55)," / 満了日が開始日より前",""),"")&amp;IF(AND($I55="あり",NOT(ISNUMBER($H55)))," / 自動更新ありなのに満了日が空","")&amp;IF(AND($I55="あり",ISNUMBER($H55),NOT(ISNUMBER($J55)))," / 更新期間が空（更新を計算できない）","")&amp;IF($AH55="","",IF(AND(DAY($AH55)&gt;=29,OR(MOD($J55,12)&lt;&gt;0,MONTH($AH55)=2))," / 更新の初日が29〜31日（更新を重ねると満了日が1日ずれることがある。満了日を今の期間の満了日に書き換えると直る）",""))&amp;IF(AND(ISNUMBER($K55),$L55="")," / 通知の単位が空（か月前で計算）","")&amp;IF(AND(ISNUMBER($M55),$N55="")," / 解約予告の単位が空（か月前で計算）","")&amp;IF(AND(ISNUMBER($O55),$P55="")," / 金額の区分が空","")&amp;IF(AND($T55&lt;&gt;"",NOT(ISNUMBER($U55)))," / 対応を決めた日が空","")&amp;IF(AND(ISNUMBER($U55),$T55="")," / 今期の対応が空","")&amp;IF(AND($T55="更新しない",NOT(ISNUMBER($V55)))," / 更新しないなら、解約・終了した日（契約が終わる日）を入れる",""),4,300)</f>
        <v/>
      </c>
      <c r="AG55" s="53" t="n"/>
      <c r="AH55" s="71">
        <f>IF(AND(ISNUMBER($H55),$I55="あり",ISNUMBER($J55)),IF($J55&gt;=1,$H55+1,""),"")</f>
        <v/>
      </c>
      <c r="AI55" s="32">
        <f>IF($AH55="","",(YEAR('設定'!$B$6)-YEAR($AH55))*12+MONTH('設定'!$B$6)-MONTH($AH55))</f>
        <v/>
      </c>
      <c r="AJ55" s="32">
        <f>IF($AH55="","",MAX(1,ROUNDUP($AI55/$J55,0)))</f>
        <v/>
      </c>
      <c r="AK55" s="71">
        <f>IF($AJ55="","",IF(DAY(EDATE($AH55,$AJ55*$J55))&lt;DAY($AH55),EDATE($AH55,$AJ55*$J55),EDATE($AH55,$AJ55*$J55)-1))</f>
        <v/>
      </c>
      <c r="AL55" s="71">
        <f>IF($AJ55="","",IF(DAY(EDATE($AH55,($AJ55+1)*$J55))&lt;DAY($AH55),EDATE($AH55,($AJ55+1)*$J55),EDATE($AH55,($AJ55+1)*$J55)-1))</f>
        <v/>
      </c>
      <c r="AM55" s="71">
        <f>IF($AJ55="","",IF($AJ55=1,$H55,IF(DAY(EDATE($AH55,($AJ55-1)*$J55))&lt;DAY($AH55),EDATE($AH55,($AJ55-1)*$J55),EDATE($AH55,($AJ55-1)*$J55)-1)))</f>
        <v/>
      </c>
      <c r="AN55" s="32">
        <f>IF(NOT(ISNUMBER($H55)),"",IF(OR($AH55="",$H55&gt;='設定'!$B$6),0,IF($AK55&gt;='設定'!$B$6,$AJ55,$AJ55+1)))</f>
        <v/>
      </c>
      <c r="AO55" s="71">
        <f>IF($AN55="","",IF($AN55=0,"",IF($AN55=$AJ55,$AM55,$AK55)))</f>
        <v/>
      </c>
      <c r="AP55" s="32">
        <f>IF(OR($AC55="要対応",$AC55="通知期限切れ",$AC55="確認済み",$AC55="有効",$AC55="終了予定"),1,0)</f>
        <v/>
      </c>
      <c r="AQ55" s="32">
        <f>IF(OR($AC55="要対応",$AC55="通知期限切れ"),1,0)</f>
        <v/>
      </c>
      <c r="AR55" s="72">
        <f>IF(AND(ISNUMBER($AB55),OR($AC55="要対応",$AC55="通知期限切れ",$AC55="確認済み",$AC55="有効")),$AB55+ROW()/100000,"")</f>
        <v/>
      </c>
      <c r="AS55" s="32">
        <f>IF($E55="","",IF(COUNTIF($E$5:$E55,$E55)=1,ROW(),""))</f>
        <v/>
      </c>
      <c r="AT55" s="32">
        <f>IF($S55="","",IF(COUNTIF($S$5:$S55,$S55)=1,ROW(),""))</f>
        <v/>
      </c>
    </row>
    <row r="56" ht="20" customHeight="1">
      <c r="A56" s="20" t="n">
        <v>52</v>
      </c>
      <c r="B56" s="21" t="n"/>
      <c r="C56" s="22" t="n"/>
      <c r="D56" s="22" t="n"/>
      <c r="E56" s="22" t="n"/>
      <c r="F56" s="66" t="n"/>
      <c r="G56" s="66" t="n"/>
      <c r="H56" s="66" t="n"/>
      <c r="I56" s="21" t="n"/>
      <c r="J56" s="24" t="n"/>
      <c r="K56" s="24" t="n"/>
      <c r="L56" s="21" t="n"/>
      <c r="M56" s="24" t="n"/>
      <c r="N56" s="21" t="n"/>
      <c r="O56" s="67" t="n"/>
      <c r="P56" s="21" t="n"/>
      <c r="Q56" s="21" t="n"/>
      <c r="R56" s="22" t="n"/>
      <c r="S56" s="22" t="n"/>
      <c r="T56" s="21" t="n"/>
      <c r="U56" s="66" t="n"/>
      <c r="V56" s="66" t="n"/>
      <c r="W56" s="66" t="n"/>
      <c r="X56" s="8" t="n"/>
      <c r="Y56" s="68">
        <f>IF($AN56="","",IF($AN56=0,$H56,IF($AN56=$AJ56,$AK56,$AL56)))</f>
        <v/>
      </c>
      <c r="Z56" s="68">
        <f>IF(OR($Y56="",NOT(ISNUMBER($K56))),"",IF($L56="日前",$Y56-$K56,EDATE($Y56,-$K56)))</f>
        <v/>
      </c>
      <c r="AA56" s="68">
        <f>IF(OR($Y56="",ISNUMBER($V56),N($Y56)&lt;'設定'!$B$6),"",IF($Z56&lt;&gt;"",$Z56,$Y56))</f>
        <v/>
      </c>
      <c r="AB56" s="69">
        <f>IF($AA56="","",$AA56-'設定'!$B$6)</f>
        <v/>
      </c>
      <c r="AC56" s="28">
        <f>IF(NOT(OR($B56&lt;&gt;"",$C56&lt;&gt;"")),"",IF(ISNUMBER($V56),IF($V56&lt;'設定'!$B$6,"終了","終了予定"),IF($Y56="","有効",IF($Y56&lt;'設定'!$B$6,"満了",IF(AND($T56="更新する",ISNUMBER($U56),N($U56)&lt;='設定'!$B$6,OR($AO56="",N($U56)&gt;N($AO56))),"確認済み",IF($AB56&lt;0,"通知期限切れ",IF($AB56&lt;=N('設定'!$B$7),"要対応","有効")))))))</f>
        <v/>
      </c>
      <c r="AD56" s="68">
        <f>IF(OR(NOT(ISNUMBER($M56)),$AC56="",$AC56="終了",$AC56="終了予定",$AC56="満了"),"",IF($N56="日前",'設定'!$B$6+$M56,EDATE('設定'!$B$6,$M56)))</f>
        <v/>
      </c>
      <c r="AE56" s="70">
        <f>IF(NOT(ISNUMBER($O56)),"",IF($P56="月額",$O56*12,IF($P56="年額",$O56,"")))</f>
        <v/>
      </c>
      <c r="AF56" s="30">
        <f>MID(IF(AND(ISNUMBER($G56),ISNUMBER($H56)),IF(N($H56)&lt;N($G56)," / 満了日が開始日より前",""),"")&amp;IF(AND($I56="あり",NOT(ISNUMBER($H56)))," / 自動更新ありなのに満了日が空","")&amp;IF(AND($I56="あり",ISNUMBER($H56),NOT(ISNUMBER($J56)))," / 更新期間が空（更新を計算できない）","")&amp;IF($AH56="","",IF(AND(DAY($AH56)&gt;=29,OR(MOD($J56,12)&lt;&gt;0,MONTH($AH56)=2))," / 更新の初日が29〜31日（更新を重ねると満了日が1日ずれることがある。満了日を今の期間の満了日に書き換えると直る）",""))&amp;IF(AND(ISNUMBER($K56),$L56="")," / 通知の単位が空（か月前で計算）","")&amp;IF(AND(ISNUMBER($M56),$N56="")," / 解約予告の単位が空（か月前で計算）","")&amp;IF(AND(ISNUMBER($O56),$P56="")," / 金額の区分が空","")&amp;IF(AND($T56&lt;&gt;"",NOT(ISNUMBER($U56)))," / 対応を決めた日が空","")&amp;IF(AND(ISNUMBER($U56),$T56="")," / 今期の対応が空","")&amp;IF(AND($T56="更新しない",NOT(ISNUMBER($V56)))," / 更新しないなら、解約・終了した日（契約が終わる日）を入れる",""),4,300)</f>
        <v/>
      </c>
      <c r="AG56" s="53" t="n"/>
      <c r="AH56" s="71">
        <f>IF(AND(ISNUMBER($H56),$I56="あり",ISNUMBER($J56)),IF($J56&gt;=1,$H56+1,""),"")</f>
        <v/>
      </c>
      <c r="AI56" s="32">
        <f>IF($AH56="","",(YEAR('設定'!$B$6)-YEAR($AH56))*12+MONTH('設定'!$B$6)-MONTH($AH56))</f>
        <v/>
      </c>
      <c r="AJ56" s="32">
        <f>IF($AH56="","",MAX(1,ROUNDUP($AI56/$J56,0)))</f>
        <v/>
      </c>
      <c r="AK56" s="71">
        <f>IF($AJ56="","",IF(DAY(EDATE($AH56,$AJ56*$J56))&lt;DAY($AH56),EDATE($AH56,$AJ56*$J56),EDATE($AH56,$AJ56*$J56)-1))</f>
        <v/>
      </c>
      <c r="AL56" s="71">
        <f>IF($AJ56="","",IF(DAY(EDATE($AH56,($AJ56+1)*$J56))&lt;DAY($AH56),EDATE($AH56,($AJ56+1)*$J56),EDATE($AH56,($AJ56+1)*$J56)-1))</f>
        <v/>
      </c>
      <c r="AM56" s="71">
        <f>IF($AJ56="","",IF($AJ56=1,$H56,IF(DAY(EDATE($AH56,($AJ56-1)*$J56))&lt;DAY($AH56),EDATE($AH56,($AJ56-1)*$J56),EDATE($AH56,($AJ56-1)*$J56)-1)))</f>
        <v/>
      </c>
      <c r="AN56" s="32">
        <f>IF(NOT(ISNUMBER($H56)),"",IF(OR($AH56="",$H56&gt;='設定'!$B$6),0,IF($AK56&gt;='設定'!$B$6,$AJ56,$AJ56+1)))</f>
        <v/>
      </c>
      <c r="AO56" s="71">
        <f>IF($AN56="","",IF($AN56=0,"",IF($AN56=$AJ56,$AM56,$AK56)))</f>
        <v/>
      </c>
      <c r="AP56" s="32">
        <f>IF(OR($AC56="要対応",$AC56="通知期限切れ",$AC56="確認済み",$AC56="有効",$AC56="終了予定"),1,0)</f>
        <v/>
      </c>
      <c r="AQ56" s="32">
        <f>IF(OR($AC56="要対応",$AC56="通知期限切れ"),1,0)</f>
        <v/>
      </c>
      <c r="AR56" s="72">
        <f>IF(AND(ISNUMBER($AB56),OR($AC56="要対応",$AC56="通知期限切れ",$AC56="確認済み",$AC56="有効")),$AB56+ROW()/100000,"")</f>
        <v/>
      </c>
      <c r="AS56" s="32">
        <f>IF($E56="","",IF(COUNTIF($E$5:$E56,$E56)=1,ROW(),""))</f>
        <v/>
      </c>
      <c r="AT56" s="32">
        <f>IF($S56="","",IF(COUNTIF($S$5:$S56,$S56)=1,ROW(),""))</f>
        <v/>
      </c>
    </row>
    <row r="57" ht="20" customHeight="1">
      <c r="A57" s="20" t="n">
        <v>53</v>
      </c>
      <c r="B57" s="21" t="n"/>
      <c r="C57" s="22" t="n"/>
      <c r="D57" s="22" t="n"/>
      <c r="E57" s="22" t="n"/>
      <c r="F57" s="66" t="n"/>
      <c r="G57" s="66" t="n"/>
      <c r="H57" s="66" t="n"/>
      <c r="I57" s="21" t="n"/>
      <c r="J57" s="24" t="n"/>
      <c r="K57" s="24" t="n"/>
      <c r="L57" s="21" t="n"/>
      <c r="M57" s="24" t="n"/>
      <c r="N57" s="21" t="n"/>
      <c r="O57" s="67" t="n"/>
      <c r="P57" s="21" t="n"/>
      <c r="Q57" s="21" t="n"/>
      <c r="R57" s="22" t="n"/>
      <c r="S57" s="22" t="n"/>
      <c r="T57" s="21" t="n"/>
      <c r="U57" s="66" t="n"/>
      <c r="V57" s="66" t="n"/>
      <c r="W57" s="66" t="n"/>
      <c r="X57" s="8" t="n"/>
      <c r="Y57" s="68">
        <f>IF($AN57="","",IF($AN57=0,$H57,IF($AN57=$AJ57,$AK57,$AL57)))</f>
        <v/>
      </c>
      <c r="Z57" s="68">
        <f>IF(OR($Y57="",NOT(ISNUMBER($K57))),"",IF($L57="日前",$Y57-$K57,EDATE($Y57,-$K57)))</f>
        <v/>
      </c>
      <c r="AA57" s="68">
        <f>IF(OR($Y57="",ISNUMBER($V57),N($Y57)&lt;'設定'!$B$6),"",IF($Z57&lt;&gt;"",$Z57,$Y57))</f>
        <v/>
      </c>
      <c r="AB57" s="69">
        <f>IF($AA57="","",$AA57-'設定'!$B$6)</f>
        <v/>
      </c>
      <c r="AC57" s="28">
        <f>IF(NOT(OR($B57&lt;&gt;"",$C57&lt;&gt;"")),"",IF(ISNUMBER($V57),IF($V57&lt;'設定'!$B$6,"終了","終了予定"),IF($Y57="","有効",IF($Y57&lt;'設定'!$B$6,"満了",IF(AND($T57="更新する",ISNUMBER($U57),N($U57)&lt;='設定'!$B$6,OR($AO57="",N($U57)&gt;N($AO57))),"確認済み",IF($AB57&lt;0,"通知期限切れ",IF($AB57&lt;=N('設定'!$B$7),"要対応","有効")))))))</f>
        <v/>
      </c>
      <c r="AD57" s="68">
        <f>IF(OR(NOT(ISNUMBER($M57)),$AC57="",$AC57="終了",$AC57="終了予定",$AC57="満了"),"",IF($N57="日前",'設定'!$B$6+$M57,EDATE('設定'!$B$6,$M57)))</f>
        <v/>
      </c>
      <c r="AE57" s="70">
        <f>IF(NOT(ISNUMBER($O57)),"",IF($P57="月額",$O57*12,IF($P57="年額",$O57,"")))</f>
        <v/>
      </c>
      <c r="AF57" s="30">
        <f>MID(IF(AND(ISNUMBER($G57),ISNUMBER($H57)),IF(N($H57)&lt;N($G57)," / 満了日が開始日より前",""),"")&amp;IF(AND($I57="あり",NOT(ISNUMBER($H57)))," / 自動更新ありなのに満了日が空","")&amp;IF(AND($I57="あり",ISNUMBER($H57),NOT(ISNUMBER($J57)))," / 更新期間が空（更新を計算できない）","")&amp;IF($AH57="","",IF(AND(DAY($AH57)&gt;=29,OR(MOD($J57,12)&lt;&gt;0,MONTH($AH57)=2))," / 更新の初日が29〜31日（更新を重ねると満了日が1日ずれることがある。満了日を今の期間の満了日に書き換えると直る）",""))&amp;IF(AND(ISNUMBER($K57),$L57="")," / 通知の単位が空（か月前で計算）","")&amp;IF(AND(ISNUMBER($M57),$N57="")," / 解約予告の単位が空（か月前で計算）","")&amp;IF(AND(ISNUMBER($O57),$P57="")," / 金額の区分が空","")&amp;IF(AND($T57&lt;&gt;"",NOT(ISNUMBER($U57)))," / 対応を決めた日が空","")&amp;IF(AND(ISNUMBER($U57),$T57="")," / 今期の対応が空","")&amp;IF(AND($T57="更新しない",NOT(ISNUMBER($V57)))," / 更新しないなら、解約・終了した日（契約が終わる日）を入れる",""),4,300)</f>
        <v/>
      </c>
      <c r="AG57" s="53" t="n"/>
      <c r="AH57" s="71">
        <f>IF(AND(ISNUMBER($H57),$I57="あり",ISNUMBER($J57)),IF($J57&gt;=1,$H57+1,""),"")</f>
        <v/>
      </c>
      <c r="AI57" s="32">
        <f>IF($AH57="","",(YEAR('設定'!$B$6)-YEAR($AH57))*12+MONTH('設定'!$B$6)-MONTH($AH57))</f>
        <v/>
      </c>
      <c r="AJ57" s="32">
        <f>IF($AH57="","",MAX(1,ROUNDUP($AI57/$J57,0)))</f>
        <v/>
      </c>
      <c r="AK57" s="71">
        <f>IF($AJ57="","",IF(DAY(EDATE($AH57,$AJ57*$J57))&lt;DAY($AH57),EDATE($AH57,$AJ57*$J57),EDATE($AH57,$AJ57*$J57)-1))</f>
        <v/>
      </c>
      <c r="AL57" s="71">
        <f>IF($AJ57="","",IF(DAY(EDATE($AH57,($AJ57+1)*$J57))&lt;DAY($AH57),EDATE($AH57,($AJ57+1)*$J57),EDATE($AH57,($AJ57+1)*$J57)-1))</f>
        <v/>
      </c>
      <c r="AM57" s="71">
        <f>IF($AJ57="","",IF($AJ57=1,$H57,IF(DAY(EDATE($AH57,($AJ57-1)*$J57))&lt;DAY($AH57),EDATE($AH57,($AJ57-1)*$J57),EDATE($AH57,($AJ57-1)*$J57)-1)))</f>
        <v/>
      </c>
      <c r="AN57" s="32">
        <f>IF(NOT(ISNUMBER($H57)),"",IF(OR($AH57="",$H57&gt;='設定'!$B$6),0,IF($AK57&gt;='設定'!$B$6,$AJ57,$AJ57+1)))</f>
        <v/>
      </c>
      <c r="AO57" s="71">
        <f>IF($AN57="","",IF($AN57=0,"",IF($AN57=$AJ57,$AM57,$AK57)))</f>
        <v/>
      </c>
      <c r="AP57" s="32">
        <f>IF(OR($AC57="要対応",$AC57="通知期限切れ",$AC57="確認済み",$AC57="有効",$AC57="終了予定"),1,0)</f>
        <v/>
      </c>
      <c r="AQ57" s="32">
        <f>IF(OR($AC57="要対応",$AC57="通知期限切れ"),1,0)</f>
        <v/>
      </c>
      <c r="AR57" s="72">
        <f>IF(AND(ISNUMBER($AB57),OR($AC57="要対応",$AC57="通知期限切れ",$AC57="確認済み",$AC57="有効")),$AB57+ROW()/100000,"")</f>
        <v/>
      </c>
      <c r="AS57" s="32">
        <f>IF($E57="","",IF(COUNTIF($E$5:$E57,$E57)=1,ROW(),""))</f>
        <v/>
      </c>
      <c r="AT57" s="32">
        <f>IF($S57="","",IF(COUNTIF($S$5:$S57,$S57)=1,ROW(),""))</f>
        <v/>
      </c>
    </row>
    <row r="58" ht="20" customHeight="1">
      <c r="A58" s="20" t="n">
        <v>54</v>
      </c>
      <c r="B58" s="21" t="n"/>
      <c r="C58" s="22" t="n"/>
      <c r="D58" s="22" t="n"/>
      <c r="E58" s="22" t="n"/>
      <c r="F58" s="66" t="n"/>
      <c r="G58" s="66" t="n"/>
      <c r="H58" s="66" t="n"/>
      <c r="I58" s="21" t="n"/>
      <c r="J58" s="24" t="n"/>
      <c r="K58" s="24" t="n"/>
      <c r="L58" s="21" t="n"/>
      <c r="M58" s="24" t="n"/>
      <c r="N58" s="21" t="n"/>
      <c r="O58" s="67" t="n"/>
      <c r="P58" s="21" t="n"/>
      <c r="Q58" s="21" t="n"/>
      <c r="R58" s="22" t="n"/>
      <c r="S58" s="22" t="n"/>
      <c r="T58" s="21" t="n"/>
      <c r="U58" s="66" t="n"/>
      <c r="V58" s="66" t="n"/>
      <c r="W58" s="66" t="n"/>
      <c r="X58" s="8" t="n"/>
      <c r="Y58" s="68">
        <f>IF($AN58="","",IF($AN58=0,$H58,IF($AN58=$AJ58,$AK58,$AL58)))</f>
        <v/>
      </c>
      <c r="Z58" s="68">
        <f>IF(OR($Y58="",NOT(ISNUMBER($K58))),"",IF($L58="日前",$Y58-$K58,EDATE($Y58,-$K58)))</f>
        <v/>
      </c>
      <c r="AA58" s="68">
        <f>IF(OR($Y58="",ISNUMBER($V58),N($Y58)&lt;'設定'!$B$6),"",IF($Z58&lt;&gt;"",$Z58,$Y58))</f>
        <v/>
      </c>
      <c r="AB58" s="69">
        <f>IF($AA58="","",$AA58-'設定'!$B$6)</f>
        <v/>
      </c>
      <c r="AC58" s="28">
        <f>IF(NOT(OR($B58&lt;&gt;"",$C58&lt;&gt;"")),"",IF(ISNUMBER($V58),IF($V58&lt;'設定'!$B$6,"終了","終了予定"),IF($Y58="","有効",IF($Y58&lt;'設定'!$B$6,"満了",IF(AND($T58="更新する",ISNUMBER($U58),N($U58)&lt;='設定'!$B$6,OR($AO58="",N($U58)&gt;N($AO58))),"確認済み",IF($AB58&lt;0,"通知期限切れ",IF($AB58&lt;=N('設定'!$B$7),"要対応","有効")))))))</f>
        <v/>
      </c>
      <c r="AD58" s="68">
        <f>IF(OR(NOT(ISNUMBER($M58)),$AC58="",$AC58="終了",$AC58="終了予定",$AC58="満了"),"",IF($N58="日前",'設定'!$B$6+$M58,EDATE('設定'!$B$6,$M58)))</f>
        <v/>
      </c>
      <c r="AE58" s="70">
        <f>IF(NOT(ISNUMBER($O58)),"",IF($P58="月額",$O58*12,IF($P58="年額",$O58,"")))</f>
        <v/>
      </c>
      <c r="AF58" s="30">
        <f>MID(IF(AND(ISNUMBER($G58),ISNUMBER($H58)),IF(N($H58)&lt;N($G58)," / 満了日が開始日より前",""),"")&amp;IF(AND($I58="あり",NOT(ISNUMBER($H58)))," / 自動更新ありなのに満了日が空","")&amp;IF(AND($I58="あり",ISNUMBER($H58),NOT(ISNUMBER($J58)))," / 更新期間が空（更新を計算できない）","")&amp;IF($AH58="","",IF(AND(DAY($AH58)&gt;=29,OR(MOD($J58,12)&lt;&gt;0,MONTH($AH58)=2))," / 更新の初日が29〜31日（更新を重ねると満了日が1日ずれることがある。満了日を今の期間の満了日に書き換えると直る）",""))&amp;IF(AND(ISNUMBER($K58),$L58="")," / 通知の単位が空（か月前で計算）","")&amp;IF(AND(ISNUMBER($M58),$N58="")," / 解約予告の単位が空（か月前で計算）","")&amp;IF(AND(ISNUMBER($O58),$P58="")," / 金額の区分が空","")&amp;IF(AND($T58&lt;&gt;"",NOT(ISNUMBER($U58)))," / 対応を決めた日が空","")&amp;IF(AND(ISNUMBER($U58),$T58="")," / 今期の対応が空","")&amp;IF(AND($T58="更新しない",NOT(ISNUMBER($V58)))," / 更新しないなら、解約・終了した日（契約が終わる日）を入れる",""),4,300)</f>
        <v/>
      </c>
      <c r="AG58" s="53" t="n"/>
      <c r="AH58" s="71">
        <f>IF(AND(ISNUMBER($H58),$I58="あり",ISNUMBER($J58)),IF($J58&gt;=1,$H58+1,""),"")</f>
        <v/>
      </c>
      <c r="AI58" s="32">
        <f>IF($AH58="","",(YEAR('設定'!$B$6)-YEAR($AH58))*12+MONTH('設定'!$B$6)-MONTH($AH58))</f>
        <v/>
      </c>
      <c r="AJ58" s="32">
        <f>IF($AH58="","",MAX(1,ROUNDUP($AI58/$J58,0)))</f>
        <v/>
      </c>
      <c r="AK58" s="71">
        <f>IF($AJ58="","",IF(DAY(EDATE($AH58,$AJ58*$J58))&lt;DAY($AH58),EDATE($AH58,$AJ58*$J58),EDATE($AH58,$AJ58*$J58)-1))</f>
        <v/>
      </c>
      <c r="AL58" s="71">
        <f>IF($AJ58="","",IF(DAY(EDATE($AH58,($AJ58+1)*$J58))&lt;DAY($AH58),EDATE($AH58,($AJ58+1)*$J58),EDATE($AH58,($AJ58+1)*$J58)-1))</f>
        <v/>
      </c>
      <c r="AM58" s="71">
        <f>IF($AJ58="","",IF($AJ58=1,$H58,IF(DAY(EDATE($AH58,($AJ58-1)*$J58))&lt;DAY($AH58),EDATE($AH58,($AJ58-1)*$J58),EDATE($AH58,($AJ58-1)*$J58)-1)))</f>
        <v/>
      </c>
      <c r="AN58" s="32">
        <f>IF(NOT(ISNUMBER($H58)),"",IF(OR($AH58="",$H58&gt;='設定'!$B$6),0,IF($AK58&gt;='設定'!$B$6,$AJ58,$AJ58+1)))</f>
        <v/>
      </c>
      <c r="AO58" s="71">
        <f>IF($AN58="","",IF($AN58=0,"",IF($AN58=$AJ58,$AM58,$AK58)))</f>
        <v/>
      </c>
      <c r="AP58" s="32">
        <f>IF(OR($AC58="要対応",$AC58="通知期限切れ",$AC58="確認済み",$AC58="有効",$AC58="終了予定"),1,0)</f>
        <v/>
      </c>
      <c r="AQ58" s="32">
        <f>IF(OR($AC58="要対応",$AC58="通知期限切れ"),1,0)</f>
        <v/>
      </c>
      <c r="AR58" s="72">
        <f>IF(AND(ISNUMBER($AB58),OR($AC58="要対応",$AC58="通知期限切れ",$AC58="確認済み",$AC58="有効")),$AB58+ROW()/100000,"")</f>
        <v/>
      </c>
      <c r="AS58" s="32">
        <f>IF($E58="","",IF(COUNTIF($E$5:$E58,$E58)=1,ROW(),""))</f>
        <v/>
      </c>
      <c r="AT58" s="32">
        <f>IF($S58="","",IF(COUNTIF($S$5:$S58,$S58)=1,ROW(),""))</f>
        <v/>
      </c>
    </row>
    <row r="59" ht="20" customHeight="1">
      <c r="A59" s="20" t="n">
        <v>55</v>
      </c>
      <c r="B59" s="21" t="n"/>
      <c r="C59" s="22" t="n"/>
      <c r="D59" s="22" t="n"/>
      <c r="E59" s="22" t="n"/>
      <c r="F59" s="66" t="n"/>
      <c r="G59" s="66" t="n"/>
      <c r="H59" s="66" t="n"/>
      <c r="I59" s="21" t="n"/>
      <c r="J59" s="24" t="n"/>
      <c r="K59" s="24" t="n"/>
      <c r="L59" s="21" t="n"/>
      <c r="M59" s="24" t="n"/>
      <c r="N59" s="21" t="n"/>
      <c r="O59" s="67" t="n"/>
      <c r="P59" s="21" t="n"/>
      <c r="Q59" s="21" t="n"/>
      <c r="R59" s="22" t="n"/>
      <c r="S59" s="22" t="n"/>
      <c r="T59" s="21" t="n"/>
      <c r="U59" s="66" t="n"/>
      <c r="V59" s="66" t="n"/>
      <c r="W59" s="66" t="n"/>
      <c r="X59" s="8" t="n"/>
      <c r="Y59" s="68">
        <f>IF($AN59="","",IF($AN59=0,$H59,IF($AN59=$AJ59,$AK59,$AL59)))</f>
        <v/>
      </c>
      <c r="Z59" s="68">
        <f>IF(OR($Y59="",NOT(ISNUMBER($K59))),"",IF($L59="日前",$Y59-$K59,EDATE($Y59,-$K59)))</f>
        <v/>
      </c>
      <c r="AA59" s="68">
        <f>IF(OR($Y59="",ISNUMBER($V59),N($Y59)&lt;'設定'!$B$6),"",IF($Z59&lt;&gt;"",$Z59,$Y59))</f>
        <v/>
      </c>
      <c r="AB59" s="69">
        <f>IF($AA59="","",$AA59-'設定'!$B$6)</f>
        <v/>
      </c>
      <c r="AC59" s="28">
        <f>IF(NOT(OR($B59&lt;&gt;"",$C59&lt;&gt;"")),"",IF(ISNUMBER($V59),IF($V59&lt;'設定'!$B$6,"終了","終了予定"),IF($Y59="","有効",IF($Y59&lt;'設定'!$B$6,"満了",IF(AND($T59="更新する",ISNUMBER($U59),N($U59)&lt;='設定'!$B$6,OR($AO59="",N($U59)&gt;N($AO59))),"確認済み",IF($AB59&lt;0,"通知期限切れ",IF($AB59&lt;=N('設定'!$B$7),"要対応","有効")))))))</f>
        <v/>
      </c>
      <c r="AD59" s="68">
        <f>IF(OR(NOT(ISNUMBER($M59)),$AC59="",$AC59="終了",$AC59="終了予定",$AC59="満了"),"",IF($N59="日前",'設定'!$B$6+$M59,EDATE('設定'!$B$6,$M59)))</f>
        <v/>
      </c>
      <c r="AE59" s="70">
        <f>IF(NOT(ISNUMBER($O59)),"",IF($P59="月額",$O59*12,IF($P59="年額",$O59,"")))</f>
        <v/>
      </c>
      <c r="AF59" s="30">
        <f>MID(IF(AND(ISNUMBER($G59),ISNUMBER($H59)),IF(N($H59)&lt;N($G59)," / 満了日が開始日より前",""),"")&amp;IF(AND($I59="あり",NOT(ISNUMBER($H59)))," / 自動更新ありなのに満了日が空","")&amp;IF(AND($I59="あり",ISNUMBER($H59),NOT(ISNUMBER($J59)))," / 更新期間が空（更新を計算できない）","")&amp;IF($AH59="","",IF(AND(DAY($AH59)&gt;=29,OR(MOD($J59,12)&lt;&gt;0,MONTH($AH59)=2))," / 更新の初日が29〜31日（更新を重ねると満了日が1日ずれることがある。満了日を今の期間の満了日に書き換えると直る）",""))&amp;IF(AND(ISNUMBER($K59),$L59="")," / 通知の単位が空（か月前で計算）","")&amp;IF(AND(ISNUMBER($M59),$N59="")," / 解約予告の単位が空（か月前で計算）","")&amp;IF(AND(ISNUMBER($O59),$P59="")," / 金額の区分が空","")&amp;IF(AND($T59&lt;&gt;"",NOT(ISNUMBER($U59)))," / 対応を決めた日が空","")&amp;IF(AND(ISNUMBER($U59),$T59="")," / 今期の対応が空","")&amp;IF(AND($T59="更新しない",NOT(ISNUMBER($V59)))," / 更新しないなら、解約・終了した日（契約が終わる日）を入れる",""),4,300)</f>
        <v/>
      </c>
      <c r="AG59" s="53" t="n"/>
      <c r="AH59" s="71">
        <f>IF(AND(ISNUMBER($H59),$I59="あり",ISNUMBER($J59)),IF($J59&gt;=1,$H59+1,""),"")</f>
        <v/>
      </c>
      <c r="AI59" s="32">
        <f>IF($AH59="","",(YEAR('設定'!$B$6)-YEAR($AH59))*12+MONTH('設定'!$B$6)-MONTH($AH59))</f>
        <v/>
      </c>
      <c r="AJ59" s="32">
        <f>IF($AH59="","",MAX(1,ROUNDUP($AI59/$J59,0)))</f>
        <v/>
      </c>
      <c r="AK59" s="71">
        <f>IF($AJ59="","",IF(DAY(EDATE($AH59,$AJ59*$J59))&lt;DAY($AH59),EDATE($AH59,$AJ59*$J59),EDATE($AH59,$AJ59*$J59)-1))</f>
        <v/>
      </c>
      <c r="AL59" s="71">
        <f>IF($AJ59="","",IF(DAY(EDATE($AH59,($AJ59+1)*$J59))&lt;DAY($AH59),EDATE($AH59,($AJ59+1)*$J59),EDATE($AH59,($AJ59+1)*$J59)-1))</f>
        <v/>
      </c>
      <c r="AM59" s="71">
        <f>IF($AJ59="","",IF($AJ59=1,$H59,IF(DAY(EDATE($AH59,($AJ59-1)*$J59))&lt;DAY($AH59),EDATE($AH59,($AJ59-1)*$J59),EDATE($AH59,($AJ59-1)*$J59)-1)))</f>
        <v/>
      </c>
      <c r="AN59" s="32">
        <f>IF(NOT(ISNUMBER($H59)),"",IF(OR($AH59="",$H59&gt;='設定'!$B$6),0,IF($AK59&gt;='設定'!$B$6,$AJ59,$AJ59+1)))</f>
        <v/>
      </c>
      <c r="AO59" s="71">
        <f>IF($AN59="","",IF($AN59=0,"",IF($AN59=$AJ59,$AM59,$AK59)))</f>
        <v/>
      </c>
      <c r="AP59" s="32">
        <f>IF(OR($AC59="要対応",$AC59="通知期限切れ",$AC59="確認済み",$AC59="有効",$AC59="終了予定"),1,0)</f>
        <v/>
      </c>
      <c r="AQ59" s="32">
        <f>IF(OR($AC59="要対応",$AC59="通知期限切れ"),1,0)</f>
        <v/>
      </c>
      <c r="AR59" s="72">
        <f>IF(AND(ISNUMBER($AB59),OR($AC59="要対応",$AC59="通知期限切れ",$AC59="確認済み",$AC59="有効")),$AB59+ROW()/100000,"")</f>
        <v/>
      </c>
      <c r="AS59" s="32">
        <f>IF($E59="","",IF(COUNTIF($E$5:$E59,$E59)=1,ROW(),""))</f>
        <v/>
      </c>
      <c r="AT59" s="32">
        <f>IF($S59="","",IF(COUNTIF($S$5:$S59,$S59)=1,ROW(),""))</f>
        <v/>
      </c>
    </row>
    <row r="60" ht="20" customHeight="1">
      <c r="A60" s="20" t="n">
        <v>56</v>
      </c>
      <c r="B60" s="21" t="n"/>
      <c r="C60" s="22" t="n"/>
      <c r="D60" s="22" t="n"/>
      <c r="E60" s="22" t="n"/>
      <c r="F60" s="66" t="n"/>
      <c r="G60" s="66" t="n"/>
      <c r="H60" s="66" t="n"/>
      <c r="I60" s="21" t="n"/>
      <c r="J60" s="24" t="n"/>
      <c r="K60" s="24" t="n"/>
      <c r="L60" s="21" t="n"/>
      <c r="M60" s="24" t="n"/>
      <c r="N60" s="21" t="n"/>
      <c r="O60" s="67" t="n"/>
      <c r="P60" s="21" t="n"/>
      <c r="Q60" s="21" t="n"/>
      <c r="R60" s="22" t="n"/>
      <c r="S60" s="22" t="n"/>
      <c r="T60" s="21" t="n"/>
      <c r="U60" s="66" t="n"/>
      <c r="V60" s="66" t="n"/>
      <c r="W60" s="66" t="n"/>
      <c r="X60" s="8" t="n"/>
      <c r="Y60" s="68">
        <f>IF($AN60="","",IF($AN60=0,$H60,IF($AN60=$AJ60,$AK60,$AL60)))</f>
        <v/>
      </c>
      <c r="Z60" s="68">
        <f>IF(OR($Y60="",NOT(ISNUMBER($K60))),"",IF($L60="日前",$Y60-$K60,EDATE($Y60,-$K60)))</f>
        <v/>
      </c>
      <c r="AA60" s="68">
        <f>IF(OR($Y60="",ISNUMBER($V60),N($Y60)&lt;'設定'!$B$6),"",IF($Z60&lt;&gt;"",$Z60,$Y60))</f>
        <v/>
      </c>
      <c r="AB60" s="69">
        <f>IF($AA60="","",$AA60-'設定'!$B$6)</f>
        <v/>
      </c>
      <c r="AC60" s="28">
        <f>IF(NOT(OR($B60&lt;&gt;"",$C60&lt;&gt;"")),"",IF(ISNUMBER($V60),IF($V60&lt;'設定'!$B$6,"終了","終了予定"),IF($Y60="","有効",IF($Y60&lt;'設定'!$B$6,"満了",IF(AND($T60="更新する",ISNUMBER($U60),N($U60)&lt;='設定'!$B$6,OR($AO60="",N($U60)&gt;N($AO60))),"確認済み",IF($AB60&lt;0,"通知期限切れ",IF($AB60&lt;=N('設定'!$B$7),"要対応","有効")))))))</f>
        <v/>
      </c>
      <c r="AD60" s="68">
        <f>IF(OR(NOT(ISNUMBER($M60)),$AC60="",$AC60="終了",$AC60="終了予定",$AC60="満了"),"",IF($N60="日前",'設定'!$B$6+$M60,EDATE('設定'!$B$6,$M60)))</f>
        <v/>
      </c>
      <c r="AE60" s="70">
        <f>IF(NOT(ISNUMBER($O60)),"",IF($P60="月額",$O60*12,IF($P60="年額",$O60,"")))</f>
        <v/>
      </c>
      <c r="AF60" s="30">
        <f>MID(IF(AND(ISNUMBER($G60),ISNUMBER($H60)),IF(N($H60)&lt;N($G60)," / 満了日が開始日より前",""),"")&amp;IF(AND($I60="あり",NOT(ISNUMBER($H60)))," / 自動更新ありなのに満了日が空","")&amp;IF(AND($I60="あり",ISNUMBER($H60),NOT(ISNUMBER($J60)))," / 更新期間が空（更新を計算できない）","")&amp;IF($AH60="","",IF(AND(DAY($AH60)&gt;=29,OR(MOD($J60,12)&lt;&gt;0,MONTH($AH60)=2))," / 更新の初日が29〜31日（更新を重ねると満了日が1日ずれることがある。満了日を今の期間の満了日に書き換えると直る）",""))&amp;IF(AND(ISNUMBER($K60),$L60="")," / 通知の単位が空（か月前で計算）","")&amp;IF(AND(ISNUMBER($M60),$N60="")," / 解約予告の単位が空（か月前で計算）","")&amp;IF(AND(ISNUMBER($O60),$P60="")," / 金額の区分が空","")&amp;IF(AND($T60&lt;&gt;"",NOT(ISNUMBER($U60)))," / 対応を決めた日が空","")&amp;IF(AND(ISNUMBER($U60),$T60="")," / 今期の対応が空","")&amp;IF(AND($T60="更新しない",NOT(ISNUMBER($V60)))," / 更新しないなら、解約・終了した日（契約が終わる日）を入れる",""),4,300)</f>
        <v/>
      </c>
      <c r="AG60" s="53" t="n"/>
      <c r="AH60" s="71">
        <f>IF(AND(ISNUMBER($H60),$I60="あり",ISNUMBER($J60)),IF($J60&gt;=1,$H60+1,""),"")</f>
        <v/>
      </c>
      <c r="AI60" s="32">
        <f>IF($AH60="","",(YEAR('設定'!$B$6)-YEAR($AH60))*12+MONTH('設定'!$B$6)-MONTH($AH60))</f>
        <v/>
      </c>
      <c r="AJ60" s="32">
        <f>IF($AH60="","",MAX(1,ROUNDUP($AI60/$J60,0)))</f>
        <v/>
      </c>
      <c r="AK60" s="71">
        <f>IF($AJ60="","",IF(DAY(EDATE($AH60,$AJ60*$J60))&lt;DAY($AH60),EDATE($AH60,$AJ60*$J60),EDATE($AH60,$AJ60*$J60)-1))</f>
        <v/>
      </c>
      <c r="AL60" s="71">
        <f>IF($AJ60="","",IF(DAY(EDATE($AH60,($AJ60+1)*$J60))&lt;DAY($AH60),EDATE($AH60,($AJ60+1)*$J60),EDATE($AH60,($AJ60+1)*$J60)-1))</f>
        <v/>
      </c>
      <c r="AM60" s="71">
        <f>IF($AJ60="","",IF($AJ60=1,$H60,IF(DAY(EDATE($AH60,($AJ60-1)*$J60))&lt;DAY($AH60),EDATE($AH60,($AJ60-1)*$J60),EDATE($AH60,($AJ60-1)*$J60)-1)))</f>
        <v/>
      </c>
      <c r="AN60" s="32">
        <f>IF(NOT(ISNUMBER($H60)),"",IF(OR($AH60="",$H60&gt;='設定'!$B$6),0,IF($AK60&gt;='設定'!$B$6,$AJ60,$AJ60+1)))</f>
        <v/>
      </c>
      <c r="AO60" s="71">
        <f>IF($AN60="","",IF($AN60=0,"",IF($AN60=$AJ60,$AM60,$AK60)))</f>
        <v/>
      </c>
      <c r="AP60" s="32">
        <f>IF(OR($AC60="要対応",$AC60="通知期限切れ",$AC60="確認済み",$AC60="有効",$AC60="終了予定"),1,0)</f>
        <v/>
      </c>
      <c r="AQ60" s="32">
        <f>IF(OR($AC60="要対応",$AC60="通知期限切れ"),1,0)</f>
        <v/>
      </c>
      <c r="AR60" s="72">
        <f>IF(AND(ISNUMBER($AB60),OR($AC60="要対応",$AC60="通知期限切れ",$AC60="確認済み",$AC60="有効")),$AB60+ROW()/100000,"")</f>
        <v/>
      </c>
      <c r="AS60" s="32">
        <f>IF($E60="","",IF(COUNTIF($E$5:$E60,$E60)=1,ROW(),""))</f>
        <v/>
      </c>
      <c r="AT60" s="32">
        <f>IF($S60="","",IF(COUNTIF($S$5:$S60,$S60)=1,ROW(),""))</f>
        <v/>
      </c>
    </row>
    <row r="61" ht="20" customHeight="1">
      <c r="A61" s="20" t="n">
        <v>57</v>
      </c>
      <c r="B61" s="21" t="n"/>
      <c r="C61" s="22" t="n"/>
      <c r="D61" s="22" t="n"/>
      <c r="E61" s="22" t="n"/>
      <c r="F61" s="66" t="n"/>
      <c r="G61" s="66" t="n"/>
      <c r="H61" s="66" t="n"/>
      <c r="I61" s="21" t="n"/>
      <c r="J61" s="24" t="n"/>
      <c r="K61" s="24" t="n"/>
      <c r="L61" s="21" t="n"/>
      <c r="M61" s="24" t="n"/>
      <c r="N61" s="21" t="n"/>
      <c r="O61" s="67" t="n"/>
      <c r="P61" s="21" t="n"/>
      <c r="Q61" s="21" t="n"/>
      <c r="R61" s="22" t="n"/>
      <c r="S61" s="22" t="n"/>
      <c r="T61" s="21" t="n"/>
      <c r="U61" s="66" t="n"/>
      <c r="V61" s="66" t="n"/>
      <c r="W61" s="66" t="n"/>
      <c r="X61" s="8" t="n"/>
      <c r="Y61" s="68">
        <f>IF($AN61="","",IF($AN61=0,$H61,IF($AN61=$AJ61,$AK61,$AL61)))</f>
        <v/>
      </c>
      <c r="Z61" s="68">
        <f>IF(OR($Y61="",NOT(ISNUMBER($K61))),"",IF($L61="日前",$Y61-$K61,EDATE($Y61,-$K61)))</f>
        <v/>
      </c>
      <c r="AA61" s="68">
        <f>IF(OR($Y61="",ISNUMBER($V61),N($Y61)&lt;'設定'!$B$6),"",IF($Z61&lt;&gt;"",$Z61,$Y61))</f>
        <v/>
      </c>
      <c r="AB61" s="69">
        <f>IF($AA61="","",$AA61-'設定'!$B$6)</f>
        <v/>
      </c>
      <c r="AC61" s="28">
        <f>IF(NOT(OR($B61&lt;&gt;"",$C61&lt;&gt;"")),"",IF(ISNUMBER($V61),IF($V61&lt;'設定'!$B$6,"終了","終了予定"),IF($Y61="","有効",IF($Y61&lt;'設定'!$B$6,"満了",IF(AND($T61="更新する",ISNUMBER($U61),N($U61)&lt;='設定'!$B$6,OR($AO61="",N($U61)&gt;N($AO61))),"確認済み",IF($AB61&lt;0,"通知期限切れ",IF($AB61&lt;=N('設定'!$B$7),"要対応","有効")))))))</f>
        <v/>
      </c>
      <c r="AD61" s="68">
        <f>IF(OR(NOT(ISNUMBER($M61)),$AC61="",$AC61="終了",$AC61="終了予定",$AC61="満了"),"",IF($N61="日前",'設定'!$B$6+$M61,EDATE('設定'!$B$6,$M61)))</f>
        <v/>
      </c>
      <c r="AE61" s="70">
        <f>IF(NOT(ISNUMBER($O61)),"",IF($P61="月額",$O61*12,IF($P61="年額",$O61,"")))</f>
        <v/>
      </c>
      <c r="AF61" s="30">
        <f>MID(IF(AND(ISNUMBER($G61),ISNUMBER($H61)),IF(N($H61)&lt;N($G61)," / 満了日が開始日より前",""),"")&amp;IF(AND($I61="あり",NOT(ISNUMBER($H61)))," / 自動更新ありなのに満了日が空","")&amp;IF(AND($I61="あり",ISNUMBER($H61),NOT(ISNUMBER($J61)))," / 更新期間が空（更新を計算できない）","")&amp;IF($AH61="","",IF(AND(DAY($AH61)&gt;=29,OR(MOD($J61,12)&lt;&gt;0,MONTH($AH61)=2))," / 更新の初日が29〜31日（更新を重ねると満了日が1日ずれることがある。満了日を今の期間の満了日に書き換えると直る）",""))&amp;IF(AND(ISNUMBER($K61),$L61="")," / 通知の単位が空（か月前で計算）","")&amp;IF(AND(ISNUMBER($M61),$N61="")," / 解約予告の単位が空（か月前で計算）","")&amp;IF(AND(ISNUMBER($O61),$P61="")," / 金額の区分が空","")&amp;IF(AND($T61&lt;&gt;"",NOT(ISNUMBER($U61)))," / 対応を決めた日が空","")&amp;IF(AND(ISNUMBER($U61),$T61="")," / 今期の対応が空","")&amp;IF(AND($T61="更新しない",NOT(ISNUMBER($V61)))," / 更新しないなら、解約・終了した日（契約が終わる日）を入れる",""),4,300)</f>
        <v/>
      </c>
      <c r="AG61" s="53" t="n"/>
      <c r="AH61" s="71">
        <f>IF(AND(ISNUMBER($H61),$I61="あり",ISNUMBER($J61)),IF($J61&gt;=1,$H61+1,""),"")</f>
        <v/>
      </c>
      <c r="AI61" s="32">
        <f>IF($AH61="","",(YEAR('設定'!$B$6)-YEAR($AH61))*12+MONTH('設定'!$B$6)-MONTH($AH61))</f>
        <v/>
      </c>
      <c r="AJ61" s="32">
        <f>IF($AH61="","",MAX(1,ROUNDUP($AI61/$J61,0)))</f>
        <v/>
      </c>
      <c r="AK61" s="71">
        <f>IF($AJ61="","",IF(DAY(EDATE($AH61,$AJ61*$J61))&lt;DAY($AH61),EDATE($AH61,$AJ61*$J61),EDATE($AH61,$AJ61*$J61)-1))</f>
        <v/>
      </c>
      <c r="AL61" s="71">
        <f>IF($AJ61="","",IF(DAY(EDATE($AH61,($AJ61+1)*$J61))&lt;DAY($AH61),EDATE($AH61,($AJ61+1)*$J61),EDATE($AH61,($AJ61+1)*$J61)-1))</f>
        <v/>
      </c>
      <c r="AM61" s="71">
        <f>IF($AJ61="","",IF($AJ61=1,$H61,IF(DAY(EDATE($AH61,($AJ61-1)*$J61))&lt;DAY($AH61),EDATE($AH61,($AJ61-1)*$J61),EDATE($AH61,($AJ61-1)*$J61)-1)))</f>
        <v/>
      </c>
      <c r="AN61" s="32">
        <f>IF(NOT(ISNUMBER($H61)),"",IF(OR($AH61="",$H61&gt;='設定'!$B$6),0,IF($AK61&gt;='設定'!$B$6,$AJ61,$AJ61+1)))</f>
        <v/>
      </c>
      <c r="AO61" s="71">
        <f>IF($AN61="","",IF($AN61=0,"",IF($AN61=$AJ61,$AM61,$AK61)))</f>
        <v/>
      </c>
      <c r="AP61" s="32">
        <f>IF(OR($AC61="要対応",$AC61="通知期限切れ",$AC61="確認済み",$AC61="有効",$AC61="終了予定"),1,0)</f>
        <v/>
      </c>
      <c r="AQ61" s="32">
        <f>IF(OR($AC61="要対応",$AC61="通知期限切れ"),1,0)</f>
        <v/>
      </c>
      <c r="AR61" s="72">
        <f>IF(AND(ISNUMBER($AB61),OR($AC61="要対応",$AC61="通知期限切れ",$AC61="確認済み",$AC61="有効")),$AB61+ROW()/100000,"")</f>
        <v/>
      </c>
      <c r="AS61" s="32">
        <f>IF($E61="","",IF(COUNTIF($E$5:$E61,$E61)=1,ROW(),""))</f>
        <v/>
      </c>
      <c r="AT61" s="32">
        <f>IF($S61="","",IF(COUNTIF($S$5:$S61,$S61)=1,ROW(),""))</f>
        <v/>
      </c>
    </row>
    <row r="62" ht="20" customHeight="1">
      <c r="A62" s="20" t="n">
        <v>58</v>
      </c>
      <c r="B62" s="21" t="n"/>
      <c r="C62" s="22" t="n"/>
      <c r="D62" s="22" t="n"/>
      <c r="E62" s="22" t="n"/>
      <c r="F62" s="66" t="n"/>
      <c r="G62" s="66" t="n"/>
      <c r="H62" s="66" t="n"/>
      <c r="I62" s="21" t="n"/>
      <c r="J62" s="24" t="n"/>
      <c r="K62" s="24" t="n"/>
      <c r="L62" s="21" t="n"/>
      <c r="M62" s="24" t="n"/>
      <c r="N62" s="21" t="n"/>
      <c r="O62" s="67" t="n"/>
      <c r="P62" s="21" t="n"/>
      <c r="Q62" s="21" t="n"/>
      <c r="R62" s="22" t="n"/>
      <c r="S62" s="22" t="n"/>
      <c r="T62" s="21" t="n"/>
      <c r="U62" s="66" t="n"/>
      <c r="V62" s="66" t="n"/>
      <c r="W62" s="66" t="n"/>
      <c r="X62" s="8" t="n"/>
      <c r="Y62" s="68">
        <f>IF($AN62="","",IF($AN62=0,$H62,IF($AN62=$AJ62,$AK62,$AL62)))</f>
        <v/>
      </c>
      <c r="Z62" s="68">
        <f>IF(OR($Y62="",NOT(ISNUMBER($K62))),"",IF($L62="日前",$Y62-$K62,EDATE($Y62,-$K62)))</f>
        <v/>
      </c>
      <c r="AA62" s="68">
        <f>IF(OR($Y62="",ISNUMBER($V62),N($Y62)&lt;'設定'!$B$6),"",IF($Z62&lt;&gt;"",$Z62,$Y62))</f>
        <v/>
      </c>
      <c r="AB62" s="69">
        <f>IF($AA62="","",$AA62-'設定'!$B$6)</f>
        <v/>
      </c>
      <c r="AC62" s="28">
        <f>IF(NOT(OR($B62&lt;&gt;"",$C62&lt;&gt;"")),"",IF(ISNUMBER($V62),IF($V62&lt;'設定'!$B$6,"終了","終了予定"),IF($Y62="","有効",IF($Y62&lt;'設定'!$B$6,"満了",IF(AND($T62="更新する",ISNUMBER($U62),N($U62)&lt;='設定'!$B$6,OR($AO62="",N($U62)&gt;N($AO62))),"確認済み",IF($AB62&lt;0,"通知期限切れ",IF($AB62&lt;=N('設定'!$B$7),"要対応","有効")))))))</f>
        <v/>
      </c>
      <c r="AD62" s="68">
        <f>IF(OR(NOT(ISNUMBER($M62)),$AC62="",$AC62="終了",$AC62="終了予定",$AC62="満了"),"",IF($N62="日前",'設定'!$B$6+$M62,EDATE('設定'!$B$6,$M62)))</f>
        <v/>
      </c>
      <c r="AE62" s="70">
        <f>IF(NOT(ISNUMBER($O62)),"",IF($P62="月額",$O62*12,IF($P62="年額",$O62,"")))</f>
        <v/>
      </c>
      <c r="AF62" s="30">
        <f>MID(IF(AND(ISNUMBER($G62),ISNUMBER($H62)),IF(N($H62)&lt;N($G62)," / 満了日が開始日より前",""),"")&amp;IF(AND($I62="あり",NOT(ISNUMBER($H62)))," / 自動更新ありなのに満了日が空","")&amp;IF(AND($I62="あり",ISNUMBER($H62),NOT(ISNUMBER($J62)))," / 更新期間が空（更新を計算できない）","")&amp;IF($AH62="","",IF(AND(DAY($AH62)&gt;=29,OR(MOD($J62,12)&lt;&gt;0,MONTH($AH62)=2))," / 更新の初日が29〜31日（更新を重ねると満了日が1日ずれることがある。満了日を今の期間の満了日に書き換えると直る）",""))&amp;IF(AND(ISNUMBER($K62),$L62="")," / 通知の単位が空（か月前で計算）","")&amp;IF(AND(ISNUMBER($M62),$N62="")," / 解約予告の単位が空（か月前で計算）","")&amp;IF(AND(ISNUMBER($O62),$P62="")," / 金額の区分が空","")&amp;IF(AND($T62&lt;&gt;"",NOT(ISNUMBER($U62)))," / 対応を決めた日が空","")&amp;IF(AND(ISNUMBER($U62),$T62="")," / 今期の対応が空","")&amp;IF(AND($T62="更新しない",NOT(ISNUMBER($V62)))," / 更新しないなら、解約・終了した日（契約が終わる日）を入れる",""),4,300)</f>
        <v/>
      </c>
      <c r="AG62" s="53" t="n"/>
      <c r="AH62" s="71">
        <f>IF(AND(ISNUMBER($H62),$I62="あり",ISNUMBER($J62)),IF($J62&gt;=1,$H62+1,""),"")</f>
        <v/>
      </c>
      <c r="AI62" s="32">
        <f>IF($AH62="","",(YEAR('設定'!$B$6)-YEAR($AH62))*12+MONTH('設定'!$B$6)-MONTH($AH62))</f>
        <v/>
      </c>
      <c r="AJ62" s="32">
        <f>IF($AH62="","",MAX(1,ROUNDUP($AI62/$J62,0)))</f>
        <v/>
      </c>
      <c r="AK62" s="71">
        <f>IF($AJ62="","",IF(DAY(EDATE($AH62,$AJ62*$J62))&lt;DAY($AH62),EDATE($AH62,$AJ62*$J62),EDATE($AH62,$AJ62*$J62)-1))</f>
        <v/>
      </c>
      <c r="AL62" s="71">
        <f>IF($AJ62="","",IF(DAY(EDATE($AH62,($AJ62+1)*$J62))&lt;DAY($AH62),EDATE($AH62,($AJ62+1)*$J62),EDATE($AH62,($AJ62+1)*$J62)-1))</f>
        <v/>
      </c>
      <c r="AM62" s="71">
        <f>IF($AJ62="","",IF($AJ62=1,$H62,IF(DAY(EDATE($AH62,($AJ62-1)*$J62))&lt;DAY($AH62),EDATE($AH62,($AJ62-1)*$J62),EDATE($AH62,($AJ62-1)*$J62)-1)))</f>
        <v/>
      </c>
      <c r="AN62" s="32">
        <f>IF(NOT(ISNUMBER($H62)),"",IF(OR($AH62="",$H62&gt;='設定'!$B$6),0,IF($AK62&gt;='設定'!$B$6,$AJ62,$AJ62+1)))</f>
        <v/>
      </c>
      <c r="AO62" s="71">
        <f>IF($AN62="","",IF($AN62=0,"",IF($AN62=$AJ62,$AM62,$AK62)))</f>
        <v/>
      </c>
      <c r="AP62" s="32">
        <f>IF(OR($AC62="要対応",$AC62="通知期限切れ",$AC62="確認済み",$AC62="有効",$AC62="終了予定"),1,0)</f>
        <v/>
      </c>
      <c r="AQ62" s="32">
        <f>IF(OR($AC62="要対応",$AC62="通知期限切れ"),1,0)</f>
        <v/>
      </c>
      <c r="AR62" s="72">
        <f>IF(AND(ISNUMBER($AB62),OR($AC62="要対応",$AC62="通知期限切れ",$AC62="確認済み",$AC62="有効")),$AB62+ROW()/100000,"")</f>
        <v/>
      </c>
      <c r="AS62" s="32">
        <f>IF($E62="","",IF(COUNTIF($E$5:$E62,$E62)=1,ROW(),""))</f>
        <v/>
      </c>
      <c r="AT62" s="32">
        <f>IF($S62="","",IF(COUNTIF($S$5:$S62,$S62)=1,ROW(),""))</f>
        <v/>
      </c>
    </row>
    <row r="63" ht="20" customHeight="1">
      <c r="A63" s="20" t="n">
        <v>59</v>
      </c>
      <c r="B63" s="21" t="n"/>
      <c r="C63" s="22" t="n"/>
      <c r="D63" s="22" t="n"/>
      <c r="E63" s="22" t="n"/>
      <c r="F63" s="66" t="n"/>
      <c r="G63" s="66" t="n"/>
      <c r="H63" s="66" t="n"/>
      <c r="I63" s="21" t="n"/>
      <c r="J63" s="24" t="n"/>
      <c r="K63" s="24" t="n"/>
      <c r="L63" s="21" t="n"/>
      <c r="M63" s="24" t="n"/>
      <c r="N63" s="21" t="n"/>
      <c r="O63" s="67" t="n"/>
      <c r="P63" s="21" t="n"/>
      <c r="Q63" s="21" t="n"/>
      <c r="R63" s="22" t="n"/>
      <c r="S63" s="22" t="n"/>
      <c r="T63" s="21" t="n"/>
      <c r="U63" s="66" t="n"/>
      <c r="V63" s="66" t="n"/>
      <c r="W63" s="66" t="n"/>
      <c r="X63" s="8" t="n"/>
      <c r="Y63" s="68">
        <f>IF($AN63="","",IF($AN63=0,$H63,IF($AN63=$AJ63,$AK63,$AL63)))</f>
        <v/>
      </c>
      <c r="Z63" s="68">
        <f>IF(OR($Y63="",NOT(ISNUMBER($K63))),"",IF($L63="日前",$Y63-$K63,EDATE($Y63,-$K63)))</f>
        <v/>
      </c>
      <c r="AA63" s="68">
        <f>IF(OR($Y63="",ISNUMBER($V63),N($Y63)&lt;'設定'!$B$6),"",IF($Z63&lt;&gt;"",$Z63,$Y63))</f>
        <v/>
      </c>
      <c r="AB63" s="69">
        <f>IF($AA63="","",$AA63-'設定'!$B$6)</f>
        <v/>
      </c>
      <c r="AC63" s="28">
        <f>IF(NOT(OR($B63&lt;&gt;"",$C63&lt;&gt;"")),"",IF(ISNUMBER($V63),IF($V63&lt;'設定'!$B$6,"終了","終了予定"),IF($Y63="","有効",IF($Y63&lt;'設定'!$B$6,"満了",IF(AND($T63="更新する",ISNUMBER($U63),N($U63)&lt;='設定'!$B$6,OR($AO63="",N($U63)&gt;N($AO63))),"確認済み",IF($AB63&lt;0,"通知期限切れ",IF($AB63&lt;=N('設定'!$B$7),"要対応","有効")))))))</f>
        <v/>
      </c>
      <c r="AD63" s="68">
        <f>IF(OR(NOT(ISNUMBER($M63)),$AC63="",$AC63="終了",$AC63="終了予定",$AC63="満了"),"",IF($N63="日前",'設定'!$B$6+$M63,EDATE('設定'!$B$6,$M63)))</f>
        <v/>
      </c>
      <c r="AE63" s="70">
        <f>IF(NOT(ISNUMBER($O63)),"",IF($P63="月額",$O63*12,IF($P63="年額",$O63,"")))</f>
        <v/>
      </c>
      <c r="AF63" s="30">
        <f>MID(IF(AND(ISNUMBER($G63),ISNUMBER($H63)),IF(N($H63)&lt;N($G63)," / 満了日が開始日より前",""),"")&amp;IF(AND($I63="あり",NOT(ISNUMBER($H63)))," / 自動更新ありなのに満了日が空","")&amp;IF(AND($I63="あり",ISNUMBER($H63),NOT(ISNUMBER($J63)))," / 更新期間が空（更新を計算できない）","")&amp;IF($AH63="","",IF(AND(DAY($AH63)&gt;=29,OR(MOD($J63,12)&lt;&gt;0,MONTH($AH63)=2))," / 更新の初日が29〜31日（更新を重ねると満了日が1日ずれることがある。満了日を今の期間の満了日に書き換えると直る）",""))&amp;IF(AND(ISNUMBER($K63),$L63="")," / 通知の単位が空（か月前で計算）","")&amp;IF(AND(ISNUMBER($M63),$N63="")," / 解約予告の単位が空（か月前で計算）","")&amp;IF(AND(ISNUMBER($O63),$P63="")," / 金額の区分が空","")&amp;IF(AND($T63&lt;&gt;"",NOT(ISNUMBER($U63)))," / 対応を決めた日が空","")&amp;IF(AND(ISNUMBER($U63),$T63="")," / 今期の対応が空","")&amp;IF(AND($T63="更新しない",NOT(ISNUMBER($V63)))," / 更新しないなら、解約・終了した日（契約が終わる日）を入れる",""),4,300)</f>
        <v/>
      </c>
      <c r="AG63" s="53" t="n"/>
      <c r="AH63" s="71">
        <f>IF(AND(ISNUMBER($H63),$I63="あり",ISNUMBER($J63)),IF($J63&gt;=1,$H63+1,""),"")</f>
        <v/>
      </c>
      <c r="AI63" s="32">
        <f>IF($AH63="","",(YEAR('設定'!$B$6)-YEAR($AH63))*12+MONTH('設定'!$B$6)-MONTH($AH63))</f>
        <v/>
      </c>
      <c r="AJ63" s="32">
        <f>IF($AH63="","",MAX(1,ROUNDUP($AI63/$J63,0)))</f>
        <v/>
      </c>
      <c r="AK63" s="71">
        <f>IF($AJ63="","",IF(DAY(EDATE($AH63,$AJ63*$J63))&lt;DAY($AH63),EDATE($AH63,$AJ63*$J63),EDATE($AH63,$AJ63*$J63)-1))</f>
        <v/>
      </c>
      <c r="AL63" s="71">
        <f>IF($AJ63="","",IF(DAY(EDATE($AH63,($AJ63+1)*$J63))&lt;DAY($AH63),EDATE($AH63,($AJ63+1)*$J63),EDATE($AH63,($AJ63+1)*$J63)-1))</f>
        <v/>
      </c>
      <c r="AM63" s="71">
        <f>IF($AJ63="","",IF($AJ63=1,$H63,IF(DAY(EDATE($AH63,($AJ63-1)*$J63))&lt;DAY($AH63),EDATE($AH63,($AJ63-1)*$J63),EDATE($AH63,($AJ63-1)*$J63)-1)))</f>
        <v/>
      </c>
      <c r="AN63" s="32">
        <f>IF(NOT(ISNUMBER($H63)),"",IF(OR($AH63="",$H63&gt;='設定'!$B$6),0,IF($AK63&gt;='設定'!$B$6,$AJ63,$AJ63+1)))</f>
        <v/>
      </c>
      <c r="AO63" s="71">
        <f>IF($AN63="","",IF($AN63=0,"",IF($AN63=$AJ63,$AM63,$AK63)))</f>
        <v/>
      </c>
      <c r="AP63" s="32">
        <f>IF(OR($AC63="要対応",$AC63="通知期限切れ",$AC63="確認済み",$AC63="有効",$AC63="終了予定"),1,0)</f>
        <v/>
      </c>
      <c r="AQ63" s="32">
        <f>IF(OR($AC63="要対応",$AC63="通知期限切れ"),1,0)</f>
        <v/>
      </c>
      <c r="AR63" s="72">
        <f>IF(AND(ISNUMBER($AB63),OR($AC63="要対応",$AC63="通知期限切れ",$AC63="確認済み",$AC63="有効")),$AB63+ROW()/100000,"")</f>
        <v/>
      </c>
      <c r="AS63" s="32">
        <f>IF($E63="","",IF(COUNTIF($E$5:$E63,$E63)=1,ROW(),""))</f>
        <v/>
      </c>
      <c r="AT63" s="32">
        <f>IF($S63="","",IF(COUNTIF($S$5:$S63,$S63)=1,ROW(),""))</f>
        <v/>
      </c>
    </row>
    <row r="64" ht="20" customHeight="1">
      <c r="A64" s="20" t="n">
        <v>60</v>
      </c>
      <c r="B64" s="21" t="n"/>
      <c r="C64" s="22" t="n"/>
      <c r="D64" s="22" t="n"/>
      <c r="E64" s="22" t="n"/>
      <c r="F64" s="66" t="n"/>
      <c r="G64" s="66" t="n"/>
      <c r="H64" s="66" t="n"/>
      <c r="I64" s="21" t="n"/>
      <c r="J64" s="24" t="n"/>
      <c r="K64" s="24" t="n"/>
      <c r="L64" s="21" t="n"/>
      <c r="M64" s="24" t="n"/>
      <c r="N64" s="21" t="n"/>
      <c r="O64" s="67" t="n"/>
      <c r="P64" s="21" t="n"/>
      <c r="Q64" s="21" t="n"/>
      <c r="R64" s="22" t="n"/>
      <c r="S64" s="22" t="n"/>
      <c r="T64" s="21" t="n"/>
      <c r="U64" s="66" t="n"/>
      <c r="V64" s="66" t="n"/>
      <c r="W64" s="66" t="n"/>
      <c r="X64" s="8" t="n"/>
      <c r="Y64" s="68">
        <f>IF($AN64="","",IF($AN64=0,$H64,IF($AN64=$AJ64,$AK64,$AL64)))</f>
        <v/>
      </c>
      <c r="Z64" s="68">
        <f>IF(OR($Y64="",NOT(ISNUMBER($K64))),"",IF($L64="日前",$Y64-$K64,EDATE($Y64,-$K64)))</f>
        <v/>
      </c>
      <c r="AA64" s="68">
        <f>IF(OR($Y64="",ISNUMBER($V64),N($Y64)&lt;'設定'!$B$6),"",IF($Z64&lt;&gt;"",$Z64,$Y64))</f>
        <v/>
      </c>
      <c r="AB64" s="69">
        <f>IF($AA64="","",$AA64-'設定'!$B$6)</f>
        <v/>
      </c>
      <c r="AC64" s="28">
        <f>IF(NOT(OR($B64&lt;&gt;"",$C64&lt;&gt;"")),"",IF(ISNUMBER($V64),IF($V64&lt;'設定'!$B$6,"終了","終了予定"),IF($Y64="","有効",IF($Y64&lt;'設定'!$B$6,"満了",IF(AND($T64="更新する",ISNUMBER($U64),N($U64)&lt;='設定'!$B$6,OR($AO64="",N($U64)&gt;N($AO64))),"確認済み",IF($AB64&lt;0,"通知期限切れ",IF($AB64&lt;=N('設定'!$B$7),"要対応","有効")))))))</f>
        <v/>
      </c>
      <c r="AD64" s="68">
        <f>IF(OR(NOT(ISNUMBER($M64)),$AC64="",$AC64="終了",$AC64="終了予定",$AC64="満了"),"",IF($N64="日前",'設定'!$B$6+$M64,EDATE('設定'!$B$6,$M64)))</f>
        <v/>
      </c>
      <c r="AE64" s="70">
        <f>IF(NOT(ISNUMBER($O64)),"",IF($P64="月額",$O64*12,IF($P64="年額",$O64,"")))</f>
        <v/>
      </c>
      <c r="AF64" s="30">
        <f>MID(IF(AND(ISNUMBER($G64),ISNUMBER($H64)),IF(N($H64)&lt;N($G64)," / 満了日が開始日より前",""),"")&amp;IF(AND($I64="あり",NOT(ISNUMBER($H64)))," / 自動更新ありなのに満了日が空","")&amp;IF(AND($I64="あり",ISNUMBER($H64),NOT(ISNUMBER($J64)))," / 更新期間が空（更新を計算できない）","")&amp;IF($AH64="","",IF(AND(DAY($AH64)&gt;=29,OR(MOD($J64,12)&lt;&gt;0,MONTH($AH64)=2))," / 更新の初日が29〜31日（更新を重ねると満了日が1日ずれることがある。満了日を今の期間の満了日に書き換えると直る）",""))&amp;IF(AND(ISNUMBER($K64),$L64="")," / 通知の単位が空（か月前で計算）","")&amp;IF(AND(ISNUMBER($M64),$N64="")," / 解約予告の単位が空（か月前で計算）","")&amp;IF(AND(ISNUMBER($O64),$P64="")," / 金額の区分が空","")&amp;IF(AND($T64&lt;&gt;"",NOT(ISNUMBER($U64)))," / 対応を決めた日が空","")&amp;IF(AND(ISNUMBER($U64),$T64="")," / 今期の対応が空","")&amp;IF(AND($T64="更新しない",NOT(ISNUMBER($V64)))," / 更新しないなら、解約・終了した日（契約が終わる日）を入れる",""),4,300)</f>
        <v/>
      </c>
      <c r="AG64" s="53" t="n"/>
      <c r="AH64" s="71">
        <f>IF(AND(ISNUMBER($H64),$I64="あり",ISNUMBER($J64)),IF($J64&gt;=1,$H64+1,""),"")</f>
        <v/>
      </c>
      <c r="AI64" s="32">
        <f>IF($AH64="","",(YEAR('設定'!$B$6)-YEAR($AH64))*12+MONTH('設定'!$B$6)-MONTH($AH64))</f>
        <v/>
      </c>
      <c r="AJ64" s="32">
        <f>IF($AH64="","",MAX(1,ROUNDUP($AI64/$J64,0)))</f>
        <v/>
      </c>
      <c r="AK64" s="71">
        <f>IF($AJ64="","",IF(DAY(EDATE($AH64,$AJ64*$J64))&lt;DAY($AH64),EDATE($AH64,$AJ64*$J64),EDATE($AH64,$AJ64*$J64)-1))</f>
        <v/>
      </c>
      <c r="AL64" s="71">
        <f>IF($AJ64="","",IF(DAY(EDATE($AH64,($AJ64+1)*$J64))&lt;DAY($AH64),EDATE($AH64,($AJ64+1)*$J64),EDATE($AH64,($AJ64+1)*$J64)-1))</f>
        <v/>
      </c>
      <c r="AM64" s="71">
        <f>IF($AJ64="","",IF($AJ64=1,$H64,IF(DAY(EDATE($AH64,($AJ64-1)*$J64))&lt;DAY($AH64),EDATE($AH64,($AJ64-1)*$J64),EDATE($AH64,($AJ64-1)*$J64)-1)))</f>
        <v/>
      </c>
      <c r="AN64" s="32">
        <f>IF(NOT(ISNUMBER($H64)),"",IF(OR($AH64="",$H64&gt;='設定'!$B$6),0,IF($AK64&gt;='設定'!$B$6,$AJ64,$AJ64+1)))</f>
        <v/>
      </c>
      <c r="AO64" s="71">
        <f>IF($AN64="","",IF($AN64=0,"",IF($AN64=$AJ64,$AM64,$AK64)))</f>
        <v/>
      </c>
      <c r="AP64" s="32">
        <f>IF(OR($AC64="要対応",$AC64="通知期限切れ",$AC64="確認済み",$AC64="有効",$AC64="終了予定"),1,0)</f>
        <v/>
      </c>
      <c r="AQ64" s="32">
        <f>IF(OR($AC64="要対応",$AC64="通知期限切れ"),1,0)</f>
        <v/>
      </c>
      <c r="AR64" s="72">
        <f>IF(AND(ISNUMBER($AB64),OR($AC64="要対応",$AC64="通知期限切れ",$AC64="確認済み",$AC64="有効")),$AB64+ROW()/100000,"")</f>
        <v/>
      </c>
      <c r="AS64" s="32">
        <f>IF($E64="","",IF(COUNTIF($E$5:$E64,$E64)=1,ROW(),""))</f>
        <v/>
      </c>
      <c r="AT64" s="32">
        <f>IF($S64="","",IF(COUNTIF($S$5:$S64,$S64)=1,ROW(),""))</f>
        <v/>
      </c>
    </row>
    <row r="65" ht="20" customHeight="1">
      <c r="A65" s="20" t="n">
        <v>61</v>
      </c>
      <c r="B65" s="21" t="n"/>
      <c r="C65" s="22" t="n"/>
      <c r="D65" s="22" t="n"/>
      <c r="E65" s="22" t="n"/>
      <c r="F65" s="66" t="n"/>
      <c r="G65" s="66" t="n"/>
      <c r="H65" s="66" t="n"/>
      <c r="I65" s="21" t="n"/>
      <c r="J65" s="24" t="n"/>
      <c r="K65" s="24" t="n"/>
      <c r="L65" s="21" t="n"/>
      <c r="M65" s="24" t="n"/>
      <c r="N65" s="21" t="n"/>
      <c r="O65" s="67" t="n"/>
      <c r="P65" s="21" t="n"/>
      <c r="Q65" s="21" t="n"/>
      <c r="R65" s="22" t="n"/>
      <c r="S65" s="22" t="n"/>
      <c r="T65" s="21" t="n"/>
      <c r="U65" s="66" t="n"/>
      <c r="V65" s="66" t="n"/>
      <c r="W65" s="66" t="n"/>
      <c r="X65" s="8" t="n"/>
      <c r="Y65" s="68">
        <f>IF($AN65="","",IF($AN65=0,$H65,IF($AN65=$AJ65,$AK65,$AL65)))</f>
        <v/>
      </c>
      <c r="Z65" s="68">
        <f>IF(OR($Y65="",NOT(ISNUMBER($K65))),"",IF($L65="日前",$Y65-$K65,EDATE($Y65,-$K65)))</f>
        <v/>
      </c>
      <c r="AA65" s="68">
        <f>IF(OR($Y65="",ISNUMBER($V65),N($Y65)&lt;'設定'!$B$6),"",IF($Z65&lt;&gt;"",$Z65,$Y65))</f>
        <v/>
      </c>
      <c r="AB65" s="69">
        <f>IF($AA65="","",$AA65-'設定'!$B$6)</f>
        <v/>
      </c>
      <c r="AC65" s="28">
        <f>IF(NOT(OR($B65&lt;&gt;"",$C65&lt;&gt;"")),"",IF(ISNUMBER($V65),IF($V65&lt;'設定'!$B$6,"終了","終了予定"),IF($Y65="","有効",IF($Y65&lt;'設定'!$B$6,"満了",IF(AND($T65="更新する",ISNUMBER($U65),N($U65)&lt;='設定'!$B$6,OR($AO65="",N($U65)&gt;N($AO65))),"確認済み",IF($AB65&lt;0,"通知期限切れ",IF($AB65&lt;=N('設定'!$B$7),"要対応","有効")))))))</f>
        <v/>
      </c>
      <c r="AD65" s="68">
        <f>IF(OR(NOT(ISNUMBER($M65)),$AC65="",$AC65="終了",$AC65="終了予定",$AC65="満了"),"",IF($N65="日前",'設定'!$B$6+$M65,EDATE('設定'!$B$6,$M65)))</f>
        <v/>
      </c>
      <c r="AE65" s="70">
        <f>IF(NOT(ISNUMBER($O65)),"",IF($P65="月額",$O65*12,IF($P65="年額",$O65,"")))</f>
        <v/>
      </c>
      <c r="AF65" s="30">
        <f>MID(IF(AND(ISNUMBER($G65),ISNUMBER($H65)),IF(N($H65)&lt;N($G65)," / 満了日が開始日より前",""),"")&amp;IF(AND($I65="あり",NOT(ISNUMBER($H65)))," / 自動更新ありなのに満了日が空","")&amp;IF(AND($I65="あり",ISNUMBER($H65),NOT(ISNUMBER($J65)))," / 更新期間が空（更新を計算できない）","")&amp;IF($AH65="","",IF(AND(DAY($AH65)&gt;=29,OR(MOD($J65,12)&lt;&gt;0,MONTH($AH65)=2))," / 更新の初日が29〜31日（更新を重ねると満了日が1日ずれることがある。満了日を今の期間の満了日に書き換えると直る）",""))&amp;IF(AND(ISNUMBER($K65),$L65="")," / 通知の単位が空（か月前で計算）","")&amp;IF(AND(ISNUMBER($M65),$N65="")," / 解約予告の単位が空（か月前で計算）","")&amp;IF(AND(ISNUMBER($O65),$P65="")," / 金額の区分が空","")&amp;IF(AND($T65&lt;&gt;"",NOT(ISNUMBER($U65)))," / 対応を決めた日が空","")&amp;IF(AND(ISNUMBER($U65),$T65="")," / 今期の対応が空","")&amp;IF(AND($T65="更新しない",NOT(ISNUMBER($V65)))," / 更新しないなら、解約・終了した日（契約が終わる日）を入れる",""),4,300)</f>
        <v/>
      </c>
      <c r="AG65" s="53" t="n"/>
      <c r="AH65" s="71">
        <f>IF(AND(ISNUMBER($H65),$I65="あり",ISNUMBER($J65)),IF($J65&gt;=1,$H65+1,""),"")</f>
        <v/>
      </c>
      <c r="AI65" s="32">
        <f>IF($AH65="","",(YEAR('設定'!$B$6)-YEAR($AH65))*12+MONTH('設定'!$B$6)-MONTH($AH65))</f>
        <v/>
      </c>
      <c r="AJ65" s="32">
        <f>IF($AH65="","",MAX(1,ROUNDUP($AI65/$J65,0)))</f>
        <v/>
      </c>
      <c r="AK65" s="71">
        <f>IF($AJ65="","",IF(DAY(EDATE($AH65,$AJ65*$J65))&lt;DAY($AH65),EDATE($AH65,$AJ65*$J65),EDATE($AH65,$AJ65*$J65)-1))</f>
        <v/>
      </c>
      <c r="AL65" s="71">
        <f>IF($AJ65="","",IF(DAY(EDATE($AH65,($AJ65+1)*$J65))&lt;DAY($AH65),EDATE($AH65,($AJ65+1)*$J65),EDATE($AH65,($AJ65+1)*$J65)-1))</f>
        <v/>
      </c>
      <c r="AM65" s="71">
        <f>IF($AJ65="","",IF($AJ65=1,$H65,IF(DAY(EDATE($AH65,($AJ65-1)*$J65))&lt;DAY($AH65),EDATE($AH65,($AJ65-1)*$J65),EDATE($AH65,($AJ65-1)*$J65)-1)))</f>
        <v/>
      </c>
      <c r="AN65" s="32">
        <f>IF(NOT(ISNUMBER($H65)),"",IF(OR($AH65="",$H65&gt;='設定'!$B$6),0,IF($AK65&gt;='設定'!$B$6,$AJ65,$AJ65+1)))</f>
        <v/>
      </c>
      <c r="AO65" s="71">
        <f>IF($AN65="","",IF($AN65=0,"",IF($AN65=$AJ65,$AM65,$AK65)))</f>
        <v/>
      </c>
      <c r="AP65" s="32">
        <f>IF(OR($AC65="要対応",$AC65="通知期限切れ",$AC65="確認済み",$AC65="有効",$AC65="終了予定"),1,0)</f>
        <v/>
      </c>
      <c r="AQ65" s="32">
        <f>IF(OR($AC65="要対応",$AC65="通知期限切れ"),1,0)</f>
        <v/>
      </c>
      <c r="AR65" s="72">
        <f>IF(AND(ISNUMBER($AB65),OR($AC65="要対応",$AC65="通知期限切れ",$AC65="確認済み",$AC65="有効")),$AB65+ROW()/100000,"")</f>
        <v/>
      </c>
      <c r="AS65" s="32">
        <f>IF($E65="","",IF(COUNTIF($E$5:$E65,$E65)=1,ROW(),""))</f>
        <v/>
      </c>
      <c r="AT65" s="32">
        <f>IF($S65="","",IF(COUNTIF($S$5:$S65,$S65)=1,ROW(),""))</f>
        <v/>
      </c>
    </row>
    <row r="66" ht="20" customHeight="1">
      <c r="A66" s="20" t="n">
        <v>62</v>
      </c>
      <c r="B66" s="21" t="n"/>
      <c r="C66" s="22" t="n"/>
      <c r="D66" s="22" t="n"/>
      <c r="E66" s="22" t="n"/>
      <c r="F66" s="66" t="n"/>
      <c r="G66" s="66" t="n"/>
      <c r="H66" s="66" t="n"/>
      <c r="I66" s="21" t="n"/>
      <c r="J66" s="24" t="n"/>
      <c r="K66" s="24" t="n"/>
      <c r="L66" s="21" t="n"/>
      <c r="M66" s="24" t="n"/>
      <c r="N66" s="21" t="n"/>
      <c r="O66" s="67" t="n"/>
      <c r="P66" s="21" t="n"/>
      <c r="Q66" s="21" t="n"/>
      <c r="R66" s="22" t="n"/>
      <c r="S66" s="22" t="n"/>
      <c r="T66" s="21" t="n"/>
      <c r="U66" s="66" t="n"/>
      <c r="V66" s="66" t="n"/>
      <c r="W66" s="66" t="n"/>
      <c r="X66" s="8" t="n"/>
      <c r="Y66" s="68">
        <f>IF($AN66="","",IF($AN66=0,$H66,IF($AN66=$AJ66,$AK66,$AL66)))</f>
        <v/>
      </c>
      <c r="Z66" s="68">
        <f>IF(OR($Y66="",NOT(ISNUMBER($K66))),"",IF($L66="日前",$Y66-$K66,EDATE($Y66,-$K66)))</f>
        <v/>
      </c>
      <c r="AA66" s="68">
        <f>IF(OR($Y66="",ISNUMBER($V66),N($Y66)&lt;'設定'!$B$6),"",IF($Z66&lt;&gt;"",$Z66,$Y66))</f>
        <v/>
      </c>
      <c r="AB66" s="69">
        <f>IF($AA66="","",$AA66-'設定'!$B$6)</f>
        <v/>
      </c>
      <c r="AC66" s="28">
        <f>IF(NOT(OR($B66&lt;&gt;"",$C66&lt;&gt;"")),"",IF(ISNUMBER($V66),IF($V66&lt;'設定'!$B$6,"終了","終了予定"),IF($Y66="","有効",IF($Y66&lt;'設定'!$B$6,"満了",IF(AND($T66="更新する",ISNUMBER($U66),N($U66)&lt;='設定'!$B$6,OR($AO66="",N($U66)&gt;N($AO66))),"確認済み",IF($AB66&lt;0,"通知期限切れ",IF($AB66&lt;=N('設定'!$B$7),"要対応","有効")))))))</f>
        <v/>
      </c>
      <c r="AD66" s="68">
        <f>IF(OR(NOT(ISNUMBER($M66)),$AC66="",$AC66="終了",$AC66="終了予定",$AC66="満了"),"",IF($N66="日前",'設定'!$B$6+$M66,EDATE('設定'!$B$6,$M66)))</f>
        <v/>
      </c>
      <c r="AE66" s="70">
        <f>IF(NOT(ISNUMBER($O66)),"",IF($P66="月額",$O66*12,IF($P66="年額",$O66,"")))</f>
        <v/>
      </c>
      <c r="AF66" s="30">
        <f>MID(IF(AND(ISNUMBER($G66),ISNUMBER($H66)),IF(N($H66)&lt;N($G66)," / 満了日が開始日より前",""),"")&amp;IF(AND($I66="あり",NOT(ISNUMBER($H66)))," / 自動更新ありなのに満了日が空","")&amp;IF(AND($I66="あり",ISNUMBER($H66),NOT(ISNUMBER($J66)))," / 更新期間が空（更新を計算できない）","")&amp;IF($AH66="","",IF(AND(DAY($AH66)&gt;=29,OR(MOD($J66,12)&lt;&gt;0,MONTH($AH66)=2))," / 更新の初日が29〜31日（更新を重ねると満了日が1日ずれることがある。満了日を今の期間の満了日に書き換えると直る）",""))&amp;IF(AND(ISNUMBER($K66),$L66="")," / 通知の単位が空（か月前で計算）","")&amp;IF(AND(ISNUMBER($M66),$N66="")," / 解約予告の単位が空（か月前で計算）","")&amp;IF(AND(ISNUMBER($O66),$P66="")," / 金額の区分が空","")&amp;IF(AND($T66&lt;&gt;"",NOT(ISNUMBER($U66)))," / 対応を決めた日が空","")&amp;IF(AND(ISNUMBER($U66),$T66="")," / 今期の対応が空","")&amp;IF(AND($T66="更新しない",NOT(ISNUMBER($V66)))," / 更新しないなら、解約・終了した日（契約が終わる日）を入れる",""),4,300)</f>
        <v/>
      </c>
      <c r="AG66" s="53" t="n"/>
      <c r="AH66" s="71">
        <f>IF(AND(ISNUMBER($H66),$I66="あり",ISNUMBER($J66)),IF($J66&gt;=1,$H66+1,""),"")</f>
        <v/>
      </c>
      <c r="AI66" s="32">
        <f>IF($AH66="","",(YEAR('設定'!$B$6)-YEAR($AH66))*12+MONTH('設定'!$B$6)-MONTH($AH66))</f>
        <v/>
      </c>
      <c r="AJ66" s="32">
        <f>IF($AH66="","",MAX(1,ROUNDUP($AI66/$J66,0)))</f>
        <v/>
      </c>
      <c r="AK66" s="71">
        <f>IF($AJ66="","",IF(DAY(EDATE($AH66,$AJ66*$J66))&lt;DAY($AH66),EDATE($AH66,$AJ66*$J66),EDATE($AH66,$AJ66*$J66)-1))</f>
        <v/>
      </c>
      <c r="AL66" s="71">
        <f>IF($AJ66="","",IF(DAY(EDATE($AH66,($AJ66+1)*$J66))&lt;DAY($AH66),EDATE($AH66,($AJ66+1)*$J66),EDATE($AH66,($AJ66+1)*$J66)-1))</f>
        <v/>
      </c>
      <c r="AM66" s="71">
        <f>IF($AJ66="","",IF($AJ66=1,$H66,IF(DAY(EDATE($AH66,($AJ66-1)*$J66))&lt;DAY($AH66),EDATE($AH66,($AJ66-1)*$J66),EDATE($AH66,($AJ66-1)*$J66)-1)))</f>
        <v/>
      </c>
      <c r="AN66" s="32">
        <f>IF(NOT(ISNUMBER($H66)),"",IF(OR($AH66="",$H66&gt;='設定'!$B$6),0,IF($AK66&gt;='設定'!$B$6,$AJ66,$AJ66+1)))</f>
        <v/>
      </c>
      <c r="AO66" s="71">
        <f>IF($AN66="","",IF($AN66=0,"",IF($AN66=$AJ66,$AM66,$AK66)))</f>
        <v/>
      </c>
      <c r="AP66" s="32">
        <f>IF(OR($AC66="要対応",$AC66="通知期限切れ",$AC66="確認済み",$AC66="有効",$AC66="終了予定"),1,0)</f>
        <v/>
      </c>
      <c r="AQ66" s="32">
        <f>IF(OR($AC66="要対応",$AC66="通知期限切れ"),1,0)</f>
        <v/>
      </c>
      <c r="AR66" s="72">
        <f>IF(AND(ISNUMBER($AB66),OR($AC66="要対応",$AC66="通知期限切れ",$AC66="確認済み",$AC66="有効")),$AB66+ROW()/100000,"")</f>
        <v/>
      </c>
      <c r="AS66" s="32">
        <f>IF($E66="","",IF(COUNTIF($E$5:$E66,$E66)=1,ROW(),""))</f>
        <v/>
      </c>
      <c r="AT66" s="32">
        <f>IF($S66="","",IF(COUNTIF($S$5:$S66,$S66)=1,ROW(),""))</f>
        <v/>
      </c>
    </row>
    <row r="67" ht="20" customHeight="1">
      <c r="A67" s="20" t="n">
        <v>63</v>
      </c>
      <c r="B67" s="21" t="n"/>
      <c r="C67" s="22" t="n"/>
      <c r="D67" s="22" t="n"/>
      <c r="E67" s="22" t="n"/>
      <c r="F67" s="66" t="n"/>
      <c r="G67" s="66" t="n"/>
      <c r="H67" s="66" t="n"/>
      <c r="I67" s="21" t="n"/>
      <c r="J67" s="24" t="n"/>
      <c r="K67" s="24" t="n"/>
      <c r="L67" s="21" t="n"/>
      <c r="M67" s="24" t="n"/>
      <c r="N67" s="21" t="n"/>
      <c r="O67" s="67" t="n"/>
      <c r="P67" s="21" t="n"/>
      <c r="Q67" s="21" t="n"/>
      <c r="R67" s="22" t="n"/>
      <c r="S67" s="22" t="n"/>
      <c r="T67" s="21" t="n"/>
      <c r="U67" s="66" t="n"/>
      <c r="V67" s="66" t="n"/>
      <c r="W67" s="66" t="n"/>
      <c r="X67" s="8" t="n"/>
      <c r="Y67" s="68">
        <f>IF($AN67="","",IF($AN67=0,$H67,IF($AN67=$AJ67,$AK67,$AL67)))</f>
        <v/>
      </c>
      <c r="Z67" s="68">
        <f>IF(OR($Y67="",NOT(ISNUMBER($K67))),"",IF($L67="日前",$Y67-$K67,EDATE($Y67,-$K67)))</f>
        <v/>
      </c>
      <c r="AA67" s="68">
        <f>IF(OR($Y67="",ISNUMBER($V67),N($Y67)&lt;'設定'!$B$6),"",IF($Z67&lt;&gt;"",$Z67,$Y67))</f>
        <v/>
      </c>
      <c r="AB67" s="69">
        <f>IF($AA67="","",$AA67-'設定'!$B$6)</f>
        <v/>
      </c>
      <c r="AC67" s="28">
        <f>IF(NOT(OR($B67&lt;&gt;"",$C67&lt;&gt;"")),"",IF(ISNUMBER($V67),IF($V67&lt;'設定'!$B$6,"終了","終了予定"),IF($Y67="","有効",IF($Y67&lt;'設定'!$B$6,"満了",IF(AND($T67="更新する",ISNUMBER($U67),N($U67)&lt;='設定'!$B$6,OR($AO67="",N($U67)&gt;N($AO67))),"確認済み",IF($AB67&lt;0,"通知期限切れ",IF($AB67&lt;=N('設定'!$B$7),"要対応","有効")))))))</f>
        <v/>
      </c>
      <c r="AD67" s="68">
        <f>IF(OR(NOT(ISNUMBER($M67)),$AC67="",$AC67="終了",$AC67="終了予定",$AC67="満了"),"",IF($N67="日前",'設定'!$B$6+$M67,EDATE('設定'!$B$6,$M67)))</f>
        <v/>
      </c>
      <c r="AE67" s="70">
        <f>IF(NOT(ISNUMBER($O67)),"",IF($P67="月額",$O67*12,IF($P67="年額",$O67,"")))</f>
        <v/>
      </c>
      <c r="AF67" s="30">
        <f>MID(IF(AND(ISNUMBER($G67),ISNUMBER($H67)),IF(N($H67)&lt;N($G67)," / 満了日が開始日より前",""),"")&amp;IF(AND($I67="あり",NOT(ISNUMBER($H67)))," / 自動更新ありなのに満了日が空","")&amp;IF(AND($I67="あり",ISNUMBER($H67),NOT(ISNUMBER($J67)))," / 更新期間が空（更新を計算できない）","")&amp;IF($AH67="","",IF(AND(DAY($AH67)&gt;=29,OR(MOD($J67,12)&lt;&gt;0,MONTH($AH67)=2))," / 更新の初日が29〜31日（更新を重ねると満了日が1日ずれることがある。満了日を今の期間の満了日に書き換えると直る）",""))&amp;IF(AND(ISNUMBER($K67),$L67="")," / 通知の単位が空（か月前で計算）","")&amp;IF(AND(ISNUMBER($M67),$N67="")," / 解約予告の単位が空（か月前で計算）","")&amp;IF(AND(ISNUMBER($O67),$P67="")," / 金額の区分が空","")&amp;IF(AND($T67&lt;&gt;"",NOT(ISNUMBER($U67)))," / 対応を決めた日が空","")&amp;IF(AND(ISNUMBER($U67),$T67="")," / 今期の対応が空","")&amp;IF(AND($T67="更新しない",NOT(ISNUMBER($V67)))," / 更新しないなら、解約・終了した日（契約が終わる日）を入れる",""),4,300)</f>
        <v/>
      </c>
      <c r="AG67" s="53" t="n"/>
      <c r="AH67" s="71">
        <f>IF(AND(ISNUMBER($H67),$I67="あり",ISNUMBER($J67)),IF($J67&gt;=1,$H67+1,""),"")</f>
        <v/>
      </c>
      <c r="AI67" s="32">
        <f>IF($AH67="","",(YEAR('設定'!$B$6)-YEAR($AH67))*12+MONTH('設定'!$B$6)-MONTH($AH67))</f>
        <v/>
      </c>
      <c r="AJ67" s="32">
        <f>IF($AH67="","",MAX(1,ROUNDUP($AI67/$J67,0)))</f>
        <v/>
      </c>
      <c r="AK67" s="71">
        <f>IF($AJ67="","",IF(DAY(EDATE($AH67,$AJ67*$J67))&lt;DAY($AH67),EDATE($AH67,$AJ67*$J67),EDATE($AH67,$AJ67*$J67)-1))</f>
        <v/>
      </c>
      <c r="AL67" s="71">
        <f>IF($AJ67="","",IF(DAY(EDATE($AH67,($AJ67+1)*$J67))&lt;DAY($AH67),EDATE($AH67,($AJ67+1)*$J67),EDATE($AH67,($AJ67+1)*$J67)-1))</f>
        <v/>
      </c>
      <c r="AM67" s="71">
        <f>IF($AJ67="","",IF($AJ67=1,$H67,IF(DAY(EDATE($AH67,($AJ67-1)*$J67))&lt;DAY($AH67),EDATE($AH67,($AJ67-1)*$J67),EDATE($AH67,($AJ67-1)*$J67)-1)))</f>
        <v/>
      </c>
      <c r="AN67" s="32">
        <f>IF(NOT(ISNUMBER($H67)),"",IF(OR($AH67="",$H67&gt;='設定'!$B$6),0,IF($AK67&gt;='設定'!$B$6,$AJ67,$AJ67+1)))</f>
        <v/>
      </c>
      <c r="AO67" s="71">
        <f>IF($AN67="","",IF($AN67=0,"",IF($AN67=$AJ67,$AM67,$AK67)))</f>
        <v/>
      </c>
      <c r="AP67" s="32">
        <f>IF(OR($AC67="要対応",$AC67="通知期限切れ",$AC67="確認済み",$AC67="有効",$AC67="終了予定"),1,0)</f>
        <v/>
      </c>
      <c r="AQ67" s="32">
        <f>IF(OR($AC67="要対応",$AC67="通知期限切れ"),1,0)</f>
        <v/>
      </c>
      <c r="AR67" s="72">
        <f>IF(AND(ISNUMBER($AB67),OR($AC67="要対応",$AC67="通知期限切れ",$AC67="確認済み",$AC67="有効")),$AB67+ROW()/100000,"")</f>
        <v/>
      </c>
      <c r="AS67" s="32">
        <f>IF($E67="","",IF(COUNTIF($E$5:$E67,$E67)=1,ROW(),""))</f>
        <v/>
      </c>
      <c r="AT67" s="32">
        <f>IF($S67="","",IF(COUNTIF($S$5:$S67,$S67)=1,ROW(),""))</f>
        <v/>
      </c>
    </row>
    <row r="68" ht="20" customHeight="1">
      <c r="A68" s="20" t="n">
        <v>64</v>
      </c>
      <c r="B68" s="21" t="n"/>
      <c r="C68" s="22" t="n"/>
      <c r="D68" s="22" t="n"/>
      <c r="E68" s="22" t="n"/>
      <c r="F68" s="66" t="n"/>
      <c r="G68" s="66" t="n"/>
      <c r="H68" s="66" t="n"/>
      <c r="I68" s="21" t="n"/>
      <c r="J68" s="24" t="n"/>
      <c r="K68" s="24" t="n"/>
      <c r="L68" s="21" t="n"/>
      <c r="M68" s="24" t="n"/>
      <c r="N68" s="21" t="n"/>
      <c r="O68" s="67" t="n"/>
      <c r="P68" s="21" t="n"/>
      <c r="Q68" s="21" t="n"/>
      <c r="R68" s="22" t="n"/>
      <c r="S68" s="22" t="n"/>
      <c r="T68" s="21" t="n"/>
      <c r="U68" s="66" t="n"/>
      <c r="V68" s="66" t="n"/>
      <c r="W68" s="66" t="n"/>
      <c r="X68" s="8" t="n"/>
      <c r="Y68" s="68">
        <f>IF($AN68="","",IF($AN68=0,$H68,IF($AN68=$AJ68,$AK68,$AL68)))</f>
        <v/>
      </c>
      <c r="Z68" s="68">
        <f>IF(OR($Y68="",NOT(ISNUMBER($K68))),"",IF($L68="日前",$Y68-$K68,EDATE($Y68,-$K68)))</f>
        <v/>
      </c>
      <c r="AA68" s="68">
        <f>IF(OR($Y68="",ISNUMBER($V68),N($Y68)&lt;'設定'!$B$6),"",IF($Z68&lt;&gt;"",$Z68,$Y68))</f>
        <v/>
      </c>
      <c r="AB68" s="69">
        <f>IF($AA68="","",$AA68-'設定'!$B$6)</f>
        <v/>
      </c>
      <c r="AC68" s="28">
        <f>IF(NOT(OR($B68&lt;&gt;"",$C68&lt;&gt;"")),"",IF(ISNUMBER($V68),IF($V68&lt;'設定'!$B$6,"終了","終了予定"),IF($Y68="","有効",IF($Y68&lt;'設定'!$B$6,"満了",IF(AND($T68="更新する",ISNUMBER($U68),N($U68)&lt;='設定'!$B$6,OR($AO68="",N($U68)&gt;N($AO68))),"確認済み",IF($AB68&lt;0,"通知期限切れ",IF($AB68&lt;=N('設定'!$B$7),"要対応","有効")))))))</f>
        <v/>
      </c>
      <c r="AD68" s="68">
        <f>IF(OR(NOT(ISNUMBER($M68)),$AC68="",$AC68="終了",$AC68="終了予定",$AC68="満了"),"",IF($N68="日前",'設定'!$B$6+$M68,EDATE('設定'!$B$6,$M68)))</f>
        <v/>
      </c>
      <c r="AE68" s="70">
        <f>IF(NOT(ISNUMBER($O68)),"",IF($P68="月額",$O68*12,IF($P68="年額",$O68,"")))</f>
        <v/>
      </c>
      <c r="AF68" s="30">
        <f>MID(IF(AND(ISNUMBER($G68),ISNUMBER($H68)),IF(N($H68)&lt;N($G68)," / 満了日が開始日より前",""),"")&amp;IF(AND($I68="あり",NOT(ISNUMBER($H68)))," / 自動更新ありなのに満了日が空","")&amp;IF(AND($I68="あり",ISNUMBER($H68),NOT(ISNUMBER($J68)))," / 更新期間が空（更新を計算できない）","")&amp;IF($AH68="","",IF(AND(DAY($AH68)&gt;=29,OR(MOD($J68,12)&lt;&gt;0,MONTH($AH68)=2))," / 更新の初日が29〜31日（更新を重ねると満了日が1日ずれることがある。満了日を今の期間の満了日に書き換えると直る）",""))&amp;IF(AND(ISNUMBER($K68),$L68="")," / 通知の単位が空（か月前で計算）","")&amp;IF(AND(ISNUMBER($M68),$N68="")," / 解約予告の単位が空（か月前で計算）","")&amp;IF(AND(ISNUMBER($O68),$P68="")," / 金額の区分が空","")&amp;IF(AND($T68&lt;&gt;"",NOT(ISNUMBER($U68)))," / 対応を決めた日が空","")&amp;IF(AND(ISNUMBER($U68),$T68="")," / 今期の対応が空","")&amp;IF(AND($T68="更新しない",NOT(ISNUMBER($V68)))," / 更新しないなら、解約・終了した日（契約が終わる日）を入れる",""),4,300)</f>
        <v/>
      </c>
      <c r="AG68" s="53" t="n"/>
      <c r="AH68" s="71">
        <f>IF(AND(ISNUMBER($H68),$I68="あり",ISNUMBER($J68)),IF($J68&gt;=1,$H68+1,""),"")</f>
        <v/>
      </c>
      <c r="AI68" s="32">
        <f>IF($AH68="","",(YEAR('設定'!$B$6)-YEAR($AH68))*12+MONTH('設定'!$B$6)-MONTH($AH68))</f>
        <v/>
      </c>
      <c r="AJ68" s="32">
        <f>IF($AH68="","",MAX(1,ROUNDUP($AI68/$J68,0)))</f>
        <v/>
      </c>
      <c r="AK68" s="71">
        <f>IF($AJ68="","",IF(DAY(EDATE($AH68,$AJ68*$J68))&lt;DAY($AH68),EDATE($AH68,$AJ68*$J68),EDATE($AH68,$AJ68*$J68)-1))</f>
        <v/>
      </c>
      <c r="AL68" s="71">
        <f>IF($AJ68="","",IF(DAY(EDATE($AH68,($AJ68+1)*$J68))&lt;DAY($AH68),EDATE($AH68,($AJ68+1)*$J68),EDATE($AH68,($AJ68+1)*$J68)-1))</f>
        <v/>
      </c>
      <c r="AM68" s="71">
        <f>IF($AJ68="","",IF($AJ68=1,$H68,IF(DAY(EDATE($AH68,($AJ68-1)*$J68))&lt;DAY($AH68),EDATE($AH68,($AJ68-1)*$J68),EDATE($AH68,($AJ68-1)*$J68)-1)))</f>
        <v/>
      </c>
      <c r="AN68" s="32">
        <f>IF(NOT(ISNUMBER($H68)),"",IF(OR($AH68="",$H68&gt;='設定'!$B$6),0,IF($AK68&gt;='設定'!$B$6,$AJ68,$AJ68+1)))</f>
        <v/>
      </c>
      <c r="AO68" s="71">
        <f>IF($AN68="","",IF($AN68=0,"",IF($AN68=$AJ68,$AM68,$AK68)))</f>
        <v/>
      </c>
      <c r="AP68" s="32">
        <f>IF(OR($AC68="要対応",$AC68="通知期限切れ",$AC68="確認済み",$AC68="有効",$AC68="終了予定"),1,0)</f>
        <v/>
      </c>
      <c r="AQ68" s="32">
        <f>IF(OR($AC68="要対応",$AC68="通知期限切れ"),1,0)</f>
        <v/>
      </c>
      <c r="AR68" s="72">
        <f>IF(AND(ISNUMBER($AB68),OR($AC68="要対応",$AC68="通知期限切れ",$AC68="確認済み",$AC68="有効")),$AB68+ROW()/100000,"")</f>
        <v/>
      </c>
      <c r="AS68" s="32">
        <f>IF($E68="","",IF(COUNTIF($E$5:$E68,$E68)=1,ROW(),""))</f>
        <v/>
      </c>
      <c r="AT68" s="32">
        <f>IF($S68="","",IF(COUNTIF($S$5:$S68,$S68)=1,ROW(),""))</f>
        <v/>
      </c>
    </row>
    <row r="69" ht="20" customHeight="1">
      <c r="A69" s="20" t="n">
        <v>65</v>
      </c>
      <c r="B69" s="21" t="n"/>
      <c r="C69" s="22" t="n"/>
      <c r="D69" s="22" t="n"/>
      <c r="E69" s="22" t="n"/>
      <c r="F69" s="66" t="n"/>
      <c r="G69" s="66" t="n"/>
      <c r="H69" s="66" t="n"/>
      <c r="I69" s="21" t="n"/>
      <c r="J69" s="24" t="n"/>
      <c r="K69" s="24" t="n"/>
      <c r="L69" s="21" t="n"/>
      <c r="M69" s="24" t="n"/>
      <c r="N69" s="21" t="n"/>
      <c r="O69" s="67" t="n"/>
      <c r="P69" s="21" t="n"/>
      <c r="Q69" s="21" t="n"/>
      <c r="R69" s="22" t="n"/>
      <c r="S69" s="22" t="n"/>
      <c r="T69" s="21" t="n"/>
      <c r="U69" s="66" t="n"/>
      <c r="V69" s="66" t="n"/>
      <c r="W69" s="66" t="n"/>
      <c r="X69" s="8" t="n"/>
      <c r="Y69" s="68">
        <f>IF($AN69="","",IF($AN69=0,$H69,IF($AN69=$AJ69,$AK69,$AL69)))</f>
        <v/>
      </c>
      <c r="Z69" s="68">
        <f>IF(OR($Y69="",NOT(ISNUMBER($K69))),"",IF($L69="日前",$Y69-$K69,EDATE($Y69,-$K69)))</f>
        <v/>
      </c>
      <c r="AA69" s="68">
        <f>IF(OR($Y69="",ISNUMBER($V69),N($Y69)&lt;'設定'!$B$6),"",IF($Z69&lt;&gt;"",$Z69,$Y69))</f>
        <v/>
      </c>
      <c r="AB69" s="69">
        <f>IF($AA69="","",$AA69-'設定'!$B$6)</f>
        <v/>
      </c>
      <c r="AC69" s="28">
        <f>IF(NOT(OR($B69&lt;&gt;"",$C69&lt;&gt;"")),"",IF(ISNUMBER($V69),IF($V69&lt;'設定'!$B$6,"終了","終了予定"),IF($Y69="","有効",IF($Y69&lt;'設定'!$B$6,"満了",IF(AND($T69="更新する",ISNUMBER($U69),N($U69)&lt;='設定'!$B$6,OR($AO69="",N($U69)&gt;N($AO69))),"確認済み",IF($AB69&lt;0,"通知期限切れ",IF($AB69&lt;=N('設定'!$B$7),"要対応","有効")))))))</f>
        <v/>
      </c>
      <c r="AD69" s="68">
        <f>IF(OR(NOT(ISNUMBER($M69)),$AC69="",$AC69="終了",$AC69="終了予定",$AC69="満了"),"",IF($N69="日前",'設定'!$B$6+$M69,EDATE('設定'!$B$6,$M69)))</f>
        <v/>
      </c>
      <c r="AE69" s="70">
        <f>IF(NOT(ISNUMBER($O69)),"",IF($P69="月額",$O69*12,IF($P69="年額",$O69,"")))</f>
        <v/>
      </c>
      <c r="AF69" s="30">
        <f>MID(IF(AND(ISNUMBER($G69),ISNUMBER($H69)),IF(N($H69)&lt;N($G69)," / 満了日が開始日より前",""),"")&amp;IF(AND($I69="あり",NOT(ISNUMBER($H69)))," / 自動更新ありなのに満了日が空","")&amp;IF(AND($I69="あり",ISNUMBER($H69),NOT(ISNUMBER($J69)))," / 更新期間が空（更新を計算できない）","")&amp;IF($AH69="","",IF(AND(DAY($AH69)&gt;=29,OR(MOD($J69,12)&lt;&gt;0,MONTH($AH69)=2))," / 更新の初日が29〜31日（更新を重ねると満了日が1日ずれることがある。満了日を今の期間の満了日に書き換えると直る）",""))&amp;IF(AND(ISNUMBER($K69),$L69="")," / 通知の単位が空（か月前で計算）","")&amp;IF(AND(ISNUMBER($M69),$N69="")," / 解約予告の単位が空（か月前で計算）","")&amp;IF(AND(ISNUMBER($O69),$P69="")," / 金額の区分が空","")&amp;IF(AND($T69&lt;&gt;"",NOT(ISNUMBER($U69)))," / 対応を決めた日が空","")&amp;IF(AND(ISNUMBER($U69),$T69="")," / 今期の対応が空","")&amp;IF(AND($T69="更新しない",NOT(ISNUMBER($V69)))," / 更新しないなら、解約・終了した日（契約が終わる日）を入れる",""),4,300)</f>
        <v/>
      </c>
      <c r="AG69" s="53" t="n"/>
      <c r="AH69" s="71">
        <f>IF(AND(ISNUMBER($H69),$I69="あり",ISNUMBER($J69)),IF($J69&gt;=1,$H69+1,""),"")</f>
        <v/>
      </c>
      <c r="AI69" s="32">
        <f>IF($AH69="","",(YEAR('設定'!$B$6)-YEAR($AH69))*12+MONTH('設定'!$B$6)-MONTH($AH69))</f>
        <v/>
      </c>
      <c r="AJ69" s="32">
        <f>IF($AH69="","",MAX(1,ROUNDUP($AI69/$J69,0)))</f>
        <v/>
      </c>
      <c r="AK69" s="71">
        <f>IF($AJ69="","",IF(DAY(EDATE($AH69,$AJ69*$J69))&lt;DAY($AH69),EDATE($AH69,$AJ69*$J69),EDATE($AH69,$AJ69*$J69)-1))</f>
        <v/>
      </c>
      <c r="AL69" s="71">
        <f>IF($AJ69="","",IF(DAY(EDATE($AH69,($AJ69+1)*$J69))&lt;DAY($AH69),EDATE($AH69,($AJ69+1)*$J69),EDATE($AH69,($AJ69+1)*$J69)-1))</f>
        <v/>
      </c>
      <c r="AM69" s="71">
        <f>IF($AJ69="","",IF($AJ69=1,$H69,IF(DAY(EDATE($AH69,($AJ69-1)*$J69))&lt;DAY($AH69),EDATE($AH69,($AJ69-1)*$J69),EDATE($AH69,($AJ69-1)*$J69)-1)))</f>
        <v/>
      </c>
      <c r="AN69" s="32">
        <f>IF(NOT(ISNUMBER($H69)),"",IF(OR($AH69="",$H69&gt;='設定'!$B$6),0,IF($AK69&gt;='設定'!$B$6,$AJ69,$AJ69+1)))</f>
        <v/>
      </c>
      <c r="AO69" s="71">
        <f>IF($AN69="","",IF($AN69=0,"",IF($AN69=$AJ69,$AM69,$AK69)))</f>
        <v/>
      </c>
      <c r="AP69" s="32">
        <f>IF(OR($AC69="要対応",$AC69="通知期限切れ",$AC69="確認済み",$AC69="有効",$AC69="終了予定"),1,0)</f>
        <v/>
      </c>
      <c r="AQ69" s="32">
        <f>IF(OR($AC69="要対応",$AC69="通知期限切れ"),1,0)</f>
        <v/>
      </c>
      <c r="AR69" s="72">
        <f>IF(AND(ISNUMBER($AB69),OR($AC69="要対応",$AC69="通知期限切れ",$AC69="確認済み",$AC69="有効")),$AB69+ROW()/100000,"")</f>
        <v/>
      </c>
      <c r="AS69" s="32">
        <f>IF($E69="","",IF(COUNTIF($E$5:$E69,$E69)=1,ROW(),""))</f>
        <v/>
      </c>
      <c r="AT69" s="32">
        <f>IF($S69="","",IF(COUNTIF($S$5:$S69,$S69)=1,ROW(),""))</f>
        <v/>
      </c>
    </row>
    <row r="70" ht="20" customHeight="1">
      <c r="A70" s="20" t="n">
        <v>66</v>
      </c>
      <c r="B70" s="21" t="n"/>
      <c r="C70" s="22" t="n"/>
      <c r="D70" s="22" t="n"/>
      <c r="E70" s="22" t="n"/>
      <c r="F70" s="66" t="n"/>
      <c r="G70" s="66" t="n"/>
      <c r="H70" s="66" t="n"/>
      <c r="I70" s="21" t="n"/>
      <c r="J70" s="24" t="n"/>
      <c r="K70" s="24" t="n"/>
      <c r="L70" s="21" t="n"/>
      <c r="M70" s="24" t="n"/>
      <c r="N70" s="21" t="n"/>
      <c r="O70" s="67" t="n"/>
      <c r="P70" s="21" t="n"/>
      <c r="Q70" s="21" t="n"/>
      <c r="R70" s="22" t="n"/>
      <c r="S70" s="22" t="n"/>
      <c r="T70" s="21" t="n"/>
      <c r="U70" s="66" t="n"/>
      <c r="V70" s="66" t="n"/>
      <c r="W70" s="66" t="n"/>
      <c r="X70" s="8" t="n"/>
      <c r="Y70" s="68">
        <f>IF($AN70="","",IF($AN70=0,$H70,IF($AN70=$AJ70,$AK70,$AL70)))</f>
        <v/>
      </c>
      <c r="Z70" s="68">
        <f>IF(OR($Y70="",NOT(ISNUMBER($K70))),"",IF($L70="日前",$Y70-$K70,EDATE($Y70,-$K70)))</f>
        <v/>
      </c>
      <c r="AA70" s="68">
        <f>IF(OR($Y70="",ISNUMBER($V70),N($Y70)&lt;'設定'!$B$6),"",IF($Z70&lt;&gt;"",$Z70,$Y70))</f>
        <v/>
      </c>
      <c r="AB70" s="69">
        <f>IF($AA70="","",$AA70-'設定'!$B$6)</f>
        <v/>
      </c>
      <c r="AC70" s="28">
        <f>IF(NOT(OR($B70&lt;&gt;"",$C70&lt;&gt;"")),"",IF(ISNUMBER($V70),IF($V70&lt;'設定'!$B$6,"終了","終了予定"),IF($Y70="","有効",IF($Y70&lt;'設定'!$B$6,"満了",IF(AND($T70="更新する",ISNUMBER($U70),N($U70)&lt;='設定'!$B$6,OR($AO70="",N($U70)&gt;N($AO70))),"確認済み",IF($AB70&lt;0,"通知期限切れ",IF($AB70&lt;=N('設定'!$B$7),"要対応","有効")))))))</f>
        <v/>
      </c>
      <c r="AD70" s="68">
        <f>IF(OR(NOT(ISNUMBER($M70)),$AC70="",$AC70="終了",$AC70="終了予定",$AC70="満了"),"",IF($N70="日前",'設定'!$B$6+$M70,EDATE('設定'!$B$6,$M70)))</f>
        <v/>
      </c>
      <c r="AE70" s="70">
        <f>IF(NOT(ISNUMBER($O70)),"",IF($P70="月額",$O70*12,IF($P70="年額",$O70,"")))</f>
        <v/>
      </c>
      <c r="AF70" s="30">
        <f>MID(IF(AND(ISNUMBER($G70),ISNUMBER($H70)),IF(N($H70)&lt;N($G70)," / 満了日が開始日より前",""),"")&amp;IF(AND($I70="あり",NOT(ISNUMBER($H70)))," / 自動更新ありなのに満了日が空","")&amp;IF(AND($I70="あり",ISNUMBER($H70),NOT(ISNUMBER($J70)))," / 更新期間が空（更新を計算できない）","")&amp;IF($AH70="","",IF(AND(DAY($AH70)&gt;=29,OR(MOD($J70,12)&lt;&gt;0,MONTH($AH70)=2))," / 更新の初日が29〜31日（更新を重ねると満了日が1日ずれることがある。満了日を今の期間の満了日に書き換えると直る）",""))&amp;IF(AND(ISNUMBER($K70),$L70="")," / 通知の単位が空（か月前で計算）","")&amp;IF(AND(ISNUMBER($M70),$N70="")," / 解約予告の単位が空（か月前で計算）","")&amp;IF(AND(ISNUMBER($O70),$P70="")," / 金額の区分が空","")&amp;IF(AND($T70&lt;&gt;"",NOT(ISNUMBER($U70)))," / 対応を決めた日が空","")&amp;IF(AND(ISNUMBER($U70),$T70="")," / 今期の対応が空","")&amp;IF(AND($T70="更新しない",NOT(ISNUMBER($V70)))," / 更新しないなら、解約・終了した日（契約が終わる日）を入れる",""),4,300)</f>
        <v/>
      </c>
      <c r="AG70" s="53" t="n"/>
      <c r="AH70" s="71">
        <f>IF(AND(ISNUMBER($H70),$I70="あり",ISNUMBER($J70)),IF($J70&gt;=1,$H70+1,""),"")</f>
        <v/>
      </c>
      <c r="AI70" s="32">
        <f>IF($AH70="","",(YEAR('設定'!$B$6)-YEAR($AH70))*12+MONTH('設定'!$B$6)-MONTH($AH70))</f>
        <v/>
      </c>
      <c r="AJ70" s="32">
        <f>IF($AH70="","",MAX(1,ROUNDUP($AI70/$J70,0)))</f>
        <v/>
      </c>
      <c r="AK70" s="71">
        <f>IF($AJ70="","",IF(DAY(EDATE($AH70,$AJ70*$J70))&lt;DAY($AH70),EDATE($AH70,$AJ70*$J70),EDATE($AH70,$AJ70*$J70)-1))</f>
        <v/>
      </c>
      <c r="AL70" s="71">
        <f>IF($AJ70="","",IF(DAY(EDATE($AH70,($AJ70+1)*$J70))&lt;DAY($AH70),EDATE($AH70,($AJ70+1)*$J70),EDATE($AH70,($AJ70+1)*$J70)-1))</f>
        <v/>
      </c>
      <c r="AM70" s="71">
        <f>IF($AJ70="","",IF($AJ70=1,$H70,IF(DAY(EDATE($AH70,($AJ70-1)*$J70))&lt;DAY($AH70),EDATE($AH70,($AJ70-1)*$J70),EDATE($AH70,($AJ70-1)*$J70)-1)))</f>
        <v/>
      </c>
      <c r="AN70" s="32">
        <f>IF(NOT(ISNUMBER($H70)),"",IF(OR($AH70="",$H70&gt;='設定'!$B$6),0,IF($AK70&gt;='設定'!$B$6,$AJ70,$AJ70+1)))</f>
        <v/>
      </c>
      <c r="AO70" s="71">
        <f>IF($AN70="","",IF($AN70=0,"",IF($AN70=$AJ70,$AM70,$AK70)))</f>
        <v/>
      </c>
      <c r="AP70" s="32">
        <f>IF(OR($AC70="要対応",$AC70="通知期限切れ",$AC70="確認済み",$AC70="有効",$AC70="終了予定"),1,0)</f>
        <v/>
      </c>
      <c r="AQ70" s="32">
        <f>IF(OR($AC70="要対応",$AC70="通知期限切れ"),1,0)</f>
        <v/>
      </c>
      <c r="AR70" s="72">
        <f>IF(AND(ISNUMBER($AB70),OR($AC70="要対応",$AC70="通知期限切れ",$AC70="確認済み",$AC70="有効")),$AB70+ROW()/100000,"")</f>
        <v/>
      </c>
      <c r="AS70" s="32">
        <f>IF($E70="","",IF(COUNTIF($E$5:$E70,$E70)=1,ROW(),""))</f>
        <v/>
      </c>
      <c r="AT70" s="32">
        <f>IF($S70="","",IF(COUNTIF($S$5:$S70,$S70)=1,ROW(),""))</f>
        <v/>
      </c>
    </row>
    <row r="71" ht="20" customHeight="1">
      <c r="A71" s="20" t="n">
        <v>67</v>
      </c>
      <c r="B71" s="21" t="n"/>
      <c r="C71" s="22" t="n"/>
      <c r="D71" s="22" t="n"/>
      <c r="E71" s="22" t="n"/>
      <c r="F71" s="66" t="n"/>
      <c r="G71" s="66" t="n"/>
      <c r="H71" s="66" t="n"/>
      <c r="I71" s="21" t="n"/>
      <c r="J71" s="24" t="n"/>
      <c r="K71" s="24" t="n"/>
      <c r="L71" s="21" t="n"/>
      <c r="M71" s="24" t="n"/>
      <c r="N71" s="21" t="n"/>
      <c r="O71" s="67" t="n"/>
      <c r="P71" s="21" t="n"/>
      <c r="Q71" s="21" t="n"/>
      <c r="R71" s="22" t="n"/>
      <c r="S71" s="22" t="n"/>
      <c r="T71" s="21" t="n"/>
      <c r="U71" s="66" t="n"/>
      <c r="V71" s="66" t="n"/>
      <c r="W71" s="66" t="n"/>
      <c r="X71" s="8" t="n"/>
      <c r="Y71" s="68">
        <f>IF($AN71="","",IF($AN71=0,$H71,IF($AN71=$AJ71,$AK71,$AL71)))</f>
        <v/>
      </c>
      <c r="Z71" s="68">
        <f>IF(OR($Y71="",NOT(ISNUMBER($K71))),"",IF($L71="日前",$Y71-$K71,EDATE($Y71,-$K71)))</f>
        <v/>
      </c>
      <c r="AA71" s="68">
        <f>IF(OR($Y71="",ISNUMBER($V71),N($Y71)&lt;'設定'!$B$6),"",IF($Z71&lt;&gt;"",$Z71,$Y71))</f>
        <v/>
      </c>
      <c r="AB71" s="69">
        <f>IF($AA71="","",$AA71-'設定'!$B$6)</f>
        <v/>
      </c>
      <c r="AC71" s="28">
        <f>IF(NOT(OR($B71&lt;&gt;"",$C71&lt;&gt;"")),"",IF(ISNUMBER($V71),IF($V71&lt;'設定'!$B$6,"終了","終了予定"),IF($Y71="","有効",IF($Y71&lt;'設定'!$B$6,"満了",IF(AND($T71="更新する",ISNUMBER($U71),N($U71)&lt;='設定'!$B$6,OR($AO71="",N($U71)&gt;N($AO71))),"確認済み",IF($AB71&lt;0,"通知期限切れ",IF($AB71&lt;=N('設定'!$B$7),"要対応","有効")))))))</f>
        <v/>
      </c>
      <c r="AD71" s="68">
        <f>IF(OR(NOT(ISNUMBER($M71)),$AC71="",$AC71="終了",$AC71="終了予定",$AC71="満了"),"",IF($N71="日前",'設定'!$B$6+$M71,EDATE('設定'!$B$6,$M71)))</f>
        <v/>
      </c>
      <c r="AE71" s="70">
        <f>IF(NOT(ISNUMBER($O71)),"",IF($P71="月額",$O71*12,IF($P71="年額",$O71,"")))</f>
        <v/>
      </c>
      <c r="AF71" s="30">
        <f>MID(IF(AND(ISNUMBER($G71),ISNUMBER($H71)),IF(N($H71)&lt;N($G71)," / 満了日が開始日より前",""),"")&amp;IF(AND($I71="あり",NOT(ISNUMBER($H71)))," / 自動更新ありなのに満了日が空","")&amp;IF(AND($I71="あり",ISNUMBER($H71),NOT(ISNUMBER($J71)))," / 更新期間が空（更新を計算できない）","")&amp;IF($AH71="","",IF(AND(DAY($AH71)&gt;=29,OR(MOD($J71,12)&lt;&gt;0,MONTH($AH71)=2))," / 更新の初日が29〜31日（更新を重ねると満了日が1日ずれることがある。満了日を今の期間の満了日に書き換えると直る）",""))&amp;IF(AND(ISNUMBER($K71),$L71="")," / 通知の単位が空（か月前で計算）","")&amp;IF(AND(ISNUMBER($M71),$N71="")," / 解約予告の単位が空（か月前で計算）","")&amp;IF(AND(ISNUMBER($O71),$P71="")," / 金額の区分が空","")&amp;IF(AND($T71&lt;&gt;"",NOT(ISNUMBER($U71)))," / 対応を決めた日が空","")&amp;IF(AND(ISNUMBER($U71),$T71="")," / 今期の対応が空","")&amp;IF(AND($T71="更新しない",NOT(ISNUMBER($V71)))," / 更新しないなら、解約・終了した日（契約が終わる日）を入れる",""),4,300)</f>
        <v/>
      </c>
      <c r="AG71" s="53" t="n"/>
      <c r="AH71" s="71">
        <f>IF(AND(ISNUMBER($H71),$I71="あり",ISNUMBER($J71)),IF($J71&gt;=1,$H71+1,""),"")</f>
        <v/>
      </c>
      <c r="AI71" s="32">
        <f>IF($AH71="","",(YEAR('設定'!$B$6)-YEAR($AH71))*12+MONTH('設定'!$B$6)-MONTH($AH71))</f>
        <v/>
      </c>
      <c r="AJ71" s="32">
        <f>IF($AH71="","",MAX(1,ROUNDUP($AI71/$J71,0)))</f>
        <v/>
      </c>
      <c r="AK71" s="71">
        <f>IF($AJ71="","",IF(DAY(EDATE($AH71,$AJ71*$J71))&lt;DAY($AH71),EDATE($AH71,$AJ71*$J71),EDATE($AH71,$AJ71*$J71)-1))</f>
        <v/>
      </c>
      <c r="AL71" s="71">
        <f>IF($AJ71="","",IF(DAY(EDATE($AH71,($AJ71+1)*$J71))&lt;DAY($AH71),EDATE($AH71,($AJ71+1)*$J71),EDATE($AH71,($AJ71+1)*$J71)-1))</f>
        <v/>
      </c>
      <c r="AM71" s="71">
        <f>IF($AJ71="","",IF($AJ71=1,$H71,IF(DAY(EDATE($AH71,($AJ71-1)*$J71))&lt;DAY($AH71),EDATE($AH71,($AJ71-1)*$J71),EDATE($AH71,($AJ71-1)*$J71)-1)))</f>
        <v/>
      </c>
      <c r="AN71" s="32">
        <f>IF(NOT(ISNUMBER($H71)),"",IF(OR($AH71="",$H71&gt;='設定'!$B$6),0,IF($AK71&gt;='設定'!$B$6,$AJ71,$AJ71+1)))</f>
        <v/>
      </c>
      <c r="AO71" s="71">
        <f>IF($AN71="","",IF($AN71=0,"",IF($AN71=$AJ71,$AM71,$AK71)))</f>
        <v/>
      </c>
      <c r="AP71" s="32">
        <f>IF(OR($AC71="要対応",$AC71="通知期限切れ",$AC71="確認済み",$AC71="有効",$AC71="終了予定"),1,0)</f>
        <v/>
      </c>
      <c r="AQ71" s="32">
        <f>IF(OR($AC71="要対応",$AC71="通知期限切れ"),1,0)</f>
        <v/>
      </c>
      <c r="AR71" s="72">
        <f>IF(AND(ISNUMBER($AB71),OR($AC71="要対応",$AC71="通知期限切れ",$AC71="確認済み",$AC71="有効")),$AB71+ROW()/100000,"")</f>
        <v/>
      </c>
      <c r="AS71" s="32">
        <f>IF($E71="","",IF(COUNTIF($E$5:$E71,$E71)=1,ROW(),""))</f>
        <v/>
      </c>
      <c r="AT71" s="32">
        <f>IF($S71="","",IF(COUNTIF($S$5:$S71,$S71)=1,ROW(),""))</f>
        <v/>
      </c>
    </row>
    <row r="72" ht="20" customHeight="1">
      <c r="A72" s="20" t="n">
        <v>68</v>
      </c>
      <c r="B72" s="21" t="n"/>
      <c r="C72" s="22" t="n"/>
      <c r="D72" s="22" t="n"/>
      <c r="E72" s="22" t="n"/>
      <c r="F72" s="66" t="n"/>
      <c r="G72" s="66" t="n"/>
      <c r="H72" s="66" t="n"/>
      <c r="I72" s="21" t="n"/>
      <c r="J72" s="24" t="n"/>
      <c r="K72" s="24" t="n"/>
      <c r="L72" s="21" t="n"/>
      <c r="M72" s="24" t="n"/>
      <c r="N72" s="21" t="n"/>
      <c r="O72" s="67" t="n"/>
      <c r="P72" s="21" t="n"/>
      <c r="Q72" s="21" t="n"/>
      <c r="R72" s="22" t="n"/>
      <c r="S72" s="22" t="n"/>
      <c r="T72" s="21" t="n"/>
      <c r="U72" s="66" t="n"/>
      <c r="V72" s="66" t="n"/>
      <c r="W72" s="66" t="n"/>
      <c r="X72" s="8" t="n"/>
      <c r="Y72" s="68">
        <f>IF($AN72="","",IF($AN72=0,$H72,IF($AN72=$AJ72,$AK72,$AL72)))</f>
        <v/>
      </c>
      <c r="Z72" s="68">
        <f>IF(OR($Y72="",NOT(ISNUMBER($K72))),"",IF($L72="日前",$Y72-$K72,EDATE($Y72,-$K72)))</f>
        <v/>
      </c>
      <c r="AA72" s="68">
        <f>IF(OR($Y72="",ISNUMBER($V72),N($Y72)&lt;'設定'!$B$6),"",IF($Z72&lt;&gt;"",$Z72,$Y72))</f>
        <v/>
      </c>
      <c r="AB72" s="69">
        <f>IF($AA72="","",$AA72-'設定'!$B$6)</f>
        <v/>
      </c>
      <c r="AC72" s="28">
        <f>IF(NOT(OR($B72&lt;&gt;"",$C72&lt;&gt;"")),"",IF(ISNUMBER($V72),IF($V72&lt;'設定'!$B$6,"終了","終了予定"),IF($Y72="","有効",IF($Y72&lt;'設定'!$B$6,"満了",IF(AND($T72="更新する",ISNUMBER($U72),N($U72)&lt;='設定'!$B$6,OR($AO72="",N($U72)&gt;N($AO72))),"確認済み",IF($AB72&lt;0,"通知期限切れ",IF($AB72&lt;=N('設定'!$B$7),"要対応","有効")))))))</f>
        <v/>
      </c>
      <c r="AD72" s="68">
        <f>IF(OR(NOT(ISNUMBER($M72)),$AC72="",$AC72="終了",$AC72="終了予定",$AC72="満了"),"",IF($N72="日前",'設定'!$B$6+$M72,EDATE('設定'!$B$6,$M72)))</f>
        <v/>
      </c>
      <c r="AE72" s="70">
        <f>IF(NOT(ISNUMBER($O72)),"",IF($P72="月額",$O72*12,IF($P72="年額",$O72,"")))</f>
        <v/>
      </c>
      <c r="AF72" s="30">
        <f>MID(IF(AND(ISNUMBER($G72),ISNUMBER($H72)),IF(N($H72)&lt;N($G72)," / 満了日が開始日より前",""),"")&amp;IF(AND($I72="あり",NOT(ISNUMBER($H72)))," / 自動更新ありなのに満了日が空","")&amp;IF(AND($I72="あり",ISNUMBER($H72),NOT(ISNUMBER($J72)))," / 更新期間が空（更新を計算できない）","")&amp;IF($AH72="","",IF(AND(DAY($AH72)&gt;=29,OR(MOD($J72,12)&lt;&gt;0,MONTH($AH72)=2))," / 更新の初日が29〜31日（更新を重ねると満了日が1日ずれることがある。満了日を今の期間の満了日に書き換えると直る）",""))&amp;IF(AND(ISNUMBER($K72),$L72="")," / 通知の単位が空（か月前で計算）","")&amp;IF(AND(ISNUMBER($M72),$N72="")," / 解約予告の単位が空（か月前で計算）","")&amp;IF(AND(ISNUMBER($O72),$P72="")," / 金額の区分が空","")&amp;IF(AND($T72&lt;&gt;"",NOT(ISNUMBER($U72)))," / 対応を決めた日が空","")&amp;IF(AND(ISNUMBER($U72),$T72="")," / 今期の対応が空","")&amp;IF(AND($T72="更新しない",NOT(ISNUMBER($V72)))," / 更新しないなら、解約・終了した日（契約が終わる日）を入れる",""),4,300)</f>
        <v/>
      </c>
      <c r="AG72" s="53" t="n"/>
      <c r="AH72" s="71">
        <f>IF(AND(ISNUMBER($H72),$I72="あり",ISNUMBER($J72)),IF($J72&gt;=1,$H72+1,""),"")</f>
        <v/>
      </c>
      <c r="AI72" s="32">
        <f>IF($AH72="","",(YEAR('設定'!$B$6)-YEAR($AH72))*12+MONTH('設定'!$B$6)-MONTH($AH72))</f>
        <v/>
      </c>
      <c r="AJ72" s="32">
        <f>IF($AH72="","",MAX(1,ROUNDUP($AI72/$J72,0)))</f>
        <v/>
      </c>
      <c r="AK72" s="71">
        <f>IF($AJ72="","",IF(DAY(EDATE($AH72,$AJ72*$J72))&lt;DAY($AH72),EDATE($AH72,$AJ72*$J72),EDATE($AH72,$AJ72*$J72)-1))</f>
        <v/>
      </c>
      <c r="AL72" s="71">
        <f>IF($AJ72="","",IF(DAY(EDATE($AH72,($AJ72+1)*$J72))&lt;DAY($AH72),EDATE($AH72,($AJ72+1)*$J72),EDATE($AH72,($AJ72+1)*$J72)-1))</f>
        <v/>
      </c>
      <c r="AM72" s="71">
        <f>IF($AJ72="","",IF($AJ72=1,$H72,IF(DAY(EDATE($AH72,($AJ72-1)*$J72))&lt;DAY($AH72),EDATE($AH72,($AJ72-1)*$J72),EDATE($AH72,($AJ72-1)*$J72)-1)))</f>
        <v/>
      </c>
      <c r="AN72" s="32">
        <f>IF(NOT(ISNUMBER($H72)),"",IF(OR($AH72="",$H72&gt;='設定'!$B$6),0,IF($AK72&gt;='設定'!$B$6,$AJ72,$AJ72+1)))</f>
        <v/>
      </c>
      <c r="AO72" s="71">
        <f>IF($AN72="","",IF($AN72=0,"",IF($AN72=$AJ72,$AM72,$AK72)))</f>
        <v/>
      </c>
      <c r="AP72" s="32">
        <f>IF(OR($AC72="要対応",$AC72="通知期限切れ",$AC72="確認済み",$AC72="有効",$AC72="終了予定"),1,0)</f>
        <v/>
      </c>
      <c r="AQ72" s="32">
        <f>IF(OR($AC72="要対応",$AC72="通知期限切れ"),1,0)</f>
        <v/>
      </c>
      <c r="AR72" s="72">
        <f>IF(AND(ISNUMBER($AB72),OR($AC72="要対応",$AC72="通知期限切れ",$AC72="確認済み",$AC72="有効")),$AB72+ROW()/100000,"")</f>
        <v/>
      </c>
      <c r="AS72" s="32">
        <f>IF($E72="","",IF(COUNTIF($E$5:$E72,$E72)=1,ROW(),""))</f>
        <v/>
      </c>
      <c r="AT72" s="32">
        <f>IF($S72="","",IF(COUNTIF($S$5:$S72,$S72)=1,ROW(),""))</f>
        <v/>
      </c>
    </row>
    <row r="73" ht="20" customHeight="1">
      <c r="A73" s="20" t="n">
        <v>69</v>
      </c>
      <c r="B73" s="21" t="n"/>
      <c r="C73" s="22" t="n"/>
      <c r="D73" s="22" t="n"/>
      <c r="E73" s="22" t="n"/>
      <c r="F73" s="66" t="n"/>
      <c r="G73" s="66" t="n"/>
      <c r="H73" s="66" t="n"/>
      <c r="I73" s="21" t="n"/>
      <c r="J73" s="24" t="n"/>
      <c r="K73" s="24" t="n"/>
      <c r="L73" s="21" t="n"/>
      <c r="M73" s="24" t="n"/>
      <c r="N73" s="21" t="n"/>
      <c r="O73" s="67" t="n"/>
      <c r="P73" s="21" t="n"/>
      <c r="Q73" s="21" t="n"/>
      <c r="R73" s="22" t="n"/>
      <c r="S73" s="22" t="n"/>
      <c r="T73" s="21" t="n"/>
      <c r="U73" s="66" t="n"/>
      <c r="V73" s="66" t="n"/>
      <c r="W73" s="66" t="n"/>
      <c r="X73" s="8" t="n"/>
      <c r="Y73" s="68">
        <f>IF($AN73="","",IF($AN73=0,$H73,IF($AN73=$AJ73,$AK73,$AL73)))</f>
        <v/>
      </c>
      <c r="Z73" s="68">
        <f>IF(OR($Y73="",NOT(ISNUMBER($K73))),"",IF($L73="日前",$Y73-$K73,EDATE($Y73,-$K73)))</f>
        <v/>
      </c>
      <c r="AA73" s="68">
        <f>IF(OR($Y73="",ISNUMBER($V73),N($Y73)&lt;'設定'!$B$6),"",IF($Z73&lt;&gt;"",$Z73,$Y73))</f>
        <v/>
      </c>
      <c r="AB73" s="69">
        <f>IF($AA73="","",$AA73-'設定'!$B$6)</f>
        <v/>
      </c>
      <c r="AC73" s="28">
        <f>IF(NOT(OR($B73&lt;&gt;"",$C73&lt;&gt;"")),"",IF(ISNUMBER($V73),IF($V73&lt;'設定'!$B$6,"終了","終了予定"),IF($Y73="","有効",IF($Y73&lt;'設定'!$B$6,"満了",IF(AND($T73="更新する",ISNUMBER($U73),N($U73)&lt;='設定'!$B$6,OR($AO73="",N($U73)&gt;N($AO73))),"確認済み",IF($AB73&lt;0,"通知期限切れ",IF($AB73&lt;=N('設定'!$B$7),"要対応","有効")))))))</f>
        <v/>
      </c>
      <c r="AD73" s="68">
        <f>IF(OR(NOT(ISNUMBER($M73)),$AC73="",$AC73="終了",$AC73="終了予定",$AC73="満了"),"",IF($N73="日前",'設定'!$B$6+$M73,EDATE('設定'!$B$6,$M73)))</f>
        <v/>
      </c>
      <c r="AE73" s="70">
        <f>IF(NOT(ISNUMBER($O73)),"",IF($P73="月額",$O73*12,IF($P73="年額",$O73,"")))</f>
        <v/>
      </c>
      <c r="AF73" s="30">
        <f>MID(IF(AND(ISNUMBER($G73),ISNUMBER($H73)),IF(N($H73)&lt;N($G73)," / 満了日が開始日より前",""),"")&amp;IF(AND($I73="あり",NOT(ISNUMBER($H73)))," / 自動更新ありなのに満了日が空","")&amp;IF(AND($I73="あり",ISNUMBER($H73),NOT(ISNUMBER($J73)))," / 更新期間が空（更新を計算できない）","")&amp;IF($AH73="","",IF(AND(DAY($AH73)&gt;=29,OR(MOD($J73,12)&lt;&gt;0,MONTH($AH73)=2))," / 更新の初日が29〜31日（更新を重ねると満了日が1日ずれることがある。満了日を今の期間の満了日に書き換えると直る）",""))&amp;IF(AND(ISNUMBER($K73),$L73="")," / 通知の単位が空（か月前で計算）","")&amp;IF(AND(ISNUMBER($M73),$N73="")," / 解約予告の単位が空（か月前で計算）","")&amp;IF(AND(ISNUMBER($O73),$P73="")," / 金額の区分が空","")&amp;IF(AND($T73&lt;&gt;"",NOT(ISNUMBER($U73)))," / 対応を決めた日が空","")&amp;IF(AND(ISNUMBER($U73),$T73="")," / 今期の対応が空","")&amp;IF(AND($T73="更新しない",NOT(ISNUMBER($V73)))," / 更新しないなら、解約・終了した日（契約が終わる日）を入れる",""),4,300)</f>
        <v/>
      </c>
      <c r="AG73" s="53" t="n"/>
      <c r="AH73" s="71">
        <f>IF(AND(ISNUMBER($H73),$I73="あり",ISNUMBER($J73)),IF($J73&gt;=1,$H73+1,""),"")</f>
        <v/>
      </c>
      <c r="AI73" s="32">
        <f>IF($AH73="","",(YEAR('設定'!$B$6)-YEAR($AH73))*12+MONTH('設定'!$B$6)-MONTH($AH73))</f>
        <v/>
      </c>
      <c r="AJ73" s="32">
        <f>IF($AH73="","",MAX(1,ROUNDUP($AI73/$J73,0)))</f>
        <v/>
      </c>
      <c r="AK73" s="71">
        <f>IF($AJ73="","",IF(DAY(EDATE($AH73,$AJ73*$J73))&lt;DAY($AH73),EDATE($AH73,$AJ73*$J73),EDATE($AH73,$AJ73*$J73)-1))</f>
        <v/>
      </c>
      <c r="AL73" s="71">
        <f>IF($AJ73="","",IF(DAY(EDATE($AH73,($AJ73+1)*$J73))&lt;DAY($AH73),EDATE($AH73,($AJ73+1)*$J73),EDATE($AH73,($AJ73+1)*$J73)-1))</f>
        <v/>
      </c>
      <c r="AM73" s="71">
        <f>IF($AJ73="","",IF($AJ73=1,$H73,IF(DAY(EDATE($AH73,($AJ73-1)*$J73))&lt;DAY($AH73),EDATE($AH73,($AJ73-1)*$J73),EDATE($AH73,($AJ73-1)*$J73)-1)))</f>
        <v/>
      </c>
      <c r="AN73" s="32">
        <f>IF(NOT(ISNUMBER($H73)),"",IF(OR($AH73="",$H73&gt;='設定'!$B$6),0,IF($AK73&gt;='設定'!$B$6,$AJ73,$AJ73+1)))</f>
        <v/>
      </c>
      <c r="AO73" s="71">
        <f>IF($AN73="","",IF($AN73=0,"",IF($AN73=$AJ73,$AM73,$AK73)))</f>
        <v/>
      </c>
      <c r="AP73" s="32">
        <f>IF(OR($AC73="要対応",$AC73="通知期限切れ",$AC73="確認済み",$AC73="有効",$AC73="終了予定"),1,0)</f>
        <v/>
      </c>
      <c r="AQ73" s="32">
        <f>IF(OR($AC73="要対応",$AC73="通知期限切れ"),1,0)</f>
        <v/>
      </c>
      <c r="AR73" s="72">
        <f>IF(AND(ISNUMBER($AB73),OR($AC73="要対応",$AC73="通知期限切れ",$AC73="確認済み",$AC73="有効")),$AB73+ROW()/100000,"")</f>
        <v/>
      </c>
      <c r="AS73" s="32">
        <f>IF($E73="","",IF(COUNTIF($E$5:$E73,$E73)=1,ROW(),""))</f>
        <v/>
      </c>
      <c r="AT73" s="32">
        <f>IF($S73="","",IF(COUNTIF($S$5:$S73,$S73)=1,ROW(),""))</f>
        <v/>
      </c>
    </row>
    <row r="74" ht="20" customHeight="1">
      <c r="A74" s="20" t="n">
        <v>70</v>
      </c>
      <c r="B74" s="21" t="n"/>
      <c r="C74" s="22" t="n"/>
      <c r="D74" s="22" t="n"/>
      <c r="E74" s="22" t="n"/>
      <c r="F74" s="66" t="n"/>
      <c r="G74" s="66" t="n"/>
      <c r="H74" s="66" t="n"/>
      <c r="I74" s="21" t="n"/>
      <c r="J74" s="24" t="n"/>
      <c r="K74" s="24" t="n"/>
      <c r="L74" s="21" t="n"/>
      <c r="M74" s="24" t="n"/>
      <c r="N74" s="21" t="n"/>
      <c r="O74" s="67" t="n"/>
      <c r="P74" s="21" t="n"/>
      <c r="Q74" s="21" t="n"/>
      <c r="R74" s="22" t="n"/>
      <c r="S74" s="22" t="n"/>
      <c r="T74" s="21" t="n"/>
      <c r="U74" s="66" t="n"/>
      <c r="V74" s="66" t="n"/>
      <c r="W74" s="66" t="n"/>
      <c r="X74" s="8" t="n"/>
      <c r="Y74" s="68">
        <f>IF($AN74="","",IF($AN74=0,$H74,IF($AN74=$AJ74,$AK74,$AL74)))</f>
        <v/>
      </c>
      <c r="Z74" s="68">
        <f>IF(OR($Y74="",NOT(ISNUMBER($K74))),"",IF($L74="日前",$Y74-$K74,EDATE($Y74,-$K74)))</f>
        <v/>
      </c>
      <c r="AA74" s="68">
        <f>IF(OR($Y74="",ISNUMBER($V74),N($Y74)&lt;'設定'!$B$6),"",IF($Z74&lt;&gt;"",$Z74,$Y74))</f>
        <v/>
      </c>
      <c r="AB74" s="69">
        <f>IF($AA74="","",$AA74-'設定'!$B$6)</f>
        <v/>
      </c>
      <c r="AC74" s="28">
        <f>IF(NOT(OR($B74&lt;&gt;"",$C74&lt;&gt;"")),"",IF(ISNUMBER($V74),IF($V74&lt;'設定'!$B$6,"終了","終了予定"),IF($Y74="","有効",IF($Y74&lt;'設定'!$B$6,"満了",IF(AND($T74="更新する",ISNUMBER($U74),N($U74)&lt;='設定'!$B$6,OR($AO74="",N($U74)&gt;N($AO74))),"確認済み",IF($AB74&lt;0,"通知期限切れ",IF($AB74&lt;=N('設定'!$B$7),"要対応","有効")))))))</f>
        <v/>
      </c>
      <c r="AD74" s="68">
        <f>IF(OR(NOT(ISNUMBER($M74)),$AC74="",$AC74="終了",$AC74="終了予定",$AC74="満了"),"",IF($N74="日前",'設定'!$B$6+$M74,EDATE('設定'!$B$6,$M74)))</f>
        <v/>
      </c>
      <c r="AE74" s="70">
        <f>IF(NOT(ISNUMBER($O74)),"",IF($P74="月額",$O74*12,IF($P74="年額",$O74,"")))</f>
        <v/>
      </c>
      <c r="AF74" s="30">
        <f>MID(IF(AND(ISNUMBER($G74),ISNUMBER($H74)),IF(N($H74)&lt;N($G74)," / 満了日が開始日より前",""),"")&amp;IF(AND($I74="あり",NOT(ISNUMBER($H74)))," / 自動更新ありなのに満了日が空","")&amp;IF(AND($I74="あり",ISNUMBER($H74),NOT(ISNUMBER($J74)))," / 更新期間が空（更新を計算できない）","")&amp;IF($AH74="","",IF(AND(DAY($AH74)&gt;=29,OR(MOD($J74,12)&lt;&gt;0,MONTH($AH74)=2))," / 更新の初日が29〜31日（更新を重ねると満了日が1日ずれることがある。満了日を今の期間の満了日に書き換えると直る）",""))&amp;IF(AND(ISNUMBER($K74),$L74="")," / 通知の単位が空（か月前で計算）","")&amp;IF(AND(ISNUMBER($M74),$N74="")," / 解約予告の単位が空（か月前で計算）","")&amp;IF(AND(ISNUMBER($O74),$P74="")," / 金額の区分が空","")&amp;IF(AND($T74&lt;&gt;"",NOT(ISNUMBER($U74)))," / 対応を決めた日が空","")&amp;IF(AND(ISNUMBER($U74),$T74="")," / 今期の対応が空","")&amp;IF(AND($T74="更新しない",NOT(ISNUMBER($V74)))," / 更新しないなら、解約・終了した日（契約が終わる日）を入れる",""),4,300)</f>
        <v/>
      </c>
      <c r="AG74" s="53" t="n"/>
      <c r="AH74" s="71">
        <f>IF(AND(ISNUMBER($H74),$I74="あり",ISNUMBER($J74)),IF($J74&gt;=1,$H74+1,""),"")</f>
        <v/>
      </c>
      <c r="AI74" s="32">
        <f>IF($AH74="","",(YEAR('設定'!$B$6)-YEAR($AH74))*12+MONTH('設定'!$B$6)-MONTH($AH74))</f>
        <v/>
      </c>
      <c r="AJ74" s="32">
        <f>IF($AH74="","",MAX(1,ROUNDUP($AI74/$J74,0)))</f>
        <v/>
      </c>
      <c r="AK74" s="71">
        <f>IF($AJ74="","",IF(DAY(EDATE($AH74,$AJ74*$J74))&lt;DAY($AH74),EDATE($AH74,$AJ74*$J74),EDATE($AH74,$AJ74*$J74)-1))</f>
        <v/>
      </c>
      <c r="AL74" s="71">
        <f>IF($AJ74="","",IF(DAY(EDATE($AH74,($AJ74+1)*$J74))&lt;DAY($AH74),EDATE($AH74,($AJ74+1)*$J74),EDATE($AH74,($AJ74+1)*$J74)-1))</f>
        <v/>
      </c>
      <c r="AM74" s="71">
        <f>IF($AJ74="","",IF($AJ74=1,$H74,IF(DAY(EDATE($AH74,($AJ74-1)*$J74))&lt;DAY($AH74),EDATE($AH74,($AJ74-1)*$J74),EDATE($AH74,($AJ74-1)*$J74)-1)))</f>
        <v/>
      </c>
      <c r="AN74" s="32">
        <f>IF(NOT(ISNUMBER($H74)),"",IF(OR($AH74="",$H74&gt;='設定'!$B$6),0,IF($AK74&gt;='設定'!$B$6,$AJ74,$AJ74+1)))</f>
        <v/>
      </c>
      <c r="AO74" s="71">
        <f>IF($AN74="","",IF($AN74=0,"",IF($AN74=$AJ74,$AM74,$AK74)))</f>
        <v/>
      </c>
      <c r="AP74" s="32">
        <f>IF(OR($AC74="要対応",$AC74="通知期限切れ",$AC74="確認済み",$AC74="有効",$AC74="終了予定"),1,0)</f>
        <v/>
      </c>
      <c r="AQ74" s="32">
        <f>IF(OR($AC74="要対応",$AC74="通知期限切れ"),1,0)</f>
        <v/>
      </c>
      <c r="AR74" s="72">
        <f>IF(AND(ISNUMBER($AB74),OR($AC74="要対応",$AC74="通知期限切れ",$AC74="確認済み",$AC74="有効")),$AB74+ROW()/100000,"")</f>
        <v/>
      </c>
      <c r="AS74" s="32">
        <f>IF($E74="","",IF(COUNTIF($E$5:$E74,$E74)=1,ROW(),""))</f>
        <v/>
      </c>
      <c r="AT74" s="32">
        <f>IF($S74="","",IF(COUNTIF($S$5:$S74,$S74)=1,ROW(),""))</f>
        <v/>
      </c>
    </row>
    <row r="75" ht="20" customHeight="1">
      <c r="A75" s="20" t="n">
        <v>71</v>
      </c>
      <c r="B75" s="21" t="n"/>
      <c r="C75" s="22" t="n"/>
      <c r="D75" s="22" t="n"/>
      <c r="E75" s="22" t="n"/>
      <c r="F75" s="66" t="n"/>
      <c r="G75" s="66" t="n"/>
      <c r="H75" s="66" t="n"/>
      <c r="I75" s="21" t="n"/>
      <c r="J75" s="24" t="n"/>
      <c r="K75" s="24" t="n"/>
      <c r="L75" s="21" t="n"/>
      <c r="M75" s="24" t="n"/>
      <c r="N75" s="21" t="n"/>
      <c r="O75" s="67" t="n"/>
      <c r="P75" s="21" t="n"/>
      <c r="Q75" s="21" t="n"/>
      <c r="R75" s="22" t="n"/>
      <c r="S75" s="22" t="n"/>
      <c r="T75" s="21" t="n"/>
      <c r="U75" s="66" t="n"/>
      <c r="V75" s="66" t="n"/>
      <c r="W75" s="66" t="n"/>
      <c r="X75" s="8" t="n"/>
      <c r="Y75" s="68">
        <f>IF($AN75="","",IF($AN75=0,$H75,IF($AN75=$AJ75,$AK75,$AL75)))</f>
        <v/>
      </c>
      <c r="Z75" s="68">
        <f>IF(OR($Y75="",NOT(ISNUMBER($K75))),"",IF($L75="日前",$Y75-$K75,EDATE($Y75,-$K75)))</f>
        <v/>
      </c>
      <c r="AA75" s="68">
        <f>IF(OR($Y75="",ISNUMBER($V75),N($Y75)&lt;'設定'!$B$6),"",IF($Z75&lt;&gt;"",$Z75,$Y75))</f>
        <v/>
      </c>
      <c r="AB75" s="69">
        <f>IF($AA75="","",$AA75-'設定'!$B$6)</f>
        <v/>
      </c>
      <c r="AC75" s="28">
        <f>IF(NOT(OR($B75&lt;&gt;"",$C75&lt;&gt;"")),"",IF(ISNUMBER($V75),IF($V75&lt;'設定'!$B$6,"終了","終了予定"),IF($Y75="","有効",IF($Y75&lt;'設定'!$B$6,"満了",IF(AND($T75="更新する",ISNUMBER($U75),N($U75)&lt;='設定'!$B$6,OR($AO75="",N($U75)&gt;N($AO75))),"確認済み",IF($AB75&lt;0,"通知期限切れ",IF($AB75&lt;=N('設定'!$B$7),"要対応","有効")))))))</f>
        <v/>
      </c>
      <c r="AD75" s="68">
        <f>IF(OR(NOT(ISNUMBER($M75)),$AC75="",$AC75="終了",$AC75="終了予定",$AC75="満了"),"",IF($N75="日前",'設定'!$B$6+$M75,EDATE('設定'!$B$6,$M75)))</f>
        <v/>
      </c>
      <c r="AE75" s="70">
        <f>IF(NOT(ISNUMBER($O75)),"",IF($P75="月額",$O75*12,IF($P75="年額",$O75,"")))</f>
        <v/>
      </c>
      <c r="AF75" s="30">
        <f>MID(IF(AND(ISNUMBER($G75),ISNUMBER($H75)),IF(N($H75)&lt;N($G75)," / 満了日が開始日より前",""),"")&amp;IF(AND($I75="あり",NOT(ISNUMBER($H75)))," / 自動更新ありなのに満了日が空","")&amp;IF(AND($I75="あり",ISNUMBER($H75),NOT(ISNUMBER($J75)))," / 更新期間が空（更新を計算できない）","")&amp;IF($AH75="","",IF(AND(DAY($AH75)&gt;=29,OR(MOD($J75,12)&lt;&gt;0,MONTH($AH75)=2))," / 更新の初日が29〜31日（更新を重ねると満了日が1日ずれることがある。満了日を今の期間の満了日に書き換えると直る）",""))&amp;IF(AND(ISNUMBER($K75),$L75="")," / 通知の単位が空（か月前で計算）","")&amp;IF(AND(ISNUMBER($M75),$N75="")," / 解約予告の単位が空（か月前で計算）","")&amp;IF(AND(ISNUMBER($O75),$P75="")," / 金額の区分が空","")&amp;IF(AND($T75&lt;&gt;"",NOT(ISNUMBER($U75)))," / 対応を決めた日が空","")&amp;IF(AND(ISNUMBER($U75),$T75="")," / 今期の対応が空","")&amp;IF(AND($T75="更新しない",NOT(ISNUMBER($V75)))," / 更新しないなら、解約・終了した日（契約が終わる日）を入れる",""),4,300)</f>
        <v/>
      </c>
      <c r="AG75" s="53" t="n"/>
      <c r="AH75" s="71">
        <f>IF(AND(ISNUMBER($H75),$I75="あり",ISNUMBER($J75)),IF($J75&gt;=1,$H75+1,""),"")</f>
        <v/>
      </c>
      <c r="AI75" s="32">
        <f>IF($AH75="","",(YEAR('設定'!$B$6)-YEAR($AH75))*12+MONTH('設定'!$B$6)-MONTH($AH75))</f>
        <v/>
      </c>
      <c r="AJ75" s="32">
        <f>IF($AH75="","",MAX(1,ROUNDUP($AI75/$J75,0)))</f>
        <v/>
      </c>
      <c r="AK75" s="71">
        <f>IF($AJ75="","",IF(DAY(EDATE($AH75,$AJ75*$J75))&lt;DAY($AH75),EDATE($AH75,$AJ75*$J75),EDATE($AH75,$AJ75*$J75)-1))</f>
        <v/>
      </c>
      <c r="AL75" s="71">
        <f>IF($AJ75="","",IF(DAY(EDATE($AH75,($AJ75+1)*$J75))&lt;DAY($AH75),EDATE($AH75,($AJ75+1)*$J75),EDATE($AH75,($AJ75+1)*$J75)-1))</f>
        <v/>
      </c>
      <c r="AM75" s="71">
        <f>IF($AJ75="","",IF($AJ75=1,$H75,IF(DAY(EDATE($AH75,($AJ75-1)*$J75))&lt;DAY($AH75),EDATE($AH75,($AJ75-1)*$J75),EDATE($AH75,($AJ75-1)*$J75)-1)))</f>
        <v/>
      </c>
      <c r="AN75" s="32">
        <f>IF(NOT(ISNUMBER($H75)),"",IF(OR($AH75="",$H75&gt;='設定'!$B$6),0,IF($AK75&gt;='設定'!$B$6,$AJ75,$AJ75+1)))</f>
        <v/>
      </c>
      <c r="AO75" s="71">
        <f>IF($AN75="","",IF($AN75=0,"",IF($AN75=$AJ75,$AM75,$AK75)))</f>
        <v/>
      </c>
      <c r="AP75" s="32">
        <f>IF(OR($AC75="要対応",$AC75="通知期限切れ",$AC75="確認済み",$AC75="有効",$AC75="終了予定"),1,0)</f>
        <v/>
      </c>
      <c r="AQ75" s="32">
        <f>IF(OR($AC75="要対応",$AC75="通知期限切れ"),1,0)</f>
        <v/>
      </c>
      <c r="AR75" s="72">
        <f>IF(AND(ISNUMBER($AB75),OR($AC75="要対応",$AC75="通知期限切れ",$AC75="確認済み",$AC75="有効")),$AB75+ROW()/100000,"")</f>
        <v/>
      </c>
      <c r="AS75" s="32">
        <f>IF($E75="","",IF(COUNTIF($E$5:$E75,$E75)=1,ROW(),""))</f>
        <v/>
      </c>
      <c r="AT75" s="32">
        <f>IF($S75="","",IF(COUNTIF($S$5:$S75,$S75)=1,ROW(),""))</f>
        <v/>
      </c>
    </row>
    <row r="76" ht="20" customHeight="1">
      <c r="A76" s="20" t="n">
        <v>72</v>
      </c>
      <c r="B76" s="21" t="n"/>
      <c r="C76" s="22" t="n"/>
      <c r="D76" s="22" t="n"/>
      <c r="E76" s="22" t="n"/>
      <c r="F76" s="66" t="n"/>
      <c r="G76" s="66" t="n"/>
      <c r="H76" s="66" t="n"/>
      <c r="I76" s="21" t="n"/>
      <c r="J76" s="24" t="n"/>
      <c r="K76" s="24" t="n"/>
      <c r="L76" s="21" t="n"/>
      <c r="M76" s="24" t="n"/>
      <c r="N76" s="21" t="n"/>
      <c r="O76" s="67" t="n"/>
      <c r="P76" s="21" t="n"/>
      <c r="Q76" s="21" t="n"/>
      <c r="R76" s="22" t="n"/>
      <c r="S76" s="22" t="n"/>
      <c r="T76" s="21" t="n"/>
      <c r="U76" s="66" t="n"/>
      <c r="V76" s="66" t="n"/>
      <c r="W76" s="66" t="n"/>
      <c r="X76" s="8" t="n"/>
      <c r="Y76" s="68">
        <f>IF($AN76="","",IF($AN76=0,$H76,IF($AN76=$AJ76,$AK76,$AL76)))</f>
        <v/>
      </c>
      <c r="Z76" s="68">
        <f>IF(OR($Y76="",NOT(ISNUMBER($K76))),"",IF($L76="日前",$Y76-$K76,EDATE($Y76,-$K76)))</f>
        <v/>
      </c>
      <c r="AA76" s="68">
        <f>IF(OR($Y76="",ISNUMBER($V76),N($Y76)&lt;'設定'!$B$6),"",IF($Z76&lt;&gt;"",$Z76,$Y76))</f>
        <v/>
      </c>
      <c r="AB76" s="69">
        <f>IF($AA76="","",$AA76-'設定'!$B$6)</f>
        <v/>
      </c>
      <c r="AC76" s="28">
        <f>IF(NOT(OR($B76&lt;&gt;"",$C76&lt;&gt;"")),"",IF(ISNUMBER($V76),IF($V76&lt;'設定'!$B$6,"終了","終了予定"),IF($Y76="","有効",IF($Y76&lt;'設定'!$B$6,"満了",IF(AND($T76="更新する",ISNUMBER($U76),N($U76)&lt;='設定'!$B$6,OR($AO76="",N($U76)&gt;N($AO76))),"確認済み",IF($AB76&lt;0,"通知期限切れ",IF($AB76&lt;=N('設定'!$B$7),"要対応","有効")))))))</f>
        <v/>
      </c>
      <c r="AD76" s="68">
        <f>IF(OR(NOT(ISNUMBER($M76)),$AC76="",$AC76="終了",$AC76="終了予定",$AC76="満了"),"",IF($N76="日前",'設定'!$B$6+$M76,EDATE('設定'!$B$6,$M76)))</f>
        <v/>
      </c>
      <c r="AE76" s="70">
        <f>IF(NOT(ISNUMBER($O76)),"",IF($P76="月額",$O76*12,IF($P76="年額",$O76,"")))</f>
        <v/>
      </c>
      <c r="AF76" s="30">
        <f>MID(IF(AND(ISNUMBER($G76),ISNUMBER($H76)),IF(N($H76)&lt;N($G76)," / 満了日が開始日より前",""),"")&amp;IF(AND($I76="あり",NOT(ISNUMBER($H76)))," / 自動更新ありなのに満了日が空","")&amp;IF(AND($I76="あり",ISNUMBER($H76),NOT(ISNUMBER($J76)))," / 更新期間が空（更新を計算できない）","")&amp;IF($AH76="","",IF(AND(DAY($AH76)&gt;=29,OR(MOD($J76,12)&lt;&gt;0,MONTH($AH76)=2))," / 更新の初日が29〜31日（更新を重ねると満了日が1日ずれることがある。満了日を今の期間の満了日に書き換えると直る）",""))&amp;IF(AND(ISNUMBER($K76),$L76="")," / 通知の単位が空（か月前で計算）","")&amp;IF(AND(ISNUMBER($M76),$N76="")," / 解約予告の単位が空（か月前で計算）","")&amp;IF(AND(ISNUMBER($O76),$P76="")," / 金額の区分が空","")&amp;IF(AND($T76&lt;&gt;"",NOT(ISNUMBER($U76)))," / 対応を決めた日が空","")&amp;IF(AND(ISNUMBER($U76),$T76="")," / 今期の対応が空","")&amp;IF(AND($T76="更新しない",NOT(ISNUMBER($V76)))," / 更新しないなら、解約・終了した日（契約が終わる日）を入れる",""),4,300)</f>
        <v/>
      </c>
      <c r="AG76" s="53" t="n"/>
      <c r="AH76" s="71">
        <f>IF(AND(ISNUMBER($H76),$I76="あり",ISNUMBER($J76)),IF($J76&gt;=1,$H76+1,""),"")</f>
        <v/>
      </c>
      <c r="AI76" s="32">
        <f>IF($AH76="","",(YEAR('設定'!$B$6)-YEAR($AH76))*12+MONTH('設定'!$B$6)-MONTH($AH76))</f>
        <v/>
      </c>
      <c r="AJ76" s="32">
        <f>IF($AH76="","",MAX(1,ROUNDUP($AI76/$J76,0)))</f>
        <v/>
      </c>
      <c r="AK76" s="71">
        <f>IF($AJ76="","",IF(DAY(EDATE($AH76,$AJ76*$J76))&lt;DAY($AH76),EDATE($AH76,$AJ76*$J76),EDATE($AH76,$AJ76*$J76)-1))</f>
        <v/>
      </c>
      <c r="AL76" s="71">
        <f>IF($AJ76="","",IF(DAY(EDATE($AH76,($AJ76+1)*$J76))&lt;DAY($AH76),EDATE($AH76,($AJ76+1)*$J76),EDATE($AH76,($AJ76+1)*$J76)-1))</f>
        <v/>
      </c>
      <c r="AM76" s="71">
        <f>IF($AJ76="","",IF($AJ76=1,$H76,IF(DAY(EDATE($AH76,($AJ76-1)*$J76))&lt;DAY($AH76),EDATE($AH76,($AJ76-1)*$J76),EDATE($AH76,($AJ76-1)*$J76)-1)))</f>
        <v/>
      </c>
      <c r="AN76" s="32">
        <f>IF(NOT(ISNUMBER($H76)),"",IF(OR($AH76="",$H76&gt;='設定'!$B$6),0,IF($AK76&gt;='設定'!$B$6,$AJ76,$AJ76+1)))</f>
        <v/>
      </c>
      <c r="AO76" s="71">
        <f>IF($AN76="","",IF($AN76=0,"",IF($AN76=$AJ76,$AM76,$AK76)))</f>
        <v/>
      </c>
      <c r="AP76" s="32">
        <f>IF(OR($AC76="要対応",$AC76="通知期限切れ",$AC76="確認済み",$AC76="有効",$AC76="終了予定"),1,0)</f>
        <v/>
      </c>
      <c r="AQ76" s="32">
        <f>IF(OR($AC76="要対応",$AC76="通知期限切れ"),1,0)</f>
        <v/>
      </c>
      <c r="AR76" s="72">
        <f>IF(AND(ISNUMBER($AB76),OR($AC76="要対応",$AC76="通知期限切れ",$AC76="確認済み",$AC76="有効")),$AB76+ROW()/100000,"")</f>
        <v/>
      </c>
      <c r="AS76" s="32">
        <f>IF($E76="","",IF(COUNTIF($E$5:$E76,$E76)=1,ROW(),""))</f>
        <v/>
      </c>
      <c r="AT76" s="32">
        <f>IF($S76="","",IF(COUNTIF($S$5:$S76,$S76)=1,ROW(),""))</f>
        <v/>
      </c>
    </row>
    <row r="77" ht="20" customHeight="1">
      <c r="A77" s="20" t="n">
        <v>73</v>
      </c>
      <c r="B77" s="21" t="n"/>
      <c r="C77" s="22" t="n"/>
      <c r="D77" s="22" t="n"/>
      <c r="E77" s="22" t="n"/>
      <c r="F77" s="66" t="n"/>
      <c r="G77" s="66" t="n"/>
      <c r="H77" s="66" t="n"/>
      <c r="I77" s="21" t="n"/>
      <c r="J77" s="24" t="n"/>
      <c r="K77" s="24" t="n"/>
      <c r="L77" s="21" t="n"/>
      <c r="M77" s="24" t="n"/>
      <c r="N77" s="21" t="n"/>
      <c r="O77" s="67" t="n"/>
      <c r="P77" s="21" t="n"/>
      <c r="Q77" s="21" t="n"/>
      <c r="R77" s="22" t="n"/>
      <c r="S77" s="22" t="n"/>
      <c r="T77" s="21" t="n"/>
      <c r="U77" s="66" t="n"/>
      <c r="V77" s="66" t="n"/>
      <c r="W77" s="66" t="n"/>
      <c r="X77" s="8" t="n"/>
      <c r="Y77" s="68">
        <f>IF($AN77="","",IF($AN77=0,$H77,IF($AN77=$AJ77,$AK77,$AL77)))</f>
        <v/>
      </c>
      <c r="Z77" s="68">
        <f>IF(OR($Y77="",NOT(ISNUMBER($K77))),"",IF($L77="日前",$Y77-$K77,EDATE($Y77,-$K77)))</f>
        <v/>
      </c>
      <c r="AA77" s="68">
        <f>IF(OR($Y77="",ISNUMBER($V77),N($Y77)&lt;'設定'!$B$6),"",IF($Z77&lt;&gt;"",$Z77,$Y77))</f>
        <v/>
      </c>
      <c r="AB77" s="69">
        <f>IF($AA77="","",$AA77-'設定'!$B$6)</f>
        <v/>
      </c>
      <c r="AC77" s="28">
        <f>IF(NOT(OR($B77&lt;&gt;"",$C77&lt;&gt;"")),"",IF(ISNUMBER($V77),IF($V77&lt;'設定'!$B$6,"終了","終了予定"),IF($Y77="","有効",IF($Y77&lt;'設定'!$B$6,"満了",IF(AND($T77="更新する",ISNUMBER($U77),N($U77)&lt;='設定'!$B$6,OR($AO77="",N($U77)&gt;N($AO77))),"確認済み",IF($AB77&lt;0,"通知期限切れ",IF($AB77&lt;=N('設定'!$B$7),"要対応","有効")))))))</f>
        <v/>
      </c>
      <c r="AD77" s="68">
        <f>IF(OR(NOT(ISNUMBER($M77)),$AC77="",$AC77="終了",$AC77="終了予定",$AC77="満了"),"",IF($N77="日前",'設定'!$B$6+$M77,EDATE('設定'!$B$6,$M77)))</f>
        <v/>
      </c>
      <c r="AE77" s="70">
        <f>IF(NOT(ISNUMBER($O77)),"",IF($P77="月額",$O77*12,IF($P77="年額",$O77,"")))</f>
        <v/>
      </c>
      <c r="AF77" s="30">
        <f>MID(IF(AND(ISNUMBER($G77),ISNUMBER($H77)),IF(N($H77)&lt;N($G77)," / 満了日が開始日より前",""),"")&amp;IF(AND($I77="あり",NOT(ISNUMBER($H77)))," / 自動更新ありなのに満了日が空","")&amp;IF(AND($I77="あり",ISNUMBER($H77),NOT(ISNUMBER($J77)))," / 更新期間が空（更新を計算できない）","")&amp;IF($AH77="","",IF(AND(DAY($AH77)&gt;=29,OR(MOD($J77,12)&lt;&gt;0,MONTH($AH77)=2))," / 更新の初日が29〜31日（更新を重ねると満了日が1日ずれることがある。満了日を今の期間の満了日に書き換えると直る）",""))&amp;IF(AND(ISNUMBER($K77),$L77="")," / 通知の単位が空（か月前で計算）","")&amp;IF(AND(ISNUMBER($M77),$N77="")," / 解約予告の単位が空（か月前で計算）","")&amp;IF(AND(ISNUMBER($O77),$P77="")," / 金額の区分が空","")&amp;IF(AND($T77&lt;&gt;"",NOT(ISNUMBER($U77)))," / 対応を決めた日が空","")&amp;IF(AND(ISNUMBER($U77),$T77="")," / 今期の対応が空","")&amp;IF(AND($T77="更新しない",NOT(ISNUMBER($V77)))," / 更新しないなら、解約・終了した日（契約が終わる日）を入れる",""),4,300)</f>
        <v/>
      </c>
      <c r="AG77" s="53" t="n"/>
      <c r="AH77" s="71">
        <f>IF(AND(ISNUMBER($H77),$I77="あり",ISNUMBER($J77)),IF($J77&gt;=1,$H77+1,""),"")</f>
        <v/>
      </c>
      <c r="AI77" s="32">
        <f>IF($AH77="","",(YEAR('設定'!$B$6)-YEAR($AH77))*12+MONTH('設定'!$B$6)-MONTH($AH77))</f>
        <v/>
      </c>
      <c r="AJ77" s="32">
        <f>IF($AH77="","",MAX(1,ROUNDUP($AI77/$J77,0)))</f>
        <v/>
      </c>
      <c r="AK77" s="71">
        <f>IF($AJ77="","",IF(DAY(EDATE($AH77,$AJ77*$J77))&lt;DAY($AH77),EDATE($AH77,$AJ77*$J77),EDATE($AH77,$AJ77*$J77)-1))</f>
        <v/>
      </c>
      <c r="AL77" s="71">
        <f>IF($AJ77="","",IF(DAY(EDATE($AH77,($AJ77+1)*$J77))&lt;DAY($AH77),EDATE($AH77,($AJ77+1)*$J77),EDATE($AH77,($AJ77+1)*$J77)-1))</f>
        <v/>
      </c>
      <c r="AM77" s="71">
        <f>IF($AJ77="","",IF($AJ77=1,$H77,IF(DAY(EDATE($AH77,($AJ77-1)*$J77))&lt;DAY($AH77),EDATE($AH77,($AJ77-1)*$J77),EDATE($AH77,($AJ77-1)*$J77)-1)))</f>
        <v/>
      </c>
      <c r="AN77" s="32">
        <f>IF(NOT(ISNUMBER($H77)),"",IF(OR($AH77="",$H77&gt;='設定'!$B$6),0,IF($AK77&gt;='設定'!$B$6,$AJ77,$AJ77+1)))</f>
        <v/>
      </c>
      <c r="AO77" s="71">
        <f>IF($AN77="","",IF($AN77=0,"",IF($AN77=$AJ77,$AM77,$AK77)))</f>
        <v/>
      </c>
      <c r="AP77" s="32">
        <f>IF(OR($AC77="要対応",$AC77="通知期限切れ",$AC77="確認済み",$AC77="有効",$AC77="終了予定"),1,0)</f>
        <v/>
      </c>
      <c r="AQ77" s="32">
        <f>IF(OR($AC77="要対応",$AC77="通知期限切れ"),1,0)</f>
        <v/>
      </c>
      <c r="AR77" s="72">
        <f>IF(AND(ISNUMBER($AB77),OR($AC77="要対応",$AC77="通知期限切れ",$AC77="確認済み",$AC77="有効")),$AB77+ROW()/100000,"")</f>
        <v/>
      </c>
      <c r="AS77" s="32">
        <f>IF($E77="","",IF(COUNTIF($E$5:$E77,$E77)=1,ROW(),""))</f>
        <v/>
      </c>
      <c r="AT77" s="32">
        <f>IF($S77="","",IF(COUNTIF($S$5:$S77,$S77)=1,ROW(),""))</f>
        <v/>
      </c>
    </row>
    <row r="78" ht="20" customHeight="1">
      <c r="A78" s="20" t="n">
        <v>74</v>
      </c>
      <c r="B78" s="21" t="n"/>
      <c r="C78" s="22" t="n"/>
      <c r="D78" s="22" t="n"/>
      <c r="E78" s="22" t="n"/>
      <c r="F78" s="66" t="n"/>
      <c r="G78" s="66" t="n"/>
      <c r="H78" s="66" t="n"/>
      <c r="I78" s="21" t="n"/>
      <c r="J78" s="24" t="n"/>
      <c r="K78" s="24" t="n"/>
      <c r="L78" s="21" t="n"/>
      <c r="M78" s="24" t="n"/>
      <c r="N78" s="21" t="n"/>
      <c r="O78" s="67" t="n"/>
      <c r="P78" s="21" t="n"/>
      <c r="Q78" s="21" t="n"/>
      <c r="R78" s="22" t="n"/>
      <c r="S78" s="22" t="n"/>
      <c r="T78" s="21" t="n"/>
      <c r="U78" s="66" t="n"/>
      <c r="V78" s="66" t="n"/>
      <c r="W78" s="66" t="n"/>
      <c r="X78" s="8" t="n"/>
      <c r="Y78" s="68">
        <f>IF($AN78="","",IF($AN78=0,$H78,IF($AN78=$AJ78,$AK78,$AL78)))</f>
        <v/>
      </c>
      <c r="Z78" s="68">
        <f>IF(OR($Y78="",NOT(ISNUMBER($K78))),"",IF($L78="日前",$Y78-$K78,EDATE($Y78,-$K78)))</f>
        <v/>
      </c>
      <c r="AA78" s="68">
        <f>IF(OR($Y78="",ISNUMBER($V78),N($Y78)&lt;'設定'!$B$6),"",IF($Z78&lt;&gt;"",$Z78,$Y78))</f>
        <v/>
      </c>
      <c r="AB78" s="69">
        <f>IF($AA78="","",$AA78-'設定'!$B$6)</f>
        <v/>
      </c>
      <c r="AC78" s="28">
        <f>IF(NOT(OR($B78&lt;&gt;"",$C78&lt;&gt;"")),"",IF(ISNUMBER($V78),IF($V78&lt;'設定'!$B$6,"終了","終了予定"),IF($Y78="","有効",IF($Y78&lt;'設定'!$B$6,"満了",IF(AND($T78="更新する",ISNUMBER($U78),N($U78)&lt;='設定'!$B$6,OR($AO78="",N($U78)&gt;N($AO78))),"確認済み",IF($AB78&lt;0,"通知期限切れ",IF($AB78&lt;=N('設定'!$B$7),"要対応","有効")))))))</f>
        <v/>
      </c>
      <c r="AD78" s="68">
        <f>IF(OR(NOT(ISNUMBER($M78)),$AC78="",$AC78="終了",$AC78="終了予定",$AC78="満了"),"",IF($N78="日前",'設定'!$B$6+$M78,EDATE('設定'!$B$6,$M78)))</f>
        <v/>
      </c>
      <c r="AE78" s="70">
        <f>IF(NOT(ISNUMBER($O78)),"",IF($P78="月額",$O78*12,IF($P78="年額",$O78,"")))</f>
        <v/>
      </c>
      <c r="AF78" s="30">
        <f>MID(IF(AND(ISNUMBER($G78),ISNUMBER($H78)),IF(N($H78)&lt;N($G78)," / 満了日が開始日より前",""),"")&amp;IF(AND($I78="あり",NOT(ISNUMBER($H78)))," / 自動更新ありなのに満了日が空","")&amp;IF(AND($I78="あり",ISNUMBER($H78),NOT(ISNUMBER($J78)))," / 更新期間が空（更新を計算できない）","")&amp;IF($AH78="","",IF(AND(DAY($AH78)&gt;=29,OR(MOD($J78,12)&lt;&gt;0,MONTH($AH78)=2))," / 更新の初日が29〜31日（更新を重ねると満了日が1日ずれることがある。満了日を今の期間の満了日に書き換えると直る）",""))&amp;IF(AND(ISNUMBER($K78),$L78="")," / 通知の単位が空（か月前で計算）","")&amp;IF(AND(ISNUMBER($M78),$N78="")," / 解約予告の単位が空（か月前で計算）","")&amp;IF(AND(ISNUMBER($O78),$P78="")," / 金額の区分が空","")&amp;IF(AND($T78&lt;&gt;"",NOT(ISNUMBER($U78)))," / 対応を決めた日が空","")&amp;IF(AND(ISNUMBER($U78),$T78="")," / 今期の対応が空","")&amp;IF(AND($T78="更新しない",NOT(ISNUMBER($V78)))," / 更新しないなら、解約・終了した日（契約が終わる日）を入れる",""),4,300)</f>
        <v/>
      </c>
      <c r="AG78" s="53" t="n"/>
      <c r="AH78" s="71">
        <f>IF(AND(ISNUMBER($H78),$I78="あり",ISNUMBER($J78)),IF($J78&gt;=1,$H78+1,""),"")</f>
        <v/>
      </c>
      <c r="AI78" s="32">
        <f>IF($AH78="","",(YEAR('設定'!$B$6)-YEAR($AH78))*12+MONTH('設定'!$B$6)-MONTH($AH78))</f>
        <v/>
      </c>
      <c r="AJ78" s="32">
        <f>IF($AH78="","",MAX(1,ROUNDUP($AI78/$J78,0)))</f>
        <v/>
      </c>
      <c r="AK78" s="71">
        <f>IF($AJ78="","",IF(DAY(EDATE($AH78,$AJ78*$J78))&lt;DAY($AH78),EDATE($AH78,$AJ78*$J78),EDATE($AH78,$AJ78*$J78)-1))</f>
        <v/>
      </c>
      <c r="AL78" s="71">
        <f>IF($AJ78="","",IF(DAY(EDATE($AH78,($AJ78+1)*$J78))&lt;DAY($AH78),EDATE($AH78,($AJ78+1)*$J78),EDATE($AH78,($AJ78+1)*$J78)-1))</f>
        <v/>
      </c>
      <c r="AM78" s="71">
        <f>IF($AJ78="","",IF($AJ78=1,$H78,IF(DAY(EDATE($AH78,($AJ78-1)*$J78))&lt;DAY($AH78),EDATE($AH78,($AJ78-1)*$J78),EDATE($AH78,($AJ78-1)*$J78)-1)))</f>
        <v/>
      </c>
      <c r="AN78" s="32">
        <f>IF(NOT(ISNUMBER($H78)),"",IF(OR($AH78="",$H78&gt;='設定'!$B$6),0,IF($AK78&gt;='設定'!$B$6,$AJ78,$AJ78+1)))</f>
        <v/>
      </c>
      <c r="AO78" s="71">
        <f>IF($AN78="","",IF($AN78=0,"",IF($AN78=$AJ78,$AM78,$AK78)))</f>
        <v/>
      </c>
      <c r="AP78" s="32">
        <f>IF(OR($AC78="要対応",$AC78="通知期限切れ",$AC78="確認済み",$AC78="有効",$AC78="終了予定"),1,0)</f>
        <v/>
      </c>
      <c r="AQ78" s="32">
        <f>IF(OR($AC78="要対応",$AC78="通知期限切れ"),1,0)</f>
        <v/>
      </c>
      <c r="AR78" s="72">
        <f>IF(AND(ISNUMBER($AB78),OR($AC78="要対応",$AC78="通知期限切れ",$AC78="確認済み",$AC78="有効")),$AB78+ROW()/100000,"")</f>
        <v/>
      </c>
      <c r="AS78" s="32">
        <f>IF($E78="","",IF(COUNTIF($E$5:$E78,$E78)=1,ROW(),""))</f>
        <v/>
      </c>
      <c r="AT78" s="32">
        <f>IF($S78="","",IF(COUNTIF($S$5:$S78,$S78)=1,ROW(),""))</f>
        <v/>
      </c>
    </row>
    <row r="79" ht="20" customHeight="1">
      <c r="A79" s="20" t="n">
        <v>75</v>
      </c>
      <c r="B79" s="21" t="n"/>
      <c r="C79" s="22" t="n"/>
      <c r="D79" s="22" t="n"/>
      <c r="E79" s="22" t="n"/>
      <c r="F79" s="66" t="n"/>
      <c r="G79" s="66" t="n"/>
      <c r="H79" s="66" t="n"/>
      <c r="I79" s="21" t="n"/>
      <c r="J79" s="24" t="n"/>
      <c r="K79" s="24" t="n"/>
      <c r="L79" s="21" t="n"/>
      <c r="M79" s="24" t="n"/>
      <c r="N79" s="21" t="n"/>
      <c r="O79" s="67" t="n"/>
      <c r="P79" s="21" t="n"/>
      <c r="Q79" s="21" t="n"/>
      <c r="R79" s="22" t="n"/>
      <c r="S79" s="22" t="n"/>
      <c r="T79" s="21" t="n"/>
      <c r="U79" s="66" t="n"/>
      <c r="V79" s="66" t="n"/>
      <c r="W79" s="66" t="n"/>
      <c r="X79" s="8" t="n"/>
      <c r="Y79" s="68">
        <f>IF($AN79="","",IF($AN79=0,$H79,IF($AN79=$AJ79,$AK79,$AL79)))</f>
        <v/>
      </c>
      <c r="Z79" s="68">
        <f>IF(OR($Y79="",NOT(ISNUMBER($K79))),"",IF($L79="日前",$Y79-$K79,EDATE($Y79,-$K79)))</f>
        <v/>
      </c>
      <c r="AA79" s="68">
        <f>IF(OR($Y79="",ISNUMBER($V79),N($Y79)&lt;'設定'!$B$6),"",IF($Z79&lt;&gt;"",$Z79,$Y79))</f>
        <v/>
      </c>
      <c r="AB79" s="69">
        <f>IF($AA79="","",$AA79-'設定'!$B$6)</f>
        <v/>
      </c>
      <c r="AC79" s="28">
        <f>IF(NOT(OR($B79&lt;&gt;"",$C79&lt;&gt;"")),"",IF(ISNUMBER($V79),IF($V79&lt;'設定'!$B$6,"終了","終了予定"),IF($Y79="","有効",IF($Y79&lt;'設定'!$B$6,"満了",IF(AND($T79="更新する",ISNUMBER($U79),N($U79)&lt;='設定'!$B$6,OR($AO79="",N($U79)&gt;N($AO79))),"確認済み",IF($AB79&lt;0,"通知期限切れ",IF($AB79&lt;=N('設定'!$B$7),"要対応","有効")))))))</f>
        <v/>
      </c>
      <c r="AD79" s="68">
        <f>IF(OR(NOT(ISNUMBER($M79)),$AC79="",$AC79="終了",$AC79="終了予定",$AC79="満了"),"",IF($N79="日前",'設定'!$B$6+$M79,EDATE('設定'!$B$6,$M79)))</f>
        <v/>
      </c>
      <c r="AE79" s="70">
        <f>IF(NOT(ISNUMBER($O79)),"",IF($P79="月額",$O79*12,IF($P79="年額",$O79,"")))</f>
        <v/>
      </c>
      <c r="AF79" s="30">
        <f>MID(IF(AND(ISNUMBER($G79),ISNUMBER($H79)),IF(N($H79)&lt;N($G79)," / 満了日が開始日より前",""),"")&amp;IF(AND($I79="あり",NOT(ISNUMBER($H79)))," / 自動更新ありなのに満了日が空","")&amp;IF(AND($I79="あり",ISNUMBER($H79),NOT(ISNUMBER($J79)))," / 更新期間が空（更新を計算できない）","")&amp;IF($AH79="","",IF(AND(DAY($AH79)&gt;=29,OR(MOD($J79,12)&lt;&gt;0,MONTH($AH79)=2))," / 更新の初日が29〜31日（更新を重ねると満了日が1日ずれることがある。満了日を今の期間の満了日に書き換えると直る）",""))&amp;IF(AND(ISNUMBER($K79),$L79="")," / 通知の単位が空（か月前で計算）","")&amp;IF(AND(ISNUMBER($M79),$N79="")," / 解約予告の単位が空（か月前で計算）","")&amp;IF(AND(ISNUMBER($O79),$P79="")," / 金額の区分が空","")&amp;IF(AND($T79&lt;&gt;"",NOT(ISNUMBER($U79)))," / 対応を決めた日が空","")&amp;IF(AND(ISNUMBER($U79),$T79="")," / 今期の対応が空","")&amp;IF(AND($T79="更新しない",NOT(ISNUMBER($V79)))," / 更新しないなら、解約・終了した日（契約が終わる日）を入れる",""),4,300)</f>
        <v/>
      </c>
      <c r="AG79" s="53" t="n"/>
      <c r="AH79" s="71">
        <f>IF(AND(ISNUMBER($H79),$I79="あり",ISNUMBER($J79)),IF($J79&gt;=1,$H79+1,""),"")</f>
        <v/>
      </c>
      <c r="AI79" s="32">
        <f>IF($AH79="","",(YEAR('設定'!$B$6)-YEAR($AH79))*12+MONTH('設定'!$B$6)-MONTH($AH79))</f>
        <v/>
      </c>
      <c r="AJ79" s="32">
        <f>IF($AH79="","",MAX(1,ROUNDUP($AI79/$J79,0)))</f>
        <v/>
      </c>
      <c r="AK79" s="71">
        <f>IF($AJ79="","",IF(DAY(EDATE($AH79,$AJ79*$J79))&lt;DAY($AH79),EDATE($AH79,$AJ79*$J79),EDATE($AH79,$AJ79*$J79)-1))</f>
        <v/>
      </c>
      <c r="AL79" s="71">
        <f>IF($AJ79="","",IF(DAY(EDATE($AH79,($AJ79+1)*$J79))&lt;DAY($AH79),EDATE($AH79,($AJ79+1)*$J79),EDATE($AH79,($AJ79+1)*$J79)-1))</f>
        <v/>
      </c>
      <c r="AM79" s="71">
        <f>IF($AJ79="","",IF($AJ79=1,$H79,IF(DAY(EDATE($AH79,($AJ79-1)*$J79))&lt;DAY($AH79),EDATE($AH79,($AJ79-1)*$J79),EDATE($AH79,($AJ79-1)*$J79)-1)))</f>
        <v/>
      </c>
      <c r="AN79" s="32">
        <f>IF(NOT(ISNUMBER($H79)),"",IF(OR($AH79="",$H79&gt;='設定'!$B$6),0,IF($AK79&gt;='設定'!$B$6,$AJ79,$AJ79+1)))</f>
        <v/>
      </c>
      <c r="AO79" s="71">
        <f>IF($AN79="","",IF($AN79=0,"",IF($AN79=$AJ79,$AM79,$AK79)))</f>
        <v/>
      </c>
      <c r="AP79" s="32">
        <f>IF(OR($AC79="要対応",$AC79="通知期限切れ",$AC79="確認済み",$AC79="有効",$AC79="終了予定"),1,0)</f>
        <v/>
      </c>
      <c r="AQ79" s="32">
        <f>IF(OR($AC79="要対応",$AC79="通知期限切れ"),1,0)</f>
        <v/>
      </c>
      <c r="AR79" s="72">
        <f>IF(AND(ISNUMBER($AB79),OR($AC79="要対応",$AC79="通知期限切れ",$AC79="確認済み",$AC79="有効")),$AB79+ROW()/100000,"")</f>
        <v/>
      </c>
      <c r="AS79" s="32">
        <f>IF($E79="","",IF(COUNTIF($E$5:$E79,$E79)=1,ROW(),""))</f>
        <v/>
      </c>
      <c r="AT79" s="32">
        <f>IF($S79="","",IF(COUNTIF($S$5:$S79,$S79)=1,ROW(),""))</f>
        <v/>
      </c>
    </row>
    <row r="80" ht="20" customHeight="1">
      <c r="A80" s="20" t="n">
        <v>76</v>
      </c>
      <c r="B80" s="21" t="n"/>
      <c r="C80" s="22" t="n"/>
      <c r="D80" s="22" t="n"/>
      <c r="E80" s="22" t="n"/>
      <c r="F80" s="66" t="n"/>
      <c r="G80" s="66" t="n"/>
      <c r="H80" s="66" t="n"/>
      <c r="I80" s="21" t="n"/>
      <c r="J80" s="24" t="n"/>
      <c r="K80" s="24" t="n"/>
      <c r="L80" s="21" t="n"/>
      <c r="M80" s="24" t="n"/>
      <c r="N80" s="21" t="n"/>
      <c r="O80" s="67" t="n"/>
      <c r="P80" s="21" t="n"/>
      <c r="Q80" s="21" t="n"/>
      <c r="R80" s="22" t="n"/>
      <c r="S80" s="22" t="n"/>
      <c r="T80" s="21" t="n"/>
      <c r="U80" s="66" t="n"/>
      <c r="V80" s="66" t="n"/>
      <c r="W80" s="66" t="n"/>
      <c r="X80" s="8" t="n"/>
      <c r="Y80" s="68">
        <f>IF($AN80="","",IF($AN80=0,$H80,IF($AN80=$AJ80,$AK80,$AL80)))</f>
        <v/>
      </c>
      <c r="Z80" s="68">
        <f>IF(OR($Y80="",NOT(ISNUMBER($K80))),"",IF($L80="日前",$Y80-$K80,EDATE($Y80,-$K80)))</f>
        <v/>
      </c>
      <c r="AA80" s="68">
        <f>IF(OR($Y80="",ISNUMBER($V80),N($Y80)&lt;'設定'!$B$6),"",IF($Z80&lt;&gt;"",$Z80,$Y80))</f>
        <v/>
      </c>
      <c r="AB80" s="69">
        <f>IF($AA80="","",$AA80-'設定'!$B$6)</f>
        <v/>
      </c>
      <c r="AC80" s="28">
        <f>IF(NOT(OR($B80&lt;&gt;"",$C80&lt;&gt;"")),"",IF(ISNUMBER($V80),IF($V80&lt;'設定'!$B$6,"終了","終了予定"),IF($Y80="","有効",IF($Y80&lt;'設定'!$B$6,"満了",IF(AND($T80="更新する",ISNUMBER($U80),N($U80)&lt;='設定'!$B$6,OR($AO80="",N($U80)&gt;N($AO80))),"確認済み",IF($AB80&lt;0,"通知期限切れ",IF($AB80&lt;=N('設定'!$B$7),"要対応","有効")))))))</f>
        <v/>
      </c>
      <c r="AD80" s="68">
        <f>IF(OR(NOT(ISNUMBER($M80)),$AC80="",$AC80="終了",$AC80="終了予定",$AC80="満了"),"",IF($N80="日前",'設定'!$B$6+$M80,EDATE('設定'!$B$6,$M80)))</f>
        <v/>
      </c>
      <c r="AE80" s="70">
        <f>IF(NOT(ISNUMBER($O80)),"",IF($P80="月額",$O80*12,IF($P80="年額",$O80,"")))</f>
        <v/>
      </c>
      <c r="AF80" s="30">
        <f>MID(IF(AND(ISNUMBER($G80),ISNUMBER($H80)),IF(N($H80)&lt;N($G80)," / 満了日が開始日より前",""),"")&amp;IF(AND($I80="あり",NOT(ISNUMBER($H80)))," / 自動更新ありなのに満了日が空","")&amp;IF(AND($I80="あり",ISNUMBER($H80),NOT(ISNUMBER($J80)))," / 更新期間が空（更新を計算できない）","")&amp;IF($AH80="","",IF(AND(DAY($AH80)&gt;=29,OR(MOD($J80,12)&lt;&gt;0,MONTH($AH80)=2))," / 更新の初日が29〜31日（更新を重ねると満了日が1日ずれることがある。満了日を今の期間の満了日に書き換えると直る）",""))&amp;IF(AND(ISNUMBER($K80),$L80="")," / 通知の単位が空（か月前で計算）","")&amp;IF(AND(ISNUMBER($M80),$N80="")," / 解約予告の単位が空（か月前で計算）","")&amp;IF(AND(ISNUMBER($O80),$P80="")," / 金額の区分が空","")&amp;IF(AND($T80&lt;&gt;"",NOT(ISNUMBER($U80)))," / 対応を決めた日が空","")&amp;IF(AND(ISNUMBER($U80),$T80="")," / 今期の対応が空","")&amp;IF(AND($T80="更新しない",NOT(ISNUMBER($V80)))," / 更新しないなら、解約・終了した日（契約が終わる日）を入れる",""),4,300)</f>
        <v/>
      </c>
      <c r="AG80" s="53" t="n"/>
      <c r="AH80" s="71">
        <f>IF(AND(ISNUMBER($H80),$I80="あり",ISNUMBER($J80)),IF($J80&gt;=1,$H80+1,""),"")</f>
        <v/>
      </c>
      <c r="AI80" s="32">
        <f>IF($AH80="","",(YEAR('設定'!$B$6)-YEAR($AH80))*12+MONTH('設定'!$B$6)-MONTH($AH80))</f>
        <v/>
      </c>
      <c r="AJ80" s="32">
        <f>IF($AH80="","",MAX(1,ROUNDUP($AI80/$J80,0)))</f>
        <v/>
      </c>
      <c r="AK80" s="71">
        <f>IF($AJ80="","",IF(DAY(EDATE($AH80,$AJ80*$J80))&lt;DAY($AH80),EDATE($AH80,$AJ80*$J80),EDATE($AH80,$AJ80*$J80)-1))</f>
        <v/>
      </c>
      <c r="AL80" s="71">
        <f>IF($AJ80="","",IF(DAY(EDATE($AH80,($AJ80+1)*$J80))&lt;DAY($AH80),EDATE($AH80,($AJ80+1)*$J80),EDATE($AH80,($AJ80+1)*$J80)-1))</f>
        <v/>
      </c>
      <c r="AM80" s="71">
        <f>IF($AJ80="","",IF($AJ80=1,$H80,IF(DAY(EDATE($AH80,($AJ80-1)*$J80))&lt;DAY($AH80),EDATE($AH80,($AJ80-1)*$J80),EDATE($AH80,($AJ80-1)*$J80)-1)))</f>
        <v/>
      </c>
      <c r="AN80" s="32">
        <f>IF(NOT(ISNUMBER($H80)),"",IF(OR($AH80="",$H80&gt;='設定'!$B$6),0,IF($AK80&gt;='設定'!$B$6,$AJ80,$AJ80+1)))</f>
        <v/>
      </c>
      <c r="AO80" s="71">
        <f>IF($AN80="","",IF($AN80=0,"",IF($AN80=$AJ80,$AM80,$AK80)))</f>
        <v/>
      </c>
      <c r="AP80" s="32">
        <f>IF(OR($AC80="要対応",$AC80="通知期限切れ",$AC80="確認済み",$AC80="有効",$AC80="終了予定"),1,0)</f>
        <v/>
      </c>
      <c r="AQ80" s="32">
        <f>IF(OR($AC80="要対応",$AC80="通知期限切れ"),1,0)</f>
        <v/>
      </c>
      <c r="AR80" s="72">
        <f>IF(AND(ISNUMBER($AB80),OR($AC80="要対応",$AC80="通知期限切れ",$AC80="確認済み",$AC80="有効")),$AB80+ROW()/100000,"")</f>
        <v/>
      </c>
      <c r="AS80" s="32">
        <f>IF($E80="","",IF(COUNTIF($E$5:$E80,$E80)=1,ROW(),""))</f>
        <v/>
      </c>
      <c r="AT80" s="32">
        <f>IF($S80="","",IF(COUNTIF($S$5:$S80,$S80)=1,ROW(),""))</f>
        <v/>
      </c>
    </row>
    <row r="81" ht="20" customHeight="1">
      <c r="A81" s="20" t="n">
        <v>77</v>
      </c>
      <c r="B81" s="21" t="n"/>
      <c r="C81" s="22" t="n"/>
      <c r="D81" s="22" t="n"/>
      <c r="E81" s="22" t="n"/>
      <c r="F81" s="66" t="n"/>
      <c r="G81" s="66" t="n"/>
      <c r="H81" s="66" t="n"/>
      <c r="I81" s="21" t="n"/>
      <c r="J81" s="24" t="n"/>
      <c r="K81" s="24" t="n"/>
      <c r="L81" s="21" t="n"/>
      <c r="M81" s="24" t="n"/>
      <c r="N81" s="21" t="n"/>
      <c r="O81" s="67" t="n"/>
      <c r="P81" s="21" t="n"/>
      <c r="Q81" s="21" t="n"/>
      <c r="R81" s="22" t="n"/>
      <c r="S81" s="22" t="n"/>
      <c r="T81" s="21" t="n"/>
      <c r="U81" s="66" t="n"/>
      <c r="V81" s="66" t="n"/>
      <c r="W81" s="66" t="n"/>
      <c r="X81" s="8" t="n"/>
      <c r="Y81" s="68">
        <f>IF($AN81="","",IF($AN81=0,$H81,IF($AN81=$AJ81,$AK81,$AL81)))</f>
        <v/>
      </c>
      <c r="Z81" s="68">
        <f>IF(OR($Y81="",NOT(ISNUMBER($K81))),"",IF($L81="日前",$Y81-$K81,EDATE($Y81,-$K81)))</f>
        <v/>
      </c>
      <c r="AA81" s="68">
        <f>IF(OR($Y81="",ISNUMBER($V81),N($Y81)&lt;'設定'!$B$6),"",IF($Z81&lt;&gt;"",$Z81,$Y81))</f>
        <v/>
      </c>
      <c r="AB81" s="69">
        <f>IF($AA81="","",$AA81-'設定'!$B$6)</f>
        <v/>
      </c>
      <c r="AC81" s="28">
        <f>IF(NOT(OR($B81&lt;&gt;"",$C81&lt;&gt;"")),"",IF(ISNUMBER($V81),IF($V81&lt;'設定'!$B$6,"終了","終了予定"),IF($Y81="","有効",IF($Y81&lt;'設定'!$B$6,"満了",IF(AND($T81="更新する",ISNUMBER($U81),N($U81)&lt;='設定'!$B$6,OR($AO81="",N($U81)&gt;N($AO81))),"確認済み",IF($AB81&lt;0,"通知期限切れ",IF($AB81&lt;=N('設定'!$B$7),"要対応","有効")))))))</f>
        <v/>
      </c>
      <c r="AD81" s="68">
        <f>IF(OR(NOT(ISNUMBER($M81)),$AC81="",$AC81="終了",$AC81="終了予定",$AC81="満了"),"",IF($N81="日前",'設定'!$B$6+$M81,EDATE('設定'!$B$6,$M81)))</f>
        <v/>
      </c>
      <c r="AE81" s="70">
        <f>IF(NOT(ISNUMBER($O81)),"",IF($P81="月額",$O81*12,IF($P81="年額",$O81,"")))</f>
        <v/>
      </c>
      <c r="AF81" s="30">
        <f>MID(IF(AND(ISNUMBER($G81),ISNUMBER($H81)),IF(N($H81)&lt;N($G81)," / 満了日が開始日より前",""),"")&amp;IF(AND($I81="あり",NOT(ISNUMBER($H81)))," / 自動更新ありなのに満了日が空","")&amp;IF(AND($I81="あり",ISNUMBER($H81),NOT(ISNUMBER($J81)))," / 更新期間が空（更新を計算できない）","")&amp;IF($AH81="","",IF(AND(DAY($AH81)&gt;=29,OR(MOD($J81,12)&lt;&gt;0,MONTH($AH81)=2))," / 更新の初日が29〜31日（更新を重ねると満了日が1日ずれることがある。満了日を今の期間の満了日に書き換えると直る）",""))&amp;IF(AND(ISNUMBER($K81),$L81="")," / 通知の単位が空（か月前で計算）","")&amp;IF(AND(ISNUMBER($M81),$N81="")," / 解約予告の単位が空（か月前で計算）","")&amp;IF(AND(ISNUMBER($O81),$P81="")," / 金額の区分が空","")&amp;IF(AND($T81&lt;&gt;"",NOT(ISNUMBER($U81)))," / 対応を決めた日が空","")&amp;IF(AND(ISNUMBER($U81),$T81="")," / 今期の対応が空","")&amp;IF(AND($T81="更新しない",NOT(ISNUMBER($V81)))," / 更新しないなら、解約・終了した日（契約が終わる日）を入れる",""),4,300)</f>
        <v/>
      </c>
      <c r="AG81" s="53" t="n"/>
      <c r="AH81" s="71">
        <f>IF(AND(ISNUMBER($H81),$I81="あり",ISNUMBER($J81)),IF($J81&gt;=1,$H81+1,""),"")</f>
        <v/>
      </c>
      <c r="AI81" s="32">
        <f>IF($AH81="","",(YEAR('設定'!$B$6)-YEAR($AH81))*12+MONTH('設定'!$B$6)-MONTH($AH81))</f>
        <v/>
      </c>
      <c r="AJ81" s="32">
        <f>IF($AH81="","",MAX(1,ROUNDUP($AI81/$J81,0)))</f>
        <v/>
      </c>
      <c r="AK81" s="71">
        <f>IF($AJ81="","",IF(DAY(EDATE($AH81,$AJ81*$J81))&lt;DAY($AH81),EDATE($AH81,$AJ81*$J81),EDATE($AH81,$AJ81*$J81)-1))</f>
        <v/>
      </c>
      <c r="AL81" s="71">
        <f>IF($AJ81="","",IF(DAY(EDATE($AH81,($AJ81+1)*$J81))&lt;DAY($AH81),EDATE($AH81,($AJ81+1)*$J81),EDATE($AH81,($AJ81+1)*$J81)-1))</f>
        <v/>
      </c>
      <c r="AM81" s="71">
        <f>IF($AJ81="","",IF($AJ81=1,$H81,IF(DAY(EDATE($AH81,($AJ81-1)*$J81))&lt;DAY($AH81),EDATE($AH81,($AJ81-1)*$J81),EDATE($AH81,($AJ81-1)*$J81)-1)))</f>
        <v/>
      </c>
      <c r="AN81" s="32">
        <f>IF(NOT(ISNUMBER($H81)),"",IF(OR($AH81="",$H81&gt;='設定'!$B$6),0,IF($AK81&gt;='設定'!$B$6,$AJ81,$AJ81+1)))</f>
        <v/>
      </c>
      <c r="AO81" s="71">
        <f>IF($AN81="","",IF($AN81=0,"",IF($AN81=$AJ81,$AM81,$AK81)))</f>
        <v/>
      </c>
      <c r="AP81" s="32">
        <f>IF(OR($AC81="要対応",$AC81="通知期限切れ",$AC81="確認済み",$AC81="有効",$AC81="終了予定"),1,0)</f>
        <v/>
      </c>
      <c r="AQ81" s="32">
        <f>IF(OR($AC81="要対応",$AC81="通知期限切れ"),1,0)</f>
        <v/>
      </c>
      <c r="AR81" s="72">
        <f>IF(AND(ISNUMBER($AB81),OR($AC81="要対応",$AC81="通知期限切れ",$AC81="確認済み",$AC81="有効")),$AB81+ROW()/100000,"")</f>
        <v/>
      </c>
      <c r="AS81" s="32">
        <f>IF($E81="","",IF(COUNTIF($E$5:$E81,$E81)=1,ROW(),""))</f>
        <v/>
      </c>
      <c r="AT81" s="32">
        <f>IF($S81="","",IF(COUNTIF($S$5:$S81,$S81)=1,ROW(),""))</f>
        <v/>
      </c>
    </row>
    <row r="82" ht="20" customHeight="1">
      <c r="A82" s="20" t="n">
        <v>78</v>
      </c>
      <c r="B82" s="21" t="n"/>
      <c r="C82" s="22" t="n"/>
      <c r="D82" s="22" t="n"/>
      <c r="E82" s="22" t="n"/>
      <c r="F82" s="66" t="n"/>
      <c r="G82" s="66" t="n"/>
      <c r="H82" s="66" t="n"/>
      <c r="I82" s="21" t="n"/>
      <c r="J82" s="24" t="n"/>
      <c r="K82" s="24" t="n"/>
      <c r="L82" s="21" t="n"/>
      <c r="M82" s="24" t="n"/>
      <c r="N82" s="21" t="n"/>
      <c r="O82" s="67" t="n"/>
      <c r="P82" s="21" t="n"/>
      <c r="Q82" s="21" t="n"/>
      <c r="R82" s="22" t="n"/>
      <c r="S82" s="22" t="n"/>
      <c r="T82" s="21" t="n"/>
      <c r="U82" s="66" t="n"/>
      <c r="V82" s="66" t="n"/>
      <c r="W82" s="66" t="n"/>
      <c r="X82" s="8" t="n"/>
      <c r="Y82" s="68">
        <f>IF($AN82="","",IF($AN82=0,$H82,IF($AN82=$AJ82,$AK82,$AL82)))</f>
        <v/>
      </c>
      <c r="Z82" s="68">
        <f>IF(OR($Y82="",NOT(ISNUMBER($K82))),"",IF($L82="日前",$Y82-$K82,EDATE($Y82,-$K82)))</f>
        <v/>
      </c>
      <c r="AA82" s="68">
        <f>IF(OR($Y82="",ISNUMBER($V82),N($Y82)&lt;'設定'!$B$6),"",IF($Z82&lt;&gt;"",$Z82,$Y82))</f>
        <v/>
      </c>
      <c r="AB82" s="69">
        <f>IF($AA82="","",$AA82-'設定'!$B$6)</f>
        <v/>
      </c>
      <c r="AC82" s="28">
        <f>IF(NOT(OR($B82&lt;&gt;"",$C82&lt;&gt;"")),"",IF(ISNUMBER($V82),IF($V82&lt;'設定'!$B$6,"終了","終了予定"),IF($Y82="","有効",IF($Y82&lt;'設定'!$B$6,"満了",IF(AND($T82="更新する",ISNUMBER($U82),N($U82)&lt;='設定'!$B$6,OR($AO82="",N($U82)&gt;N($AO82))),"確認済み",IF($AB82&lt;0,"通知期限切れ",IF($AB82&lt;=N('設定'!$B$7),"要対応","有効")))))))</f>
        <v/>
      </c>
      <c r="AD82" s="68">
        <f>IF(OR(NOT(ISNUMBER($M82)),$AC82="",$AC82="終了",$AC82="終了予定",$AC82="満了"),"",IF($N82="日前",'設定'!$B$6+$M82,EDATE('設定'!$B$6,$M82)))</f>
        <v/>
      </c>
      <c r="AE82" s="70">
        <f>IF(NOT(ISNUMBER($O82)),"",IF($P82="月額",$O82*12,IF($P82="年額",$O82,"")))</f>
        <v/>
      </c>
      <c r="AF82" s="30">
        <f>MID(IF(AND(ISNUMBER($G82),ISNUMBER($H82)),IF(N($H82)&lt;N($G82)," / 満了日が開始日より前",""),"")&amp;IF(AND($I82="あり",NOT(ISNUMBER($H82)))," / 自動更新ありなのに満了日が空","")&amp;IF(AND($I82="あり",ISNUMBER($H82),NOT(ISNUMBER($J82)))," / 更新期間が空（更新を計算できない）","")&amp;IF($AH82="","",IF(AND(DAY($AH82)&gt;=29,OR(MOD($J82,12)&lt;&gt;0,MONTH($AH82)=2))," / 更新の初日が29〜31日（更新を重ねると満了日が1日ずれることがある。満了日を今の期間の満了日に書き換えると直る）",""))&amp;IF(AND(ISNUMBER($K82),$L82="")," / 通知の単位が空（か月前で計算）","")&amp;IF(AND(ISNUMBER($M82),$N82="")," / 解約予告の単位が空（か月前で計算）","")&amp;IF(AND(ISNUMBER($O82),$P82="")," / 金額の区分が空","")&amp;IF(AND($T82&lt;&gt;"",NOT(ISNUMBER($U82)))," / 対応を決めた日が空","")&amp;IF(AND(ISNUMBER($U82),$T82="")," / 今期の対応が空","")&amp;IF(AND($T82="更新しない",NOT(ISNUMBER($V82)))," / 更新しないなら、解約・終了した日（契約が終わる日）を入れる",""),4,300)</f>
        <v/>
      </c>
      <c r="AG82" s="53" t="n"/>
      <c r="AH82" s="71">
        <f>IF(AND(ISNUMBER($H82),$I82="あり",ISNUMBER($J82)),IF($J82&gt;=1,$H82+1,""),"")</f>
        <v/>
      </c>
      <c r="AI82" s="32">
        <f>IF($AH82="","",(YEAR('設定'!$B$6)-YEAR($AH82))*12+MONTH('設定'!$B$6)-MONTH($AH82))</f>
        <v/>
      </c>
      <c r="AJ82" s="32">
        <f>IF($AH82="","",MAX(1,ROUNDUP($AI82/$J82,0)))</f>
        <v/>
      </c>
      <c r="AK82" s="71">
        <f>IF($AJ82="","",IF(DAY(EDATE($AH82,$AJ82*$J82))&lt;DAY($AH82),EDATE($AH82,$AJ82*$J82),EDATE($AH82,$AJ82*$J82)-1))</f>
        <v/>
      </c>
      <c r="AL82" s="71">
        <f>IF($AJ82="","",IF(DAY(EDATE($AH82,($AJ82+1)*$J82))&lt;DAY($AH82),EDATE($AH82,($AJ82+1)*$J82),EDATE($AH82,($AJ82+1)*$J82)-1))</f>
        <v/>
      </c>
      <c r="AM82" s="71">
        <f>IF($AJ82="","",IF($AJ82=1,$H82,IF(DAY(EDATE($AH82,($AJ82-1)*$J82))&lt;DAY($AH82),EDATE($AH82,($AJ82-1)*$J82),EDATE($AH82,($AJ82-1)*$J82)-1)))</f>
        <v/>
      </c>
      <c r="AN82" s="32">
        <f>IF(NOT(ISNUMBER($H82)),"",IF(OR($AH82="",$H82&gt;='設定'!$B$6),0,IF($AK82&gt;='設定'!$B$6,$AJ82,$AJ82+1)))</f>
        <v/>
      </c>
      <c r="AO82" s="71">
        <f>IF($AN82="","",IF($AN82=0,"",IF($AN82=$AJ82,$AM82,$AK82)))</f>
        <v/>
      </c>
      <c r="AP82" s="32">
        <f>IF(OR($AC82="要対応",$AC82="通知期限切れ",$AC82="確認済み",$AC82="有効",$AC82="終了予定"),1,0)</f>
        <v/>
      </c>
      <c r="AQ82" s="32">
        <f>IF(OR($AC82="要対応",$AC82="通知期限切れ"),1,0)</f>
        <v/>
      </c>
      <c r="AR82" s="72">
        <f>IF(AND(ISNUMBER($AB82),OR($AC82="要対応",$AC82="通知期限切れ",$AC82="確認済み",$AC82="有効")),$AB82+ROW()/100000,"")</f>
        <v/>
      </c>
      <c r="AS82" s="32">
        <f>IF($E82="","",IF(COUNTIF($E$5:$E82,$E82)=1,ROW(),""))</f>
        <v/>
      </c>
      <c r="AT82" s="32">
        <f>IF($S82="","",IF(COUNTIF($S$5:$S82,$S82)=1,ROW(),""))</f>
        <v/>
      </c>
    </row>
    <row r="83" ht="20" customHeight="1">
      <c r="A83" s="20" t="n">
        <v>79</v>
      </c>
      <c r="B83" s="21" t="n"/>
      <c r="C83" s="22" t="n"/>
      <c r="D83" s="22" t="n"/>
      <c r="E83" s="22" t="n"/>
      <c r="F83" s="66" t="n"/>
      <c r="G83" s="66" t="n"/>
      <c r="H83" s="66" t="n"/>
      <c r="I83" s="21" t="n"/>
      <c r="J83" s="24" t="n"/>
      <c r="K83" s="24" t="n"/>
      <c r="L83" s="21" t="n"/>
      <c r="M83" s="24" t="n"/>
      <c r="N83" s="21" t="n"/>
      <c r="O83" s="67" t="n"/>
      <c r="P83" s="21" t="n"/>
      <c r="Q83" s="21" t="n"/>
      <c r="R83" s="22" t="n"/>
      <c r="S83" s="22" t="n"/>
      <c r="T83" s="21" t="n"/>
      <c r="U83" s="66" t="n"/>
      <c r="V83" s="66" t="n"/>
      <c r="W83" s="66" t="n"/>
      <c r="X83" s="8" t="n"/>
      <c r="Y83" s="68">
        <f>IF($AN83="","",IF($AN83=0,$H83,IF($AN83=$AJ83,$AK83,$AL83)))</f>
        <v/>
      </c>
      <c r="Z83" s="68">
        <f>IF(OR($Y83="",NOT(ISNUMBER($K83))),"",IF($L83="日前",$Y83-$K83,EDATE($Y83,-$K83)))</f>
        <v/>
      </c>
      <c r="AA83" s="68">
        <f>IF(OR($Y83="",ISNUMBER($V83),N($Y83)&lt;'設定'!$B$6),"",IF($Z83&lt;&gt;"",$Z83,$Y83))</f>
        <v/>
      </c>
      <c r="AB83" s="69">
        <f>IF($AA83="","",$AA83-'設定'!$B$6)</f>
        <v/>
      </c>
      <c r="AC83" s="28">
        <f>IF(NOT(OR($B83&lt;&gt;"",$C83&lt;&gt;"")),"",IF(ISNUMBER($V83),IF($V83&lt;'設定'!$B$6,"終了","終了予定"),IF($Y83="","有効",IF($Y83&lt;'設定'!$B$6,"満了",IF(AND($T83="更新する",ISNUMBER($U83),N($U83)&lt;='設定'!$B$6,OR($AO83="",N($U83)&gt;N($AO83))),"確認済み",IF($AB83&lt;0,"通知期限切れ",IF($AB83&lt;=N('設定'!$B$7),"要対応","有効")))))))</f>
        <v/>
      </c>
      <c r="AD83" s="68">
        <f>IF(OR(NOT(ISNUMBER($M83)),$AC83="",$AC83="終了",$AC83="終了予定",$AC83="満了"),"",IF($N83="日前",'設定'!$B$6+$M83,EDATE('設定'!$B$6,$M83)))</f>
        <v/>
      </c>
      <c r="AE83" s="70">
        <f>IF(NOT(ISNUMBER($O83)),"",IF($P83="月額",$O83*12,IF($P83="年額",$O83,"")))</f>
        <v/>
      </c>
      <c r="AF83" s="30">
        <f>MID(IF(AND(ISNUMBER($G83),ISNUMBER($H83)),IF(N($H83)&lt;N($G83)," / 満了日が開始日より前",""),"")&amp;IF(AND($I83="あり",NOT(ISNUMBER($H83)))," / 自動更新ありなのに満了日が空","")&amp;IF(AND($I83="あり",ISNUMBER($H83),NOT(ISNUMBER($J83)))," / 更新期間が空（更新を計算できない）","")&amp;IF($AH83="","",IF(AND(DAY($AH83)&gt;=29,OR(MOD($J83,12)&lt;&gt;0,MONTH($AH83)=2))," / 更新の初日が29〜31日（更新を重ねると満了日が1日ずれることがある。満了日を今の期間の満了日に書き換えると直る）",""))&amp;IF(AND(ISNUMBER($K83),$L83="")," / 通知の単位が空（か月前で計算）","")&amp;IF(AND(ISNUMBER($M83),$N83="")," / 解約予告の単位が空（か月前で計算）","")&amp;IF(AND(ISNUMBER($O83),$P83="")," / 金額の区分が空","")&amp;IF(AND($T83&lt;&gt;"",NOT(ISNUMBER($U83)))," / 対応を決めた日が空","")&amp;IF(AND(ISNUMBER($U83),$T83="")," / 今期の対応が空","")&amp;IF(AND($T83="更新しない",NOT(ISNUMBER($V83)))," / 更新しないなら、解約・終了した日（契約が終わる日）を入れる",""),4,300)</f>
        <v/>
      </c>
      <c r="AG83" s="53" t="n"/>
      <c r="AH83" s="71">
        <f>IF(AND(ISNUMBER($H83),$I83="あり",ISNUMBER($J83)),IF($J83&gt;=1,$H83+1,""),"")</f>
        <v/>
      </c>
      <c r="AI83" s="32">
        <f>IF($AH83="","",(YEAR('設定'!$B$6)-YEAR($AH83))*12+MONTH('設定'!$B$6)-MONTH($AH83))</f>
        <v/>
      </c>
      <c r="AJ83" s="32">
        <f>IF($AH83="","",MAX(1,ROUNDUP($AI83/$J83,0)))</f>
        <v/>
      </c>
      <c r="AK83" s="71">
        <f>IF($AJ83="","",IF(DAY(EDATE($AH83,$AJ83*$J83))&lt;DAY($AH83),EDATE($AH83,$AJ83*$J83),EDATE($AH83,$AJ83*$J83)-1))</f>
        <v/>
      </c>
      <c r="AL83" s="71">
        <f>IF($AJ83="","",IF(DAY(EDATE($AH83,($AJ83+1)*$J83))&lt;DAY($AH83),EDATE($AH83,($AJ83+1)*$J83),EDATE($AH83,($AJ83+1)*$J83)-1))</f>
        <v/>
      </c>
      <c r="AM83" s="71">
        <f>IF($AJ83="","",IF($AJ83=1,$H83,IF(DAY(EDATE($AH83,($AJ83-1)*$J83))&lt;DAY($AH83),EDATE($AH83,($AJ83-1)*$J83),EDATE($AH83,($AJ83-1)*$J83)-1)))</f>
        <v/>
      </c>
      <c r="AN83" s="32">
        <f>IF(NOT(ISNUMBER($H83)),"",IF(OR($AH83="",$H83&gt;='設定'!$B$6),0,IF($AK83&gt;='設定'!$B$6,$AJ83,$AJ83+1)))</f>
        <v/>
      </c>
      <c r="AO83" s="71">
        <f>IF($AN83="","",IF($AN83=0,"",IF($AN83=$AJ83,$AM83,$AK83)))</f>
        <v/>
      </c>
      <c r="AP83" s="32">
        <f>IF(OR($AC83="要対応",$AC83="通知期限切れ",$AC83="確認済み",$AC83="有効",$AC83="終了予定"),1,0)</f>
        <v/>
      </c>
      <c r="AQ83" s="32">
        <f>IF(OR($AC83="要対応",$AC83="通知期限切れ"),1,0)</f>
        <v/>
      </c>
      <c r="AR83" s="72">
        <f>IF(AND(ISNUMBER($AB83),OR($AC83="要対応",$AC83="通知期限切れ",$AC83="確認済み",$AC83="有効")),$AB83+ROW()/100000,"")</f>
        <v/>
      </c>
      <c r="AS83" s="32">
        <f>IF($E83="","",IF(COUNTIF($E$5:$E83,$E83)=1,ROW(),""))</f>
        <v/>
      </c>
      <c r="AT83" s="32">
        <f>IF($S83="","",IF(COUNTIF($S$5:$S83,$S83)=1,ROW(),""))</f>
        <v/>
      </c>
    </row>
    <row r="84" ht="20" customHeight="1">
      <c r="A84" s="20" t="n">
        <v>80</v>
      </c>
      <c r="B84" s="21" t="n"/>
      <c r="C84" s="22" t="n"/>
      <c r="D84" s="22" t="n"/>
      <c r="E84" s="22" t="n"/>
      <c r="F84" s="66" t="n"/>
      <c r="G84" s="66" t="n"/>
      <c r="H84" s="66" t="n"/>
      <c r="I84" s="21" t="n"/>
      <c r="J84" s="24" t="n"/>
      <c r="K84" s="24" t="n"/>
      <c r="L84" s="21" t="n"/>
      <c r="M84" s="24" t="n"/>
      <c r="N84" s="21" t="n"/>
      <c r="O84" s="67" t="n"/>
      <c r="P84" s="21" t="n"/>
      <c r="Q84" s="21" t="n"/>
      <c r="R84" s="22" t="n"/>
      <c r="S84" s="22" t="n"/>
      <c r="T84" s="21" t="n"/>
      <c r="U84" s="66" t="n"/>
      <c r="V84" s="66" t="n"/>
      <c r="W84" s="66" t="n"/>
      <c r="X84" s="8" t="n"/>
      <c r="Y84" s="68">
        <f>IF($AN84="","",IF($AN84=0,$H84,IF($AN84=$AJ84,$AK84,$AL84)))</f>
        <v/>
      </c>
      <c r="Z84" s="68">
        <f>IF(OR($Y84="",NOT(ISNUMBER($K84))),"",IF($L84="日前",$Y84-$K84,EDATE($Y84,-$K84)))</f>
        <v/>
      </c>
      <c r="AA84" s="68">
        <f>IF(OR($Y84="",ISNUMBER($V84),N($Y84)&lt;'設定'!$B$6),"",IF($Z84&lt;&gt;"",$Z84,$Y84))</f>
        <v/>
      </c>
      <c r="AB84" s="69">
        <f>IF($AA84="","",$AA84-'設定'!$B$6)</f>
        <v/>
      </c>
      <c r="AC84" s="28">
        <f>IF(NOT(OR($B84&lt;&gt;"",$C84&lt;&gt;"")),"",IF(ISNUMBER($V84),IF($V84&lt;'設定'!$B$6,"終了","終了予定"),IF($Y84="","有効",IF($Y84&lt;'設定'!$B$6,"満了",IF(AND($T84="更新する",ISNUMBER($U84),N($U84)&lt;='設定'!$B$6,OR($AO84="",N($U84)&gt;N($AO84))),"確認済み",IF($AB84&lt;0,"通知期限切れ",IF($AB84&lt;=N('設定'!$B$7),"要対応","有効")))))))</f>
        <v/>
      </c>
      <c r="AD84" s="68">
        <f>IF(OR(NOT(ISNUMBER($M84)),$AC84="",$AC84="終了",$AC84="終了予定",$AC84="満了"),"",IF($N84="日前",'設定'!$B$6+$M84,EDATE('設定'!$B$6,$M84)))</f>
        <v/>
      </c>
      <c r="AE84" s="70">
        <f>IF(NOT(ISNUMBER($O84)),"",IF($P84="月額",$O84*12,IF($P84="年額",$O84,"")))</f>
        <v/>
      </c>
      <c r="AF84" s="30">
        <f>MID(IF(AND(ISNUMBER($G84),ISNUMBER($H84)),IF(N($H84)&lt;N($G84)," / 満了日が開始日より前",""),"")&amp;IF(AND($I84="あり",NOT(ISNUMBER($H84)))," / 自動更新ありなのに満了日が空","")&amp;IF(AND($I84="あり",ISNUMBER($H84),NOT(ISNUMBER($J84)))," / 更新期間が空（更新を計算できない）","")&amp;IF($AH84="","",IF(AND(DAY($AH84)&gt;=29,OR(MOD($J84,12)&lt;&gt;0,MONTH($AH84)=2))," / 更新の初日が29〜31日（更新を重ねると満了日が1日ずれることがある。満了日を今の期間の満了日に書き換えると直る）",""))&amp;IF(AND(ISNUMBER($K84),$L84="")," / 通知の単位が空（か月前で計算）","")&amp;IF(AND(ISNUMBER($M84),$N84="")," / 解約予告の単位が空（か月前で計算）","")&amp;IF(AND(ISNUMBER($O84),$P84="")," / 金額の区分が空","")&amp;IF(AND($T84&lt;&gt;"",NOT(ISNUMBER($U84)))," / 対応を決めた日が空","")&amp;IF(AND(ISNUMBER($U84),$T84="")," / 今期の対応が空","")&amp;IF(AND($T84="更新しない",NOT(ISNUMBER($V84)))," / 更新しないなら、解約・終了した日（契約が終わる日）を入れる",""),4,300)</f>
        <v/>
      </c>
      <c r="AG84" s="53" t="n"/>
      <c r="AH84" s="71">
        <f>IF(AND(ISNUMBER($H84),$I84="あり",ISNUMBER($J84)),IF($J84&gt;=1,$H84+1,""),"")</f>
        <v/>
      </c>
      <c r="AI84" s="32">
        <f>IF($AH84="","",(YEAR('設定'!$B$6)-YEAR($AH84))*12+MONTH('設定'!$B$6)-MONTH($AH84))</f>
        <v/>
      </c>
      <c r="AJ84" s="32">
        <f>IF($AH84="","",MAX(1,ROUNDUP($AI84/$J84,0)))</f>
        <v/>
      </c>
      <c r="AK84" s="71">
        <f>IF($AJ84="","",IF(DAY(EDATE($AH84,$AJ84*$J84))&lt;DAY($AH84),EDATE($AH84,$AJ84*$J84),EDATE($AH84,$AJ84*$J84)-1))</f>
        <v/>
      </c>
      <c r="AL84" s="71">
        <f>IF($AJ84="","",IF(DAY(EDATE($AH84,($AJ84+1)*$J84))&lt;DAY($AH84),EDATE($AH84,($AJ84+1)*$J84),EDATE($AH84,($AJ84+1)*$J84)-1))</f>
        <v/>
      </c>
      <c r="AM84" s="71">
        <f>IF($AJ84="","",IF($AJ84=1,$H84,IF(DAY(EDATE($AH84,($AJ84-1)*$J84))&lt;DAY($AH84),EDATE($AH84,($AJ84-1)*$J84),EDATE($AH84,($AJ84-1)*$J84)-1)))</f>
        <v/>
      </c>
      <c r="AN84" s="32">
        <f>IF(NOT(ISNUMBER($H84)),"",IF(OR($AH84="",$H84&gt;='設定'!$B$6),0,IF($AK84&gt;='設定'!$B$6,$AJ84,$AJ84+1)))</f>
        <v/>
      </c>
      <c r="AO84" s="71">
        <f>IF($AN84="","",IF($AN84=0,"",IF($AN84=$AJ84,$AM84,$AK84)))</f>
        <v/>
      </c>
      <c r="AP84" s="32">
        <f>IF(OR($AC84="要対応",$AC84="通知期限切れ",$AC84="確認済み",$AC84="有効",$AC84="終了予定"),1,0)</f>
        <v/>
      </c>
      <c r="AQ84" s="32">
        <f>IF(OR($AC84="要対応",$AC84="通知期限切れ"),1,0)</f>
        <v/>
      </c>
      <c r="AR84" s="72">
        <f>IF(AND(ISNUMBER($AB84),OR($AC84="要対応",$AC84="通知期限切れ",$AC84="確認済み",$AC84="有効")),$AB84+ROW()/100000,"")</f>
        <v/>
      </c>
      <c r="AS84" s="32">
        <f>IF($E84="","",IF(COUNTIF($E$5:$E84,$E84)=1,ROW(),""))</f>
        <v/>
      </c>
      <c r="AT84" s="32">
        <f>IF($S84="","",IF(COUNTIF($S$5:$S84,$S84)=1,ROW(),""))</f>
        <v/>
      </c>
    </row>
    <row r="85" ht="20" customHeight="1">
      <c r="A85" s="20" t="n">
        <v>81</v>
      </c>
      <c r="B85" s="21" t="n"/>
      <c r="C85" s="22" t="n"/>
      <c r="D85" s="22" t="n"/>
      <c r="E85" s="22" t="n"/>
      <c r="F85" s="66" t="n"/>
      <c r="G85" s="66" t="n"/>
      <c r="H85" s="66" t="n"/>
      <c r="I85" s="21" t="n"/>
      <c r="J85" s="24" t="n"/>
      <c r="K85" s="24" t="n"/>
      <c r="L85" s="21" t="n"/>
      <c r="M85" s="24" t="n"/>
      <c r="N85" s="21" t="n"/>
      <c r="O85" s="67" t="n"/>
      <c r="P85" s="21" t="n"/>
      <c r="Q85" s="21" t="n"/>
      <c r="R85" s="22" t="n"/>
      <c r="S85" s="22" t="n"/>
      <c r="T85" s="21" t="n"/>
      <c r="U85" s="66" t="n"/>
      <c r="V85" s="66" t="n"/>
      <c r="W85" s="66" t="n"/>
      <c r="X85" s="8" t="n"/>
      <c r="Y85" s="68">
        <f>IF($AN85="","",IF($AN85=0,$H85,IF($AN85=$AJ85,$AK85,$AL85)))</f>
        <v/>
      </c>
      <c r="Z85" s="68">
        <f>IF(OR($Y85="",NOT(ISNUMBER($K85))),"",IF($L85="日前",$Y85-$K85,EDATE($Y85,-$K85)))</f>
        <v/>
      </c>
      <c r="AA85" s="68">
        <f>IF(OR($Y85="",ISNUMBER($V85),N($Y85)&lt;'設定'!$B$6),"",IF($Z85&lt;&gt;"",$Z85,$Y85))</f>
        <v/>
      </c>
      <c r="AB85" s="69">
        <f>IF($AA85="","",$AA85-'設定'!$B$6)</f>
        <v/>
      </c>
      <c r="AC85" s="28">
        <f>IF(NOT(OR($B85&lt;&gt;"",$C85&lt;&gt;"")),"",IF(ISNUMBER($V85),IF($V85&lt;'設定'!$B$6,"終了","終了予定"),IF($Y85="","有効",IF($Y85&lt;'設定'!$B$6,"満了",IF(AND($T85="更新する",ISNUMBER($U85),N($U85)&lt;='設定'!$B$6,OR($AO85="",N($U85)&gt;N($AO85))),"確認済み",IF($AB85&lt;0,"通知期限切れ",IF($AB85&lt;=N('設定'!$B$7),"要対応","有効")))))))</f>
        <v/>
      </c>
      <c r="AD85" s="68">
        <f>IF(OR(NOT(ISNUMBER($M85)),$AC85="",$AC85="終了",$AC85="終了予定",$AC85="満了"),"",IF($N85="日前",'設定'!$B$6+$M85,EDATE('設定'!$B$6,$M85)))</f>
        <v/>
      </c>
      <c r="AE85" s="70">
        <f>IF(NOT(ISNUMBER($O85)),"",IF($P85="月額",$O85*12,IF($P85="年額",$O85,"")))</f>
        <v/>
      </c>
      <c r="AF85" s="30">
        <f>MID(IF(AND(ISNUMBER($G85),ISNUMBER($H85)),IF(N($H85)&lt;N($G85)," / 満了日が開始日より前",""),"")&amp;IF(AND($I85="あり",NOT(ISNUMBER($H85)))," / 自動更新ありなのに満了日が空","")&amp;IF(AND($I85="あり",ISNUMBER($H85),NOT(ISNUMBER($J85)))," / 更新期間が空（更新を計算できない）","")&amp;IF($AH85="","",IF(AND(DAY($AH85)&gt;=29,OR(MOD($J85,12)&lt;&gt;0,MONTH($AH85)=2))," / 更新の初日が29〜31日（更新を重ねると満了日が1日ずれることがある。満了日を今の期間の満了日に書き換えると直る）",""))&amp;IF(AND(ISNUMBER($K85),$L85="")," / 通知の単位が空（か月前で計算）","")&amp;IF(AND(ISNUMBER($M85),$N85="")," / 解約予告の単位が空（か月前で計算）","")&amp;IF(AND(ISNUMBER($O85),$P85="")," / 金額の区分が空","")&amp;IF(AND($T85&lt;&gt;"",NOT(ISNUMBER($U85)))," / 対応を決めた日が空","")&amp;IF(AND(ISNUMBER($U85),$T85="")," / 今期の対応が空","")&amp;IF(AND($T85="更新しない",NOT(ISNUMBER($V85)))," / 更新しないなら、解約・終了した日（契約が終わる日）を入れる",""),4,300)</f>
        <v/>
      </c>
      <c r="AG85" s="53" t="n"/>
      <c r="AH85" s="71">
        <f>IF(AND(ISNUMBER($H85),$I85="あり",ISNUMBER($J85)),IF($J85&gt;=1,$H85+1,""),"")</f>
        <v/>
      </c>
      <c r="AI85" s="32">
        <f>IF($AH85="","",(YEAR('設定'!$B$6)-YEAR($AH85))*12+MONTH('設定'!$B$6)-MONTH($AH85))</f>
        <v/>
      </c>
      <c r="AJ85" s="32">
        <f>IF($AH85="","",MAX(1,ROUNDUP($AI85/$J85,0)))</f>
        <v/>
      </c>
      <c r="AK85" s="71">
        <f>IF($AJ85="","",IF(DAY(EDATE($AH85,$AJ85*$J85))&lt;DAY($AH85),EDATE($AH85,$AJ85*$J85),EDATE($AH85,$AJ85*$J85)-1))</f>
        <v/>
      </c>
      <c r="AL85" s="71">
        <f>IF($AJ85="","",IF(DAY(EDATE($AH85,($AJ85+1)*$J85))&lt;DAY($AH85),EDATE($AH85,($AJ85+1)*$J85),EDATE($AH85,($AJ85+1)*$J85)-1))</f>
        <v/>
      </c>
      <c r="AM85" s="71">
        <f>IF($AJ85="","",IF($AJ85=1,$H85,IF(DAY(EDATE($AH85,($AJ85-1)*$J85))&lt;DAY($AH85),EDATE($AH85,($AJ85-1)*$J85),EDATE($AH85,($AJ85-1)*$J85)-1)))</f>
        <v/>
      </c>
      <c r="AN85" s="32">
        <f>IF(NOT(ISNUMBER($H85)),"",IF(OR($AH85="",$H85&gt;='設定'!$B$6),0,IF($AK85&gt;='設定'!$B$6,$AJ85,$AJ85+1)))</f>
        <v/>
      </c>
      <c r="AO85" s="71">
        <f>IF($AN85="","",IF($AN85=0,"",IF($AN85=$AJ85,$AM85,$AK85)))</f>
        <v/>
      </c>
      <c r="AP85" s="32">
        <f>IF(OR($AC85="要対応",$AC85="通知期限切れ",$AC85="確認済み",$AC85="有効",$AC85="終了予定"),1,0)</f>
        <v/>
      </c>
      <c r="AQ85" s="32">
        <f>IF(OR($AC85="要対応",$AC85="通知期限切れ"),1,0)</f>
        <v/>
      </c>
      <c r="AR85" s="72">
        <f>IF(AND(ISNUMBER($AB85),OR($AC85="要対応",$AC85="通知期限切れ",$AC85="確認済み",$AC85="有効")),$AB85+ROW()/100000,"")</f>
        <v/>
      </c>
      <c r="AS85" s="32">
        <f>IF($E85="","",IF(COUNTIF($E$5:$E85,$E85)=1,ROW(),""))</f>
        <v/>
      </c>
      <c r="AT85" s="32">
        <f>IF($S85="","",IF(COUNTIF($S$5:$S85,$S85)=1,ROW(),""))</f>
        <v/>
      </c>
    </row>
    <row r="86" ht="20" customHeight="1">
      <c r="A86" s="20" t="n">
        <v>82</v>
      </c>
      <c r="B86" s="21" t="n"/>
      <c r="C86" s="22" t="n"/>
      <c r="D86" s="22" t="n"/>
      <c r="E86" s="22" t="n"/>
      <c r="F86" s="66" t="n"/>
      <c r="G86" s="66" t="n"/>
      <c r="H86" s="66" t="n"/>
      <c r="I86" s="21" t="n"/>
      <c r="J86" s="24" t="n"/>
      <c r="K86" s="24" t="n"/>
      <c r="L86" s="21" t="n"/>
      <c r="M86" s="24" t="n"/>
      <c r="N86" s="21" t="n"/>
      <c r="O86" s="67" t="n"/>
      <c r="P86" s="21" t="n"/>
      <c r="Q86" s="21" t="n"/>
      <c r="R86" s="22" t="n"/>
      <c r="S86" s="22" t="n"/>
      <c r="T86" s="21" t="n"/>
      <c r="U86" s="66" t="n"/>
      <c r="V86" s="66" t="n"/>
      <c r="W86" s="66" t="n"/>
      <c r="X86" s="8" t="n"/>
      <c r="Y86" s="68">
        <f>IF($AN86="","",IF($AN86=0,$H86,IF($AN86=$AJ86,$AK86,$AL86)))</f>
        <v/>
      </c>
      <c r="Z86" s="68">
        <f>IF(OR($Y86="",NOT(ISNUMBER($K86))),"",IF($L86="日前",$Y86-$K86,EDATE($Y86,-$K86)))</f>
        <v/>
      </c>
      <c r="AA86" s="68">
        <f>IF(OR($Y86="",ISNUMBER($V86),N($Y86)&lt;'設定'!$B$6),"",IF($Z86&lt;&gt;"",$Z86,$Y86))</f>
        <v/>
      </c>
      <c r="AB86" s="69">
        <f>IF($AA86="","",$AA86-'設定'!$B$6)</f>
        <v/>
      </c>
      <c r="AC86" s="28">
        <f>IF(NOT(OR($B86&lt;&gt;"",$C86&lt;&gt;"")),"",IF(ISNUMBER($V86),IF($V86&lt;'設定'!$B$6,"終了","終了予定"),IF($Y86="","有効",IF($Y86&lt;'設定'!$B$6,"満了",IF(AND($T86="更新する",ISNUMBER($U86),N($U86)&lt;='設定'!$B$6,OR($AO86="",N($U86)&gt;N($AO86))),"確認済み",IF($AB86&lt;0,"通知期限切れ",IF($AB86&lt;=N('設定'!$B$7),"要対応","有効")))))))</f>
        <v/>
      </c>
      <c r="AD86" s="68">
        <f>IF(OR(NOT(ISNUMBER($M86)),$AC86="",$AC86="終了",$AC86="終了予定",$AC86="満了"),"",IF($N86="日前",'設定'!$B$6+$M86,EDATE('設定'!$B$6,$M86)))</f>
        <v/>
      </c>
      <c r="AE86" s="70">
        <f>IF(NOT(ISNUMBER($O86)),"",IF($P86="月額",$O86*12,IF($P86="年額",$O86,"")))</f>
        <v/>
      </c>
      <c r="AF86" s="30">
        <f>MID(IF(AND(ISNUMBER($G86),ISNUMBER($H86)),IF(N($H86)&lt;N($G86)," / 満了日が開始日より前",""),"")&amp;IF(AND($I86="あり",NOT(ISNUMBER($H86)))," / 自動更新ありなのに満了日が空","")&amp;IF(AND($I86="あり",ISNUMBER($H86),NOT(ISNUMBER($J86)))," / 更新期間が空（更新を計算できない）","")&amp;IF($AH86="","",IF(AND(DAY($AH86)&gt;=29,OR(MOD($J86,12)&lt;&gt;0,MONTH($AH86)=2))," / 更新の初日が29〜31日（更新を重ねると満了日が1日ずれることがある。満了日を今の期間の満了日に書き換えると直る）",""))&amp;IF(AND(ISNUMBER($K86),$L86="")," / 通知の単位が空（か月前で計算）","")&amp;IF(AND(ISNUMBER($M86),$N86="")," / 解約予告の単位が空（か月前で計算）","")&amp;IF(AND(ISNUMBER($O86),$P86="")," / 金額の区分が空","")&amp;IF(AND($T86&lt;&gt;"",NOT(ISNUMBER($U86)))," / 対応を決めた日が空","")&amp;IF(AND(ISNUMBER($U86),$T86="")," / 今期の対応が空","")&amp;IF(AND($T86="更新しない",NOT(ISNUMBER($V86)))," / 更新しないなら、解約・終了した日（契約が終わる日）を入れる",""),4,300)</f>
        <v/>
      </c>
      <c r="AG86" s="53" t="n"/>
      <c r="AH86" s="71">
        <f>IF(AND(ISNUMBER($H86),$I86="あり",ISNUMBER($J86)),IF($J86&gt;=1,$H86+1,""),"")</f>
        <v/>
      </c>
      <c r="AI86" s="32">
        <f>IF($AH86="","",(YEAR('設定'!$B$6)-YEAR($AH86))*12+MONTH('設定'!$B$6)-MONTH($AH86))</f>
        <v/>
      </c>
      <c r="AJ86" s="32">
        <f>IF($AH86="","",MAX(1,ROUNDUP($AI86/$J86,0)))</f>
        <v/>
      </c>
      <c r="AK86" s="71">
        <f>IF($AJ86="","",IF(DAY(EDATE($AH86,$AJ86*$J86))&lt;DAY($AH86),EDATE($AH86,$AJ86*$J86),EDATE($AH86,$AJ86*$J86)-1))</f>
        <v/>
      </c>
      <c r="AL86" s="71">
        <f>IF($AJ86="","",IF(DAY(EDATE($AH86,($AJ86+1)*$J86))&lt;DAY($AH86),EDATE($AH86,($AJ86+1)*$J86),EDATE($AH86,($AJ86+1)*$J86)-1))</f>
        <v/>
      </c>
      <c r="AM86" s="71">
        <f>IF($AJ86="","",IF($AJ86=1,$H86,IF(DAY(EDATE($AH86,($AJ86-1)*$J86))&lt;DAY($AH86),EDATE($AH86,($AJ86-1)*$J86),EDATE($AH86,($AJ86-1)*$J86)-1)))</f>
        <v/>
      </c>
      <c r="AN86" s="32">
        <f>IF(NOT(ISNUMBER($H86)),"",IF(OR($AH86="",$H86&gt;='設定'!$B$6),0,IF($AK86&gt;='設定'!$B$6,$AJ86,$AJ86+1)))</f>
        <v/>
      </c>
      <c r="AO86" s="71">
        <f>IF($AN86="","",IF($AN86=0,"",IF($AN86=$AJ86,$AM86,$AK86)))</f>
        <v/>
      </c>
      <c r="AP86" s="32">
        <f>IF(OR($AC86="要対応",$AC86="通知期限切れ",$AC86="確認済み",$AC86="有効",$AC86="終了予定"),1,0)</f>
        <v/>
      </c>
      <c r="AQ86" s="32">
        <f>IF(OR($AC86="要対応",$AC86="通知期限切れ"),1,0)</f>
        <v/>
      </c>
      <c r="AR86" s="72">
        <f>IF(AND(ISNUMBER($AB86),OR($AC86="要対応",$AC86="通知期限切れ",$AC86="確認済み",$AC86="有効")),$AB86+ROW()/100000,"")</f>
        <v/>
      </c>
      <c r="AS86" s="32">
        <f>IF($E86="","",IF(COUNTIF($E$5:$E86,$E86)=1,ROW(),""))</f>
        <v/>
      </c>
      <c r="AT86" s="32">
        <f>IF($S86="","",IF(COUNTIF($S$5:$S86,$S86)=1,ROW(),""))</f>
        <v/>
      </c>
    </row>
    <row r="87" ht="20" customHeight="1">
      <c r="A87" s="20" t="n">
        <v>83</v>
      </c>
      <c r="B87" s="21" t="n"/>
      <c r="C87" s="22" t="n"/>
      <c r="D87" s="22" t="n"/>
      <c r="E87" s="22" t="n"/>
      <c r="F87" s="66" t="n"/>
      <c r="G87" s="66" t="n"/>
      <c r="H87" s="66" t="n"/>
      <c r="I87" s="21" t="n"/>
      <c r="J87" s="24" t="n"/>
      <c r="K87" s="24" t="n"/>
      <c r="L87" s="21" t="n"/>
      <c r="M87" s="24" t="n"/>
      <c r="N87" s="21" t="n"/>
      <c r="O87" s="67" t="n"/>
      <c r="P87" s="21" t="n"/>
      <c r="Q87" s="21" t="n"/>
      <c r="R87" s="22" t="n"/>
      <c r="S87" s="22" t="n"/>
      <c r="T87" s="21" t="n"/>
      <c r="U87" s="66" t="n"/>
      <c r="V87" s="66" t="n"/>
      <c r="W87" s="66" t="n"/>
      <c r="X87" s="8" t="n"/>
      <c r="Y87" s="68">
        <f>IF($AN87="","",IF($AN87=0,$H87,IF($AN87=$AJ87,$AK87,$AL87)))</f>
        <v/>
      </c>
      <c r="Z87" s="68">
        <f>IF(OR($Y87="",NOT(ISNUMBER($K87))),"",IF($L87="日前",$Y87-$K87,EDATE($Y87,-$K87)))</f>
        <v/>
      </c>
      <c r="AA87" s="68">
        <f>IF(OR($Y87="",ISNUMBER($V87),N($Y87)&lt;'設定'!$B$6),"",IF($Z87&lt;&gt;"",$Z87,$Y87))</f>
        <v/>
      </c>
      <c r="AB87" s="69">
        <f>IF($AA87="","",$AA87-'設定'!$B$6)</f>
        <v/>
      </c>
      <c r="AC87" s="28">
        <f>IF(NOT(OR($B87&lt;&gt;"",$C87&lt;&gt;"")),"",IF(ISNUMBER($V87),IF($V87&lt;'設定'!$B$6,"終了","終了予定"),IF($Y87="","有効",IF($Y87&lt;'設定'!$B$6,"満了",IF(AND($T87="更新する",ISNUMBER($U87),N($U87)&lt;='設定'!$B$6,OR($AO87="",N($U87)&gt;N($AO87))),"確認済み",IF($AB87&lt;0,"通知期限切れ",IF($AB87&lt;=N('設定'!$B$7),"要対応","有効")))))))</f>
        <v/>
      </c>
      <c r="AD87" s="68">
        <f>IF(OR(NOT(ISNUMBER($M87)),$AC87="",$AC87="終了",$AC87="終了予定",$AC87="満了"),"",IF($N87="日前",'設定'!$B$6+$M87,EDATE('設定'!$B$6,$M87)))</f>
        <v/>
      </c>
      <c r="AE87" s="70">
        <f>IF(NOT(ISNUMBER($O87)),"",IF($P87="月額",$O87*12,IF($P87="年額",$O87,"")))</f>
        <v/>
      </c>
      <c r="AF87" s="30">
        <f>MID(IF(AND(ISNUMBER($G87),ISNUMBER($H87)),IF(N($H87)&lt;N($G87)," / 満了日が開始日より前",""),"")&amp;IF(AND($I87="あり",NOT(ISNUMBER($H87)))," / 自動更新ありなのに満了日が空","")&amp;IF(AND($I87="あり",ISNUMBER($H87),NOT(ISNUMBER($J87)))," / 更新期間が空（更新を計算できない）","")&amp;IF($AH87="","",IF(AND(DAY($AH87)&gt;=29,OR(MOD($J87,12)&lt;&gt;0,MONTH($AH87)=2))," / 更新の初日が29〜31日（更新を重ねると満了日が1日ずれることがある。満了日を今の期間の満了日に書き換えると直る）",""))&amp;IF(AND(ISNUMBER($K87),$L87="")," / 通知の単位が空（か月前で計算）","")&amp;IF(AND(ISNUMBER($M87),$N87="")," / 解約予告の単位が空（か月前で計算）","")&amp;IF(AND(ISNUMBER($O87),$P87="")," / 金額の区分が空","")&amp;IF(AND($T87&lt;&gt;"",NOT(ISNUMBER($U87)))," / 対応を決めた日が空","")&amp;IF(AND(ISNUMBER($U87),$T87="")," / 今期の対応が空","")&amp;IF(AND($T87="更新しない",NOT(ISNUMBER($V87)))," / 更新しないなら、解約・終了した日（契約が終わる日）を入れる",""),4,300)</f>
        <v/>
      </c>
      <c r="AG87" s="53" t="n"/>
      <c r="AH87" s="71">
        <f>IF(AND(ISNUMBER($H87),$I87="あり",ISNUMBER($J87)),IF($J87&gt;=1,$H87+1,""),"")</f>
        <v/>
      </c>
      <c r="AI87" s="32">
        <f>IF($AH87="","",(YEAR('設定'!$B$6)-YEAR($AH87))*12+MONTH('設定'!$B$6)-MONTH($AH87))</f>
        <v/>
      </c>
      <c r="AJ87" s="32">
        <f>IF($AH87="","",MAX(1,ROUNDUP($AI87/$J87,0)))</f>
        <v/>
      </c>
      <c r="AK87" s="71">
        <f>IF($AJ87="","",IF(DAY(EDATE($AH87,$AJ87*$J87))&lt;DAY($AH87),EDATE($AH87,$AJ87*$J87),EDATE($AH87,$AJ87*$J87)-1))</f>
        <v/>
      </c>
      <c r="AL87" s="71">
        <f>IF($AJ87="","",IF(DAY(EDATE($AH87,($AJ87+1)*$J87))&lt;DAY($AH87),EDATE($AH87,($AJ87+1)*$J87),EDATE($AH87,($AJ87+1)*$J87)-1))</f>
        <v/>
      </c>
      <c r="AM87" s="71">
        <f>IF($AJ87="","",IF($AJ87=1,$H87,IF(DAY(EDATE($AH87,($AJ87-1)*$J87))&lt;DAY($AH87),EDATE($AH87,($AJ87-1)*$J87),EDATE($AH87,($AJ87-1)*$J87)-1)))</f>
        <v/>
      </c>
      <c r="AN87" s="32">
        <f>IF(NOT(ISNUMBER($H87)),"",IF(OR($AH87="",$H87&gt;='設定'!$B$6),0,IF($AK87&gt;='設定'!$B$6,$AJ87,$AJ87+1)))</f>
        <v/>
      </c>
      <c r="AO87" s="71">
        <f>IF($AN87="","",IF($AN87=0,"",IF($AN87=$AJ87,$AM87,$AK87)))</f>
        <v/>
      </c>
      <c r="AP87" s="32">
        <f>IF(OR($AC87="要対応",$AC87="通知期限切れ",$AC87="確認済み",$AC87="有効",$AC87="終了予定"),1,0)</f>
        <v/>
      </c>
      <c r="AQ87" s="32">
        <f>IF(OR($AC87="要対応",$AC87="通知期限切れ"),1,0)</f>
        <v/>
      </c>
      <c r="AR87" s="72">
        <f>IF(AND(ISNUMBER($AB87),OR($AC87="要対応",$AC87="通知期限切れ",$AC87="確認済み",$AC87="有効")),$AB87+ROW()/100000,"")</f>
        <v/>
      </c>
      <c r="AS87" s="32">
        <f>IF($E87="","",IF(COUNTIF($E$5:$E87,$E87)=1,ROW(),""))</f>
        <v/>
      </c>
      <c r="AT87" s="32">
        <f>IF($S87="","",IF(COUNTIF($S$5:$S87,$S87)=1,ROW(),""))</f>
        <v/>
      </c>
    </row>
    <row r="88" ht="20" customHeight="1">
      <c r="A88" s="20" t="n">
        <v>84</v>
      </c>
      <c r="B88" s="21" t="n"/>
      <c r="C88" s="22" t="n"/>
      <c r="D88" s="22" t="n"/>
      <c r="E88" s="22" t="n"/>
      <c r="F88" s="66" t="n"/>
      <c r="G88" s="66" t="n"/>
      <c r="H88" s="66" t="n"/>
      <c r="I88" s="21" t="n"/>
      <c r="J88" s="24" t="n"/>
      <c r="K88" s="24" t="n"/>
      <c r="L88" s="21" t="n"/>
      <c r="M88" s="24" t="n"/>
      <c r="N88" s="21" t="n"/>
      <c r="O88" s="67" t="n"/>
      <c r="P88" s="21" t="n"/>
      <c r="Q88" s="21" t="n"/>
      <c r="R88" s="22" t="n"/>
      <c r="S88" s="22" t="n"/>
      <c r="T88" s="21" t="n"/>
      <c r="U88" s="66" t="n"/>
      <c r="V88" s="66" t="n"/>
      <c r="W88" s="66" t="n"/>
      <c r="X88" s="8" t="n"/>
      <c r="Y88" s="68">
        <f>IF($AN88="","",IF($AN88=0,$H88,IF($AN88=$AJ88,$AK88,$AL88)))</f>
        <v/>
      </c>
      <c r="Z88" s="68">
        <f>IF(OR($Y88="",NOT(ISNUMBER($K88))),"",IF($L88="日前",$Y88-$K88,EDATE($Y88,-$K88)))</f>
        <v/>
      </c>
      <c r="AA88" s="68">
        <f>IF(OR($Y88="",ISNUMBER($V88),N($Y88)&lt;'設定'!$B$6),"",IF($Z88&lt;&gt;"",$Z88,$Y88))</f>
        <v/>
      </c>
      <c r="AB88" s="69">
        <f>IF($AA88="","",$AA88-'設定'!$B$6)</f>
        <v/>
      </c>
      <c r="AC88" s="28">
        <f>IF(NOT(OR($B88&lt;&gt;"",$C88&lt;&gt;"")),"",IF(ISNUMBER($V88),IF($V88&lt;'設定'!$B$6,"終了","終了予定"),IF($Y88="","有効",IF($Y88&lt;'設定'!$B$6,"満了",IF(AND($T88="更新する",ISNUMBER($U88),N($U88)&lt;='設定'!$B$6,OR($AO88="",N($U88)&gt;N($AO88))),"確認済み",IF($AB88&lt;0,"通知期限切れ",IF($AB88&lt;=N('設定'!$B$7),"要対応","有効")))))))</f>
        <v/>
      </c>
      <c r="AD88" s="68">
        <f>IF(OR(NOT(ISNUMBER($M88)),$AC88="",$AC88="終了",$AC88="終了予定",$AC88="満了"),"",IF($N88="日前",'設定'!$B$6+$M88,EDATE('設定'!$B$6,$M88)))</f>
        <v/>
      </c>
      <c r="AE88" s="70">
        <f>IF(NOT(ISNUMBER($O88)),"",IF($P88="月額",$O88*12,IF($P88="年額",$O88,"")))</f>
        <v/>
      </c>
      <c r="AF88" s="30">
        <f>MID(IF(AND(ISNUMBER($G88),ISNUMBER($H88)),IF(N($H88)&lt;N($G88)," / 満了日が開始日より前",""),"")&amp;IF(AND($I88="あり",NOT(ISNUMBER($H88)))," / 自動更新ありなのに満了日が空","")&amp;IF(AND($I88="あり",ISNUMBER($H88),NOT(ISNUMBER($J88)))," / 更新期間が空（更新を計算できない）","")&amp;IF($AH88="","",IF(AND(DAY($AH88)&gt;=29,OR(MOD($J88,12)&lt;&gt;0,MONTH($AH88)=2))," / 更新の初日が29〜31日（更新を重ねると満了日が1日ずれることがある。満了日を今の期間の満了日に書き換えると直る）",""))&amp;IF(AND(ISNUMBER($K88),$L88="")," / 通知の単位が空（か月前で計算）","")&amp;IF(AND(ISNUMBER($M88),$N88="")," / 解約予告の単位が空（か月前で計算）","")&amp;IF(AND(ISNUMBER($O88),$P88="")," / 金額の区分が空","")&amp;IF(AND($T88&lt;&gt;"",NOT(ISNUMBER($U88)))," / 対応を決めた日が空","")&amp;IF(AND(ISNUMBER($U88),$T88="")," / 今期の対応が空","")&amp;IF(AND($T88="更新しない",NOT(ISNUMBER($V88)))," / 更新しないなら、解約・終了した日（契約が終わる日）を入れる",""),4,300)</f>
        <v/>
      </c>
      <c r="AG88" s="53" t="n"/>
      <c r="AH88" s="71">
        <f>IF(AND(ISNUMBER($H88),$I88="あり",ISNUMBER($J88)),IF($J88&gt;=1,$H88+1,""),"")</f>
        <v/>
      </c>
      <c r="AI88" s="32">
        <f>IF($AH88="","",(YEAR('設定'!$B$6)-YEAR($AH88))*12+MONTH('設定'!$B$6)-MONTH($AH88))</f>
        <v/>
      </c>
      <c r="AJ88" s="32">
        <f>IF($AH88="","",MAX(1,ROUNDUP($AI88/$J88,0)))</f>
        <v/>
      </c>
      <c r="AK88" s="71">
        <f>IF($AJ88="","",IF(DAY(EDATE($AH88,$AJ88*$J88))&lt;DAY($AH88),EDATE($AH88,$AJ88*$J88),EDATE($AH88,$AJ88*$J88)-1))</f>
        <v/>
      </c>
      <c r="AL88" s="71">
        <f>IF($AJ88="","",IF(DAY(EDATE($AH88,($AJ88+1)*$J88))&lt;DAY($AH88),EDATE($AH88,($AJ88+1)*$J88),EDATE($AH88,($AJ88+1)*$J88)-1))</f>
        <v/>
      </c>
      <c r="AM88" s="71">
        <f>IF($AJ88="","",IF($AJ88=1,$H88,IF(DAY(EDATE($AH88,($AJ88-1)*$J88))&lt;DAY($AH88),EDATE($AH88,($AJ88-1)*$J88),EDATE($AH88,($AJ88-1)*$J88)-1)))</f>
        <v/>
      </c>
      <c r="AN88" s="32">
        <f>IF(NOT(ISNUMBER($H88)),"",IF(OR($AH88="",$H88&gt;='設定'!$B$6),0,IF($AK88&gt;='設定'!$B$6,$AJ88,$AJ88+1)))</f>
        <v/>
      </c>
      <c r="AO88" s="71">
        <f>IF($AN88="","",IF($AN88=0,"",IF($AN88=$AJ88,$AM88,$AK88)))</f>
        <v/>
      </c>
      <c r="AP88" s="32">
        <f>IF(OR($AC88="要対応",$AC88="通知期限切れ",$AC88="確認済み",$AC88="有効",$AC88="終了予定"),1,0)</f>
        <v/>
      </c>
      <c r="AQ88" s="32">
        <f>IF(OR($AC88="要対応",$AC88="通知期限切れ"),1,0)</f>
        <v/>
      </c>
      <c r="AR88" s="72">
        <f>IF(AND(ISNUMBER($AB88),OR($AC88="要対応",$AC88="通知期限切れ",$AC88="確認済み",$AC88="有効")),$AB88+ROW()/100000,"")</f>
        <v/>
      </c>
      <c r="AS88" s="32">
        <f>IF($E88="","",IF(COUNTIF($E$5:$E88,$E88)=1,ROW(),""))</f>
        <v/>
      </c>
      <c r="AT88" s="32">
        <f>IF($S88="","",IF(COUNTIF($S$5:$S88,$S88)=1,ROW(),""))</f>
        <v/>
      </c>
    </row>
    <row r="89" ht="20" customHeight="1">
      <c r="A89" s="20" t="n">
        <v>85</v>
      </c>
      <c r="B89" s="21" t="n"/>
      <c r="C89" s="22" t="n"/>
      <c r="D89" s="22" t="n"/>
      <c r="E89" s="22" t="n"/>
      <c r="F89" s="66" t="n"/>
      <c r="G89" s="66" t="n"/>
      <c r="H89" s="66" t="n"/>
      <c r="I89" s="21" t="n"/>
      <c r="J89" s="24" t="n"/>
      <c r="K89" s="24" t="n"/>
      <c r="L89" s="21" t="n"/>
      <c r="M89" s="24" t="n"/>
      <c r="N89" s="21" t="n"/>
      <c r="O89" s="67" t="n"/>
      <c r="P89" s="21" t="n"/>
      <c r="Q89" s="21" t="n"/>
      <c r="R89" s="22" t="n"/>
      <c r="S89" s="22" t="n"/>
      <c r="T89" s="21" t="n"/>
      <c r="U89" s="66" t="n"/>
      <c r="V89" s="66" t="n"/>
      <c r="W89" s="66" t="n"/>
      <c r="X89" s="8" t="n"/>
      <c r="Y89" s="68">
        <f>IF($AN89="","",IF($AN89=0,$H89,IF($AN89=$AJ89,$AK89,$AL89)))</f>
        <v/>
      </c>
      <c r="Z89" s="68">
        <f>IF(OR($Y89="",NOT(ISNUMBER($K89))),"",IF($L89="日前",$Y89-$K89,EDATE($Y89,-$K89)))</f>
        <v/>
      </c>
      <c r="AA89" s="68">
        <f>IF(OR($Y89="",ISNUMBER($V89),N($Y89)&lt;'設定'!$B$6),"",IF($Z89&lt;&gt;"",$Z89,$Y89))</f>
        <v/>
      </c>
      <c r="AB89" s="69">
        <f>IF($AA89="","",$AA89-'設定'!$B$6)</f>
        <v/>
      </c>
      <c r="AC89" s="28">
        <f>IF(NOT(OR($B89&lt;&gt;"",$C89&lt;&gt;"")),"",IF(ISNUMBER($V89),IF($V89&lt;'設定'!$B$6,"終了","終了予定"),IF($Y89="","有効",IF($Y89&lt;'設定'!$B$6,"満了",IF(AND($T89="更新する",ISNUMBER($U89),N($U89)&lt;='設定'!$B$6,OR($AO89="",N($U89)&gt;N($AO89))),"確認済み",IF($AB89&lt;0,"通知期限切れ",IF($AB89&lt;=N('設定'!$B$7),"要対応","有効")))))))</f>
        <v/>
      </c>
      <c r="AD89" s="68">
        <f>IF(OR(NOT(ISNUMBER($M89)),$AC89="",$AC89="終了",$AC89="終了予定",$AC89="満了"),"",IF($N89="日前",'設定'!$B$6+$M89,EDATE('設定'!$B$6,$M89)))</f>
        <v/>
      </c>
      <c r="AE89" s="70">
        <f>IF(NOT(ISNUMBER($O89)),"",IF($P89="月額",$O89*12,IF($P89="年額",$O89,"")))</f>
        <v/>
      </c>
      <c r="AF89" s="30">
        <f>MID(IF(AND(ISNUMBER($G89),ISNUMBER($H89)),IF(N($H89)&lt;N($G89)," / 満了日が開始日より前",""),"")&amp;IF(AND($I89="あり",NOT(ISNUMBER($H89)))," / 自動更新ありなのに満了日が空","")&amp;IF(AND($I89="あり",ISNUMBER($H89),NOT(ISNUMBER($J89)))," / 更新期間が空（更新を計算できない）","")&amp;IF($AH89="","",IF(AND(DAY($AH89)&gt;=29,OR(MOD($J89,12)&lt;&gt;0,MONTH($AH89)=2))," / 更新の初日が29〜31日（更新を重ねると満了日が1日ずれることがある。満了日を今の期間の満了日に書き換えると直る）",""))&amp;IF(AND(ISNUMBER($K89),$L89="")," / 通知の単位が空（か月前で計算）","")&amp;IF(AND(ISNUMBER($M89),$N89="")," / 解約予告の単位が空（か月前で計算）","")&amp;IF(AND(ISNUMBER($O89),$P89="")," / 金額の区分が空","")&amp;IF(AND($T89&lt;&gt;"",NOT(ISNUMBER($U89)))," / 対応を決めた日が空","")&amp;IF(AND(ISNUMBER($U89),$T89="")," / 今期の対応が空","")&amp;IF(AND($T89="更新しない",NOT(ISNUMBER($V89)))," / 更新しないなら、解約・終了した日（契約が終わる日）を入れる",""),4,300)</f>
        <v/>
      </c>
      <c r="AG89" s="53" t="n"/>
      <c r="AH89" s="71">
        <f>IF(AND(ISNUMBER($H89),$I89="あり",ISNUMBER($J89)),IF($J89&gt;=1,$H89+1,""),"")</f>
        <v/>
      </c>
      <c r="AI89" s="32">
        <f>IF($AH89="","",(YEAR('設定'!$B$6)-YEAR($AH89))*12+MONTH('設定'!$B$6)-MONTH($AH89))</f>
        <v/>
      </c>
      <c r="AJ89" s="32">
        <f>IF($AH89="","",MAX(1,ROUNDUP($AI89/$J89,0)))</f>
        <v/>
      </c>
      <c r="AK89" s="71">
        <f>IF($AJ89="","",IF(DAY(EDATE($AH89,$AJ89*$J89))&lt;DAY($AH89),EDATE($AH89,$AJ89*$J89),EDATE($AH89,$AJ89*$J89)-1))</f>
        <v/>
      </c>
      <c r="AL89" s="71">
        <f>IF($AJ89="","",IF(DAY(EDATE($AH89,($AJ89+1)*$J89))&lt;DAY($AH89),EDATE($AH89,($AJ89+1)*$J89),EDATE($AH89,($AJ89+1)*$J89)-1))</f>
        <v/>
      </c>
      <c r="AM89" s="71">
        <f>IF($AJ89="","",IF($AJ89=1,$H89,IF(DAY(EDATE($AH89,($AJ89-1)*$J89))&lt;DAY($AH89),EDATE($AH89,($AJ89-1)*$J89),EDATE($AH89,($AJ89-1)*$J89)-1)))</f>
        <v/>
      </c>
      <c r="AN89" s="32">
        <f>IF(NOT(ISNUMBER($H89)),"",IF(OR($AH89="",$H89&gt;='設定'!$B$6),0,IF($AK89&gt;='設定'!$B$6,$AJ89,$AJ89+1)))</f>
        <v/>
      </c>
      <c r="AO89" s="71">
        <f>IF($AN89="","",IF($AN89=0,"",IF($AN89=$AJ89,$AM89,$AK89)))</f>
        <v/>
      </c>
      <c r="AP89" s="32">
        <f>IF(OR($AC89="要対応",$AC89="通知期限切れ",$AC89="確認済み",$AC89="有効",$AC89="終了予定"),1,0)</f>
        <v/>
      </c>
      <c r="AQ89" s="32">
        <f>IF(OR($AC89="要対応",$AC89="通知期限切れ"),1,0)</f>
        <v/>
      </c>
      <c r="AR89" s="72">
        <f>IF(AND(ISNUMBER($AB89),OR($AC89="要対応",$AC89="通知期限切れ",$AC89="確認済み",$AC89="有効")),$AB89+ROW()/100000,"")</f>
        <v/>
      </c>
      <c r="AS89" s="32">
        <f>IF($E89="","",IF(COUNTIF($E$5:$E89,$E89)=1,ROW(),""))</f>
        <v/>
      </c>
      <c r="AT89" s="32">
        <f>IF($S89="","",IF(COUNTIF($S$5:$S89,$S89)=1,ROW(),""))</f>
        <v/>
      </c>
    </row>
    <row r="90" ht="20" customHeight="1">
      <c r="A90" s="20" t="n">
        <v>86</v>
      </c>
      <c r="B90" s="21" t="n"/>
      <c r="C90" s="22" t="n"/>
      <c r="D90" s="22" t="n"/>
      <c r="E90" s="22" t="n"/>
      <c r="F90" s="66" t="n"/>
      <c r="G90" s="66" t="n"/>
      <c r="H90" s="66" t="n"/>
      <c r="I90" s="21" t="n"/>
      <c r="J90" s="24" t="n"/>
      <c r="K90" s="24" t="n"/>
      <c r="L90" s="21" t="n"/>
      <c r="M90" s="24" t="n"/>
      <c r="N90" s="21" t="n"/>
      <c r="O90" s="67" t="n"/>
      <c r="P90" s="21" t="n"/>
      <c r="Q90" s="21" t="n"/>
      <c r="R90" s="22" t="n"/>
      <c r="S90" s="22" t="n"/>
      <c r="T90" s="21" t="n"/>
      <c r="U90" s="66" t="n"/>
      <c r="V90" s="66" t="n"/>
      <c r="W90" s="66" t="n"/>
      <c r="X90" s="8" t="n"/>
      <c r="Y90" s="68">
        <f>IF($AN90="","",IF($AN90=0,$H90,IF($AN90=$AJ90,$AK90,$AL90)))</f>
        <v/>
      </c>
      <c r="Z90" s="68">
        <f>IF(OR($Y90="",NOT(ISNUMBER($K90))),"",IF($L90="日前",$Y90-$K90,EDATE($Y90,-$K90)))</f>
        <v/>
      </c>
      <c r="AA90" s="68">
        <f>IF(OR($Y90="",ISNUMBER($V90),N($Y90)&lt;'設定'!$B$6),"",IF($Z90&lt;&gt;"",$Z90,$Y90))</f>
        <v/>
      </c>
      <c r="AB90" s="69">
        <f>IF($AA90="","",$AA90-'設定'!$B$6)</f>
        <v/>
      </c>
      <c r="AC90" s="28">
        <f>IF(NOT(OR($B90&lt;&gt;"",$C90&lt;&gt;"")),"",IF(ISNUMBER($V90),IF($V90&lt;'設定'!$B$6,"終了","終了予定"),IF($Y90="","有効",IF($Y90&lt;'設定'!$B$6,"満了",IF(AND($T90="更新する",ISNUMBER($U90),N($U90)&lt;='設定'!$B$6,OR($AO90="",N($U90)&gt;N($AO90))),"確認済み",IF($AB90&lt;0,"通知期限切れ",IF($AB90&lt;=N('設定'!$B$7),"要対応","有効")))))))</f>
        <v/>
      </c>
      <c r="AD90" s="68">
        <f>IF(OR(NOT(ISNUMBER($M90)),$AC90="",$AC90="終了",$AC90="終了予定",$AC90="満了"),"",IF($N90="日前",'設定'!$B$6+$M90,EDATE('設定'!$B$6,$M90)))</f>
        <v/>
      </c>
      <c r="AE90" s="70">
        <f>IF(NOT(ISNUMBER($O90)),"",IF($P90="月額",$O90*12,IF($P90="年額",$O90,"")))</f>
        <v/>
      </c>
      <c r="AF90" s="30">
        <f>MID(IF(AND(ISNUMBER($G90),ISNUMBER($H90)),IF(N($H90)&lt;N($G90)," / 満了日が開始日より前",""),"")&amp;IF(AND($I90="あり",NOT(ISNUMBER($H90)))," / 自動更新ありなのに満了日が空","")&amp;IF(AND($I90="あり",ISNUMBER($H90),NOT(ISNUMBER($J90)))," / 更新期間が空（更新を計算できない）","")&amp;IF($AH90="","",IF(AND(DAY($AH90)&gt;=29,OR(MOD($J90,12)&lt;&gt;0,MONTH($AH90)=2))," / 更新の初日が29〜31日（更新を重ねると満了日が1日ずれることがある。満了日を今の期間の満了日に書き換えると直る）",""))&amp;IF(AND(ISNUMBER($K90),$L90="")," / 通知の単位が空（か月前で計算）","")&amp;IF(AND(ISNUMBER($M90),$N90="")," / 解約予告の単位が空（か月前で計算）","")&amp;IF(AND(ISNUMBER($O90),$P90="")," / 金額の区分が空","")&amp;IF(AND($T90&lt;&gt;"",NOT(ISNUMBER($U90)))," / 対応を決めた日が空","")&amp;IF(AND(ISNUMBER($U90),$T90="")," / 今期の対応が空","")&amp;IF(AND($T90="更新しない",NOT(ISNUMBER($V90)))," / 更新しないなら、解約・終了した日（契約が終わる日）を入れる",""),4,300)</f>
        <v/>
      </c>
      <c r="AG90" s="53" t="n"/>
      <c r="AH90" s="71">
        <f>IF(AND(ISNUMBER($H90),$I90="あり",ISNUMBER($J90)),IF($J90&gt;=1,$H90+1,""),"")</f>
        <v/>
      </c>
      <c r="AI90" s="32">
        <f>IF($AH90="","",(YEAR('設定'!$B$6)-YEAR($AH90))*12+MONTH('設定'!$B$6)-MONTH($AH90))</f>
        <v/>
      </c>
      <c r="AJ90" s="32">
        <f>IF($AH90="","",MAX(1,ROUNDUP($AI90/$J90,0)))</f>
        <v/>
      </c>
      <c r="AK90" s="71">
        <f>IF($AJ90="","",IF(DAY(EDATE($AH90,$AJ90*$J90))&lt;DAY($AH90),EDATE($AH90,$AJ90*$J90),EDATE($AH90,$AJ90*$J90)-1))</f>
        <v/>
      </c>
      <c r="AL90" s="71">
        <f>IF($AJ90="","",IF(DAY(EDATE($AH90,($AJ90+1)*$J90))&lt;DAY($AH90),EDATE($AH90,($AJ90+1)*$J90),EDATE($AH90,($AJ90+1)*$J90)-1))</f>
        <v/>
      </c>
      <c r="AM90" s="71">
        <f>IF($AJ90="","",IF($AJ90=1,$H90,IF(DAY(EDATE($AH90,($AJ90-1)*$J90))&lt;DAY($AH90),EDATE($AH90,($AJ90-1)*$J90),EDATE($AH90,($AJ90-1)*$J90)-1)))</f>
        <v/>
      </c>
      <c r="AN90" s="32">
        <f>IF(NOT(ISNUMBER($H90)),"",IF(OR($AH90="",$H90&gt;='設定'!$B$6),0,IF($AK90&gt;='設定'!$B$6,$AJ90,$AJ90+1)))</f>
        <v/>
      </c>
      <c r="AO90" s="71">
        <f>IF($AN90="","",IF($AN90=0,"",IF($AN90=$AJ90,$AM90,$AK90)))</f>
        <v/>
      </c>
      <c r="AP90" s="32">
        <f>IF(OR($AC90="要対応",$AC90="通知期限切れ",$AC90="確認済み",$AC90="有効",$AC90="終了予定"),1,0)</f>
        <v/>
      </c>
      <c r="AQ90" s="32">
        <f>IF(OR($AC90="要対応",$AC90="通知期限切れ"),1,0)</f>
        <v/>
      </c>
      <c r="AR90" s="72">
        <f>IF(AND(ISNUMBER($AB90),OR($AC90="要対応",$AC90="通知期限切れ",$AC90="確認済み",$AC90="有効")),$AB90+ROW()/100000,"")</f>
        <v/>
      </c>
      <c r="AS90" s="32">
        <f>IF($E90="","",IF(COUNTIF($E$5:$E90,$E90)=1,ROW(),""))</f>
        <v/>
      </c>
      <c r="AT90" s="32">
        <f>IF($S90="","",IF(COUNTIF($S$5:$S90,$S90)=1,ROW(),""))</f>
        <v/>
      </c>
    </row>
    <row r="91" ht="20" customHeight="1">
      <c r="A91" s="20" t="n">
        <v>87</v>
      </c>
      <c r="B91" s="21" t="n"/>
      <c r="C91" s="22" t="n"/>
      <c r="D91" s="22" t="n"/>
      <c r="E91" s="22" t="n"/>
      <c r="F91" s="66" t="n"/>
      <c r="G91" s="66" t="n"/>
      <c r="H91" s="66" t="n"/>
      <c r="I91" s="21" t="n"/>
      <c r="J91" s="24" t="n"/>
      <c r="K91" s="24" t="n"/>
      <c r="L91" s="21" t="n"/>
      <c r="M91" s="24" t="n"/>
      <c r="N91" s="21" t="n"/>
      <c r="O91" s="67" t="n"/>
      <c r="P91" s="21" t="n"/>
      <c r="Q91" s="21" t="n"/>
      <c r="R91" s="22" t="n"/>
      <c r="S91" s="22" t="n"/>
      <c r="T91" s="21" t="n"/>
      <c r="U91" s="66" t="n"/>
      <c r="V91" s="66" t="n"/>
      <c r="W91" s="66" t="n"/>
      <c r="X91" s="8" t="n"/>
      <c r="Y91" s="68">
        <f>IF($AN91="","",IF($AN91=0,$H91,IF($AN91=$AJ91,$AK91,$AL91)))</f>
        <v/>
      </c>
      <c r="Z91" s="68">
        <f>IF(OR($Y91="",NOT(ISNUMBER($K91))),"",IF($L91="日前",$Y91-$K91,EDATE($Y91,-$K91)))</f>
        <v/>
      </c>
      <c r="AA91" s="68">
        <f>IF(OR($Y91="",ISNUMBER($V91),N($Y91)&lt;'設定'!$B$6),"",IF($Z91&lt;&gt;"",$Z91,$Y91))</f>
        <v/>
      </c>
      <c r="AB91" s="69">
        <f>IF($AA91="","",$AA91-'設定'!$B$6)</f>
        <v/>
      </c>
      <c r="AC91" s="28">
        <f>IF(NOT(OR($B91&lt;&gt;"",$C91&lt;&gt;"")),"",IF(ISNUMBER($V91),IF($V91&lt;'設定'!$B$6,"終了","終了予定"),IF($Y91="","有効",IF($Y91&lt;'設定'!$B$6,"満了",IF(AND($T91="更新する",ISNUMBER($U91),N($U91)&lt;='設定'!$B$6,OR($AO91="",N($U91)&gt;N($AO91))),"確認済み",IF($AB91&lt;0,"通知期限切れ",IF($AB91&lt;=N('設定'!$B$7),"要対応","有効")))))))</f>
        <v/>
      </c>
      <c r="AD91" s="68">
        <f>IF(OR(NOT(ISNUMBER($M91)),$AC91="",$AC91="終了",$AC91="終了予定",$AC91="満了"),"",IF($N91="日前",'設定'!$B$6+$M91,EDATE('設定'!$B$6,$M91)))</f>
        <v/>
      </c>
      <c r="AE91" s="70">
        <f>IF(NOT(ISNUMBER($O91)),"",IF($P91="月額",$O91*12,IF($P91="年額",$O91,"")))</f>
        <v/>
      </c>
      <c r="AF91" s="30">
        <f>MID(IF(AND(ISNUMBER($G91),ISNUMBER($H91)),IF(N($H91)&lt;N($G91)," / 満了日が開始日より前",""),"")&amp;IF(AND($I91="あり",NOT(ISNUMBER($H91)))," / 自動更新ありなのに満了日が空","")&amp;IF(AND($I91="あり",ISNUMBER($H91),NOT(ISNUMBER($J91)))," / 更新期間が空（更新を計算できない）","")&amp;IF($AH91="","",IF(AND(DAY($AH91)&gt;=29,OR(MOD($J91,12)&lt;&gt;0,MONTH($AH91)=2))," / 更新の初日が29〜31日（更新を重ねると満了日が1日ずれることがある。満了日を今の期間の満了日に書き換えると直る）",""))&amp;IF(AND(ISNUMBER($K91),$L91="")," / 通知の単位が空（か月前で計算）","")&amp;IF(AND(ISNUMBER($M91),$N91="")," / 解約予告の単位が空（か月前で計算）","")&amp;IF(AND(ISNUMBER($O91),$P91="")," / 金額の区分が空","")&amp;IF(AND($T91&lt;&gt;"",NOT(ISNUMBER($U91)))," / 対応を決めた日が空","")&amp;IF(AND(ISNUMBER($U91),$T91="")," / 今期の対応が空","")&amp;IF(AND($T91="更新しない",NOT(ISNUMBER($V91)))," / 更新しないなら、解約・終了した日（契約が終わる日）を入れる",""),4,300)</f>
        <v/>
      </c>
      <c r="AG91" s="53" t="n"/>
      <c r="AH91" s="71">
        <f>IF(AND(ISNUMBER($H91),$I91="あり",ISNUMBER($J91)),IF($J91&gt;=1,$H91+1,""),"")</f>
        <v/>
      </c>
      <c r="AI91" s="32">
        <f>IF($AH91="","",(YEAR('設定'!$B$6)-YEAR($AH91))*12+MONTH('設定'!$B$6)-MONTH($AH91))</f>
        <v/>
      </c>
      <c r="AJ91" s="32">
        <f>IF($AH91="","",MAX(1,ROUNDUP($AI91/$J91,0)))</f>
        <v/>
      </c>
      <c r="AK91" s="71">
        <f>IF($AJ91="","",IF(DAY(EDATE($AH91,$AJ91*$J91))&lt;DAY($AH91),EDATE($AH91,$AJ91*$J91),EDATE($AH91,$AJ91*$J91)-1))</f>
        <v/>
      </c>
      <c r="AL91" s="71">
        <f>IF($AJ91="","",IF(DAY(EDATE($AH91,($AJ91+1)*$J91))&lt;DAY($AH91),EDATE($AH91,($AJ91+1)*$J91),EDATE($AH91,($AJ91+1)*$J91)-1))</f>
        <v/>
      </c>
      <c r="AM91" s="71">
        <f>IF($AJ91="","",IF($AJ91=1,$H91,IF(DAY(EDATE($AH91,($AJ91-1)*$J91))&lt;DAY($AH91),EDATE($AH91,($AJ91-1)*$J91),EDATE($AH91,($AJ91-1)*$J91)-1)))</f>
        <v/>
      </c>
      <c r="AN91" s="32">
        <f>IF(NOT(ISNUMBER($H91)),"",IF(OR($AH91="",$H91&gt;='設定'!$B$6),0,IF($AK91&gt;='設定'!$B$6,$AJ91,$AJ91+1)))</f>
        <v/>
      </c>
      <c r="AO91" s="71">
        <f>IF($AN91="","",IF($AN91=0,"",IF($AN91=$AJ91,$AM91,$AK91)))</f>
        <v/>
      </c>
      <c r="AP91" s="32">
        <f>IF(OR($AC91="要対応",$AC91="通知期限切れ",$AC91="確認済み",$AC91="有効",$AC91="終了予定"),1,0)</f>
        <v/>
      </c>
      <c r="AQ91" s="32">
        <f>IF(OR($AC91="要対応",$AC91="通知期限切れ"),1,0)</f>
        <v/>
      </c>
      <c r="AR91" s="72">
        <f>IF(AND(ISNUMBER($AB91),OR($AC91="要対応",$AC91="通知期限切れ",$AC91="確認済み",$AC91="有効")),$AB91+ROW()/100000,"")</f>
        <v/>
      </c>
      <c r="AS91" s="32">
        <f>IF($E91="","",IF(COUNTIF($E$5:$E91,$E91)=1,ROW(),""))</f>
        <v/>
      </c>
      <c r="AT91" s="32">
        <f>IF($S91="","",IF(COUNTIF($S$5:$S91,$S91)=1,ROW(),""))</f>
        <v/>
      </c>
    </row>
    <row r="92" ht="20" customHeight="1">
      <c r="A92" s="20" t="n">
        <v>88</v>
      </c>
      <c r="B92" s="21" t="n"/>
      <c r="C92" s="22" t="n"/>
      <c r="D92" s="22" t="n"/>
      <c r="E92" s="22" t="n"/>
      <c r="F92" s="66" t="n"/>
      <c r="G92" s="66" t="n"/>
      <c r="H92" s="66" t="n"/>
      <c r="I92" s="21" t="n"/>
      <c r="J92" s="24" t="n"/>
      <c r="K92" s="24" t="n"/>
      <c r="L92" s="21" t="n"/>
      <c r="M92" s="24" t="n"/>
      <c r="N92" s="21" t="n"/>
      <c r="O92" s="67" t="n"/>
      <c r="P92" s="21" t="n"/>
      <c r="Q92" s="21" t="n"/>
      <c r="R92" s="22" t="n"/>
      <c r="S92" s="22" t="n"/>
      <c r="T92" s="21" t="n"/>
      <c r="U92" s="66" t="n"/>
      <c r="V92" s="66" t="n"/>
      <c r="W92" s="66" t="n"/>
      <c r="X92" s="8" t="n"/>
      <c r="Y92" s="68">
        <f>IF($AN92="","",IF($AN92=0,$H92,IF($AN92=$AJ92,$AK92,$AL92)))</f>
        <v/>
      </c>
      <c r="Z92" s="68">
        <f>IF(OR($Y92="",NOT(ISNUMBER($K92))),"",IF($L92="日前",$Y92-$K92,EDATE($Y92,-$K92)))</f>
        <v/>
      </c>
      <c r="AA92" s="68">
        <f>IF(OR($Y92="",ISNUMBER($V92),N($Y92)&lt;'設定'!$B$6),"",IF($Z92&lt;&gt;"",$Z92,$Y92))</f>
        <v/>
      </c>
      <c r="AB92" s="69">
        <f>IF($AA92="","",$AA92-'設定'!$B$6)</f>
        <v/>
      </c>
      <c r="AC92" s="28">
        <f>IF(NOT(OR($B92&lt;&gt;"",$C92&lt;&gt;"")),"",IF(ISNUMBER($V92),IF($V92&lt;'設定'!$B$6,"終了","終了予定"),IF($Y92="","有効",IF($Y92&lt;'設定'!$B$6,"満了",IF(AND($T92="更新する",ISNUMBER($U92),N($U92)&lt;='設定'!$B$6,OR($AO92="",N($U92)&gt;N($AO92))),"確認済み",IF($AB92&lt;0,"通知期限切れ",IF($AB92&lt;=N('設定'!$B$7),"要対応","有効")))))))</f>
        <v/>
      </c>
      <c r="AD92" s="68">
        <f>IF(OR(NOT(ISNUMBER($M92)),$AC92="",$AC92="終了",$AC92="終了予定",$AC92="満了"),"",IF($N92="日前",'設定'!$B$6+$M92,EDATE('設定'!$B$6,$M92)))</f>
        <v/>
      </c>
      <c r="AE92" s="70">
        <f>IF(NOT(ISNUMBER($O92)),"",IF($P92="月額",$O92*12,IF($P92="年額",$O92,"")))</f>
        <v/>
      </c>
      <c r="AF92" s="30">
        <f>MID(IF(AND(ISNUMBER($G92),ISNUMBER($H92)),IF(N($H92)&lt;N($G92)," / 満了日が開始日より前",""),"")&amp;IF(AND($I92="あり",NOT(ISNUMBER($H92)))," / 自動更新ありなのに満了日が空","")&amp;IF(AND($I92="あり",ISNUMBER($H92),NOT(ISNUMBER($J92)))," / 更新期間が空（更新を計算できない）","")&amp;IF($AH92="","",IF(AND(DAY($AH92)&gt;=29,OR(MOD($J92,12)&lt;&gt;0,MONTH($AH92)=2))," / 更新の初日が29〜31日（更新を重ねると満了日が1日ずれることがある。満了日を今の期間の満了日に書き換えると直る）",""))&amp;IF(AND(ISNUMBER($K92),$L92="")," / 通知の単位が空（か月前で計算）","")&amp;IF(AND(ISNUMBER($M92),$N92="")," / 解約予告の単位が空（か月前で計算）","")&amp;IF(AND(ISNUMBER($O92),$P92="")," / 金額の区分が空","")&amp;IF(AND($T92&lt;&gt;"",NOT(ISNUMBER($U92)))," / 対応を決めた日が空","")&amp;IF(AND(ISNUMBER($U92),$T92="")," / 今期の対応が空","")&amp;IF(AND($T92="更新しない",NOT(ISNUMBER($V92)))," / 更新しないなら、解約・終了した日（契約が終わる日）を入れる",""),4,300)</f>
        <v/>
      </c>
      <c r="AG92" s="53" t="n"/>
      <c r="AH92" s="71">
        <f>IF(AND(ISNUMBER($H92),$I92="あり",ISNUMBER($J92)),IF($J92&gt;=1,$H92+1,""),"")</f>
        <v/>
      </c>
      <c r="AI92" s="32">
        <f>IF($AH92="","",(YEAR('設定'!$B$6)-YEAR($AH92))*12+MONTH('設定'!$B$6)-MONTH($AH92))</f>
        <v/>
      </c>
      <c r="AJ92" s="32">
        <f>IF($AH92="","",MAX(1,ROUNDUP($AI92/$J92,0)))</f>
        <v/>
      </c>
      <c r="AK92" s="71">
        <f>IF($AJ92="","",IF(DAY(EDATE($AH92,$AJ92*$J92))&lt;DAY($AH92),EDATE($AH92,$AJ92*$J92),EDATE($AH92,$AJ92*$J92)-1))</f>
        <v/>
      </c>
      <c r="AL92" s="71">
        <f>IF($AJ92="","",IF(DAY(EDATE($AH92,($AJ92+1)*$J92))&lt;DAY($AH92),EDATE($AH92,($AJ92+1)*$J92),EDATE($AH92,($AJ92+1)*$J92)-1))</f>
        <v/>
      </c>
      <c r="AM92" s="71">
        <f>IF($AJ92="","",IF($AJ92=1,$H92,IF(DAY(EDATE($AH92,($AJ92-1)*$J92))&lt;DAY($AH92),EDATE($AH92,($AJ92-1)*$J92),EDATE($AH92,($AJ92-1)*$J92)-1)))</f>
        <v/>
      </c>
      <c r="AN92" s="32">
        <f>IF(NOT(ISNUMBER($H92)),"",IF(OR($AH92="",$H92&gt;='設定'!$B$6),0,IF($AK92&gt;='設定'!$B$6,$AJ92,$AJ92+1)))</f>
        <v/>
      </c>
      <c r="AO92" s="71">
        <f>IF($AN92="","",IF($AN92=0,"",IF($AN92=$AJ92,$AM92,$AK92)))</f>
        <v/>
      </c>
      <c r="AP92" s="32">
        <f>IF(OR($AC92="要対応",$AC92="通知期限切れ",$AC92="確認済み",$AC92="有効",$AC92="終了予定"),1,0)</f>
        <v/>
      </c>
      <c r="AQ92" s="32">
        <f>IF(OR($AC92="要対応",$AC92="通知期限切れ"),1,0)</f>
        <v/>
      </c>
      <c r="AR92" s="72">
        <f>IF(AND(ISNUMBER($AB92),OR($AC92="要対応",$AC92="通知期限切れ",$AC92="確認済み",$AC92="有効")),$AB92+ROW()/100000,"")</f>
        <v/>
      </c>
      <c r="AS92" s="32">
        <f>IF($E92="","",IF(COUNTIF($E$5:$E92,$E92)=1,ROW(),""))</f>
        <v/>
      </c>
      <c r="AT92" s="32">
        <f>IF($S92="","",IF(COUNTIF($S$5:$S92,$S92)=1,ROW(),""))</f>
        <v/>
      </c>
    </row>
    <row r="93" ht="20" customHeight="1">
      <c r="A93" s="20" t="n">
        <v>89</v>
      </c>
      <c r="B93" s="21" t="n"/>
      <c r="C93" s="22" t="n"/>
      <c r="D93" s="22" t="n"/>
      <c r="E93" s="22" t="n"/>
      <c r="F93" s="66" t="n"/>
      <c r="G93" s="66" t="n"/>
      <c r="H93" s="66" t="n"/>
      <c r="I93" s="21" t="n"/>
      <c r="J93" s="24" t="n"/>
      <c r="K93" s="24" t="n"/>
      <c r="L93" s="21" t="n"/>
      <c r="M93" s="24" t="n"/>
      <c r="N93" s="21" t="n"/>
      <c r="O93" s="67" t="n"/>
      <c r="P93" s="21" t="n"/>
      <c r="Q93" s="21" t="n"/>
      <c r="R93" s="22" t="n"/>
      <c r="S93" s="22" t="n"/>
      <c r="T93" s="21" t="n"/>
      <c r="U93" s="66" t="n"/>
      <c r="V93" s="66" t="n"/>
      <c r="W93" s="66" t="n"/>
      <c r="X93" s="8" t="n"/>
      <c r="Y93" s="68">
        <f>IF($AN93="","",IF($AN93=0,$H93,IF($AN93=$AJ93,$AK93,$AL93)))</f>
        <v/>
      </c>
      <c r="Z93" s="68">
        <f>IF(OR($Y93="",NOT(ISNUMBER($K93))),"",IF($L93="日前",$Y93-$K93,EDATE($Y93,-$K93)))</f>
        <v/>
      </c>
      <c r="AA93" s="68">
        <f>IF(OR($Y93="",ISNUMBER($V93),N($Y93)&lt;'設定'!$B$6),"",IF($Z93&lt;&gt;"",$Z93,$Y93))</f>
        <v/>
      </c>
      <c r="AB93" s="69">
        <f>IF($AA93="","",$AA93-'設定'!$B$6)</f>
        <v/>
      </c>
      <c r="AC93" s="28">
        <f>IF(NOT(OR($B93&lt;&gt;"",$C93&lt;&gt;"")),"",IF(ISNUMBER($V93),IF($V93&lt;'設定'!$B$6,"終了","終了予定"),IF($Y93="","有効",IF($Y93&lt;'設定'!$B$6,"満了",IF(AND($T93="更新する",ISNUMBER($U93),N($U93)&lt;='設定'!$B$6,OR($AO93="",N($U93)&gt;N($AO93))),"確認済み",IF($AB93&lt;0,"通知期限切れ",IF($AB93&lt;=N('設定'!$B$7),"要対応","有効")))))))</f>
        <v/>
      </c>
      <c r="AD93" s="68">
        <f>IF(OR(NOT(ISNUMBER($M93)),$AC93="",$AC93="終了",$AC93="終了予定",$AC93="満了"),"",IF($N93="日前",'設定'!$B$6+$M93,EDATE('設定'!$B$6,$M93)))</f>
        <v/>
      </c>
      <c r="AE93" s="70">
        <f>IF(NOT(ISNUMBER($O93)),"",IF($P93="月額",$O93*12,IF($P93="年額",$O93,"")))</f>
        <v/>
      </c>
      <c r="AF93" s="30">
        <f>MID(IF(AND(ISNUMBER($G93),ISNUMBER($H93)),IF(N($H93)&lt;N($G93)," / 満了日が開始日より前",""),"")&amp;IF(AND($I93="あり",NOT(ISNUMBER($H93)))," / 自動更新ありなのに満了日が空","")&amp;IF(AND($I93="あり",ISNUMBER($H93),NOT(ISNUMBER($J93)))," / 更新期間が空（更新を計算できない）","")&amp;IF($AH93="","",IF(AND(DAY($AH93)&gt;=29,OR(MOD($J93,12)&lt;&gt;0,MONTH($AH93)=2))," / 更新の初日が29〜31日（更新を重ねると満了日が1日ずれることがある。満了日を今の期間の満了日に書き換えると直る）",""))&amp;IF(AND(ISNUMBER($K93),$L93="")," / 通知の単位が空（か月前で計算）","")&amp;IF(AND(ISNUMBER($M93),$N93="")," / 解約予告の単位が空（か月前で計算）","")&amp;IF(AND(ISNUMBER($O93),$P93="")," / 金額の区分が空","")&amp;IF(AND($T93&lt;&gt;"",NOT(ISNUMBER($U93)))," / 対応を決めた日が空","")&amp;IF(AND(ISNUMBER($U93),$T93="")," / 今期の対応が空","")&amp;IF(AND($T93="更新しない",NOT(ISNUMBER($V93)))," / 更新しないなら、解約・終了した日（契約が終わる日）を入れる",""),4,300)</f>
        <v/>
      </c>
      <c r="AG93" s="53" t="n"/>
      <c r="AH93" s="71">
        <f>IF(AND(ISNUMBER($H93),$I93="あり",ISNUMBER($J93)),IF($J93&gt;=1,$H93+1,""),"")</f>
        <v/>
      </c>
      <c r="AI93" s="32">
        <f>IF($AH93="","",(YEAR('設定'!$B$6)-YEAR($AH93))*12+MONTH('設定'!$B$6)-MONTH($AH93))</f>
        <v/>
      </c>
      <c r="AJ93" s="32">
        <f>IF($AH93="","",MAX(1,ROUNDUP($AI93/$J93,0)))</f>
        <v/>
      </c>
      <c r="AK93" s="71">
        <f>IF($AJ93="","",IF(DAY(EDATE($AH93,$AJ93*$J93))&lt;DAY($AH93),EDATE($AH93,$AJ93*$J93),EDATE($AH93,$AJ93*$J93)-1))</f>
        <v/>
      </c>
      <c r="AL93" s="71">
        <f>IF($AJ93="","",IF(DAY(EDATE($AH93,($AJ93+1)*$J93))&lt;DAY($AH93),EDATE($AH93,($AJ93+1)*$J93),EDATE($AH93,($AJ93+1)*$J93)-1))</f>
        <v/>
      </c>
      <c r="AM93" s="71">
        <f>IF($AJ93="","",IF($AJ93=1,$H93,IF(DAY(EDATE($AH93,($AJ93-1)*$J93))&lt;DAY($AH93),EDATE($AH93,($AJ93-1)*$J93),EDATE($AH93,($AJ93-1)*$J93)-1)))</f>
        <v/>
      </c>
      <c r="AN93" s="32">
        <f>IF(NOT(ISNUMBER($H93)),"",IF(OR($AH93="",$H93&gt;='設定'!$B$6),0,IF($AK93&gt;='設定'!$B$6,$AJ93,$AJ93+1)))</f>
        <v/>
      </c>
      <c r="AO93" s="71">
        <f>IF($AN93="","",IF($AN93=0,"",IF($AN93=$AJ93,$AM93,$AK93)))</f>
        <v/>
      </c>
      <c r="AP93" s="32">
        <f>IF(OR($AC93="要対応",$AC93="通知期限切れ",$AC93="確認済み",$AC93="有効",$AC93="終了予定"),1,0)</f>
        <v/>
      </c>
      <c r="AQ93" s="32">
        <f>IF(OR($AC93="要対応",$AC93="通知期限切れ"),1,0)</f>
        <v/>
      </c>
      <c r="AR93" s="72">
        <f>IF(AND(ISNUMBER($AB93),OR($AC93="要対応",$AC93="通知期限切れ",$AC93="確認済み",$AC93="有効")),$AB93+ROW()/100000,"")</f>
        <v/>
      </c>
      <c r="AS93" s="32">
        <f>IF($E93="","",IF(COUNTIF($E$5:$E93,$E93)=1,ROW(),""))</f>
        <v/>
      </c>
      <c r="AT93" s="32">
        <f>IF($S93="","",IF(COUNTIF($S$5:$S93,$S93)=1,ROW(),""))</f>
        <v/>
      </c>
    </row>
    <row r="94" ht="20" customHeight="1">
      <c r="A94" s="20" t="n">
        <v>90</v>
      </c>
      <c r="B94" s="21" t="n"/>
      <c r="C94" s="22" t="n"/>
      <c r="D94" s="22" t="n"/>
      <c r="E94" s="22" t="n"/>
      <c r="F94" s="66" t="n"/>
      <c r="G94" s="66" t="n"/>
      <c r="H94" s="66" t="n"/>
      <c r="I94" s="21" t="n"/>
      <c r="J94" s="24" t="n"/>
      <c r="K94" s="24" t="n"/>
      <c r="L94" s="21" t="n"/>
      <c r="M94" s="24" t="n"/>
      <c r="N94" s="21" t="n"/>
      <c r="O94" s="67" t="n"/>
      <c r="P94" s="21" t="n"/>
      <c r="Q94" s="21" t="n"/>
      <c r="R94" s="22" t="n"/>
      <c r="S94" s="22" t="n"/>
      <c r="T94" s="21" t="n"/>
      <c r="U94" s="66" t="n"/>
      <c r="V94" s="66" t="n"/>
      <c r="W94" s="66" t="n"/>
      <c r="X94" s="8" t="n"/>
      <c r="Y94" s="68">
        <f>IF($AN94="","",IF($AN94=0,$H94,IF($AN94=$AJ94,$AK94,$AL94)))</f>
        <v/>
      </c>
      <c r="Z94" s="68">
        <f>IF(OR($Y94="",NOT(ISNUMBER($K94))),"",IF($L94="日前",$Y94-$K94,EDATE($Y94,-$K94)))</f>
        <v/>
      </c>
      <c r="AA94" s="68">
        <f>IF(OR($Y94="",ISNUMBER($V94),N($Y94)&lt;'設定'!$B$6),"",IF($Z94&lt;&gt;"",$Z94,$Y94))</f>
        <v/>
      </c>
      <c r="AB94" s="69">
        <f>IF($AA94="","",$AA94-'設定'!$B$6)</f>
        <v/>
      </c>
      <c r="AC94" s="28">
        <f>IF(NOT(OR($B94&lt;&gt;"",$C94&lt;&gt;"")),"",IF(ISNUMBER($V94),IF($V94&lt;'設定'!$B$6,"終了","終了予定"),IF($Y94="","有効",IF($Y94&lt;'設定'!$B$6,"満了",IF(AND($T94="更新する",ISNUMBER($U94),N($U94)&lt;='設定'!$B$6,OR($AO94="",N($U94)&gt;N($AO94))),"確認済み",IF($AB94&lt;0,"通知期限切れ",IF($AB94&lt;=N('設定'!$B$7),"要対応","有効")))))))</f>
        <v/>
      </c>
      <c r="AD94" s="68">
        <f>IF(OR(NOT(ISNUMBER($M94)),$AC94="",$AC94="終了",$AC94="終了予定",$AC94="満了"),"",IF($N94="日前",'設定'!$B$6+$M94,EDATE('設定'!$B$6,$M94)))</f>
        <v/>
      </c>
      <c r="AE94" s="70">
        <f>IF(NOT(ISNUMBER($O94)),"",IF($P94="月額",$O94*12,IF($P94="年額",$O94,"")))</f>
        <v/>
      </c>
      <c r="AF94" s="30">
        <f>MID(IF(AND(ISNUMBER($G94),ISNUMBER($H94)),IF(N($H94)&lt;N($G94)," / 満了日が開始日より前",""),"")&amp;IF(AND($I94="あり",NOT(ISNUMBER($H94)))," / 自動更新ありなのに満了日が空","")&amp;IF(AND($I94="あり",ISNUMBER($H94),NOT(ISNUMBER($J94)))," / 更新期間が空（更新を計算できない）","")&amp;IF($AH94="","",IF(AND(DAY($AH94)&gt;=29,OR(MOD($J94,12)&lt;&gt;0,MONTH($AH94)=2))," / 更新の初日が29〜31日（更新を重ねると満了日が1日ずれることがある。満了日を今の期間の満了日に書き換えると直る）",""))&amp;IF(AND(ISNUMBER($K94),$L94="")," / 通知の単位が空（か月前で計算）","")&amp;IF(AND(ISNUMBER($M94),$N94="")," / 解約予告の単位が空（か月前で計算）","")&amp;IF(AND(ISNUMBER($O94),$P94="")," / 金額の区分が空","")&amp;IF(AND($T94&lt;&gt;"",NOT(ISNUMBER($U94)))," / 対応を決めた日が空","")&amp;IF(AND(ISNUMBER($U94),$T94="")," / 今期の対応が空","")&amp;IF(AND($T94="更新しない",NOT(ISNUMBER($V94)))," / 更新しないなら、解約・終了した日（契約が終わる日）を入れる",""),4,300)</f>
        <v/>
      </c>
      <c r="AG94" s="53" t="n"/>
      <c r="AH94" s="71">
        <f>IF(AND(ISNUMBER($H94),$I94="あり",ISNUMBER($J94)),IF($J94&gt;=1,$H94+1,""),"")</f>
        <v/>
      </c>
      <c r="AI94" s="32">
        <f>IF($AH94="","",(YEAR('設定'!$B$6)-YEAR($AH94))*12+MONTH('設定'!$B$6)-MONTH($AH94))</f>
        <v/>
      </c>
      <c r="AJ94" s="32">
        <f>IF($AH94="","",MAX(1,ROUNDUP($AI94/$J94,0)))</f>
        <v/>
      </c>
      <c r="AK94" s="71">
        <f>IF($AJ94="","",IF(DAY(EDATE($AH94,$AJ94*$J94))&lt;DAY($AH94),EDATE($AH94,$AJ94*$J94),EDATE($AH94,$AJ94*$J94)-1))</f>
        <v/>
      </c>
      <c r="AL94" s="71">
        <f>IF($AJ94="","",IF(DAY(EDATE($AH94,($AJ94+1)*$J94))&lt;DAY($AH94),EDATE($AH94,($AJ94+1)*$J94),EDATE($AH94,($AJ94+1)*$J94)-1))</f>
        <v/>
      </c>
      <c r="AM94" s="71">
        <f>IF($AJ94="","",IF($AJ94=1,$H94,IF(DAY(EDATE($AH94,($AJ94-1)*$J94))&lt;DAY($AH94),EDATE($AH94,($AJ94-1)*$J94),EDATE($AH94,($AJ94-1)*$J94)-1)))</f>
        <v/>
      </c>
      <c r="AN94" s="32">
        <f>IF(NOT(ISNUMBER($H94)),"",IF(OR($AH94="",$H94&gt;='設定'!$B$6),0,IF($AK94&gt;='設定'!$B$6,$AJ94,$AJ94+1)))</f>
        <v/>
      </c>
      <c r="AO94" s="71">
        <f>IF($AN94="","",IF($AN94=0,"",IF($AN94=$AJ94,$AM94,$AK94)))</f>
        <v/>
      </c>
      <c r="AP94" s="32">
        <f>IF(OR($AC94="要対応",$AC94="通知期限切れ",$AC94="確認済み",$AC94="有効",$AC94="終了予定"),1,0)</f>
        <v/>
      </c>
      <c r="AQ94" s="32">
        <f>IF(OR($AC94="要対応",$AC94="通知期限切れ"),1,0)</f>
        <v/>
      </c>
      <c r="AR94" s="72">
        <f>IF(AND(ISNUMBER($AB94),OR($AC94="要対応",$AC94="通知期限切れ",$AC94="確認済み",$AC94="有効")),$AB94+ROW()/100000,"")</f>
        <v/>
      </c>
      <c r="AS94" s="32">
        <f>IF($E94="","",IF(COUNTIF($E$5:$E94,$E94)=1,ROW(),""))</f>
        <v/>
      </c>
      <c r="AT94" s="32">
        <f>IF($S94="","",IF(COUNTIF($S$5:$S94,$S94)=1,ROW(),""))</f>
        <v/>
      </c>
    </row>
    <row r="95" ht="20" customHeight="1">
      <c r="A95" s="20" t="n">
        <v>91</v>
      </c>
      <c r="B95" s="21" t="n"/>
      <c r="C95" s="22" t="n"/>
      <c r="D95" s="22" t="n"/>
      <c r="E95" s="22" t="n"/>
      <c r="F95" s="66" t="n"/>
      <c r="G95" s="66" t="n"/>
      <c r="H95" s="66" t="n"/>
      <c r="I95" s="21" t="n"/>
      <c r="J95" s="24" t="n"/>
      <c r="K95" s="24" t="n"/>
      <c r="L95" s="21" t="n"/>
      <c r="M95" s="24" t="n"/>
      <c r="N95" s="21" t="n"/>
      <c r="O95" s="67" t="n"/>
      <c r="P95" s="21" t="n"/>
      <c r="Q95" s="21" t="n"/>
      <c r="R95" s="22" t="n"/>
      <c r="S95" s="22" t="n"/>
      <c r="T95" s="21" t="n"/>
      <c r="U95" s="66" t="n"/>
      <c r="V95" s="66" t="n"/>
      <c r="W95" s="66" t="n"/>
      <c r="X95" s="8" t="n"/>
      <c r="Y95" s="68">
        <f>IF($AN95="","",IF($AN95=0,$H95,IF($AN95=$AJ95,$AK95,$AL95)))</f>
        <v/>
      </c>
      <c r="Z95" s="68">
        <f>IF(OR($Y95="",NOT(ISNUMBER($K95))),"",IF($L95="日前",$Y95-$K95,EDATE($Y95,-$K95)))</f>
        <v/>
      </c>
      <c r="AA95" s="68">
        <f>IF(OR($Y95="",ISNUMBER($V95),N($Y95)&lt;'設定'!$B$6),"",IF($Z95&lt;&gt;"",$Z95,$Y95))</f>
        <v/>
      </c>
      <c r="AB95" s="69">
        <f>IF($AA95="","",$AA95-'設定'!$B$6)</f>
        <v/>
      </c>
      <c r="AC95" s="28">
        <f>IF(NOT(OR($B95&lt;&gt;"",$C95&lt;&gt;"")),"",IF(ISNUMBER($V95),IF($V95&lt;'設定'!$B$6,"終了","終了予定"),IF($Y95="","有効",IF($Y95&lt;'設定'!$B$6,"満了",IF(AND($T95="更新する",ISNUMBER($U95),N($U95)&lt;='設定'!$B$6,OR($AO95="",N($U95)&gt;N($AO95))),"確認済み",IF($AB95&lt;0,"通知期限切れ",IF($AB95&lt;=N('設定'!$B$7),"要対応","有効")))))))</f>
        <v/>
      </c>
      <c r="AD95" s="68">
        <f>IF(OR(NOT(ISNUMBER($M95)),$AC95="",$AC95="終了",$AC95="終了予定",$AC95="満了"),"",IF($N95="日前",'設定'!$B$6+$M95,EDATE('設定'!$B$6,$M95)))</f>
        <v/>
      </c>
      <c r="AE95" s="70">
        <f>IF(NOT(ISNUMBER($O95)),"",IF($P95="月額",$O95*12,IF($P95="年額",$O95,"")))</f>
        <v/>
      </c>
      <c r="AF95" s="30">
        <f>MID(IF(AND(ISNUMBER($G95),ISNUMBER($H95)),IF(N($H95)&lt;N($G95)," / 満了日が開始日より前",""),"")&amp;IF(AND($I95="あり",NOT(ISNUMBER($H95)))," / 自動更新ありなのに満了日が空","")&amp;IF(AND($I95="あり",ISNUMBER($H95),NOT(ISNUMBER($J95)))," / 更新期間が空（更新を計算できない）","")&amp;IF($AH95="","",IF(AND(DAY($AH95)&gt;=29,OR(MOD($J95,12)&lt;&gt;0,MONTH($AH95)=2))," / 更新の初日が29〜31日（更新を重ねると満了日が1日ずれることがある。満了日を今の期間の満了日に書き換えると直る）",""))&amp;IF(AND(ISNUMBER($K95),$L95="")," / 通知の単位が空（か月前で計算）","")&amp;IF(AND(ISNUMBER($M95),$N95="")," / 解約予告の単位が空（か月前で計算）","")&amp;IF(AND(ISNUMBER($O95),$P95="")," / 金額の区分が空","")&amp;IF(AND($T95&lt;&gt;"",NOT(ISNUMBER($U95)))," / 対応を決めた日が空","")&amp;IF(AND(ISNUMBER($U95),$T95="")," / 今期の対応が空","")&amp;IF(AND($T95="更新しない",NOT(ISNUMBER($V95)))," / 更新しないなら、解約・終了した日（契約が終わる日）を入れる",""),4,300)</f>
        <v/>
      </c>
      <c r="AG95" s="53" t="n"/>
      <c r="AH95" s="71">
        <f>IF(AND(ISNUMBER($H95),$I95="あり",ISNUMBER($J95)),IF($J95&gt;=1,$H95+1,""),"")</f>
        <v/>
      </c>
      <c r="AI95" s="32">
        <f>IF($AH95="","",(YEAR('設定'!$B$6)-YEAR($AH95))*12+MONTH('設定'!$B$6)-MONTH($AH95))</f>
        <v/>
      </c>
      <c r="AJ95" s="32">
        <f>IF($AH95="","",MAX(1,ROUNDUP($AI95/$J95,0)))</f>
        <v/>
      </c>
      <c r="AK95" s="71">
        <f>IF($AJ95="","",IF(DAY(EDATE($AH95,$AJ95*$J95))&lt;DAY($AH95),EDATE($AH95,$AJ95*$J95),EDATE($AH95,$AJ95*$J95)-1))</f>
        <v/>
      </c>
      <c r="AL95" s="71">
        <f>IF($AJ95="","",IF(DAY(EDATE($AH95,($AJ95+1)*$J95))&lt;DAY($AH95),EDATE($AH95,($AJ95+1)*$J95),EDATE($AH95,($AJ95+1)*$J95)-1))</f>
        <v/>
      </c>
      <c r="AM95" s="71">
        <f>IF($AJ95="","",IF($AJ95=1,$H95,IF(DAY(EDATE($AH95,($AJ95-1)*$J95))&lt;DAY($AH95),EDATE($AH95,($AJ95-1)*$J95),EDATE($AH95,($AJ95-1)*$J95)-1)))</f>
        <v/>
      </c>
      <c r="AN95" s="32">
        <f>IF(NOT(ISNUMBER($H95)),"",IF(OR($AH95="",$H95&gt;='設定'!$B$6),0,IF($AK95&gt;='設定'!$B$6,$AJ95,$AJ95+1)))</f>
        <v/>
      </c>
      <c r="AO95" s="71">
        <f>IF($AN95="","",IF($AN95=0,"",IF($AN95=$AJ95,$AM95,$AK95)))</f>
        <v/>
      </c>
      <c r="AP95" s="32">
        <f>IF(OR($AC95="要対応",$AC95="通知期限切れ",$AC95="確認済み",$AC95="有効",$AC95="終了予定"),1,0)</f>
        <v/>
      </c>
      <c r="AQ95" s="32">
        <f>IF(OR($AC95="要対応",$AC95="通知期限切れ"),1,0)</f>
        <v/>
      </c>
      <c r="AR95" s="72">
        <f>IF(AND(ISNUMBER($AB95),OR($AC95="要対応",$AC95="通知期限切れ",$AC95="確認済み",$AC95="有効")),$AB95+ROW()/100000,"")</f>
        <v/>
      </c>
      <c r="AS95" s="32">
        <f>IF($E95="","",IF(COUNTIF($E$5:$E95,$E95)=1,ROW(),""))</f>
        <v/>
      </c>
      <c r="AT95" s="32">
        <f>IF($S95="","",IF(COUNTIF($S$5:$S95,$S95)=1,ROW(),""))</f>
        <v/>
      </c>
    </row>
    <row r="96" ht="20" customHeight="1">
      <c r="A96" s="20" t="n">
        <v>92</v>
      </c>
      <c r="B96" s="21" t="n"/>
      <c r="C96" s="22" t="n"/>
      <c r="D96" s="22" t="n"/>
      <c r="E96" s="22" t="n"/>
      <c r="F96" s="66" t="n"/>
      <c r="G96" s="66" t="n"/>
      <c r="H96" s="66" t="n"/>
      <c r="I96" s="21" t="n"/>
      <c r="J96" s="24" t="n"/>
      <c r="K96" s="24" t="n"/>
      <c r="L96" s="21" t="n"/>
      <c r="M96" s="24" t="n"/>
      <c r="N96" s="21" t="n"/>
      <c r="O96" s="67" t="n"/>
      <c r="P96" s="21" t="n"/>
      <c r="Q96" s="21" t="n"/>
      <c r="R96" s="22" t="n"/>
      <c r="S96" s="22" t="n"/>
      <c r="T96" s="21" t="n"/>
      <c r="U96" s="66" t="n"/>
      <c r="V96" s="66" t="n"/>
      <c r="W96" s="66" t="n"/>
      <c r="X96" s="8" t="n"/>
      <c r="Y96" s="68">
        <f>IF($AN96="","",IF($AN96=0,$H96,IF($AN96=$AJ96,$AK96,$AL96)))</f>
        <v/>
      </c>
      <c r="Z96" s="68">
        <f>IF(OR($Y96="",NOT(ISNUMBER($K96))),"",IF($L96="日前",$Y96-$K96,EDATE($Y96,-$K96)))</f>
        <v/>
      </c>
      <c r="AA96" s="68">
        <f>IF(OR($Y96="",ISNUMBER($V96),N($Y96)&lt;'設定'!$B$6),"",IF($Z96&lt;&gt;"",$Z96,$Y96))</f>
        <v/>
      </c>
      <c r="AB96" s="69">
        <f>IF($AA96="","",$AA96-'設定'!$B$6)</f>
        <v/>
      </c>
      <c r="AC96" s="28">
        <f>IF(NOT(OR($B96&lt;&gt;"",$C96&lt;&gt;"")),"",IF(ISNUMBER($V96),IF($V96&lt;'設定'!$B$6,"終了","終了予定"),IF($Y96="","有効",IF($Y96&lt;'設定'!$B$6,"満了",IF(AND($T96="更新する",ISNUMBER($U96),N($U96)&lt;='設定'!$B$6,OR($AO96="",N($U96)&gt;N($AO96))),"確認済み",IF($AB96&lt;0,"通知期限切れ",IF($AB96&lt;=N('設定'!$B$7),"要対応","有効")))))))</f>
        <v/>
      </c>
      <c r="AD96" s="68">
        <f>IF(OR(NOT(ISNUMBER($M96)),$AC96="",$AC96="終了",$AC96="終了予定",$AC96="満了"),"",IF($N96="日前",'設定'!$B$6+$M96,EDATE('設定'!$B$6,$M96)))</f>
        <v/>
      </c>
      <c r="AE96" s="70">
        <f>IF(NOT(ISNUMBER($O96)),"",IF($P96="月額",$O96*12,IF($P96="年額",$O96,"")))</f>
        <v/>
      </c>
      <c r="AF96" s="30">
        <f>MID(IF(AND(ISNUMBER($G96),ISNUMBER($H96)),IF(N($H96)&lt;N($G96)," / 満了日が開始日より前",""),"")&amp;IF(AND($I96="あり",NOT(ISNUMBER($H96)))," / 自動更新ありなのに満了日が空","")&amp;IF(AND($I96="あり",ISNUMBER($H96),NOT(ISNUMBER($J96)))," / 更新期間が空（更新を計算できない）","")&amp;IF($AH96="","",IF(AND(DAY($AH96)&gt;=29,OR(MOD($J96,12)&lt;&gt;0,MONTH($AH96)=2))," / 更新の初日が29〜31日（更新を重ねると満了日が1日ずれることがある。満了日を今の期間の満了日に書き換えると直る）",""))&amp;IF(AND(ISNUMBER($K96),$L96="")," / 通知の単位が空（か月前で計算）","")&amp;IF(AND(ISNUMBER($M96),$N96="")," / 解約予告の単位が空（か月前で計算）","")&amp;IF(AND(ISNUMBER($O96),$P96="")," / 金額の区分が空","")&amp;IF(AND($T96&lt;&gt;"",NOT(ISNUMBER($U96)))," / 対応を決めた日が空","")&amp;IF(AND(ISNUMBER($U96),$T96="")," / 今期の対応が空","")&amp;IF(AND($T96="更新しない",NOT(ISNUMBER($V96)))," / 更新しないなら、解約・終了した日（契約が終わる日）を入れる",""),4,300)</f>
        <v/>
      </c>
      <c r="AG96" s="53" t="n"/>
      <c r="AH96" s="71">
        <f>IF(AND(ISNUMBER($H96),$I96="あり",ISNUMBER($J96)),IF($J96&gt;=1,$H96+1,""),"")</f>
        <v/>
      </c>
      <c r="AI96" s="32">
        <f>IF($AH96="","",(YEAR('設定'!$B$6)-YEAR($AH96))*12+MONTH('設定'!$B$6)-MONTH($AH96))</f>
        <v/>
      </c>
      <c r="AJ96" s="32">
        <f>IF($AH96="","",MAX(1,ROUNDUP($AI96/$J96,0)))</f>
        <v/>
      </c>
      <c r="AK96" s="71">
        <f>IF($AJ96="","",IF(DAY(EDATE($AH96,$AJ96*$J96))&lt;DAY($AH96),EDATE($AH96,$AJ96*$J96),EDATE($AH96,$AJ96*$J96)-1))</f>
        <v/>
      </c>
      <c r="AL96" s="71">
        <f>IF($AJ96="","",IF(DAY(EDATE($AH96,($AJ96+1)*$J96))&lt;DAY($AH96),EDATE($AH96,($AJ96+1)*$J96),EDATE($AH96,($AJ96+1)*$J96)-1))</f>
        <v/>
      </c>
      <c r="AM96" s="71">
        <f>IF($AJ96="","",IF($AJ96=1,$H96,IF(DAY(EDATE($AH96,($AJ96-1)*$J96))&lt;DAY($AH96),EDATE($AH96,($AJ96-1)*$J96),EDATE($AH96,($AJ96-1)*$J96)-1)))</f>
        <v/>
      </c>
      <c r="AN96" s="32">
        <f>IF(NOT(ISNUMBER($H96)),"",IF(OR($AH96="",$H96&gt;='設定'!$B$6),0,IF($AK96&gt;='設定'!$B$6,$AJ96,$AJ96+1)))</f>
        <v/>
      </c>
      <c r="AO96" s="71">
        <f>IF($AN96="","",IF($AN96=0,"",IF($AN96=$AJ96,$AM96,$AK96)))</f>
        <v/>
      </c>
      <c r="AP96" s="32">
        <f>IF(OR($AC96="要対応",$AC96="通知期限切れ",$AC96="確認済み",$AC96="有効",$AC96="終了予定"),1,0)</f>
        <v/>
      </c>
      <c r="AQ96" s="32">
        <f>IF(OR($AC96="要対応",$AC96="通知期限切れ"),1,0)</f>
        <v/>
      </c>
      <c r="AR96" s="72">
        <f>IF(AND(ISNUMBER($AB96),OR($AC96="要対応",$AC96="通知期限切れ",$AC96="確認済み",$AC96="有効")),$AB96+ROW()/100000,"")</f>
        <v/>
      </c>
      <c r="AS96" s="32">
        <f>IF($E96="","",IF(COUNTIF($E$5:$E96,$E96)=1,ROW(),""))</f>
        <v/>
      </c>
      <c r="AT96" s="32">
        <f>IF($S96="","",IF(COUNTIF($S$5:$S96,$S96)=1,ROW(),""))</f>
        <v/>
      </c>
    </row>
    <row r="97" ht="20" customHeight="1">
      <c r="A97" s="20" t="n">
        <v>93</v>
      </c>
      <c r="B97" s="21" t="n"/>
      <c r="C97" s="22" t="n"/>
      <c r="D97" s="22" t="n"/>
      <c r="E97" s="22" t="n"/>
      <c r="F97" s="66" t="n"/>
      <c r="G97" s="66" t="n"/>
      <c r="H97" s="66" t="n"/>
      <c r="I97" s="21" t="n"/>
      <c r="J97" s="24" t="n"/>
      <c r="K97" s="24" t="n"/>
      <c r="L97" s="21" t="n"/>
      <c r="M97" s="24" t="n"/>
      <c r="N97" s="21" t="n"/>
      <c r="O97" s="67" t="n"/>
      <c r="P97" s="21" t="n"/>
      <c r="Q97" s="21" t="n"/>
      <c r="R97" s="22" t="n"/>
      <c r="S97" s="22" t="n"/>
      <c r="T97" s="21" t="n"/>
      <c r="U97" s="66" t="n"/>
      <c r="V97" s="66" t="n"/>
      <c r="W97" s="66" t="n"/>
      <c r="X97" s="8" t="n"/>
      <c r="Y97" s="68">
        <f>IF($AN97="","",IF($AN97=0,$H97,IF($AN97=$AJ97,$AK97,$AL97)))</f>
        <v/>
      </c>
      <c r="Z97" s="68">
        <f>IF(OR($Y97="",NOT(ISNUMBER($K97))),"",IF($L97="日前",$Y97-$K97,EDATE($Y97,-$K97)))</f>
        <v/>
      </c>
      <c r="AA97" s="68">
        <f>IF(OR($Y97="",ISNUMBER($V97),N($Y97)&lt;'設定'!$B$6),"",IF($Z97&lt;&gt;"",$Z97,$Y97))</f>
        <v/>
      </c>
      <c r="AB97" s="69">
        <f>IF($AA97="","",$AA97-'設定'!$B$6)</f>
        <v/>
      </c>
      <c r="AC97" s="28">
        <f>IF(NOT(OR($B97&lt;&gt;"",$C97&lt;&gt;"")),"",IF(ISNUMBER($V97),IF($V97&lt;'設定'!$B$6,"終了","終了予定"),IF($Y97="","有効",IF($Y97&lt;'設定'!$B$6,"満了",IF(AND($T97="更新する",ISNUMBER($U97),N($U97)&lt;='設定'!$B$6,OR($AO97="",N($U97)&gt;N($AO97))),"確認済み",IF($AB97&lt;0,"通知期限切れ",IF($AB97&lt;=N('設定'!$B$7),"要対応","有効")))))))</f>
        <v/>
      </c>
      <c r="AD97" s="68">
        <f>IF(OR(NOT(ISNUMBER($M97)),$AC97="",$AC97="終了",$AC97="終了予定",$AC97="満了"),"",IF($N97="日前",'設定'!$B$6+$M97,EDATE('設定'!$B$6,$M97)))</f>
        <v/>
      </c>
      <c r="AE97" s="70">
        <f>IF(NOT(ISNUMBER($O97)),"",IF($P97="月額",$O97*12,IF($P97="年額",$O97,"")))</f>
        <v/>
      </c>
      <c r="AF97" s="30">
        <f>MID(IF(AND(ISNUMBER($G97),ISNUMBER($H97)),IF(N($H97)&lt;N($G97)," / 満了日が開始日より前",""),"")&amp;IF(AND($I97="あり",NOT(ISNUMBER($H97)))," / 自動更新ありなのに満了日が空","")&amp;IF(AND($I97="あり",ISNUMBER($H97),NOT(ISNUMBER($J97)))," / 更新期間が空（更新を計算できない）","")&amp;IF($AH97="","",IF(AND(DAY($AH97)&gt;=29,OR(MOD($J97,12)&lt;&gt;0,MONTH($AH97)=2))," / 更新の初日が29〜31日（更新を重ねると満了日が1日ずれることがある。満了日を今の期間の満了日に書き換えると直る）",""))&amp;IF(AND(ISNUMBER($K97),$L97="")," / 通知の単位が空（か月前で計算）","")&amp;IF(AND(ISNUMBER($M97),$N97="")," / 解約予告の単位が空（か月前で計算）","")&amp;IF(AND(ISNUMBER($O97),$P97="")," / 金額の区分が空","")&amp;IF(AND($T97&lt;&gt;"",NOT(ISNUMBER($U97)))," / 対応を決めた日が空","")&amp;IF(AND(ISNUMBER($U97),$T97="")," / 今期の対応が空","")&amp;IF(AND($T97="更新しない",NOT(ISNUMBER($V97)))," / 更新しないなら、解約・終了した日（契約が終わる日）を入れる",""),4,300)</f>
        <v/>
      </c>
      <c r="AG97" s="53" t="n"/>
      <c r="AH97" s="71">
        <f>IF(AND(ISNUMBER($H97),$I97="あり",ISNUMBER($J97)),IF($J97&gt;=1,$H97+1,""),"")</f>
        <v/>
      </c>
      <c r="AI97" s="32">
        <f>IF($AH97="","",(YEAR('設定'!$B$6)-YEAR($AH97))*12+MONTH('設定'!$B$6)-MONTH($AH97))</f>
        <v/>
      </c>
      <c r="AJ97" s="32">
        <f>IF($AH97="","",MAX(1,ROUNDUP($AI97/$J97,0)))</f>
        <v/>
      </c>
      <c r="AK97" s="71">
        <f>IF($AJ97="","",IF(DAY(EDATE($AH97,$AJ97*$J97))&lt;DAY($AH97),EDATE($AH97,$AJ97*$J97),EDATE($AH97,$AJ97*$J97)-1))</f>
        <v/>
      </c>
      <c r="AL97" s="71">
        <f>IF($AJ97="","",IF(DAY(EDATE($AH97,($AJ97+1)*$J97))&lt;DAY($AH97),EDATE($AH97,($AJ97+1)*$J97),EDATE($AH97,($AJ97+1)*$J97)-1))</f>
        <v/>
      </c>
      <c r="AM97" s="71">
        <f>IF($AJ97="","",IF($AJ97=1,$H97,IF(DAY(EDATE($AH97,($AJ97-1)*$J97))&lt;DAY($AH97),EDATE($AH97,($AJ97-1)*$J97),EDATE($AH97,($AJ97-1)*$J97)-1)))</f>
        <v/>
      </c>
      <c r="AN97" s="32">
        <f>IF(NOT(ISNUMBER($H97)),"",IF(OR($AH97="",$H97&gt;='設定'!$B$6),0,IF($AK97&gt;='設定'!$B$6,$AJ97,$AJ97+1)))</f>
        <v/>
      </c>
      <c r="AO97" s="71">
        <f>IF($AN97="","",IF($AN97=0,"",IF($AN97=$AJ97,$AM97,$AK97)))</f>
        <v/>
      </c>
      <c r="AP97" s="32">
        <f>IF(OR($AC97="要対応",$AC97="通知期限切れ",$AC97="確認済み",$AC97="有効",$AC97="終了予定"),1,0)</f>
        <v/>
      </c>
      <c r="AQ97" s="32">
        <f>IF(OR($AC97="要対応",$AC97="通知期限切れ"),1,0)</f>
        <v/>
      </c>
      <c r="AR97" s="72">
        <f>IF(AND(ISNUMBER($AB97),OR($AC97="要対応",$AC97="通知期限切れ",$AC97="確認済み",$AC97="有効")),$AB97+ROW()/100000,"")</f>
        <v/>
      </c>
      <c r="AS97" s="32">
        <f>IF($E97="","",IF(COUNTIF($E$5:$E97,$E97)=1,ROW(),""))</f>
        <v/>
      </c>
      <c r="AT97" s="32">
        <f>IF($S97="","",IF(COUNTIF($S$5:$S97,$S97)=1,ROW(),""))</f>
        <v/>
      </c>
    </row>
    <row r="98" ht="20" customHeight="1">
      <c r="A98" s="20" t="n">
        <v>94</v>
      </c>
      <c r="B98" s="21" t="n"/>
      <c r="C98" s="22" t="n"/>
      <c r="D98" s="22" t="n"/>
      <c r="E98" s="22" t="n"/>
      <c r="F98" s="66" t="n"/>
      <c r="G98" s="66" t="n"/>
      <c r="H98" s="66" t="n"/>
      <c r="I98" s="21" t="n"/>
      <c r="J98" s="24" t="n"/>
      <c r="K98" s="24" t="n"/>
      <c r="L98" s="21" t="n"/>
      <c r="M98" s="24" t="n"/>
      <c r="N98" s="21" t="n"/>
      <c r="O98" s="67" t="n"/>
      <c r="P98" s="21" t="n"/>
      <c r="Q98" s="21" t="n"/>
      <c r="R98" s="22" t="n"/>
      <c r="S98" s="22" t="n"/>
      <c r="T98" s="21" t="n"/>
      <c r="U98" s="66" t="n"/>
      <c r="V98" s="66" t="n"/>
      <c r="W98" s="66" t="n"/>
      <c r="X98" s="8" t="n"/>
      <c r="Y98" s="68">
        <f>IF($AN98="","",IF($AN98=0,$H98,IF($AN98=$AJ98,$AK98,$AL98)))</f>
        <v/>
      </c>
      <c r="Z98" s="68">
        <f>IF(OR($Y98="",NOT(ISNUMBER($K98))),"",IF($L98="日前",$Y98-$K98,EDATE($Y98,-$K98)))</f>
        <v/>
      </c>
      <c r="AA98" s="68">
        <f>IF(OR($Y98="",ISNUMBER($V98),N($Y98)&lt;'設定'!$B$6),"",IF($Z98&lt;&gt;"",$Z98,$Y98))</f>
        <v/>
      </c>
      <c r="AB98" s="69">
        <f>IF($AA98="","",$AA98-'設定'!$B$6)</f>
        <v/>
      </c>
      <c r="AC98" s="28">
        <f>IF(NOT(OR($B98&lt;&gt;"",$C98&lt;&gt;"")),"",IF(ISNUMBER($V98),IF($V98&lt;'設定'!$B$6,"終了","終了予定"),IF($Y98="","有効",IF($Y98&lt;'設定'!$B$6,"満了",IF(AND($T98="更新する",ISNUMBER($U98),N($U98)&lt;='設定'!$B$6,OR($AO98="",N($U98)&gt;N($AO98))),"確認済み",IF($AB98&lt;0,"通知期限切れ",IF($AB98&lt;=N('設定'!$B$7),"要対応","有効")))))))</f>
        <v/>
      </c>
      <c r="AD98" s="68">
        <f>IF(OR(NOT(ISNUMBER($M98)),$AC98="",$AC98="終了",$AC98="終了予定",$AC98="満了"),"",IF($N98="日前",'設定'!$B$6+$M98,EDATE('設定'!$B$6,$M98)))</f>
        <v/>
      </c>
      <c r="AE98" s="70">
        <f>IF(NOT(ISNUMBER($O98)),"",IF($P98="月額",$O98*12,IF($P98="年額",$O98,"")))</f>
        <v/>
      </c>
      <c r="AF98" s="30">
        <f>MID(IF(AND(ISNUMBER($G98),ISNUMBER($H98)),IF(N($H98)&lt;N($G98)," / 満了日が開始日より前",""),"")&amp;IF(AND($I98="あり",NOT(ISNUMBER($H98)))," / 自動更新ありなのに満了日が空","")&amp;IF(AND($I98="あり",ISNUMBER($H98),NOT(ISNUMBER($J98)))," / 更新期間が空（更新を計算できない）","")&amp;IF($AH98="","",IF(AND(DAY($AH98)&gt;=29,OR(MOD($J98,12)&lt;&gt;0,MONTH($AH98)=2))," / 更新の初日が29〜31日（更新を重ねると満了日が1日ずれることがある。満了日を今の期間の満了日に書き換えると直る）",""))&amp;IF(AND(ISNUMBER($K98),$L98="")," / 通知の単位が空（か月前で計算）","")&amp;IF(AND(ISNUMBER($M98),$N98="")," / 解約予告の単位が空（か月前で計算）","")&amp;IF(AND(ISNUMBER($O98),$P98="")," / 金額の区分が空","")&amp;IF(AND($T98&lt;&gt;"",NOT(ISNUMBER($U98)))," / 対応を決めた日が空","")&amp;IF(AND(ISNUMBER($U98),$T98="")," / 今期の対応が空","")&amp;IF(AND($T98="更新しない",NOT(ISNUMBER($V98)))," / 更新しないなら、解約・終了した日（契約が終わる日）を入れる",""),4,300)</f>
        <v/>
      </c>
      <c r="AG98" s="53" t="n"/>
      <c r="AH98" s="71">
        <f>IF(AND(ISNUMBER($H98),$I98="あり",ISNUMBER($J98)),IF($J98&gt;=1,$H98+1,""),"")</f>
        <v/>
      </c>
      <c r="AI98" s="32">
        <f>IF($AH98="","",(YEAR('設定'!$B$6)-YEAR($AH98))*12+MONTH('設定'!$B$6)-MONTH($AH98))</f>
        <v/>
      </c>
      <c r="AJ98" s="32">
        <f>IF($AH98="","",MAX(1,ROUNDUP($AI98/$J98,0)))</f>
        <v/>
      </c>
      <c r="AK98" s="71">
        <f>IF($AJ98="","",IF(DAY(EDATE($AH98,$AJ98*$J98))&lt;DAY($AH98),EDATE($AH98,$AJ98*$J98),EDATE($AH98,$AJ98*$J98)-1))</f>
        <v/>
      </c>
      <c r="AL98" s="71">
        <f>IF($AJ98="","",IF(DAY(EDATE($AH98,($AJ98+1)*$J98))&lt;DAY($AH98),EDATE($AH98,($AJ98+1)*$J98),EDATE($AH98,($AJ98+1)*$J98)-1))</f>
        <v/>
      </c>
      <c r="AM98" s="71">
        <f>IF($AJ98="","",IF($AJ98=1,$H98,IF(DAY(EDATE($AH98,($AJ98-1)*$J98))&lt;DAY($AH98),EDATE($AH98,($AJ98-1)*$J98),EDATE($AH98,($AJ98-1)*$J98)-1)))</f>
        <v/>
      </c>
      <c r="AN98" s="32">
        <f>IF(NOT(ISNUMBER($H98)),"",IF(OR($AH98="",$H98&gt;='設定'!$B$6),0,IF($AK98&gt;='設定'!$B$6,$AJ98,$AJ98+1)))</f>
        <v/>
      </c>
      <c r="AO98" s="71">
        <f>IF($AN98="","",IF($AN98=0,"",IF($AN98=$AJ98,$AM98,$AK98)))</f>
        <v/>
      </c>
      <c r="AP98" s="32">
        <f>IF(OR($AC98="要対応",$AC98="通知期限切れ",$AC98="確認済み",$AC98="有効",$AC98="終了予定"),1,0)</f>
        <v/>
      </c>
      <c r="AQ98" s="32">
        <f>IF(OR($AC98="要対応",$AC98="通知期限切れ"),1,0)</f>
        <v/>
      </c>
      <c r="AR98" s="72">
        <f>IF(AND(ISNUMBER($AB98),OR($AC98="要対応",$AC98="通知期限切れ",$AC98="確認済み",$AC98="有効")),$AB98+ROW()/100000,"")</f>
        <v/>
      </c>
      <c r="AS98" s="32">
        <f>IF($E98="","",IF(COUNTIF($E$5:$E98,$E98)=1,ROW(),""))</f>
        <v/>
      </c>
      <c r="AT98" s="32">
        <f>IF($S98="","",IF(COUNTIF($S$5:$S98,$S98)=1,ROW(),""))</f>
        <v/>
      </c>
    </row>
    <row r="99" ht="20" customHeight="1">
      <c r="A99" s="20" t="n">
        <v>95</v>
      </c>
      <c r="B99" s="21" t="n"/>
      <c r="C99" s="22" t="n"/>
      <c r="D99" s="22" t="n"/>
      <c r="E99" s="22" t="n"/>
      <c r="F99" s="66" t="n"/>
      <c r="G99" s="66" t="n"/>
      <c r="H99" s="66" t="n"/>
      <c r="I99" s="21" t="n"/>
      <c r="J99" s="24" t="n"/>
      <c r="K99" s="24" t="n"/>
      <c r="L99" s="21" t="n"/>
      <c r="M99" s="24" t="n"/>
      <c r="N99" s="21" t="n"/>
      <c r="O99" s="67" t="n"/>
      <c r="P99" s="21" t="n"/>
      <c r="Q99" s="21" t="n"/>
      <c r="R99" s="22" t="n"/>
      <c r="S99" s="22" t="n"/>
      <c r="T99" s="21" t="n"/>
      <c r="U99" s="66" t="n"/>
      <c r="V99" s="66" t="n"/>
      <c r="W99" s="66" t="n"/>
      <c r="X99" s="8" t="n"/>
      <c r="Y99" s="68">
        <f>IF($AN99="","",IF($AN99=0,$H99,IF($AN99=$AJ99,$AK99,$AL99)))</f>
        <v/>
      </c>
      <c r="Z99" s="68">
        <f>IF(OR($Y99="",NOT(ISNUMBER($K99))),"",IF($L99="日前",$Y99-$K99,EDATE($Y99,-$K99)))</f>
        <v/>
      </c>
      <c r="AA99" s="68">
        <f>IF(OR($Y99="",ISNUMBER($V99),N($Y99)&lt;'設定'!$B$6),"",IF($Z99&lt;&gt;"",$Z99,$Y99))</f>
        <v/>
      </c>
      <c r="AB99" s="69">
        <f>IF($AA99="","",$AA99-'設定'!$B$6)</f>
        <v/>
      </c>
      <c r="AC99" s="28">
        <f>IF(NOT(OR($B99&lt;&gt;"",$C99&lt;&gt;"")),"",IF(ISNUMBER($V99),IF($V99&lt;'設定'!$B$6,"終了","終了予定"),IF($Y99="","有効",IF($Y99&lt;'設定'!$B$6,"満了",IF(AND($T99="更新する",ISNUMBER($U99),N($U99)&lt;='設定'!$B$6,OR($AO99="",N($U99)&gt;N($AO99))),"確認済み",IF($AB99&lt;0,"通知期限切れ",IF($AB99&lt;=N('設定'!$B$7),"要対応","有効")))))))</f>
        <v/>
      </c>
      <c r="AD99" s="68">
        <f>IF(OR(NOT(ISNUMBER($M99)),$AC99="",$AC99="終了",$AC99="終了予定",$AC99="満了"),"",IF($N99="日前",'設定'!$B$6+$M99,EDATE('設定'!$B$6,$M99)))</f>
        <v/>
      </c>
      <c r="AE99" s="70">
        <f>IF(NOT(ISNUMBER($O99)),"",IF($P99="月額",$O99*12,IF($P99="年額",$O99,"")))</f>
        <v/>
      </c>
      <c r="AF99" s="30">
        <f>MID(IF(AND(ISNUMBER($G99),ISNUMBER($H99)),IF(N($H99)&lt;N($G99)," / 満了日が開始日より前",""),"")&amp;IF(AND($I99="あり",NOT(ISNUMBER($H99)))," / 自動更新ありなのに満了日が空","")&amp;IF(AND($I99="あり",ISNUMBER($H99),NOT(ISNUMBER($J99)))," / 更新期間が空（更新を計算できない）","")&amp;IF($AH99="","",IF(AND(DAY($AH99)&gt;=29,OR(MOD($J99,12)&lt;&gt;0,MONTH($AH99)=2))," / 更新の初日が29〜31日（更新を重ねると満了日が1日ずれることがある。満了日を今の期間の満了日に書き換えると直る）",""))&amp;IF(AND(ISNUMBER($K99),$L99="")," / 通知の単位が空（か月前で計算）","")&amp;IF(AND(ISNUMBER($M99),$N99="")," / 解約予告の単位が空（か月前で計算）","")&amp;IF(AND(ISNUMBER($O99),$P99="")," / 金額の区分が空","")&amp;IF(AND($T99&lt;&gt;"",NOT(ISNUMBER($U99)))," / 対応を決めた日が空","")&amp;IF(AND(ISNUMBER($U99),$T99="")," / 今期の対応が空","")&amp;IF(AND($T99="更新しない",NOT(ISNUMBER($V99)))," / 更新しないなら、解約・終了した日（契約が終わる日）を入れる",""),4,300)</f>
        <v/>
      </c>
      <c r="AG99" s="53" t="n"/>
      <c r="AH99" s="71">
        <f>IF(AND(ISNUMBER($H99),$I99="あり",ISNUMBER($J99)),IF($J99&gt;=1,$H99+1,""),"")</f>
        <v/>
      </c>
      <c r="AI99" s="32">
        <f>IF($AH99="","",(YEAR('設定'!$B$6)-YEAR($AH99))*12+MONTH('設定'!$B$6)-MONTH($AH99))</f>
        <v/>
      </c>
      <c r="AJ99" s="32">
        <f>IF($AH99="","",MAX(1,ROUNDUP($AI99/$J99,0)))</f>
        <v/>
      </c>
      <c r="AK99" s="71">
        <f>IF($AJ99="","",IF(DAY(EDATE($AH99,$AJ99*$J99))&lt;DAY($AH99),EDATE($AH99,$AJ99*$J99),EDATE($AH99,$AJ99*$J99)-1))</f>
        <v/>
      </c>
      <c r="AL99" s="71">
        <f>IF($AJ99="","",IF(DAY(EDATE($AH99,($AJ99+1)*$J99))&lt;DAY($AH99),EDATE($AH99,($AJ99+1)*$J99),EDATE($AH99,($AJ99+1)*$J99)-1))</f>
        <v/>
      </c>
      <c r="AM99" s="71">
        <f>IF($AJ99="","",IF($AJ99=1,$H99,IF(DAY(EDATE($AH99,($AJ99-1)*$J99))&lt;DAY($AH99),EDATE($AH99,($AJ99-1)*$J99),EDATE($AH99,($AJ99-1)*$J99)-1)))</f>
        <v/>
      </c>
      <c r="AN99" s="32">
        <f>IF(NOT(ISNUMBER($H99)),"",IF(OR($AH99="",$H99&gt;='設定'!$B$6),0,IF($AK99&gt;='設定'!$B$6,$AJ99,$AJ99+1)))</f>
        <v/>
      </c>
      <c r="AO99" s="71">
        <f>IF($AN99="","",IF($AN99=0,"",IF($AN99=$AJ99,$AM99,$AK99)))</f>
        <v/>
      </c>
      <c r="AP99" s="32">
        <f>IF(OR($AC99="要対応",$AC99="通知期限切れ",$AC99="確認済み",$AC99="有効",$AC99="終了予定"),1,0)</f>
        <v/>
      </c>
      <c r="AQ99" s="32">
        <f>IF(OR($AC99="要対応",$AC99="通知期限切れ"),1,0)</f>
        <v/>
      </c>
      <c r="AR99" s="72">
        <f>IF(AND(ISNUMBER($AB99),OR($AC99="要対応",$AC99="通知期限切れ",$AC99="確認済み",$AC99="有効")),$AB99+ROW()/100000,"")</f>
        <v/>
      </c>
      <c r="AS99" s="32">
        <f>IF($E99="","",IF(COUNTIF($E$5:$E99,$E99)=1,ROW(),""))</f>
        <v/>
      </c>
      <c r="AT99" s="32">
        <f>IF($S99="","",IF(COUNTIF($S$5:$S99,$S99)=1,ROW(),""))</f>
        <v/>
      </c>
    </row>
    <row r="100" ht="20" customHeight="1">
      <c r="A100" s="20" t="n">
        <v>96</v>
      </c>
      <c r="B100" s="21" t="n"/>
      <c r="C100" s="22" t="n"/>
      <c r="D100" s="22" t="n"/>
      <c r="E100" s="22" t="n"/>
      <c r="F100" s="66" t="n"/>
      <c r="G100" s="66" t="n"/>
      <c r="H100" s="66" t="n"/>
      <c r="I100" s="21" t="n"/>
      <c r="J100" s="24" t="n"/>
      <c r="K100" s="24" t="n"/>
      <c r="L100" s="21" t="n"/>
      <c r="M100" s="24" t="n"/>
      <c r="N100" s="21" t="n"/>
      <c r="O100" s="67" t="n"/>
      <c r="P100" s="21" t="n"/>
      <c r="Q100" s="21" t="n"/>
      <c r="R100" s="22" t="n"/>
      <c r="S100" s="22" t="n"/>
      <c r="T100" s="21" t="n"/>
      <c r="U100" s="66" t="n"/>
      <c r="V100" s="66" t="n"/>
      <c r="W100" s="66" t="n"/>
      <c r="X100" s="8" t="n"/>
      <c r="Y100" s="68">
        <f>IF($AN100="","",IF($AN100=0,$H100,IF($AN100=$AJ100,$AK100,$AL100)))</f>
        <v/>
      </c>
      <c r="Z100" s="68">
        <f>IF(OR($Y100="",NOT(ISNUMBER($K100))),"",IF($L100="日前",$Y100-$K100,EDATE($Y100,-$K100)))</f>
        <v/>
      </c>
      <c r="AA100" s="68">
        <f>IF(OR($Y100="",ISNUMBER($V100),N($Y100)&lt;'設定'!$B$6),"",IF($Z100&lt;&gt;"",$Z100,$Y100))</f>
        <v/>
      </c>
      <c r="AB100" s="69">
        <f>IF($AA100="","",$AA100-'設定'!$B$6)</f>
        <v/>
      </c>
      <c r="AC100" s="28">
        <f>IF(NOT(OR($B100&lt;&gt;"",$C100&lt;&gt;"")),"",IF(ISNUMBER($V100),IF($V100&lt;'設定'!$B$6,"終了","終了予定"),IF($Y100="","有効",IF($Y100&lt;'設定'!$B$6,"満了",IF(AND($T100="更新する",ISNUMBER($U100),N($U100)&lt;='設定'!$B$6,OR($AO100="",N($U100)&gt;N($AO100))),"確認済み",IF($AB100&lt;0,"通知期限切れ",IF($AB100&lt;=N('設定'!$B$7),"要対応","有効")))))))</f>
        <v/>
      </c>
      <c r="AD100" s="68">
        <f>IF(OR(NOT(ISNUMBER($M100)),$AC100="",$AC100="終了",$AC100="終了予定",$AC100="満了"),"",IF($N100="日前",'設定'!$B$6+$M100,EDATE('設定'!$B$6,$M100)))</f>
        <v/>
      </c>
      <c r="AE100" s="70">
        <f>IF(NOT(ISNUMBER($O100)),"",IF($P100="月額",$O100*12,IF($P100="年額",$O100,"")))</f>
        <v/>
      </c>
      <c r="AF100" s="30">
        <f>MID(IF(AND(ISNUMBER($G100),ISNUMBER($H100)),IF(N($H100)&lt;N($G100)," / 満了日が開始日より前",""),"")&amp;IF(AND($I100="あり",NOT(ISNUMBER($H100)))," / 自動更新ありなのに満了日が空","")&amp;IF(AND($I100="あり",ISNUMBER($H100),NOT(ISNUMBER($J100)))," / 更新期間が空（更新を計算できない）","")&amp;IF($AH100="","",IF(AND(DAY($AH100)&gt;=29,OR(MOD($J100,12)&lt;&gt;0,MONTH($AH100)=2))," / 更新の初日が29〜31日（更新を重ねると満了日が1日ずれることがある。満了日を今の期間の満了日に書き換えると直る）",""))&amp;IF(AND(ISNUMBER($K100),$L100="")," / 通知の単位が空（か月前で計算）","")&amp;IF(AND(ISNUMBER($M100),$N100="")," / 解約予告の単位が空（か月前で計算）","")&amp;IF(AND(ISNUMBER($O100),$P100="")," / 金額の区分が空","")&amp;IF(AND($T100&lt;&gt;"",NOT(ISNUMBER($U100)))," / 対応を決めた日が空","")&amp;IF(AND(ISNUMBER($U100),$T100="")," / 今期の対応が空","")&amp;IF(AND($T100="更新しない",NOT(ISNUMBER($V100)))," / 更新しないなら、解約・終了した日（契約が終わる日）を入れる",""),4,300)</f>
        <v/>
      </c>
      <c r="AG100" s="53" t="n"/>
      <c r="AH100" s="71">
        <f>IF(AND(ISNUMBER($H100),$I100="あり",ISNUMBER($J100)),IF($J100&gt;=1,$H100+1,""),"")</f>
        <v/>
      </c>
      <c r="AI100" s="32">
        <f>IF($AH100="","",(YEAR('設定'!$B$6)-YEAR($AH100))*12+MONTH('設定'!$B$6)-MONTH($AH100))</f>
        <v/>
      </c>
      <c r="AJ100" s="32">
        <f>IF($AH100="","",MAX(1,ROUNDUP($AI100/$J100,0)))</f>
        <v/>
      </c>
      <c r="AK100" s="71">
        <f>IF($AJ100="","",IF(DAY(EDATE($AH100,$AJ100*$J100))&lt;DAY($AH100),EDATE($AH100,$AJ100*$J100),EDATE($AH100,$AJ100*$J100)-1))</f>
        <v/>
      </c>
      <c r="AL100" s="71">
        <f>IF($AJ100="","",IF(DAY(EDATE($AH100,($AJ100+1)*$J100))&lt;DAY($AH100),EDATE($AH100,($AJ100+1)*$J100),EDATE($AH100,($AJ100+1)*$J100)-1))</f>
        <v/>
      </c>
      <c r="AM100" s="71">
        <f>IF($AJ100="","",IF($AJ100=1,$H100,IF(DAY(EDATE($AH100,($AJ100-1)*$J100))&lt;DAY($AH100),EDATE($AH100,($AJ100-1)*$J100),EDATE($AH100,($AJ100-1)*$J100)-1)))</f>
        <v/>
      </c>
      <c r="AN100" s="32">
        <f>IF(NOT(ISNUMBER($H100)),"",IF(OR($AH100="",$H100&gt;='設定'!$B$6),0,IF($AK100&gt;='設定'!$B$6,$AJ100,$AJ100+1)))</f>
        <v/>
      </c>
      <c r="AO100" s="71">
        <f>IF($AN100="","",IF($AN100=0,"",IF($AN100=$AJ100,$AM100,$AK100)))</f>
        <v/>
      </c>
      <c r="AP100" s="32">
        <f>IF(OR($AC100="要対応",$AC100="通知期限切れ",$AC100="確認済み",$AC100="有効",$AC100="終了予定"),1,0)</f>
        <v/>
      </c>
      <c r="AQ100" s="32">
        <f>IF(OR($AC100="要対応",$AC100="通知期限切れ"),1,0)</f>
        <v/>
      </c>
      <c r="AR100" s="72">
        <f>IF(AND(ISNUMBER($AB100),OR($AC100="要対応",$AC100="通知期限切れ",$AC100="確認済み",$AC100="有効")),$AB100+ROW()/100000,"")</f>
        <v/>
      </c>
      <c r="AS100" s="32">
        <f>IF($E100="","",IF(COUNTIF($E$5:$E100,$E100)=1,ROW(),""))</f>
        <v/>
      </c>
      <c r="AT100" s="32">
        <f>IF($S100="","",IF(COUNTIF($S$5:$S100,$S100)=1,ROW(),""))</f>
        <v/>
      </c>
    </row>
    <row r="101" ht="20" customHeight="1">
      <c r="A101" s="20" t="n">
        <v>97</v>
      </c>
      <c r="B101" s="21" t="n"/>
      <c r="C101" s="22" t="n"/>
      <c r="D101" s="22" t="n"/>
      <c r="E101" s="22" t="n"/>
      <c r="F101" s="66" t="n"/>
      <c r="G101" s="66" t="n"/>
      <c r="H101" s="66" t="n"/>
      <c r="I101" s="21" t="n"/>
      <c r="J101" s="24" t="n"/>
      <c r="K101" s="24" t="n"/>
      <c r="L101" s="21" t="n"/>
      <c r="M101" s="24" t="n"/>
      <c r="N101" s="21" t="n"/>
      <c r="O101" s="67" t="n"/>
      <c r="P101" s="21" t="n"/>
      <c r="Q101" s="21" t="n"/>
      <c r="R101" s="22" t="n"/>
      <c r="S101" s="22" t="n"/>
      <c r="T101" s="21" t="n"/>
      <c r="U101" s="66" t="n"/>
      <c r="V101" s="66" t="n"/>
      <c r="W101" s="66" t="n"/>
      <c r="X101" s="8" t="n"/>
      <c r="Y101" s="68">
        <f>IF($AN101="","",IF($AN101=0,$H101,IF($AN101=$AJ101,$AK101,$AL101)))</f>
        <v/>
      </c>
      <c r="Z101" s="68">
        <f>IF(OR($Y101="",NOT(ISNUMBER($K101))),"",IF($L101="日前",$Y101-$K101,EDATE($Y101,-$K101)))</f>
        <v/>
      </c>
      <c r="AA101" s="68">
        <f>IF(OR($Y101="",ISNUMBER($V101),N($Y101)&lt;'設定'!$B$6),"",IF($Z101&lt;&gt;"",$Z101,$Y101))</f>
        <v/>
      </c>
      <c r="AB101" s="69">
        <f>IF($AA101="","",$AA101-'設定'!$B$6)</f>
        <v/>
      </c>
      <c r="AC101" s="28">
        <f>IF(NOT(OR($B101&lt;&gt;"",$C101&lt;&gt;"")),"",IF(ISNUMBER($V101),IF($V101&lt;'設定'!$B$6,"終了","終了予定"),IF($Y101="","有効",IF($Y101&lt;'設定'!$B$6,"満了",IF(AND($T101="更新する",ISNUMBER($U101),N($U101)&lt;='設定'!$B$6,OR($AO101="",N($U101)&gt;N($AO101))),"確認済み",IF($AB101&lt;0,"通知期限切れ",IF($AB101&lt;=N('設定'!$B$7),"要対応","有効")))))))</f>
        <v/>
      </c>
      <c r="AD101" s="68">
        <f>IF(OR(NOT(ISNUMBER($M101)),$AC101="",$AC101="終了",$AC101="終了予定",$AC101="満了"),"",IF($N101="日前",'設定'!$B$6+$M101,EDATE('設定'!$B$6,$M101)))</f>
        <v/>
      </c>
      <c r="AE101" s="70">
        <f>IF(NOT(ISNUMBER($O101)),"",IF($P101="月額",$O101*12,IF($P101="年額",$O101,"")))</f>
        <v/>
      </c>
      <c r="AF101" s="30">
        <f>MID(IF(AND(ISNUMBER($G101),ISNUMBER($H101)),IF(N($H101)&lt;N($G101)," / 満了日が開始日より前",""),"")&amp;IF(AND($I101="あり",NOT(ISNUMBER($H101)))," / 自動更新ありなのに満了日が空","")&amp;IF(AND($I101="あり",ISNUMBER($H101),NOT(ISNUMBER($J101)))," / 更新期間が空（更新を計算できない）","")&amp;IF($AH101="","",IF(AND(DAY($AH101)&gt;=29,OR(MOD($J101,12)&lt;&gt;0,MONTH($AH101)=2))," / 更新の初日が29〜31日（更新を重ねると満了日が1日ずれることがある。満了日を今の期間の満了日に書き換えると直る）",""))&amp;IF(AND(ISNUMBER($K101),$L101="")," / 通知の単位が空（か月前で計算）","")&amp;IF(AND(ISNUMBER($M101),$N101="")," / 解約予告の単位が空（か月前で計算）","")&amp;IF(AND(ISNUMBER($O101),$P101="")," / 金額の区分が空","")&amp;IF(AND($T101&lt;&gt;"",NOT(ISNUMBER($U101)))," / 対応を決めた日が空","")&amp;IF(AND(ISNUMBER($U101),$T101="")," / 今期の対応が空","")&amp;IF(AND($T101="更新しない",NOT(ISNUMBER($V101)))," / 更新しないなら、解約・終了した日（契約が終わる日）を入れる",""),4,300)</f>
        <v/>
      </c>
      <c r="AG101" s="53" t="n"/>
      <c r="AH101" s="71">
        <f>IF(AND(ISNUMBER($H101),$I101="あり",ISNUMBER($J101)),IF($J101&gt;=1,$H101+1,""),"")</f>
        <v/>
      </c>
      <c r="AI101" s="32">
        <f>IF($AH101="","",(YEAR('設定'!$B$6)-YEAR($AH101))*12+MONTH('設定'!$B$6)-MONTH($AH101))</f>
        <v/>
      </c>
      <c r="AJ101" s="32">
        <f>IF($AH101="","",MAX(1,ROUNDUP($AI101/$J101,0)))</f>
        <v/>
      </c>
      <c r="AK101" s="71">
        <f>IF($AJ101="","",IF(DAY(EDATE($AH101,$AJ101*$J101))&lt;DAY($AH101),EDATE($AH101,$AJ101*$J101),EDATE($AH101,$AJ101*$J101)-1))</f>
        <v/>
      </c>
      <c r="AL101" s="71">
        <f>IF($AJ101="","",IF(DAY(EDATE($AH101,($AJ101+1)*$J101))&lt;DAY($AH101),EDATE($AH101,($AJ101+1)*$J101),EDATE($AH101,($AJ101+1)*$J101)-1))</f>
        <v/>
      </c>
      <c r="AM101" s="71">
        <f>IF($AJ101="","",IF($AJ101=1,$H101,IF(DAY(EDATE($AH101,($AJ101-1)*$J101))&lt;DAY($AH101),EDATE($AH101,($AJ101-1)*$J101),EDATE($AH101,($AJ101-1)*$J101)-1)))</f>
        <v/>
      </c>
      <c r="AN101" s="32">
        <f>IF(NOT(ISNUMBER($H101)),"",IF(OR($AH101="",$H101&gt;='設定'!$B$6),0,IF($AK101&gt;='設定'!$B$6,$AJ101,$AJ101+1)))</f>
        <v/>
      </c>
      <c r="AO101" s="71">
        <f>IF($AN101="","",IF($AN101=0,"",IF($AN101=$AJ101,$AM101,$AK101)))</f>
        <v/>
      </c>
      <c r="AP101" s="32">
        <f>IF(OR($AC101="要対応",$AC101="通知期限切れ",$AC101="確認済み",$AC101="有効",$AC101="終了予定"),1,0)</f>
        <v/>
      </c>
      <c r="AQ101" s="32">
        <f>IF(OR($AC101="要対応",$AC101="通知期限切れ"),1,0)</f>
        <v/>
      </c>
      <c r="AR101" s="72">
        <f>IF(AND(ISNUMBER($AB101),OR($AC101="要対応",$AC101="通知期限切れ",$AC101="確認済み",$AC101="有効")),$AB101+ROW()/100000,"")</f>
        <v/>
      </c>
      <c r="AS101" s="32">
        <f>IF($E101="","",IF(COUNTIF($E$5:$E101,$E101)=1,ROW(),""))</f>
        <v/>
      </c>
      <c r="AT101" s="32">
        <f>IF($S101="","",IF(COUNTIF($S$5:$S101,$S101)=1,ROW(),""))</f>
        <v/>
      </c>
    </row>
    <row r="102" ht="20" customHeight="1">
      <c r="A102" s="20" t="n">
        <v>98</v>
      </c>
      <c r="B102" s="21" t="n"/>
      <c r="C102" s="22" t="n"/>
      <c r="D102" s="22" t="n"/>
      <c r="E102" s="22" t="n"/>
      <c r="F102" s="66" t="n"/>
      <c r="G102" s="66" t="n"/>
      <c r="H102" s="66" t="n"/>
      <c r="I102" s="21" t="n"/>
      <c r="J102" s="24" t="n"/>
      <c r="K102" s="24" t="n"/>
      <c r="L102" s="21" t="n"/>
      <c r="M102" s="24" t="n"/>
      <c r="N102" s="21" t="n"/>
      <c r="O102" s="67" t="n"/>
      <c r="P102" s="21" t="n"/>
      <c r="Q102" s="21" t="n"/>
      <c r="R102" s="22" t="n"/>
      <c r="S102" s="22" t="n"/>
      <c r="T102" s="21" t="n"/>
      <c r="U102" s="66" t="n"/>
      <c r="V102" s="66" t="n"/>
      <c r="W102" s="66" t="n"/>
      <c r="X102" s="8" t="n"/>
      <c r="Y102" s="68">
        <f>IF($AN102="","",IF($AN102=0,$H102,IF($AN102=$AJ102,$AK102,$AL102)))</f>
        <v/>
      </c>
      <c r="Z102" s="68">
        <f>IF(OR($Y102="",NOT(ISNUMBER($K102))),"",IF($L102="日前",$Y102-$K102,EDATE($Y102,-$K102)))</f>
        <v/>
      </c>
      <c r="AA102" s="68">
        <f>IF(OR($Y102="",ISNUMBER($V102),N($Y102)&lt;'設定'!$B$6),"",IF($Z102&lt;&gt;"",$Z102,$Y102))</f>
        <v/>
      </c>
      <c r="AB102" s="69">
        <f>IF($AA102="","",$AA102-'設定'!$B$6)</f>
        <v/>
      </c>
      <c r="AC102" s="28">
        <f>IF(NOT(OR($B102&lt;&gt;"",$C102&lt;&gt;"")),"",IF(ISNUMBER($V102),IF($V102&lt;'設定'!$B$6,"終了","終了予定"),IF($Y102="","有効",IF($Y102&lt;'設定'!$B$6,"満了",IF(AND($T102="更新する",ISNUMBER($U102),N($U102)&lt;='設定'!$B$6,OR($AO102="",N($U102)&gt;N($AO102))),"確認済み",IF($AB102&lt;0,"通知期限切れ",IF($AB102&lt;=N('設定'!$B$7),"要対応","有効")))))))</f>
        <v/>
      </c>
      <c r="AD102" s="68">
        <f>IF(OR(NOT(ISNUMBER($M102)),$AC102="",$AC102="終了",$AC102="終了予定",$AC102="満了"),"",IF($N102="日前",'設定'!$B$6+$M102,EDATE('設定'!$B$6,$M102)))</f>
        <v/>
      </c>
      <c r="AE102" s="70">
        <f>IF(NOT(ISNUMBER($O102)),"",IF($P102="月額",$O102*12,IF($P102="年額",$O102,"")))</f>
        <v/>
      </c>
      <c r="AF102" s="30">
        <f>MID(IF(AND(ISNUMBER($G102),ISNUMBER($H102)),IF(N($H102)&lt;N($G102)," / 満了日が開始日より前",""),"")&amp;IF(AND($I102="あり",NOT(ISNUMBER($H102)))," / 自動更新ありなのに満了日が空","")&amp;IF(AND($I102="あり",ISNUMBER($H102),NOT(ISNUMBER($J102)))," / 更新期間が空（更新を計算できない）","")&amp;IF($AH102="","",IF(AND(DAY($AH102)&gt;=29,OR(MOD($J102,12)&lt;&gt;0,MONTH($AH102)=2))," / 更新の初日が29〜31日（更新を重ねると満了日が1日ずれることがある。満了日を今の期間の満了日に書き換えると直る）",""))&amp;IF(AND(ISNUMBER($K102),$L102="")," / 通知の単位が空（か月前で計算）","")&amp;IF(AND(ISNUMBER($M102),$N102="")," / 解約予告の単位が空（か月前で計算）","")&amp;IF(AND(ISNUMBER($O102),$P102="")," / 金額の区分が空","")&amp;IF(AND($T102&lt;&gt;"",NOT(ISNUMBER($U102)))," / 対応を決めた日が空","")&amp;IF(AND(ISNUMBER($U102),$T102="")," / 今期の対応が空","")&amp;IF(AND($T102="更新しない",NOT(ISNUMBER($V102)))," / 更新しないなら、解約・終了した日（契約が終わる日）を入れる",""),4,300)</f>
        <v/>
      </c>
      <c r="AG102" s="53" t="n"/>
      <c r="AH102" s="71">
        <f>IF(AND(ISNUMBER($H102),$I102="あり",ISNUMBER($J102)),IF($J102&gt;=1,$H102+1,""),"")</f>
        <v/>
      </c>
      <c r="AI102" s="32">
        <f>IF($AH102="","",(YEAR('設定'!$B$6)-YEAR($AH102))*12+MONTH('設定'!$B$6)-MONTH($AH102))</f>
        <v/>
      </c>
      <c r="AJ102" s="32">
        <f>IF($AH102="","",MAX(1,ROUNDUP($AI102/$J102,0)))</f>
        <v/>
      </c>
      <c r="AK102" s="71">
        <f>IF($AJ102="","",IF(DAY(EDATE($AH102,$AJ102*$J102))&lt;DAY($AH102),EDATE($AH102,$AJ102*$J102),EDATE($AH102,$AJ102*$J102)-1))</f>
        <v/>
      </c>
      <c r="AL102" s="71">
        <f>IF($AJ102="","",IF(DAY(EDATE($AH102,($AJ102+1)*$J102))&lt;DAY($AH102),EDATE($AH102,($AJ102+1)*$J102),EDATE($AH102,($AJ102+1)*$J102)-1))</f>
        <v/>
      </c>
      <c r="AM102" s="71">
        <f>IF($AJ102="","",IF($AJ102=1,$H102,IF(DAY(EDATE($AH102,($AJ102-1)*$J102))&lt;DAY($AH102),EDATE($AH102,($AJ102-1)*$J102),EDATE($AH102,($AJ102-1)*$J102)-1)))</f>
        <v/>
      </c>
      <c r="AN102" s="32">
        <f>IF(NOT(ISNUMBER($H102)),"",IF(OR($AH102="",$H102&gt;='設定'!$B$6),0,IF($AK102&gt;='設定'!$B$6,$AJ102,$AJ102+1)))</f>
        <v/>
      </c>
      <c r="AO102" s="71">
        <f>IF($AN102="","",IF($AN102=0,"",IF($AN102=$AJ102,$AM102,$AK102)))</f>
        <v/>
      </c>
      <c r="AP102" s="32">
        <f>IF(OR($AC102="要対応",$AC102="通知期限切れ",$AC102="確認済み",$AC102="有効",$AC102="終了予定"),1,0)</f>
        <v/>
      </c>
      <c r="AQ102" s="32">
        <f>IF(OR($AC102="要対応",$AC102="通知期限切れ"),1,0)</f>
        <v/>
      </c>
      <c r="AR102" s="72">
        <f>IF(AND(ISNUMBER($AB102),OR($AC102="要対応",$AC102="通知期限切れ",$AC102="確認済み",$AC102="有効")),$AB102+ROW()/100000,"")</f>
        <v/>
      </c>
      <c r="AS102" s="32">
        <f>IF($E102="","",IF(COUNTIF($E$5:$E102,$E102)=1,ROW(),""))</f>
        <v/>
      </c>
      <c r="AT102" s="32">
        <f>IF($S102="","",IF(COUNTIF($S$5:$S102,$S102)=1,ROW(),""))</f>
        <v/>
      </c>
    </row>
    <row r="103" ht="20" customHeight="1">
      <c r="A103" s="20" t="n">
        <v>99</v>
      </c>
      <c r="B103" s="21" t="n"/>
      <c r="C103" s="22" t="n"/>
      <c r="D103" s="22" t="n"/>
      <c r="E103" s="22" t="n"/>
      <c r="F103" s="66" t="n"/>
      <c r="G103" s="66" t="n"/>
      <c r="H103" s="66" t="n"/>
      <c r="I103" s="21" t="n"/>
      <c r="J103" s="24" t="n"/>
      <c r="K103" s="24" t="n"/>
      <c r="L103" s="21" t="n"/>
      <c r="M103" s="24" t="n"/>
      <c r="N103" s="21" t="n"/>
      <c r="O103" s="67" t="n"/>
      <c r="P103" s="21" t="n"/>
      <c r="Q103" s="21" t="n"/>
      <c r="R103" s="22" t="n"/>
      <c r="S103" s="22" t="n"/>
      <c r="T103" s="21" t="n"/>
      <c r="U103" s="66" t="n"/>
      <c r="V103" s="66" t="n"/>
      <c r="W103" s="66" t="n"/>
      <c r="X103" s="8" t="n"/>
      <c r="Y103" s="68">
        <f>IF($AN103="","",IF($AN103=0,$H103,IF($AN103=$AJ103,$AK103,$AL103)))</f>
        <v/>
      </c>
      <c r="Z103" s="68">
        <f>IF(OR($Y103="",NOT(ISNUMBER($K103))),"",IF($L103="日前",$Y103-$K103,EDATE($Y103,-$K103)))</f>
        <v/>
      </c>
      <c r="AA103" s="68">
        <f>IF(OR($Y103="",ISNUMBER($V103),N($Y103)&lt;'設定'!$B$6),"",IF($Z103&lt;&gt;"",$Z103,$Y103))</f>
        <v/>
      </c>
      <c r="AB103" s="69">
        <f>IF($AA103="","",$AA103-'設定'!$B$6)</f>
        <v/>
      </c>
      <c r="AC103" s="28">
        <f>IF(NOT(OR($B103&lt;&gt;"",$C103&lt;&gt;"")),"",IF(ISNUMBER($V103),IF($V103&lt;'設定'!$B$6,"終了","終了予定"),IF($Y103="","有効",IF($Y103&lt;'設定'!$B$6,"満了",IF(AND($T103="更新する",ISNUMBER($U103),N($U103)&lt;='設定'!$B$6,OR($AO103="",N($U103)&gt;N($AO103))),"確認済み",IF($AB103&lt;0,"通知期限切れ",IF($AB103&lt;=N('設定'!$B$7),"要対応","有効")))))))</f>
        <v/>
      </c>
      <c r="AD103" s="68">
        <f>IF(OR(NOT(ISNUMBER($M103)),$AC103="",$AC103="終了",$AC103="終了予定",$AC103="満了"),"",IF($N103="日前",'設定'!$B$6+$M103,EDATE('設定'!$B$6,$M103)))</f>
        <v/>
      </c>
      <c r="AE103" s="70">
        <f>IF(NOT(ISNUMBER($O103)),"",IF($P103="月額",$O103*12,IF($P103="年額",$O103,"")))</f>
        <v/>
      </c>
      <c r="AF103" s="30">
        <f>MID(IF(AND(ISNUMBER($G103),ISNUMBER($H103)),IF(N($H103)&lt;N($G103)," / 満了日が開始日より前",""),"")&amp;IF(AND($I103="あり",NOT(ISNUMBER($H103)))," / 自動更新ありなのに満了日が空","")&amp;IF(AND($I103="あり",ISNUMBER($H103),NOT(ISNUMBER($J103)))," / 更新期間が空（更新を計算できない）","")&amp;IF($AH103="","",IF(AND(DAY($AH103)&gt;=29,OR(MOD($J103,12)&lt;&gt;0,MONTH($AH103)=2))," / 更新の初日が29〜31日（更新を重ねると満了日が1日ずれることがある。満了日を今の期間の満了日に書き換えると直る）",""))&amp;IF(AND(ISNUMBER($K103),$L103="")," / 通知の単位が空（か月前で計算）","")&amp;IF(AND(ISNUMBER($M103),$N103="")," / 解約予告の単位が空（か月前で計算）","")&amp;IF(AND(ISNUMBER($O103),$P103="")," / 金額の区分が空","")&amp;IF(AND($T103&lt;&gt;"",NOT(ISNUMBER($U103)))," / 対応を決めた日が空","")&amp;IF(AND(ISNUMBER($U103),$T103="")," / 今期の対応が空","")&amp;IF(AND($T103="更新しない",NOT(ISNUMBER($V103)))," / 更新しないなら、解約・終了した日（契約が終わる日）を入れる",""),4,300)</f>
        <v/>
      </c>
      <c r="AG103" s="53" t="n"/>
      <c r="AH103" s="71">
        <f>IF(AND(ISNUMBER($H103),$I103="あり",ISNUMBER($J103)),IF($J103&gt;=1,$H103+1,""),"")</f>
        <v/>
      </c>
      <c r="AI103" s="32">
        <f>IF($AH103="","",(YEAR('設定'!$B$6)-YEAR($AH103))*12+MONTH('設定'!$B$6)-MONTH($AH103))</f>
        <v/>
      </c>
      <c r="AJ103" s="32">
        <f>IF($AH103="","",MAX(1,ROUNDUP($AI103/$J103,0)))</f>
        <v/>
      </c>
      <c r="AK103" s="71">
        <f>IF($AJ103="","",IF(DAY(EDATE($AH103,$AJ103*$J103))&lt;DAY($AH103),EDATE($AH103,$AJ103*$J103),EDATE($AH103,$AJ103*$J103)-1))</f>
        <v/>
      </c>
      <c r="AL103" s="71">
        <f>IF($AJ103="","",IF(DAY(EDATE($AH103,($AJ103+1)*$J103))&lt;DAY($AH103),EDATE($AH103,($AJ103+1)*$J103),EDATE($AH103,($AJ103+1)*$J103)-1))</f>
        <v/>
      </c>
      <c r="AM103" s="71">
        <f>IF($AJ103="","",IF($AJ103=1,$H103,IF(DAY(EDATE($AH103,($AJ103-1)*$J103))&lt;DAY($AH103),EDATE($AH103,($AJ103-1)*$J103),EDATE($AH103,($AJ103-1)*$J103)-1)))</f>
        <v/>
      </c>
      <c r="AN103" s="32">
        <f>IF(NOT(ISNUMBER($H103)),"",IF(OR($AH103="",$H103&gt;='設定'!$B$6),0,IF($AK103&gt;='設定'!$B$6,$AJ103,$AJ103+1)))</f>
        <v/>
      </c>
      <c r="AO103" s="71">
        <f>IF($AN103="","",IF($AN103=0,"",IF($AN103=$AJ103,$AM103,$AK103)))</f>
        <v/>
      </c>
      <c r="AP103" s="32">
        <f>IF(OR($AC103="要対応",$AC103="通知期限切れ",$AC103="確認済み",$AC103="有効",$AC103="終了予定"),1,0)</f>
        <v/>
      </c>
      <c r="AQ103" s="32">
        <f>IF(OR($AC103="要対応",$AC103="通知期限切れ"),1,0)</f>
        <v/>
      </c>
      <c r="AR103" s="72">
        <f>IF(AND(ISNUMBER($AB103),OR($AC103="要対応",$AC103="通知期限切れ",$AC103="確認済み",$AC103="有効")),$AB103+ROW()/100000,"")</f>
        <v/>
      </c>
      <c r="AS103" s="32">
        <f>IF($E103="","",IF(COUNTIF($E$5:$E103,$E103)=1,ROW(),""))</f>
        <v/>
      </c>
      <c r="AT103" s="32">
        <f>IF($S103="","",IF(COUNTIF($S$5:$S103,$S103)=1,ROW(),""))</f>
        <v/>
      </c>
    </row>
    <row r="104" ht="20" customHeight="1">
      <c r="A104" s="20" t="n">
        <v>100</v>
      </c>
      <c r="B104" s="21" t="n"/>
      <c r="C104" s="22" t="n"/>
      <c r="D104" s="22" t="n"/>
      <c r="E104" s="22" t="n"/>
      <c r="F104" s="66" t="n"/>
      <c r="G104" s="66" t="n"/>
      <c r="H104" s="66" t="n"/>
      <c r="I104" s="21" t="n"/>
      <c r="J104" s="24" t="n"/>
      <c r="K104" s="24" t="n"/>
      <c r="L104" s="21" t="n"/>
      <c r="M104" s="24" t="n"/>
      <c r="N104" s="21" t="n"/>
      <c r="O104" s="67" t="n"/>
      <c r="P104" s="21" t="n"/>
      <c r="Q104" s="21" t="n"/>
      <c r="R104" s="22" t="n"/>
      <c r="S104" s="22" t="n"/>
      <c r="T104" s="21" t="n"/>
      <c r="U104" s="66" t="n"/>
      <c r="V104" s="66" t="n"/>
      <c r="W104" s="66" t="n"/>
      <c r="X104" s="8" t="n"/>
      <c r="Y104" s="68">
        <f>IF($AN104="","",IF($AN104=0,$H104,IF($AN104=$AJ104,$AK104,$AL104)))</f>
        <v/>
      </c>
      <c r="Z104" s="68">
        <f>IF(OR($Y104="",NOT(ISNUMBER($K104))),"",IF($L104="日前",$Y104-$K104,EDATE($Y104,-$K104)))</f>
        <v/>
      </c>
      <c r="AA104" s="68">
        <f>IF(OR($Y104="",ISNUMBER($V104),N($Y104)&lt;'設定'!$B$6),"",IF($Z104&lt;&gt;"",$Z104,$Y104))</f>
        <v/>
      </c>
      <c r="AB104" s="69">
        <f>IF($AA104="","",$AA104-'設定'!$B$6)</f>
        <v/>
      </c>
      <c r="AC104" s="28">
        <f>IF(NOT(OR($B104&lt;&gt;"",$C104&lt;&gt;"")),"",IF(ISNUMBER($V104),IF($V104&lt;'設定'!$B$6,"終了","終了予定"),IF($Y104="","有効",IF($Y104&lt;'設定'!$B$6,"満了",IF(AND($T104="更新する",ISNUMBER($U104),N($U104)&lt;='設定'!$B$6,OR($AO104="",N($U104)&gt;N($AO104))),"確認済み",IF($AB104&lt;0,"通知期限切れ",IF($AB104&lt;=N('設定'!$B$7),"要対応","有効")))))))</f>
        <v/>
      </c>
      <c r="AD104" s="68">
        <f>IF(OR(NOT(ISNUMBER($M104)),$AC104="",$AC104="終了",$AC104="終了予定",$AC104="満了"),"",IF($N104="日前",'設定'!$B$6+$M104,EDATE('設定'!$B$6,$M104)))</f>
        <v/>
      </c>
      <c r="AE104" s="70">
        <f>IF(NOT(ISNUMBER($O104)),"",IF($P104="月額",$O104*12,IF($P104="年額",$O104,"")))</f>
        <v/>
      </c>
      <c r="AF104" s="30">
        <f>MID(IF(AND(ISNUMBER($G104),ISNUMBER($H104)),IF(N($H104)&lt;N($G104)," / 満了日が開始日より前",""),"")&amp;IF(AND($I104="あり",NOT(ISNUMBER($H104)))," / 自動更新ありなのに満了日が空","")&amp;IF(AND($I104="あり",ISNUMBER($H104),NOT(ISNUMBER($J104)))," / 更新期間が空（更新を計算できない）","")&amp;IF($AH104="","",IF(AND(DAY($AH104)&gt;=29,OR(MOD($J104,12)&lt;&gt;0,MONTH($AH104)=2))," / 更新の初日が29〜31日（更新を重ねると満了日が1日ずれることがある。満了日を今の期間の満了日に書き換えると直る）",""))&amp;IF(AND(ISNUMBER($K104),$L104="")," / 通知の単位が空（か月前で計算）","")&amp;IF(AND(ISNUMBER($M104),$N104="")," / 解約予告の単位が空（か月前で計算）","")&amp;IF(AND(ISNUMBER($O104),$P104="")," / 金額の区分が空","")&amp;IF(AND($T104&lt;&gt;"",NOT(ISNUMBER($U104)))," / 対応を決めた日が空","")&amp;IF(AND(ISNUMBER($U104),$T104="")," / 今期の対応が空","")&amp;IF(AND($T104="更新しない",NOT(ISNUMBER($V104)))," / 更新しないなら、解約・終了した日（契約が終わる日）を入れる",""),4,300)</f>
        <v/>
      </c>
      <c r="AG104" s="53" t="n"/>
      <c r="AH104" s="71">
        <f>IF(AND(ISNUMBER($H104),$I104="あり",ISNUMBER($J104)),IF($J104&gt;=1,$H104+1,""),"")</f>
        <v/>
      </c>
      <c r="AI104" s="32">
        <f>IF($AH104="","",(YEAR('設定'!$B$6)-YEAR($AH104))*12+MONTH('設定'!$B$6)-MONTH($AH104))</f>
        <v/>
      </c>
      <c r="AJ104" s="32">
        <f>IF($AH104="","",MAX(1,ROUNDUP($AI104/$J104,0)))</f>
        <v/>
      </c>
      <c r="AK104" s="71">
        <f>IF($AJ104="","",IF(DAY(EDATE($AH104,$AJ104*$J104))&lt;DAY($AH104),EDATE($AH104,$AJ104*$J104),EDATE($AH104,$AJ104*$J104)-1))</f>
        <v/>
      </c>
      <c r="AL104" s="71">
        <f>IF($AJ104="","",IF(DAY(EDATE($AH104,($AJ104+1)*$J104))&lt;DAY($AH104),EDATE($AH104,($AJ104+1)*$J104),EDATE($AH104,($AJ104+1)*$J104)-1))</f>
        <v/>
      </c>
      <c r="AM104" s="71">
        <f>IF($AJ104="","",IF($AJ104=1,$H104,IF(DAY(EDATE($AH104,($AJ104-1)*$J104))&lt;DAY($AH104),EDATE($AH104,($AJ104-1)*$J104),EDATE($AH104,($AJ104-1)*$J104)-1)))</f>
        <v/>
      </c>
      <c r="AN104" s="32">
        <f>IF(NOT(ISNUMBER($H104)),"",IF(OR($AH104="",$H104&gt;='設定'!$B$6),0,IF($AK104&gt;='設定'!$B$6,$AJ104,$AJ104+1)))</f>
        <v/>
      </c>
      <c r="AO104" s="71">
        <f>IF($AN104="","",IF($AN104=0,"",IF($AN104=$AJ104,$AM104,$AK104)))</f>
        <v/>
      </c>
      <c r="AP104" s="32">
        <f>IF(OR($AC104="要対応",$AC104="通知期限切れ",$AC104="確認済み",$AC104="有効",$AC104="終了予定"),1,0)</f>
        <v/>
      </c>
      <c r="AQ104" s="32">
        <f>IF(OR($AC104="要対応",$AC104="通知期限切れ"),1,0)</f>
        <v/>
      </c>
      <c r="AR104" s="72">
        <f>IF(AND(ISNUMBER($AB104),OR($AC104="要対応",$AC104="通知期限切れ",$AC104="確認済み",$AC104="有効")),$AB104+ROW()/100000,"")</f>
        <v/>
      </c>
      <c r="AS104" s="32">
        <f>IF($E104="","",IF(COUNTIF($E$5:$E104,$E104)=1,ROW(),""))</f>
        <v/>
      </c>
      <c r="AT104" s="32">
        <f>IF($S104="","",IF(COUNTIF($S$5:$S104,$S104)=1,ROW(),""))</f>
        <v/>
      </c>
    </row>
    <row r="105" ht="20" customHeight="1">
      <c r="A105" s="20" t="n">
        <v>101</v>
      </c>
      <c r="B105" s="21" t="n"/>
      <c r="C105" s="22" t="n"/>
      <c r="D105" s="22" t="n"/>
      <c r="E105" s="22" t="n"/>
      <c r="F105" s="66" t="n"/>
      <c r="G105" s="66" t="n"/>
      <c r="H105" s="66" t="n"/>
      <c r="I105" s="21" t="n"/>
      <c r="J105" s="24" t="n"/>
      <c r="K105" s="24" t="n"/>
      <c r="L105" s="21" t="n"/>
      <c r="M105" s="24" t="n"/>
      <c r="N105" s="21" t="n"/>
      <c r="O105" s="67" t="n"/>
      <c r="P105" s="21" t="n"/>
      <c r="Q105" s="21" t="n"/>
      <c r="R105" s="22" t="n"/>
      <c r="S105" s="22" t="n"/>
      <c r="T105" s="21" t="n"/>
      <c r="U105" s="66" t="n"/>
      <c r="V105" s="66" t="n"/>
      <c r="W105" s="66" t="n"/>
      <c r="X105" s="8" t="n"/>
      <c r="Y105" s="68">
        <f>IF($AN105="","",IF($AN105=0,$H105,IF($AN105=$AJ105,$AK105,$AL105)))</f>
        <v/>
      </c>
      <c r="Z105" s="68">
        <f>IF(OR($Y105="",NOT(ISNUMBER($K105))),"",IF($L105="日前",$Y105-$K105,EDATE($Y105,-$K105)))</f>
        <v/>
      </c>
      <c r="AA105" s="68">
        <f>IF(OR($Y105="",ISNUMBER($V105),N($Y105)&lt;'設定'!$B$6),"",IF($Z105&lt;&gt;"",$Z105,$Y105))</f>
        <v/>
      </c>
      <c r="AB105" s="69">
        <f>IF($AA105="","",$AA105-'設定'!$B$6)</f>
        <v/>
      </c>
      <c r="AC105" s="28">
        <f>IF(NOT(OR($B105&lt;&gt;"",$C105&lt;&gt;"")),"",IF(ISNUMBER($V105),IF($V105&lt;'設定'!$B$6,"終了","終了予定"),IF($Y105="","有効",IF($Y105&lt;'設定'!$B$6,"満了",IF(AND($T105="更新する",ISNUMBER($U105),N($U105)&lt;='設定'!$B$6,OR($AO105="",N($U105)&gt;N($AO105))),"確認済み",IF($AB105&lt;0,"通知期限切れ",IF($AB105&lt;=N('設定'!$B$7),"要対応","有効")))))))</f>
        <v/>
      </c>
      <c r="AD105" s="68">
        <f>IF(OR(NOT(ISNUMBER($M105)),$AC105="",$AC105="終了",$AC105="終了予定",$AC105="満了"),"",IF($N105="日前",'設定'!$B$6+$M105,EDATE('設定'!$B$6,$M105)))</f>
        <v/>
      </c>
      <c r="AE105" s="70">
        <f>IF(NOT(ISNUMBER($O105)),"",IF($P105="月額",$O105*12,IF($P105="年額",$O105,"")))</f>
        <v/>
      </c>
      <c r="AF105" s="30">
        <f>MID(IF(AND(ISNUMBER($G105),ISNUMBER($H105)),IF(N($H105)&lt;N($G105)," / 満了日が開始日より前",""),"")&amp;IF(AND($I105="あり",NOT(ISNUMBER($H105)))," / 自動更新ありなのに満了日が空","")&amp;IF(AND($I105="あり",ISNUMBER($H105),NOT(ISNUMBER($J105)))," / 更新期間が空（更新を計算できない）","")&amp;IF($AH105="","",IF(AND(DAY($AH105)&gt;=29,OR(MOD($J105,12)&lt;&gt;0,MONTH($AH105)=2))," / 更新の初日が29〜31日（更新を重ねると満了日が1日ずれることがある。満了日を今の期間の満了日に書き換えると直る）",""))&amp;IF(AND(ISNUMBER($K105),$L105="")," / 通知の単位が空（か月前で計算）","")&amp;IF(AND(ISNUMBER($M105),$N105="")," / 解約予告の単位が空（か月前で計算）","")&amp;IF(AND(ISNUMBER($O105),$P105="")," / 金額の区分が空","")&amp;IF(AND($T105&lt;&gt;"",NOT(ISNUMBER($U105)))," / 対応を決めた日が空","")&amp;IF(AND(ISNUMBER($U105),$T105="")," / 今期の対応が空","")&amp;IF(AND($T105="更新しない",NOT(ISNUMBER($V105)))," / 更新しないなら、解約・終了した日（契約が終わる日）を入れる",""),4,300)</f>
        <v/>
      </c>
      <c r="AG105" s="53" t="n"/>
      <c r="AH105" s="71">
        <f>IF(AND(ISNUMBER($H105),$I105="あり",ISNUMBER($J105)),IF($J105&gt;=1,$H105+1,""),"")</f>
        <v/>
      </c>
      <c r="AI105" s="32">
        <f>IF($AH105="","",(YEAR('設定'!$B$6)-YEAR($AH105))*12+MONTH('設定'!$B$6)-MONTH($AH105))</f>
        <v/>
      </c>
      <c r="AJ105" s="32">
        <f>IF($AH105="","",MAX(1,ROUNDUP($AI105/$J105,0)))</f>
        <v/>
      </c>
      <c r="AK105" s="71">
        <f>IF($AJ105="","",IF(DAY(EDATE($AH105,$AJ105*$J105))&lt;DAY($AH105),EDATE($AH105,$AJ105*$J105),EDATE($AH105,$AJ105*$J105)-1))</f>
        <v/>
      </c>
      <c r="AL105" s="71">
        <f>IF($AJ105="","",IF(DAY(EDATE($AH105,($AJ105+1)*$J105))&lt;DAY($AH105),EDATE($AH105,($AJ105+1)*$J105),EDATE($AH105,($AJ105+1)*$J105)-1))</f>
        <v/>
      </c>
      <c r="AM105" s="71">
        <f>IF($AJ105="","",IF($AJ105=1,$H105,IF(DAY(EDATE($AH105,($AJ105-1)*$J105))&lt;DAY($AH105),EDATE($AH105,($AJ105-1)*$J105),EDATE($AH105,($AJ105-1)*$J105)-1)))</f>
        <v/>
      </c>
      <c r="AN105" s="32">
        <f>IF(NOT(ISNUMBER($H105)),"",IF(OR($AH105="",$H105&gt;='設定'!$B$6),0,IF($AK105&gt;='設定'!$B$6,$AJ105,$AJ105+1)))</f>
        <v/>
      </c>
      <c r="AO105" s="71">
        <f>IF($AN105="","",IF($AN105=0,"",IF($AN105=$AJ105,$AM105,$AK105)))</f>
        <v/>
      </c>
      <c r="AP105" s="32">
        <f>IF(OR($AC105="要対応",$AC105="通知期限切れ",$AC105="確認済み",$AC105="有効",$AC105="終了予定"),1,0)</f>
        <v/>
      </c>
      <c r="AQ105" s="32">
        <f>IF(OR($AC105="要対応",$AC105="通知期限切れ"),1,0)</f>
        <v/>
      </c>
      <c r="AR105" s="72">
        <f>IF(AND(ISNUMBER($AB105),OR($AC105="要対応",$AC105="通知期限切れ",$AC105="確認済み",$AC105="有効")),$AB105+ROW()/100000,"")</f>
        <v/>
      </c>
      <c r="AS105" s="32">
        <f>IF($E105="","",IF(COUNTIF($E$5:$E105,$E105)=1,ROW(),""))</f>
        <v/>
      </c>
      <c r="AT105" s="32">
        <f>IF($S105="","",IF(COUNTIF($S$5:$S105,$S105)=1,ROW(),""))</f>
        <v/>
      </c>
    </row>
    <row r="106" ht="20" customHeight="1">
      <c r="A106" s="20" t="n">
        <v>102</v>
      </c>
      <c r="B106" s="21" t="n"/>
      <c r="C106" s="22" t="n"/>
      <c r="D106" s="22" t="n"/>
      <c r="E106" s="22" t="n"/>
      <c r="F106" s="66" t="n"/>
      <c r="G106" s="66" t="n"/>
      <c r="H106" s="66" t="n"/>
      <c r="I106" s="21" t="n"/>
      <c r="J106" s="24" t="n"/>
      <c r="K106" s="24" t="n"/>
      <c r="L106" s="21" t="n"/>
      <c r="M106" s="24" t="n"/>
      <c r="N106" s="21" t="n"/>
      <c r="O106" s="67" t="n"/>
      <c r="P106" s="21" t="n"/>
      <c r="Q106" s="21" t="n"/>
      <c r="R106" s="22" t="n"/>
      <c r="S106" s="22" t="n"/>
      <c r="T106" s="21" t="n"/>
      <c r="U106" s="66" t="n"/>
      <c r="V106" s="66" t="n"/>
      <c r="W106" s="66" t="n"/>
      <c r="X106" s="8" t="n"/>
      <c r="Y106" s="68">
        <f>IF($AN106="","",IF($AN106=0,$H106,IF($AN106=$AJ106,$AK106,$AL106)))</f>
        <v/>
      </c>
      <c r="Z106" s="68">
        <f>IF(OR($Y106="",NOT(ISNUMBER($K106))),"",IF($L106="日前",$Y106-$K106,EDATE($Y106,-$K106)))</f>
        <v/>
      </c>
      <c r="AA106" s="68">
        <f>IF(OR($Y106="",ISNUMBER($V106),N($Y106)&lt;'設定'!$B$6),"",IF($Z106&lt;&gt;"",$Z106,$Y106))</f>
        <v/>
      </c>
      <c r="AB106" s="69">
        <f>IF($AA106="","",$AA106-'設定'!$B$6)</f>
        <v/>
      </c>
      <c r="AC106" s="28">
        <f>IF(NOT(OR($B106&lt;&gt;"",$C106&lt;&gt;"")),"",IF(ISNUMBER($V106),IF($V106&lt;'設定'!$B$6,"終了","終了予定"),IF($Y106="","有効",IF($Y106&lt;'設定'!$B$6,"満了",IF(AND($T106="更新する",ISNUMBER($U106),N($U106)&lt;='設定'!$B$6,OR($AO106="",N($U106)&gt;N($AO106))),"確認済み",IF($AB106&lt;0,"通知期限切れ",IF($AB106&lt;=N('設定'!$B$7),"要対応","有効")))))))</f>
        <v/>
      </c>
      <c r="AD106" s="68">
        <f>IF(OR(NOT(ISNUMBER($M106)),$AC106="",$AC106="終了",$AC106="終了予定",$AC106="満了"),"",IF($N106="日前",'設定'!$B$6+$M106,EDATE('設定'!$B$6,$M106)))</f>
        <v/>
      </c>
      <c r="AE106" s="70">
        <f>IF(NOT(ISNUMBER($O106)),"",IF($P106="月額",$O106*12,IF($P106="年額",$O106,"")))</f>
        <v/>
      </c>
      <c r="AF106" s="30">
        <f>MID(IF(AND(ISNUMBER($G106),ISNUMBER($H106)),IF(N($H106)&lt;N($G106)," / 満了日が開始日より前",""),"")&amp;IF(AND($I106="あり",NOT(ISNUMBER($H106)))," / 自動更新ありなのに満了日が空","")&amp;IF(AND($I106="あり",ISNUMBER($H106),NOT(ISNUMBER($J106)))," / 更新期間が空（更新を計算できない）","")&amp;IF($AH106="","",IF(AND(DAY($AH106)&gt;=29,OR(MOD($J106,12)&lt;&gt;0,MONTH($AH106)=2))," / 更新の初日が29〜31日（更新を重ねると満了日が1日ずれることがある。満了日を今の期間の満了日に書き換えると直る）",""))&amp;IF(AND(ISNUMBER($K106),$L106="")," / 通知の単位が空（か月前で計算）","")&amp;IF(AND(ISNUMBER($M106),$N106="")," / 解約予告の単位が空（か月前で計算）","")&amp;IF(AND(ISNUMBER($O106),$P106="")," / 金額の区分が空","")&amp;IF(AND($T106&lt;&gt;"",NOT(ISNUMBER($U106)))," / 対応を決めた日が空","")&amp;IF(AND(ISNUMBER($U106),$T106="")," / 今期の対応が空","")&amp;IF(AND($T106="更新しない",NOT(ISNUMBER($V106)))," / 更新しないなら、解約・終了した日（契約が終わる日）を入れる",""),4,300)</f>
        <v/>
      </c>
      <c r="AG106" s="53" t="n"/>
      <c r="AH106" s="71">
        <f>IF(AND(ISNUMBER($H106),$I106="あり",ISNUMBER($J106)),IF($J106&gt;=1,$H106+1,""),"")</f>
        <v/>
      </c>
      <c r="AI106" s="32">
        <f>IF($AH106="","",(YEAR('設定'!$B$6)-YEAR($AH106))*12+MONTH('設定'!$B$6)-MONTH($AH106))</f>
        <v/>
      </c>
      <c r="AJ106" s="32">
        <f>IF($AH106="","",MAX(1,ROUNDUP($AI106/$J106,0)))</f>
        <v/>
      </c>
      <c r="AK106" s="71">
        <f>IF($AJ106="","",IF(DAY(EDATE($AH106,$AJ106*$J106))&lt;DAY($AH106),EDATE($AH106,$AJ106*$J106),EDATE($AH106,$AJ106*$J106)-1))</f>
        <v/>
      </c>
      <c r="AL106" s="71">
        <f>IF($AJ106="","",IF(DAY(EDATE($AH106,($AJ106+1)*$J106))&lt;DAY($AH106),EDATE($AH106,($AJ106+1)*$J106),EDATE($AH106,($AJ106+1)*$J106)-1))</f>
        <v/>
      </c>
      <c r="AM106" s="71">
        <f>IF($AJ106="","",IF($AJ106=1,$H106,IF(DAY(EDATE($AH106,($AJ106-1)*$J106))&lt;DAY($AH106),EDATE($AH106,($AJ106-1)*$J106),EDATE($AH106,($AJ106-1)*$J106)-1)))</f>
        <v/>
      </c>
      <c r="AN106" s="32">
        <f>IF(NOT(ISNUMBER($H106)),"",IF(OR($AH106="",$H106&gt;='設定'!$B$6),0,IF($AK106&gt;='設定'!$B$6,$AJ106,$AJ106+1)))</f>
        <v/>
      </c>
      <c r="AO106" s="71">
        <f>IF($AN106="","",IF($AN106=0,"",IF($AN106=$AJ106,$AM106,$AK106)))</f>
        <v/>
      </c>
      <c r="AP106" s="32">
        <f>IF(OR($AC106="要対応",$AC106="通知期限切れ",$AC106="確認済み",$AC106="有効",$AC106="終了予定"),1,0)</f>
        <v/>
      </c>
      <c r="AQ106" s="32">
        <f>IF(OR($AC106="要対応",$AC106="通知期限切れ"),1,0)</f>
        <v/>
      </c>
      <c r="AR106" s="72">
        <f>IF(AND(ISNUMBER($AB106),OR($AC106="要対応",$AC106="通知期限切れ",$AC106="確認済み",$AC106="有効")),$AB106+ROW()/100000,"")</f>
        <v/>
      </c>
      <c r="AS106" s="32">
        <f>IF($E106="","",IF(COUNTIF($E$5:$E106,$E106)=1,ROW(),""))</f>
        <v/>
      </c>
      <c r="AT106" s="32">
        <f>IF($S106="","",IF(COUNTIF($S$5:$S106,$S106)=1,ROW(),""))</f>
        <v/>
      </c>
    </row>
    <row r="107" ht="20" customHeight="1">
      <c r="A107" s="20" t="n">
        <v>103</v>
      </c>
      <c r="B107" s="21" t="n"/>
      <c r="C107" s="22" t="n"/>
      <c r="D107" s="22" t="n"/>
      <c r="E107" s="22" t="n"/>
      <c r="F107" s="66" t="n"/>
      <c r="G107" s="66" t="n"/>
      <c r="H107" s="66" t="n"/>
      <c r="I107" s="21" t="n"/>
      <c r="J107" s="24" t="n"/>
      <c r="K107" s="24" t="n"/>
      <c r="L107" s="21" t="n"/>
      <c r="M107" s="24" t="n"/>
      <c r="N107" s="21" t="n"/>
      <c r="O107" s="67" t="n"/>
      <c r="P107" s="21" t="n"/>
      <c r="Q107" s="21" t="n"/>
      <c r="R107" s="22" t="n"/>
      <c r="S107" s="22" t="n"/>
      <c r="T107" s="21" t="n"/>
      <c r="U107" s="66" t="n"/>
      <c r="V107" s="66" t="n"/>
      <c r="W107" s="66" t="n"/>
      <c r="X107" s="8" t="n"/>
      <c r="Y107" s="68">
        <f>IF($AN107="","",IF($AN107=0,$H107,IF($AN107=$AJ107,$AK107,$AL107)))</f>
        <v/>
      </c>
      <c r="Z107" s="68">
        <f>IF(OR($Y107="",NOT(ISNUMBER($K107))),"",IF($L107="日前",$Y107-$K107,EDATE($Y107,-$K107)))</f>
        <v/>
      </c>
      <c r="AA107" s="68">
        <f>IF(OR($Y107="",ISNUMBER($V107),N($Y107)&lt;'設定'!$B$6),"",IF($Z107&lt;&gt;"",$Z107,$Y107))</f>
        <v/>
      </c>
      <c r="AB107" s="69">
        <f>IF($AA107="","",$AA107-'設定'!$B$6)</f>
        <v/>
      </c>
      <c r="AC107" s="28">
        <f>IF(NOT(OR($B107&lt;&gt;"",$C107&lt;&gt;"")),"",IF(ISNUMBER($V107),IF($V107&lt;'設定'!$B$6,"終了","終了予定"),IF($Y107="","有効",IF($Y107&lt;'設定'!$B$6,"満了",IF(AND($T107="更新する",ISNUMBER($U107),N($U107)&lt;='設定'!$B$6,OR($AO107="",N($U107)&gt;N($AO107))),"確認済み",IF($AB107&lt;0,"通知期限切れ",IF($AB107&lt;=N('設定'!$B$7),"要対応","有効")))))))</f>
        <v/>
      </c>
      <c r="AD107" s="68">
        <f>IF(OR(NOT(ISNUMBER($M107)),$AC107="",$AC107="終了",$AC107="終了予定",$AC107="満了"),"",IF($N107="日前",'設定'!$B$6+$M107,EDATE('設定'!$B$6,$M107)))</f>
        <v/>
      </c>
      <c r="AE107" s="70">
        <f>IF(NOT(ISNUMBER($O107)),"",IF($P107="月額",$O107*12,IF($P107="年額",$O107,"")))</f>
        <v/>
      </c>
      <c r="AF107" s="30">
        <f>MID(IF(AND(ISNUMBER($G107),ISNUMBER($H107)),IF(N($H107)&lt;N($G107)," / 満了日が開始日より前",""),"")&amp;IF(AND($I107="あり",NOT(ISNUMBER($H107)))," / 自動更新ありなのに満了日が空","")&amp;IF(AND($I107="あり",ISNUMBER($H107),NOT(ISNUMBER($J107)))," / 更新期間が空（更新を計算できない）","")&amp;IF($AH107="","",IF(AND(DAY($AH107)&gt;=29,OR(MOD($J107,12)&lt;&gt;0,MONTH($AH107)=2))," / 更新の初日が29〜31日（更新を重ねると満了日が1日ずれることがある。満了日を今の期間の満了日に書き換えると直る）",""))&amp;IF(AND(ISNUMBER($K107),$L107="")," / 通知の単位が空（か月前で計算）","")&amp;IF(AND(ISNUMBER($M107),$N107="")," / 解約予告の単位が空（か月前で計算）","")&amp;IF(AND(ISNUMBER($O107),$P107="")," / 金額の区分が空","")&amp;IF(AND($T107&lt;&gt;"",NOT(ISNUMBER($U107)))," / 対応を決めた日が空","")&amp;IF(AND(ISNUMBER($U107),$T107="")," / 今期の対応が空","")&amp;IF(AND($T107="更新しない",NOT(ISNUMBER($V107)))," / 更新しないなら、解約・終了した日（契約が終わる日）を入れる",""),4,300)</f>
        <v/>
      </c>
      <c r="AG107" s="53" t="n"/>
      <c r="AH107" s="71">
        <f>IF(AND(ISNUMBER($H107),$I107="あり",ISNUMBER($J107)),IF($J107&gt;=1,$H107+1,""),"")</f>
        <v/>
      </c>
      <c r="AI107" s="32">
        <f>IF($AH107="","",(YEAR('設定'!$B$6)-YEAR($AH107))*12+MONTH('設定'!$B$6)-MONTH($AH107))</f>
        <v/>
      </c>
      <c r="AJ107" s="32">
        <f>IF($AH107="","",MAX(1,ROUNDUP($AI107/$J107,0)))</f>
        <v/>
      </c>
      <c r="AK107" s="71">
        <f>IF($AJ107="","",IF(DAY(EDATE($AH107,$AJ107*$J107))&lt;DAY($AH107),EDATE($AH107,$AJ107*$J107),EDATE($AH107,$AJ107*$J107)-1))</f>
        <v/>
      </c>
      <c r="AL107" s="71">
        <f>IF($AJ107="","",IF(DAY(EDATE($AH107,($AJ107+1)*$J107))&lt;DAY($AH107),EDATE($AH107,($AJ107+1)*$J107),EDATE($AH107,($AJ107+1)*$J107)-1))</f>
        <v/>
      </c>
      <c r="AM107" s="71">
        <f>IF($AJ107="","",IF($AJ107=1,$H107,IF(DAY(EDATE($AH107,($AJ107-1)*$J107))&lt;DAY($AH107),EDATE($AH107,($AJ107-1)*$J107),EDATE($AH107,($AJ107-1)*$J107)-1)))</f>
        <v/>
      </c>
      <c r="AN107" s="32">
        <f>IF(NOT(ISNUMBER($H107)),"",IF(OR($AH107="",$H107&gt;='設定'!$B$6),0,IF($AK107&gt;='設定'!$B$6,$AJ107,$AJ107+1)))</f>
        <v/>
      </c>
      <c r="AO107" s="71">
        <f>IF($AN107="","",IF($AN107=0,"",IF($AN107=$AJ107,$AM107,$AK107)))</f>
        <v/>
      </c>
      <c r="AP107" s="32">
        <f>IF(OR($AC107="要対応",$AC107="通知期限切れ",$AC107="確認済み",$AC107="有効",$AC107="終了予定"),1,0)</f>
        <v/>
      </c>
      <c r="AQ107" s="32">
        <f>IF(OR($AC107="要対応",$AC107="通知期限切れ"),1,0)</f>
        <v/>
      </c>
      <c r="AR107" s="72">
        <f>IF(AND(ISNUMBER($AB107),OR($AC107="要対応",$AC107="通知期限切れ",$AC107="確認済み",$AC107="有効")),$AB107+ROW()/100000,"")</f>
        <v/>
      </c>
      <c r="AS107" s="32">
        <f>IF($E107="","",IF(COUNTIF($E$5:$E107,$E107)=1,ROW(),""))</f>
        <v/>
      </c>
      <c r="AT107" s="32">
        <f>IF($S107="","",IF(COUNTIF($S$5:$S107,$S107)=1,ROW(),""))</f>
        <v/>
      </c>
    </row>
    <row r="108" ht="20" customHeight="1">
      <c r="A108" s="20" t="n">
        <v>104</v>
      </c>
      <c r="B108" s="21" t="n"/>
      <c r="C108" s="22" t="n"/>
      <c r="D108" s="22" t="n"/>
      <c r="E108" s="22" t="n"/>
      <c r="F108" s="66" t="n"/>
      <c r="G108" s="66" t="n"/>
      <c r="H108" s="66" t="n"/>
      <c r="I108" s="21" t="n"/>
      <c r="J108" s="24" t="n"/>
      <c r="K108" s="24" t="n"/>
      <c r="L108" s="21" t="n"/>
      <c r="M108" s="24" t="n"/>
      <c r="N108" s="21" t="n"/>
      <c r="O108" s="67" t="n"/>
      <c r="P108" s="21" t="n"/>
      <c r="Q108" s="21" t="n"/>
      <c r="R108" s="22" t="n"/>
      <c r="S108" s="22" t="n"/>
      <c r="T108" s="21" t="n"/>
      <c r="U108" s="66" t="n"/>
      <c r="V108" s="66" t="n"/>
      <c r="W108" s="66" t="n"/>
      <c r="X108" s="8" t="n"/>
      <c r="Y108" s="68">
        <f>IF($AN108="","",IF($AN108=0,$H108,IF($AN108=$AJ108,$AK108,$AL108)))</f>
        <v/>
      </c>
      <c r="Z108" s="68">
        <f>IF(OR($Y108="",NOT(ISNUMBER($K108))),"",IF($L108="日前",$Y108-$K108,EDATE($Y108,-$K108)))</f>
        <v/>
      </c>
      <c r="AA108" s="68">
        <f>IF(OR($Y108="",ISNUMBER($V108),N($Y108)&lt;'設定'!$B$6),"",IF($Z108&lt;&gt;"",$Z108,$Y108))</f>
        <v/>
      </c>
      <c r="AB108" s="69">
        <f>IF($AA108="","",$AA108-'設定'!$B$6)</f>
        <v/>
      </c>
      <c r="AC108" s="28">
        <f>IF(NOT(OR($B108&lt;&gt;"",$C108&lt;&gt;"")),"",IF(ISNUMBER($V108),IF($V108&lt;'設定'!$B$6,"終了","終了予定"),IF($Y108="","有効",IF($Y108&lt;'設定'!$B$6,"満了",IF(AND($T108="更新する",ISNUMBER($U108),N($U108)&lt;='設定'!$B$6,OR($AO108="",N($U108)&gt;N($AO108))),"確認済み",IF($AB108&lt;0,"通知期限切れ",IF($AB108&lt;=N('設定'!$B$7),"要対応","有効")))))))</f>
        <v/>
      </c>
      <c r="AD108" s="68">
        <f>IF(OR(NOT(ISNUMBER($M108)),$AC108="",$AC108="終了",$AC108="終了予定",$AC108="満了"),"",IF($N108="日前",'設定'!$B$6+$M108,EDATE('設定'!$B$6,$M108)))</f>
        <v/>
      </c>
      <c r="AE108" s="70">
        <f>IF(NOT(ISNUMBER($O108)),"",IF($P108="月額",$O108*12,IF($P108="年額",$O108,"")))</f>
        <v/>
      </c>
      <c r="AF108" s="30">
        <f>MID(IF(AND(ISNUMBER($G108),ISNUMBER($H108)),IF(N($H108)&lt;N($G108)," / 満了日が開始日より前",""),"")&amp;IF(AND($I108="あり",NOT(ISNUMBER($H108)))," / 自動更新ありなのに満了日が空","")&amp;IF(AND($I108="あり",ISNUMBER($H108),NOT(ISNUMBER($J108)))," / 更新期間が空（更新を計算できない）","")&amp;IF($AH108="","",IF(AND(DAY($AH108)&gt;=29,OR(MOD($J108,12)&lt;&gt;0,MONTH($AH108)=2))," / 更新の初日が29〜31日（更新を重ねると満了日が1日ずれることがある。満了日を今の期間の満了日に書き換えると直る）",""))&amp;IF(AND(ISNUMBER($K108),$L108="")," / 通知の単位が空（か月前で計算）","")&amp;IF(AND(ISNUMBER($M108),$N108="")," / 解約予告の単位が空（か月前で計算）","")&amp;IF(AND(ISNUMBER($O108),$P108="")," / 金額の区分が空","")&amp;IF(AND($T108&lt;&gt;"",NOT(ISNUMBER($U108)))," / 対応を決めた日が空","")&amp;IF(AND(ISNUMBER($U108),$T108="")," / 今期の対応が空","")&amp;IF(AND($T108="更新しない",NOT(ISNUMBER($V108)))," / 更新しないなら、解約・終了した日（契約が終わる日）を入れる",""),4,300)</f>
        <v/>
      </c>
      <c r="AG108" s="53" t="n"/>
      <c r="AH108" s="71">
        <f>IF(AND(ISNUMBER($H108),$I108="あり",ISNUMBER($J108)),IF($J108&gt;=1,$H108+1,""),"")</f>
        <v/>
      </c>
      <c r="AI108" s="32">
        <f>IF($AH108="","",(YEAR('設定'!$B$6)-YEAR($AH108))*12+MONTH('設定'!$B$6)-MONTH($AH108))</f>
        <v/>
      </c>
      <c r="AJ108" s="32">
        <f>IF($AH108="","",MAX(1,ROUNDUP($AI108/$J108,0)))</f>
        <v/>
      </c>
      <c r="AK108" s="71">
        <f>IF($AJ108="","",IF(DAY(EDATE($AH108,$AJ108*$J108))&lt;DAY($AH108),EDATE($AH108,$AJ108*$J108),EDATE($AH108,$AJ108*$J108)-1))</f>
        <v/>
      </c>
      <c r="AL108" s="71">
        <f>IF($AJ108="","",IF(DAY(EDATE($AH108,($AJ108+1)*$J108))&lt;DAY($AH108),EDATE($AH108,($AJ108+1)*$J108),EDATE($AH108,($AJ108+1)*$J108)-1))</f>
        <v/>
      </c>
      <c r="AM108" s="71">
        <f>IF($AJ108="","",IF($AJ108=1,$H108,IF(DAY(EDATE($AH108,($AJ108-1)*$J108))&lt;DAY($AH108),EDATE($AH108,($AJ108-1)*$J108),EDATE($AH108,($AJ108-1)*$J108)-1)))</f>
        <v/>
      </c>
      <c r="AN108" s="32">
        <f>IF(NOT(ISNUMBER($H108)),"",IF(OR($AH108="",$H108&gt;='設定'!$B$6),0,IF($AK108&gt;='設定'!$B$6,$AJ108,$AJ108+1)))</f>
        <v/>
      </c>
      <c r="AO108" s="71">
        <f>IF($AN108="","",IF($AN108=0,"",IF($AN108=$AJ108,$AM108,$AK108)))</f>
        <v/>
      </c>
      <c r="AP108" s="32">
        <f>IF(OR($AC108="要対応",$AC108="通知期限切れ",$AC108="確認済み",$AC108="有効",$AC108="終了予定"),1,0)</f>
        <v/>
      </c>
      <c r="AQ108" s="32">
        <f>IF(OR($AC108="要対応",$AC108="通知期限切れ"),1,0)</f>
        <v/>
      </c>
      <c r="AR108" s="72">
        <f>IF(AND(ISNUMBER($AB108),OR($AC108="要対応",$AC108="通知期限切れ",$AC108="確認済み",$AC108="有効")),$AB108+ROW()/100000,"")</f>
        <v/>
      </c>
      <c r="AS108" s="32">
        <f>IF($E108="","",IF(COUNTIF($E$5:$E108,$E108)=1,ROW(),""))</f>
        <v/>
      </c>
      <c r="AT108" s="32">
        <f>IF($S108="","",IF(COUNTIF($S$5:$S108,$S108)=1,ROW(),""))</f>
        <v/>
      </c>
    </row>
    <row r="109" ht="20" customHeight="1">
      <c r="A109" s="20" t="n">
        <v>105</v>
      </c>
      <c r="B109" s="21" t="n"/>
      <c r="C109" s="22" t="n"/>
      <c r="D109" s="22" t="n"/>
      <c r="E109" s="22" t="n"/>
      <c r="F109" s="66" t="n"/>
      <c r="G109" s="66" t="n"/>
      <c r="H109" s="66" t="n"/>
      <c r="I109" s="21" t="n"/>
      <c r="J109" s="24" t="n"/>
      <c r="K109" s="24" t="n"/>
      <c r="L109" s="21" t="n"/>
      <c r="M109" s="24" t="n"/>
      <c r="N109" s="21" t="n"/>
      <c r="O109" s="67" t="n"/>
      <c r="P109" s="21" t="n"/>
      <c r="Q109" s="21" t="n"/>
      <c r="R109" s="22" t="n"/>
      <c r="S109" s="22" t="n"/>
      <c r="T109" s="21" t="n"/>
      <c r="U109" s="66" t="n"/>
      <c r="V109" s="66" t="n"/>
      <c r="W109" s="66" t="n"/>
      <c r="X109" s="8" t="n"/>
      <c r="Y109" s="68">
        <f>IF($AN109="","",IF($AN109=0,$H109,IF($AN109=$AJ109,$AK109,$AL109)))</f>
        <v/>
      </c>
      <c r="Z109" s="68">
        <f>IF(OR($Y109="",NOT(ISNUMBER($K109))),"",IF($L109="日前",$Y109-$K109,EDATE($Y109,-$K109)))</f>
        <v/>
      </c>
      <c r="AA109" s="68">
        <f>IF(OR($Y109="",ISNUMBER($V109),N($Y109)&lt;'設定'!$B$6),"",IF($Z109&lt;&gt;"",$Z109,$Y109))</f>
        <v/>
      </c>
      <c r="AB109" s="69">
        <f>IF($AA109="","",$AA109-'設定'!$B$6)</f>
        <v/>
      </c>
      <c r="AC109" s="28">
        <f>IF(NOT(OR($B109&lt;&gt;"",$C109&lt;&gt;"")),"",IF(ISNUMBER($V109),IF($V109&lt;'設定'!$B$6,"終了","終了予定"),IF($Y109="","有効",IF($Y109&lt;'設定'!$B$6,"満了",IF(AND($T109="更新する",ISNUMBER($U109),N($U109)&lt;='設定'!$B$6,OR($AO109="",N($U109)&gt;N($AO109))),"確認済み",IF($AB109&lt;0,"通知期限切れ",IF($AB109&lt;=N('設定'!$B$7),"要対応","有効")))))))</f>
        <v/>
      </c>
      <c r="AD109" s="68">
        <f>IF(OR(NOT(ISNUMBER($M109)),$AC109="",$AC109="終了",$AC109="終了予定",$AC109="満了"),"",IF($N109="日前",'設定'!$B$6+$M109,EDATE('設定'!$B$6,$M109)))</f>
        <v/>
      </c>
      <c r="AE109" s="70">
        <f>IF(NOT(ISNUMBER($O109)),"",IF($P109="月額",$O109*12,IF($P109="年額",$O109,"")))</f>
        <v/>
      </c>
      <c r="AF109" s="30">
        <f>MID(IF(AND(ISNUMBER($G109),ISNUMBER($H109)),IF(N($H109)&lt;N($G109)," / 満了日が開始日より前",""),"")&amp;IF(AND($I109="あり",NOT(ISNUMBER($H109)))," / 自動更新ありなのに満了日が空","")&amp;IF(AND($I109="あり",ISNUMBER($H109),NOT(ISNUMBER($J109)))," / 更新期間が空（更新を計算できない）","")&amp;IF($AH109="","",IF(AND(DAY($AH109)&gt;=29,OR(MOD($J109,12)&lt;&gt;0,MONTH($AH109)=2))," / 更新の初日が29〜31日（更新を重ねると満了日が1日ずれることがある。満了日を今の期間の満了日に書き換えると直る）",""))&amp;IF(AND(ISNUMBER($K109),$L109="")," / 通知の単位が空（か月前で計算）","")&amp;IF(AND(ISNUMBER($M109),$N109="")," / 解約予告の単位が空（か月前で計算）","")&amp;IF(AND(ISNUMBER($O109),$P109="")," / 金額の区分が空","")&amp;IF(AND($T109&lt;&gt;"",NOT(ISNUMBER($U109)))," / 対応を決めた日が空","")&amp;IF(AND(ISNUMBER($U109),$T109="")," / 今期の対応が空","")&amp;IF(AND($T109="更新しない",NOT(ISNUMBER($V109)))," / 更新しないなら、解約・終了した日（契約が終わる日）を入れる",""),4,300)</f>
        <v/>
      </c>
      <c r="AG109" s="53" t="n"/>
      <c r="AH109" s="71">
        <f>IF(AND(ISNUMBER($H109),$I109="あり",ISNUMBER($J109)),IF($J109&gt;=1,$H109+1,""),"")</f>
        <v/>
      </c>
      <c r="AI109" s="32">
        <f>IF($AH109="","",(YEAR('設定'!$B$6)-YEAR($AH109))*12+MONTH('設定'!$B$6)-MONTH($AH109))</f>
        <v/>
      </c>
      <c r="AJ109" s="32">
        <f>IF($AH109="","",MAX(1,ROUNDUP($AI109/$J109,0)))</f>
        <v/>
      </c>
      <c r="AK109" s="71">
        <f>IF($AJ109="","",IF(DAY(EDATE($AH109,$AJ109*$J109))&lt;DAY($AH109),EDATE($AH109,$AJ109*$J109),EDATE($AH109,$AJ109*$J109)-1))</f>
        <v/>
      </c>
      <c r="AL109" s="71">
        <f>IF($AJ109="","",IF(DAY(EDATE($AH109,($AJ109+1)*$J109))&lt;DAY($AH109),EDATE($AH109,($AJ109+1)*$J109),EDATE($AH109,($AJ109+1)*$J109)-1))</f>
        <v/>
      </c>
      <c r="AM109" s="71">
        <f>IF($AJ109="","",IF($AJ109=1,$H109,IF(DAY(EDATE($AH109,($AJ109-1)*$J109))&lt;DAY($AH109),EDATE($AH109,($AJ109-1)*$J109),EDATE($AH109,($AJ109-1)*$J109)-1)))</f>
        <v/>
      </c>
      <c r="AN109" s="32">
        <f>IF(NOT(ISNUMBER($H109)),"",IF(OR($AH109="",$H109&gt;='設定'!$B$6),0,IF($AK109&gt;='設定'!$B$6,$AJ109,$AJ109+1)))</f>
        <v/>
      </c>
      <c r="AO109" s="71">
        <f>IF($AN109="","",IF($AN109=0,"",IF($AN109=$AJ109,$AM109,$AK109)))</f>
        <v/>
      </c>
      <c r="AP109" s="32">
        <f>IF(OR($AC109="要対応",$AC109="通知期限切れ",$AC109="確認済み",$AC109="有効",$AC109="終了予定"),1,0)</f>
        <v/>
      </c>
      <c r="AQ109" s="32">
        <f>IF(OR($AC109="要対応",$AC109="通知期限切れ"),1,0)</f>
        <v/>
      </c>
      <c r="AR109" s="72">
        <f>IF(AND(ISNUMBER($AB109),OR($AC109="要対応",$AC109="通知期限切れ",$AC109="確認済み",$AC109="有効")),$AB109+ROW()/100000,"")</f>
        <v/>
      </c>
      <c r="AS109" s="32">
        <f>IF($E109="","",IF(COUNTIF($E$5:$E109,$E109)=1,ROW(),""))</f>
        <v/>
      </c>
      <c r="AT109" s="32">
        <f>IF($S109="","",IF(COUNTIF($S$5:$S109,$S109)=1,ROW(),""))</f>
        <v/>
      </c>
    </row>
    <row r="110" ht="20" customHeight="1">
      <c r="A110" s="20" t="n">
        <v>106</v>
      </c>
      <c r="B110" s="21" t="n"/>
      <c r="C110" s="22" t="n"/>
      <c r="D110" s="22" t="n"/>
      <c r="E110" s="22" t="n"/>
      <c r="F110" s="66" t="n"/>
      <c r="G110" s="66" t="n"/>
      <c r="H110" s="66" t="n"/>
      <c r="I110" s="21" t="n"/>
      <c r="J110" s="24" t="n"/>
      <c r="K110" s="24" t="n"/>
      <c r="L110" s="21" t="n"/>
      <c r="M110" s="24" t="n"/>
      <c r="N110" s="21" t="n"/>
      <c r="O110" s="67" t="n"/>
      <c r="P110" s="21" t="n"/>
      <c r="Q110" s="21" t="n"/>
      <c r="R110" s="22" t="n"/>
      <c r="S110" s="22" t="n"/>
      <c r="T110" s="21" t="n"/>
      <c r="U110" s="66" t="n"/>
      <c r="V110" s="66" t="n"/>
      <c r="W110" s="66" t="n"/>
      <c r="X110" s="8" t="n"/>
      <c r="Y110" s="68">
        <f>IF($AN110="","",IF($AN110=0,$H110,IF($AN110=$AJ110,$AK110,$AL110)))</f>
        <v/>
      </c>
      <c r="Z110" s="68">
        <f>IF(OR($Y110="",NOT(ISNUMBER($K110))),"",IF($L110="日前",$Y110-$K110,EDATE($Y110,-$K110)))</f>
        <v/>
      </c>
      <c r="AA110" s="68">
        <f>IF(OR($Y110="",ISNUMBER($V110),N($Y110)&lt;'設定'!$B$6),"",IF($Z110&lt;&gt;"",$Z110,$Y110))</f>
        <v/>
      </c>
      <c r="AB110" s="69">
        <f>IF($AA110="","",$AA110-'設定'!$B$6)</f>
        <v/>
      </c>
      <c r="AC110" s="28">
        <f>IF(NOT(OR($B110&lt;&gt;"",$C110&lt;&gt;"")),"",IF(ISNUMBER($V110),IF($V110&lt;'設定'!$B$6,"終了","終了予定"),IF($Y110="","有効",IF($Y110&lt;'設定'!$B$6,"満了",IF(AND($T110="更新する",ISNUMBER($U110),N($U110)&lt;='設定'!$B$6,OR($AO110="",N($U110)&gt;N($AO110))),"確認済み",IF($AB110&lt;0,"通知期限切れ",IF($AB110&lt;=N('設定'!$B$7),"要対応","有効")))))))</f>
        <v/>
      </c>
      <c r="AD110" s="68">
        <f>IF(OR(NOT(ISNUMBER($M110)),$AC110="",$AC110="終了",$AC110="終了予定",$AC110="満了"),"",IF($N110="日前",'設定'!$B$6+$M110,EDATE('設定'!$B$6,$M110)))</f>
        <v/>
      </c>
      <c r="AE110" s="70">
        <f>IF(NOT(ISNUMBER($O110)),"",IF($P110="月額",$O110*12,IF($P110="年額",$O110,"")))</f>
        <v/>
      </c>
      <c r="AF110" s="30">
        <f>MID(IF(AND(ISNUMBER($G110),ISNUMBER($H110)),IF(N($H110)&lt;N($G110)," / 満了日が開始日より前",""),"")&amp;IF(AND($I110="あり",NOT(ISNUMBER($H110)))," / 自動更新ありなのに満了日が空","")&amp;IF(AND($I110="あり",ISNUMBER($H110),NOT(ISNUMBER($J110)))," / 更新期間が空（更新を計算できない）","")&amp;IF($AH110="","",IF(AND(DAY($AH110)&gt;=29,OR(MOD($J110,12)&lt;&gt;0,MONTH($AH110)=2))," / 更新の初日が29〜31日（更新を重ねると満了日が1日ずれることがある。満了日を今の期間の満了日に書き換えると直る）",""))&amp;IF(AND(ISNUMBER($K110),$L110="")," / 通知の単位が空（か月前で計算）","")&amp;IF(AND(ISNUMBER($M110),$N110="")," / 解約予告の単位が空（か月前で計算）","")&amp;IF(AND(ISNUMBER($O110),$P110="")," / 金額の区分が空","")&amp;IF(AND($T110&lt;&gt;"",NOT(ISNUMBER($U110)))," / 対応を決めた日が空","")&amp;IF(AND(ISNUMBER($U110),$T110="")," / 今期の対応が空","")&amp;IF(AND($T110="更新しない",NOT(ISNUMBER($V110)))," / 更新しないなら、解約・終了した日（契約が終わる日）を入れる",""),4,300)</f>
        <v/>
      </c>
      <c r="AG110" s="53" t="n"/>
      <c r="AH110" s="71">
        <f>IF(AND(ISNUMBER($H110),$I110="あり",ISNUMBER($J110)),IF($J110&gt;=1,$H110+1,""),"")</f>
        <v/>
      </c>
      <c r="AI110" s="32">
        <f>IF($AH110="","",(YEAR('設定'!$B$6)-YEAR($AH110))*12+MONTH('設定'!$B$6)-MONTH($AH110))</f>
        <v/>
      </c>
      <c r="AJ110" s="32">
        <f>IF($AH110="","",MAX(1,ROUNDUP($AI110/$J110,0)))</f>
        <v/>
      </c>
      <c r="AK110" s="71">
        <f>IF($AJ110="","",IF(DAY(EDATE($AH110,$AJ110*$J110))&lt;DAY($AH110),EDATE($AH110,$AJ110*$J110),EDATE($AH110,$AJ110*$J110)-1))</f>
        <v/>
      </c>
      <c r="AL110" s="71">
        <f>IF($AJ110="","",IF(DAY(EDATE($AH110,($AJ110+1)*$J110))&lt;DAY($AH110),EDATE($AH110,($AJ110+1)*$J110),EDATE($AH110,($AJ110+1)*$J110)-1))</f>
        <v/>
      </c>
      <c r="AM110" s="71">
        <f>IF($AJ110="","",IF($AJ110=1,$H110,IF(DAY(EDATE($AH110,($AJ110-1)*$J110))&lt;DAY($AH110),EDATE($AH110,($AJ110-1)*$J110),EDATE($AH110,($AJ110-1)*$J110)-1)))</f>
        <v/>
      </c>
      <c r="AN110" s="32">
        <f>IF(NOT(ISNUMBER($H110)),"",IF(OR($AH110="",$H110&gt;='設定'!$B$6),0,IF($AK110&gt;='設定'!$B$6,$AJ110,$AJ110+1)))</f>
        <v/>
      </c>
      <c r="AO110" s="71">
        <f>IF($AN110="","",IF($AN110=0,"",IF($AN110=$AJ110,$AM110,$AK110)))</f>
        <v/>
      </c>
      <c r="AP110" s="32">
        <f>IF(OR($AC110="要対応",$AC110="通知期限切れ",$AC110="確認済み",$AC110="有効",$AC110="終了予定"),1,0)</f>
        <v/>
      </c>
      <c r="AQ110" s="32">
        <f>IF(OR($AC110="要対応",$AC110="通知期限切れ"),1,0)</f>
        <v/>
      </c>
      <c r="AR110" s="72">
        <f>IF(AND(ISNUMBER($AB110),OR($AC110="要対応",$AC110="通知期限切れ",$AC110="確認済み",$AC110="有効")),$AB110+ROW()/100000,"")</f>
        <v/>
      </c>
      <c r="AS110" s="32">
        <f>IF($E110="","",IF(COUNTIF($E$5:$E110,$E110)=1,ROW(),""))</f>
        <v/>
      </c>
      <c r="AT110" s="32">
        <f>IF($S110="","",IF(COUNTIF($S$5:$S110,$S110)=1,ROW(),""))</f>
        <v/>
      </c>
    </row>
    <row r="111" ht="20" customHeight="1">
      <c r="A111" s="20" t="n">
        <v>107</v>
      </c>
      <c r="B111" s="21" t="n"/>
      <c r="C111" s="22" t="n"/>
      <c r="D111" s="22" t="n"/>
      <c r="E111" s="22" t="n"/>
      <c r="F111" s="66" t="n"/>
      <c r="G111" s="66" t="n"/>
      <c r="H111" s="66" t="n"/>
      <c r="I111" s="21" t="n"/>
      <c r="J111" s="24" t="n"/>
      <c r="K111" s="24" t="n"/>
      <c r="L111" s="21" t="n"/>
      <c r="M111" s="24" t="n"/>
      <c r="N111" s="21" t="n"/>
      <c r="O111" s="67" t="n"/>
      <c r="P111" s="21" t="n"/>
      <c r="Q111" s="21" t="n"/>
      <c r="R111" s="22" t="n"/>
      <c r="S111" s="22" t="n"/>
      <c r="T111" s="21" t="n"/>
      <c r="U111" s="66" t="n"/>
      <c r="V111" s="66" t="n"/>
      <c r="W111" s="66" t="n"/>
      <c r="X111" s="8" t="n"/>
      <c r="Y111" s="68">
        <f>IF($AN111="","",IF($AN111=0,$H111,IF($AN111=$AJ111,$AK111,$AL111)))</f>
        <v/>
      </c>
      <c r="Z111" s="68">
        <f>IF(OR($Y111="",NOT(ISNUMBER($K111))),"",IF($L111="日前",$Y111-$K111,EDATE($Y111,-$K111)))</f>
        <v/>
      </c>
      <c r="AA111" s="68">
        <f>IF(OR($Y111="",ISNUMBER($V111),N($Y111)&lt;'設定'!$B$6),"",IF($Z111&lt;&gt;"",$Z111,$Y111))</f>
        <v/>
      </c>
      <c r="AB111" s="69">
        <f>IF($AA111="","",$AA111-'設定'!$B$6)</f>
        <v/>
      </c>
      <c r="AC111" s="28">
        <f>IF(NOT(OR($B111&lt;&gt;"",$C111&lt;&gt;"")),"",IF(ISNUMBER($V111),IF($V111&lt;'設定'!$B$6,"終了","終了予定"),IF($Y111="","有効",IF($Y111&lt;'設定'!$B$6,"満了",IF(AND($T111="更新する",ISNUMBER($U111),N($U111)&lt;='設定'!$B$6,OR($AO111="",N($U111)&gt;N($AO111))),"確認済み",IF($AB111&lt;0,"通知期限切れ",IF($AB111&lt;=N('設定'!$B$7),"要対応","有効")))))))</f>
        <v/>
      </c>
      <c r="AD111" s="68">
        <f>IF(OR(NOT(ISNUMBER($M111)),$AC111="",$AC111="終了",$AC111="終了予定",$AC111="満了"),"",IF($N111="日前",'設定'!$B$6+$M111,EDATE('設定'!$B$6,$M111)))</f>
        <v/>
      </c>
      <c r="AE111" s="70">
        <f>IF(NOT(ISNUMBER($O111)),"",IF($P111="月額",$O111*12,IF($P111="年額",$O111,"")))</f>
        <v/>
      </c>
      <c r="AF111" s="30">
        <f>MID(IF(AND(ISNUMBER($G111),ISNUMBER($H111)),IF(N($H111)&lt;N($G111)," / 満了日が開始日より前",""),"")&amp;IF(AND($I111="あり",NOT(ISNUMBER($H111)))," / 自動更新ありなのに満了日が空","")&amp;IF(AND($I111="あり",ISNUMBER($H111),NOT(ISNUMBER($J111)))," / 更新期間が空（更新を計算できない）","")&amp;IF($AH111="","",IF(AND(DAY($AH111)&gt;=29,OR(MOD($J111,12)&lt;&gt;0,MONTH($AH111)=2))," / 更新の初日が29〜31日（更新を重ねると満了日が1日ずれることがある。満了日を今の期間の満了日に書き換えると直る）",""))&amp;IF(AND(ISNUMBER($K111),$L111="")," / 通知の単位が空（か月前で計算）","")&amp;IF(AND(ISNUMBER($M111),$N111="")," / 解約予告の単位が空（か月前で計算）","")&amp;IF(AND(ISNUMBER($O111),$P111="")," / 金額の区分が空","")&amp;IF(AND($T111&lt;&gt;"",NOT(ISNUMBER($U111)))," / 対応を決めた日が空","")&amp;IF(AND(ISNUMBER($U111),$T111="")," / 今期の対応が空","")&amp;IF(AND($T111="更新しない",NOT(ISNUMBER($V111)))," / 更新しないなら、解約・終了した日（契約が終わる日）を入れる",""),4,300)</f>
        <v/>
      </c>
      <c r="AG111" s="53" t="n"/>
      <c r="AH111" s="71">
        <f>IF(AND(ISNUMBER($H111),$I111="あり",ISNUMBER($J111)),IF($J111&gt;=1,$H111+1,""),"")</f>
        <v/>
      </c>
      <c r="AI111" s="32">
        <f>IF($AH111="","",(YEAR('設定'!$B$6)-YEAR($AH111))*12+MONTH('設定'!$B$6)-MONTH($AH111))</f>
        <v/>
      </c>
      <c r="AJ111" s="32">
        <f>IF($AH111="","",MAX(1,ROUNDUP($AI111/$J111,0)))</f>
        <v/>
      </c>
      <c r="AK111" s="71">
        <f>IF($AJ111="","",IF(DAY(EDATE($AH111,$AJ111*$J111))&lt;DAY($AH111),EDATE($AH111,$AJ111*$J111),EDATE($AH111,$AJ111*$J111)-1))</f>
        <v/>
      </c>
      <c r="AL111" s="71">
        <f>IF($AJ111="","",IF(DAY(EDATE($AH111,($AJ111+1)*$J111))&lt;DAY($AH111),EDATE($AH111,($AJ111+1)*$J111),EDATE($AH111,($AJ111+1)*$J111)-1))</f>
        <v/>
      </c>
      <c r="AM111" s="71">
        <f>IF($AJ111="","",IF($AJ111=1,$H111,IF(DAY(EDATE($AH111,($AJ111-1)*$J111))&lt;DAY($AH111),EDATE($AH111,($AJ111-1)*$J111),EDATE($AH111,($AJ111-1)*$J111)-1)))</f>
        <v/>
      </c>
      <c r="AN111" s="32">
        <f>IF(NOT(ISNUMBER($H111)),"",IF(OR($AH111="",$H111&gt;='設定'!$B$6),0,IF($AK111&gt;='設定'!$B$6,$AJ111,$AJ111+1)))</f>
        <v/>
      </c>
      <c r="AO111" s="71">
        <f>IF($AN111="","",IF($AN111=0,"",IF($AN111=$AJ111,$AM111,$AK111)))</f>
        <v/>
      </c>
      <c r="AP111" s="32">
        <f>IF(OR($AC111="要対応",$AC111="通知期限切れ",$AC111="確認済み",$AC111="有効",$AC111="終了予定"),1,0)</f>
        <v/>
      </c>
      <c r="AQ111" s="32">
        <f>IF(OR($AC111="要対応",$AC111="通知期限切れ"),1,0)</f>
        <v/>
      </c>
      <c r="AR111" s="72">
        <f>IF(AND(ISNUMBER($AB111),OR($AC111="要対応",$AC111="通知期限切れ",$AC111="確認済み",$AC111="有効")),$AB111+ROW()/100000,"")</f>
        <v/>
      </c>
      <c r="AS111" s="32">
        <f>IF($E111="","",IF(COUNTIF($E$5:$E111,$E111)=1,ROW(),""))</f>
        <v/>
      </c>
      <c r="AT111" s="32">
        <f>IF($S111="","",IF(COUNTIF($S$5:$S111,$S111)=1,ROW(),""))</f>
        <v/>
      </c>
    </row>
    <row r="112" ht="20" customHeight="1">
      <c r="A112" s="20" t="n">
        <v>108</v>
      </c>
      <c r="B112" s="21" t="n"/>
      <c r="C112" s="22" t="n"/>
      <c r="D112" s="22" t="n"/>
      <c r="E112" s="22" t="n"/>
      <c r="F112" s="66" t="n"/>
      <c r="G112" s="66" t="n"/>
      <c r="H112" s="66" t="n"/>
      <c r="I112" s="21" t="n"/>
      <c r="J112" s="24" t="n"/>
      <c r="K112" s="24" t="n"/>
      <c r="L112" s="21" t="n"/>
      <c r="M112" s="24" t="n"/>
      <c r="N112" s="21" t="n"/>
      <c r="O112" s="67" t="n"/>
      <c r="P112" s="21" t="n"/>
      <c r="Q112" s="21" t="n"/>
      <c r="R112" s="22" t="n"/>
      <c r="S112" s="22" t="n"/>
      <c r="T112" s="21" t="n"/>
      <c r="U112" s="66" t="n"/>
      <c r="V112" s="66" t="n"/>
      <c r="W112" s="66" t="n"/>
      <c r="X112" s="8" t="n"/>
      <c r="Y112" s="68">
        <f>IF($AN112="","",IF($AN112=0,$H112,IF($AN112=$AJ112,$AK112,$AL112)))</f>
        <v/>
      </c>
      <c r="Z112" s="68">
        <f>IF(OR($Y112="",NOT(ISNUMBER($K112))),"",IF($L112="日前",$Y112-$K112,EDATE($Y112,-$K112)))</f>
        <v/>
      </c>
      <c r="AA112" s="68">
        <f>IF(OR($Y112="",ISNUMBER($V112),N($Y112)&lt;'設定'!$B$6),"",IF($Z112&lt;&gt;"",$Z112,$Y112))</f>
        <v/>
      </c>
      <c r="AB112" s="69">
        <f>IF($AA112="","",$AA112-'設定'!$B$6)</f>
        <v/>
      </c>
      <c r="AC112" s="28">
        <f>IF(NOT(OR($B112&lt;&gt;"",$C112&lt;&gt;"")),"",IF(ISNUMBER($V112),IF($V112&lt;'設定'!$B$6,"終了","終了予定"),IF($Y112="","有効",IF($Y112&lt;'設定'!$B$6,"満了",IF(AND($T112="更新する",ISNUMBER($U112),N($U112)&lt;='設定'!$B$6,OR($AO112="",N($U112)&gt;N($AO112))),"確認済み",IF($AB112&lt;0,"通知期限切れ",IF($AB112&lt;=N('設定'!$B$7),"要対応","有効")))))))</f>
        <v/>
      </c>
      <c r="AD112" s="68">
        <f>IF(OR(NOT(ISNUMBER($M112)),$AC112="",$AC112="終了",$AC112="終了予定",$AC112="満了"),"",IF($N112="日前",'設定'!$B$6+$M112,EDATE('設定'!$B$6,$M112)))</f>
        <v/>
      </c>
      <c r="AE112" s="70">
        <f>IF(NOT(ISNUMBER($O112)),"",IF($P112="月額",$O112*12,IF($P112="年額",$O112,"")))</f>
        <v/>
      </c>
      <c r="AF112" s="30">
        <f>MID(IF(AND(ISNUMBER($G112),ISNUMBER($H112)),IF(N($H112)&lt;N($G112)," / 満了日が開始日より前",""),"")&amp;IF(AND($I112="あり",NOT(ISNUMBER($H112)))," / 自動更新ありなのに満了日が空","")&amp;IF(AND($I112="あり",ISNUMBER($H112),NOT(ISNUMBER($J112)))," / 更新期間が空（更新を計算できない）","")&amp;IF($AH112="","",IF(AND(DAY($AH112)&gt;=29,OR(MOD($J112,12)&lt;&gt;0,MONTH($AH112)=2))," / 更新の初日が29〜31日（更新を重ねると満了日が1日ずれることがある。満了日を今の期間の満了日に書き換えると直る）",""))&amp;IF(AND(ISNUMBER($K112),$L112="")," / 通知の単位が空（か月前で計算）","")&amp;IF(AND(ISNUMBER($M112),$N112="")," / 解約予告の単位が空（か月前で計算）","")&amp;IF(AND(ISNUMBER($O112),$P112="")," / 金額の区分が空","")&amp;IF(AND($T112&lt;&gt;"",NOT(ISNUMBER($U112)))," / 対応を決めた日が空","")&amp;IF(AND(ISNUMBER($U112),$T112="")," / 今期の対応が空","")&amp;IF(AND($T112="更新しない",NOT(ISNUMBER($V112)))," / 更新しないなら、解約・終了した日（契約が終わる日）を入れる",""),4,300)</f>
        <v/>
      </c>
      <c r="AG112" s="53" t="n"/>
      <c r="AH112" s="71">
        <f>IF(AND(ISNUMBER($H112),$I112="あり",ISNUMBER($J112)),IF($J112&gt;=1,$H112+1,""),"")</f>
        <v/>
      </c>
      <c r="AI112" s="32">
        <f>IF($AH112="","",(YEAR('設定'!$B$6)-YEAR($AH112))*12+MONTH('設定'!$B$6)-MONTH($AH112))</f>
        <v/>
      </c>
      <c r="AJ112" s="32">
        <f>IF($AH112="","",MAX(1,ROUNDUP($AI112/$J112,0)))</f>
        <v/>
      </c>
      <c r="AK112" s="71">
        <f>IF($AJ112="","",IF(DAY(EDATE($AH112,$AJ112*$J112))&lt;DAY($AH112),EDATE($AH112,$AJ112*$J112),EDATE($AH112,$AJ112*$J112)-1))</f>
        <v/>
      </c>
      <c r="AL112" s="71">
        <f>IF($AJ112="","",IF(DAY(EDATE($AH112,($AJ112+1)*$J112))&lt;DAY($AH112),EDATE($AH112,($AJ112+1)*$J112),EDATE($AH112,($AJ112+1)*$J112)-1))</f>
        <v/>
      </c>
      <c r="AM112" s="71">
        <f>IF($AJ112="","",IF($AJ112=1,$H112,IF(DAY(EDATE($AH112,($AJ112-1)*$J112))&lt;DAY($AH112),EDATE($AH112,($AJ112-1)*$J112),EDATE($AH112,($AJ112-1)*$J112)-1)))</f>
        <v/>
      </c>
      <c r="AN112" s="32">
        <f>IF(NOT(ISNUMBER($H112)),"",IF(OR($AH112="",$H112&gt;='設定'!$B$6),0,IF($AK112&gt;='設定'!$B$6,$AJ112,$AJ112+1)))</f>
        <v/>
      </c>
      <c r="AO112" s="71">
        <f>IF($AN112="","",IF($AN112=0,"",IF($AN112=$AJ112,$AM112,$AK112)))</f>
        <v/>
      </c>
      <c r="AP112" s="32">
        <f>IF(OR($AC112="要対応",$AC112="通知期限切れ",$AC112="確認済み",$AC112="有効",$AC112="終了予定"),1,0)</f>
        <v/>
      </c>
      <c r="AQ112" s="32">
        <f>IF(OR($AC112="要対応",$AC112="通知期限切れ"),1,0)</f>
        <v/>
      </c>
      <c r="AR112" s="72">
        <f>IF(AND(ISNUMBER($AB112),OR($AC112="要対応",$AC112="通知期限切れ",$AC112="確認済み",$AC112="有効")),$AB112+ROW()/100000,"")</f>
        <v/>
      </c>
      <c r="AS112" s="32">
        <f>IF($E112="","",IF(COUNTIF($E$5:$E112,$E112)=1,ROW(),""))</f>
        <v/>
      </c>
      <c r="AT112" s="32">
        <f>IF($S112="","",IF(COUNTIF($S$5:$S112,$S112)=1,ROW(),""))</f>
        <v/>
      </c>
    </row>
    <row r="113" ht="20" customHeight="1">
      <c r="A113" s="20" t="n">
        <v>109</v>
      </c>
      <c r="B113" s="21" t="n"/>
      <c r="C113" s="22" t="n"/>
      <c r="D113" s="22" t="n"/>
      <c r="E113" s="22" t="n"/>
      <c r="F113" s="66" t="n"/>
      <c r="G113" s="66" t="n"/>
      <c r="H113" s="66" t="n"/>
      <c r="I113" s="21" t="n"/>
      <c r="J113" s="24" t="n"/>
      <c r="K113" s="24" t="n"/>
      <c r="L113" s="21" t="n"/>
      <c r="M113" s="24" t="n"/>
      <c r="N113" s="21" t="n"/>
      <c r="O113" s="67" t="n"/>
      <c r="P113" s="21" t="n"/>
      <c r="Q113" s="21" t="n"/>
      <c r="R113" s="22" t="n"/>
      <c r="S113" s="22" t="n"/>
      <c r="T113" s="21" t="n"/>
      <c r="U113" s="66" t="n"/>
      <c r="V113" s="66" t="n"/>
      <c r="W113" s="66" t="n"/>
      <c r="X113" s="8" t="n"/>
      <c r="Y113" s="68">
        <f>IF($AN113="","",IF($AN113=0,$H113,IF($AN113=$AJ113,$AK113,$AL113)))</f>
        <v/>
      </c>
      <c r="Z113" s="68">
        <f>IF(OR($Y113="",NOT(ISNUMBER($K113))),"",IF($L113="日前",$Y113-$K113,EDATE($Y113,-$K113)))</f>
        <v/>
      </c>
      <c r="AA113" s="68">
        <f>IF(OR($Y113="",ISNUMBER($V113),N($Y113)&lt;'設定'!$B$6),"",IF($Z113&lt;&gt;"",$Z113,$Y113))</f>
        <v/>
      </c>
      <c r="AB113" s="69">
        <f>IF($AA113="","",$AA113-'設定'!$B$6)</f>
        <v/>
      </c>
      <c r="AC113" s="28">
        <f>IF(NOT(OR($B113&lt;&gt;"",$C113&lt;&gt;"")),"",IF(ISNUMBER($V113),IF($V113&lt;'設定'!$B$6,"終了","終了予定"),IF($Y113="","有効",IF($Y113&lt;'設定'!$B$6,"満了",IF(AND($T113="更新する",ISNUMBER($U113),N($U113)&lt;='設定'!$B$6,OR($AO113="",N($U113)&gt;N($AO113))),"確認済み",IF($AB113&lt;0,"通知期限切れ",IF($AB113&lt;=N('設定'!$B$7),"要対応","有効")))))))</f>
        <v/>
      </c>
      <c r="AD113" s="68">
        <f>IF(OR(NOT(ISNUMBER($M113)),$AC113="",$AC113="終了",$AC113="終了予定",$AC113="満了"),"",IF($N113="日前",'設定'!$B$6+$M113,EDATE('設定'!$B$6,$M113)))</f>
        <v/>
      </c>
      <c r="AE113" s="70">
        <f>IF(NOT(ISNUMBER($O113)),"",IF($P113="月額",$O113*12,IF($P113="年額",$O113,"")))</f>
        <v/>
      </c>
      <c r="AF113" s="30">
        <f>MID(IF(AND(ISNUMBER($G113),ISNUMBER($H113)),IF(N($H113)&lt;N($G113)," / 満了日が開始日より前",""),"")&amp;IF(AND($I113="あり",NOT(ISNUMBER($H113)))," / 自動更新ありなのに満了日が空","")&amp;IF(AND($I113="あり",ISNUMBER($H113),NOT(ISNUMBER($J113)))," / 更新期間が空（更新を計算できない）","")&amp;IF($AH113="","",IF(AND(DAY($AH113)&gt;=29,OR(MOD($J113,12)&lt;&gt;0,MONTH($AH113)=2))," / 更新の初日が29〜31日（更新を重ねると満了日が1日ずれることがある。満了日を今の期間の満了日に書き換えると直る）",""))&amp;IF(AND(ISNUMBER($K113),$L113="")," / 通知の単位が空（か月前で計算）","")&amp;IF(AND(ISNUMBER($M113),$N113="")," / 解約予告の単位が空（か月前で計算）","")&amp;IF(AND(ISNUMBER($O113),$P113="")," / 金額の区分が空","")&amp;IF(AND($T113&lt;&gt;"",NOT(ISNUMBER($U113)))," / 対応を決めた日が空","")&amp;IF(AND(ISNUMBER($U113),$T113="")," / 今期の対応が空","")&amp;IF(AND($T113="更新しない",NOT(ISNUMBER($V113)))," / 更新しないなら、解約・終了した日（契約が終わる日）を入れる",""),4,300)</f>
        <v/>
      </c>
      <c r="AG113" s="53" t="n"/>
      <c r="AH113" s="71">
        <f>IF(AND(ISNUMBER($H113),$I113="あり",ISNUMBER($J113)),IF($J113&gt;=1,$H113+1,""),"")</f>
        <v/>
      </c>
      <c r="AI113" s="32">
        <f>IF($AH113="","",(YEAR('設定'!$B$6)-YEAR($AH113))*12+MONTH('設定'!$B$6)-MONTH($AH113))</f>
        <v/>
      </c>
      <c r="AJ113" s="32">
        <f>IF($AH113="","",MAX(1,ROUNDUP($AI113/$J113,0)))</f>
        <v/>
      </c>
      <c r="AK113" s="71">
        <f>IF($AJ113="","",IF(DAY(EDATE($AH113,$AJ113*$J113))&lt;DAY($AH113),EDATE($AH113,$AJ113*$J113),EDATE($AH113,$AJ113*$J113)-1))</f>
        <v/>
      </c>
      <c r="AL113" s="71">
        <f>IF($AJ113="","",IF(DAY(EDATE($AH113,($AJ113+1)*$J113))&lt;DAY($AH113),EDATE($AH113,($AJ113+1)*$J113),EDATE($AH113,($AJ113+1)*$J113)-1))</f>
        <v/>
      </c>
      <c r="AM113" s="71">
        <f>IF($AJ113="","",IF($AJ113=1,$H113,IF(DAY(EDATE($AH113,($AJ113-1)*$J113))&lt;DAY($AH113),EDATE($AH113,($AJ113-1)*$J113),EDATE($AH113,($AJ113-1)*$J113)-1)))</f>
        <v/>
      </c>
      <c r="AN113" s="32">
        <f>IF(NOT(ISNUMBER($H113)),"",IF(OR($AH113="",$H113&gt;='設定'!$B$6),0,IF($AK113&gt;='設定'!$B$6,$AJ113,$AJ113+1)))</f>
        <v/>
      </c>
      <c r="AO113" s="71">
        <f>IF($AN113="","",IF($AN113=0,"",IF($AN113=$AJ113,$AM113,$AK113)))</f>
        <v/>
      </c>
      <c r="AP113" s="32">
        <f>IF(OR($AC113="要対応",$AC113="通知期限切れ",$AC113="確認済み",$AC113="有効",$AC113="終了予定"),1,0)</f>
        <v/>
      </c>
      <c r="AQ113" s="32">
        <f>IF(OR($AC113="要対応",$AC113="通知期限切れ"),1,0)</f>
        <v/>
      </c>
      <c r="AR113" s="72">
        <f>IF(AND(ISNUMBER($AB113),OR($AC113="要対応",$AC113="通知期限切れ",$AC113="確認済み",$AC113="有効")),$AB113+ROW()/100000,"")</f>
        <v/>
      </c>
      <c r="AS113" s="32">
        <f>IF($E113="","",IF(COUNTIF($E$5:$E113,$E113)=1,ROW(),""))</f>
        <v/>
      </c>
      <c r="AT113" s="32">
        <f>IF($S113="","",IF(COUNTIF($S$5:$S113,$S113)=1,ROW(),""))</f>
        <v/>
      </c>
    </row>
    <row r="114" ht="20" customHeight="1">
      <c r="A114" s="20" t="n">
        <v>110</v>
      </c>
      <c r="B114" s="21" t="n"/>
      <c r="C114" s="22" t="n"/>
      <c r="D114" s="22" t="n"/>
      <c r="E114" s="22" t="n"/>
      <c r="F114" s="66" t="n"/>
      <c r="G114" s="66" t="n"/>
      <c r="H114" s="66" t="n"/>
      <c r="I114" s="21" t="n"/>
      <c r="J114" s="24" t="n"/>
      <c r="K114" s="24" t="n"/>
      <c r="L114" s="21" t="n"/>
      <c r="M114" s="24" t="n"/>
      <c r="N114" s="21" t="n"/>
      <c r="O114" s="67" t="n"/>
      <c r="P114" s="21" t="n"/>
      <c r="Q114" s="21" t="n"/>
      <c r="R114" s="22" t="n"/>
      <c r="S114" s="22" t="n"/>
      <c r="T114" s="21" t="n"/>
      <c r="U114" s="66" t="n"/>
      <c r="V114" s="66" t="n"/>
      <c r="W114" s="66" t="n"/>
      <c r="X114" s="8" t="n"/>
      <c r="Y114" s="68">
        <f>IF($AN114="","",IF($AN114=0,$H114,IF($AN114=$AJ114,$AK114,$AL114)))</f>
        <v/>
      </c>
      <c r="Z114" s="68">
        <f>IF(OR($Y114="",NOT(ISNUMBER($K114))),"",IF($L114="日前",$Y114-$K114,EDATE($Y114,-$K114)))</f>
        <v/>
      </c>
      <c r="AA114" s="68">
        <f>IF(OR($Y114="",ISNUMBER($V114),N($Y114)&lt;'設定'!$B$6),"",IF($Z114&lt;&gt;"",$Z114,$Y114))</f>
        <v/>
      </c>
      <c r="AB114" s="69">
        <f>IF($AA114="","",$AA114-'設定'!$B$6)</f>
        <v/>
      </c>
      <c r="AC114" s="28">
        <f>IF(NOT(OR($B114&lt;&gt;"",$C114&lt;&gt;"")),"",IF(ISNUMBER($V114),IF($V114&lt;'設定'!$B$6,"終了","終了予定"),IF($Y114="","有効",IF($Y114&lt;'設定'!$B$6,"満了",IF(AND($T114="更新する",ISNUMBER($U114),N($U114)&lt;='設定'!$B$6,OR($AO114="",N($U114)&gt;N($AO114))),"確認済み",IF($AB114&lt;0,"通知期限切れ",IF($AB114&lt;=N('設定'!$B$7),"要対応","有効")))))))</f>
        <v/>
      </c>
      <c r="AD114" s="68">
        <f>IF(OR(NOT(ISNUMBER($M114)),$AC114="",$AC114="終了",$AC114="終了予定",$AC114="満了"),"",IF($N114="日前",'設定'!$B$6+$M114,EDATE('設定'!$B$6,$M114)))</f>
        <v/>
      </c>
      <c r="AE114" s="70">
        <f>IF(NOT(ISNUMBER($O114)),"",IF($P114="月額",$O114*12,IF($P114="年額",$O114,"")))</f>
        <v/>
      </c>
      <c r="AF114" s="30">
        <f>MID(IF(AND(ISNUMBER($G114),ISNUMBER($H114)),IF(N($H114)&lt;N($G114)," / 満了日が開始日より前",""),"")&amp;IF(AND($I114="あり",NOT(ISNUMBER($H114)))," / 自動更新ありなのに満了日が空","")&amp;IF(AND($I114="あり",ISNUMBER($H114),NOT(ISNUMBER($J114)))," / 更新期間が空（更新を計算できない）","")&amp;IF($AH114="","",IF(AND(DAY($AH114)&gt;=29,OR(MOD($J114,12)&lt;&gt;0,MONTH($AH114)=2))," / 更新の初日が29〜31日（更新を重ねると満了日が1日ずれることがある。満了日を今の期間の満了日に書き換えると直る）",""))&amp;IF(AND(ISNUMBER($K114),$L114="")," / 通知の単位が空（か月前で計算）","")&amp;IF(AND(ISNUMBER($M114),$N114="")," / 解約予告の単位が空（か月前で計算）","")&amp;IF(AND(ISNUMBER($O114),$P114="")," / 金額の区分が空","")&amp;IF(AND($T114&lt;&gt;"",NOT(ISNUMBER($U114)))," / 対応を決めた日が空","")&amp;IF(AND(ISNUMBER($U114),$T114="")," / 今期の対応が空","")&amp;IF(AND($T114="更新しない",NOT(ISNUMBER($V114)))," / 更新しないなら、解約・終了した日（契約が終わる日）を入れる",""),4,300)</f>
        <v/>
      </c>
      <c r="AG114" s="53" t="n"/>
      <c r="AH114" s="71">
        <f>IF(AND(ISNUMBER($H114),$I114="あり",ISNUMBER($J114)),IF($J114&gt;=1,$H114+1,""),"")</f>
        <v/>
      </c>
      <c r="AI114" s="32">
        <f>IF($AH114="","",(YEAR('設定'!$B$6)-YEAR($AH114))*12+MONTH('設定'!$B$6)-MONTH($AH114))</f>
        <v/>
      </c>
      <c r="AJ114" s="32">
        <f>IF($AH114="","",MAX(1,ROUNDUP($AI114/$J114,0)))</f>
        <v/>
      </c>
      <c r="AK114" s="71">
        <f>IF($AJ114="","",IF(DAY(EDATE($AH114,$AJ114*$J114))&lt;DAY($AH114),EDATE($AH114,$AJ114*$J114),EDATE($AH114,$AJ114*$J114)-1))</f>
        <v/>
      </c>
      <c r="AL114" s="71">
        <f>IF($AJ114="","",IF(DAY(EDATE($AH114,($AJ114+1)*$J114))&lt;DAY($AH114),EDATE($AH114,($AJ114+1)*$J114),EDATE($AH114,($AJ114+1)*$J114)-1))</f>
        <v/>
      </c>
      <c r="AM114" s="71">
        <f>IF($AJ114="","",IF($AJ114=1,$H114,IF(DAY(EDATE($AH114,($AJ114-1)*$J114))&lt;DAY($AH114),EDATE($AH114,($AJ114-1)*$J114),EDATE($AH114,($AJ114-1)*$J114)-1)))</f>
        <v/>
      </c>
      <c r="AN114" s="32">
        <f>IF(NOT(ISNUMBER($H114)),"",IF(OR($AH114="",$H114&gt;='設定'!$B$6),0,IF($AK114&gt;='設定'!$B$6,$AJ114,$AJ114+1)))</f>
        <v/>
      </c>
      <c r="AO114" s="71">
        <f>IF($AN114="","",IF($AN114=0,"",IF($AN114=$AJ114,$AM114,$AK114)))</f>
        <v/>
      </c>
      <c r="AP114" s="32">
        <f>IF(OR($AC114="要対応",$AC114="通知期限切れ",$AC114="確認済み",$AC114="有効",$AC114="終了予定"),1,0)</f>
        <v/>
      </c>
      <c r="AQ114" s="32">
        <f>IF(OR($AC114="要対応",$AC114="通知期限切れ"),1,0)</f>
        <v/>
      </c>
      <c r="AR114" s="72">
        <f>IF(AND(ISNUMBER($AB114),OR($AC114="要対応",$AC114="通知期限切れ",$AC114="確認済み",$AC114="有効")),$AB114+ROW()/100000,"")</f>
        <v/>
      </c>
      <c r="AS114" s="32">
        <f>IF($E114="","",IF(COUNTIF($E$5:$E114,$E114)=1,ROW(),""))</f>
        <v/>
      </c>
      <c r="AT114" s="32">
        <f>IF($S114="","",IF(COUNTIF($S$5:$S114,$S114)=1,ROW(),""))</f>
        <v/>
      </c>
    </row>
    <row r="115" ht="20" customHeight="1">
      <c r="A115" s="20" t="n">
        <v>111</v>
      </c>
      <c r="B115" s="21" t="n"/>
      <c r="C115" s="22" t="n"/>
      <c r="D115" s="22" t="n"/>
      <c r="E115" s="22" t="n"/>
      <c r="F115" s="66" t="n"/>
      <c r="G115" s="66" t="n"/>
      <c r="H115" s="66" t="n"/>
      <c r="I115" s="21" t="n"/>
      <c r="J115" s="24" t="n"/>
      <c r="K115" s="24" t="n"/>
      <c r="L115" s="21" t="n"/>
      <c r="M115" s="24" t="n"/>
      <c r="N115" s="21" t="n"/>
      <c r="O115" s="67" t="n"/>
      <c r="P115" s="21" t="n"/>
      <c r="Q115" s="21" t="n"/>
      <c r="R115" s="22" t="n"/>
      <c r="S115" s="22" t="n"/>
      <c r="T115" s="21" t="n"/>
      <c r="U115" s="66" t="n"/>
      <c r="V115" s="66" t="n"/>
      <c r="W115" s="66" t="n"/>
      <c r="X115" s="8" t="n"/>
      <c r="Y115" s="68">
        <f>IF($AN115="","",IF($AN115=0,$H115,IF($AN115=$AJ115,$AK115,$AL115)))</f>
        <v/>
      </c>
      <c r="Z115" s="68">
        <f>IF(OR($Y115="",NOT(ISNUMBER($K115))),"",IF($L115="日前",$Y115-$K115,EDATE($Y115,-$K115)))</f>
        <v/>
      </c>
      <c r="AA115" s="68">
        <f>IF(OR($Y115="",ISNUMBER($V115),N($Y115)&lt;'設定'!$B$6),"",IF($Z115&lt;&gt;"",$Z115,$Y115))</f>
        <v/>
      </c>
      <c r="AB115" s="69">
        <f>IF($AA115="","",$AA115-'設定'!$B$6)</f>
        <v/>
      </c>
      <c r="AC115" s="28">
        <f>IF(NOT(OR($B115&lt;&gt;"",$C115&lt;&gt;"")),"",IF(ISNUMBER($V115),IF($V115&lt;'設定'!$B$6,"終了","終了予定"),IF($Y115="","有効",IF($Y115&lt;'設定'!$B$6,"満了",IF(AND($T115="更新する",ISNUMBER($U115),N($U115)&lt;='設定'!$B$6,OR($AO115="",N($U115)&gt;N($AO115))),"確認済み",IF($AB115&lt;0,"通知期限切れ",IF($AB115&lt;=N('設定'!$B$7),"要対応","有効")))))))</f>
        <v/>
      </c>
      <c r="AD115" s="68">
        <f>IF(OR(NOT(ISNUMBER($M115)),$AC115="",$AC115="終了",$AC115="終了予定",$AC115="満了"),"",IF($N115="日前",'設定'!$B$6+$M115,EDATE('設定'!$B$6,$M115)))</f>
        <v/>
      </c>
      <c r="AE115" s="70">
        <f>IF(NOT(ISNUMBER($O115)),"",IF($P115="月額",$O115*12,IF($P115="年額",$O115,"")))</f>
        <v/>
      </c>
      <c r="AF115" s="30">
        <f>MID(IF(AND(ISNUMBER($G115),ISNUMBER($H115)),IF(N($H115)&lt;N($G115)," / 満了日が開始日より前",""),"")&amp;IF(AND($I115="あり",NOT(ISNUMBER($H115)))," / 自動更新ありなのに満了日が空","")&amp;IF(AND($I115="あり",ISNUMBER($H115),NOT(ISNUMBER($J115)))," / 更新期間が空（更新を計算できない）","")&amp;IF($AH115="","",IF(AND(DAY($AH115)&gt;=29,OR(MOD($J115,12)&lt;&gt;0,MONTH($AH115)=2))," / 更新の初日が29〜31日（更新を重ねると満了日が1日ずれることがある。満了日を今の期間の満了日に書き換えると直る）",""))&amp;IF(AND(ISNUMBER($K115),$L115="")," / 通知の単位が空（か月前で計算）","")&amp;IF(AND(ISNUMBER($M115),$N115="")," / 解約予告の単位が空（か月前で計算）","")&amp;IF(AND(ISNUMBER($O115),$P115="")," / 金額の区分が空","")&amp;IF(AND($T115&lt;&gt;"",NOT(ISNUMBER($U115)))," / 対応を決めた日が空","")&amp;IF(AND(ISNUMBER($U115),$T115="")," / 今期の対応が空","")&amp;IF(AND($T115="更新しない",NOT(ISNUMBER($V115)))," / 更新しないなら、解約・終了した日（契約が終わる日）を入れる",""),4,300)</f>
        <v/>
      </c>
      <c r="AG115" s="53" t="n"/>
      <c r="AH115" s="71">
        <f>IF(AND(ISNUMBER($H115),$I115="あり",ISNUMBER($J115)),IF($J115&gt;=1,$H115+1,""),"")</f>
        <v/>
      </c>
      <c r="AI115" s="32">
        <f>IF($AH115="","",(YEAR('設定'!$B$6)-YEAR($AH115))*12+MONTH('設定'!$B$6)-MONTH($AH115))</f>
        <v/>
      </c>
      <c r="AJ115" s="32">
        <f>IF($AH115="","",MAX(1,ROUNDUP($AI115/$J115,0)))</f>
        <v/>
      </c>
      <c r="AK115" s="71">
        <f>IF($AJ115="","",IF(DAY(EDATE($AH115,$AJ115*$J115))&lt;DAY($AH115),EDATE($AH115,$AJ115*$J115),EDATE($AH115,$AJ115*$J115)-1))</f>
        <v/>
      </c>
      <c r="AL115" s="71">
        <f>IF($AJ115="","",IF(DAY(EDATE($AH115,($AJ115+1)*$J115))&lt;DAY($AH115),EDATE($AH115,($AJ115+1)*$J115),EDATE($AH115,($AJ115+1)*$J115)-1))</f>
        <v/>
      </c>
      <c r="AM115" s="71">
        <f>IF($AJ115="","",IF($AJ115=1,$H115,IF(DAY(EDATE($AH115,($AJ115-1)*$J115))&lt;DAY($AH115),EDATE($AH115,($AJ115-1)*$J115),EDATE($AH115,($AJ115-1)*$J115)-1)))</f>
        <v/>
      </c>
      <c r="AN115" s="32">
        <f>IF(NOT(ISNUMBER($H115)),"",IF(OR($AH115="",$H115&gt;='設定'!$B$6),0,IF($AK115&gt;='設定'!$B$6,$AJ115,$AJ115+1)))</f>
        <v/>
      </c>
      <c r="AO115" s="71">
        <f>IF($AN115="","",IF($AN115=0,"",IF($AN115=$AJ115,$AM115,$AK115)))</f>
        <v/>
      </c>
      <c r="AP115" s="32">
        <f>IF(OR($AC115="要対応",$AC115="通知期限切れ",$AC115="確認済み",$AC115="有効",$AC115="終了予定"),1,0)</f>
        <v/>
      </c>
      <c r="AQ115" s="32">
        <f>IF(OR($AC115="要対応",$AC115="通知期限切れ"),1,0)</f>
        <v/>
      </c>
      <c r="AR115" s="72">
        <f>IF(AND(ISNUMBER($AB115),OR($AC115="要対応",$AC115="通知期限切れ",$AC115="確認済み",$AC115="有効")),$AB115+ROW()/100000,"")</f>
        <v/>
      </c>
      <c r="AS115" s="32">
        <f>IF($E115="","",IF(COUNTIF($E$5:$E115,$E115)=1,ROW(),""))</f>
        <v/>
      </c>
      <c r="AT115" s="32">
        <f>IF($S115="","",IF(COUNTIF($S$5:$S115,$S115)=1,ROW(),""))</f>
        <v/>
      </c>
    </row>
    <row r="116" ht="20" customHeight="1">
      <c r="A116" s="20" t="n">
        <v>112</v>
      </c>
      <c r="B116" s="21" t="n"/>
      <c r="C116" s="22" t="n"/>
      <c r="D116" s="22" t="n"/>
      <c r="E116" s="22" t="n"/>
      <c r="F116" s="66" t="n"/>
      <c r="G116" s="66" t="n"/>
      <c r="H116" s="66" t="n"/>
      <c r="I116" s="21" t="n"/>
      <c r="J116" s="24" t="n"/>
      <c r="K116" s="24" t="n"/>
      <c r="L116" s="21" t="n"/>
      <c r="M116" s="24" t="n"/>
      <c r="N116" s="21" t="n"/>
      <c r="O116" s="67" t="n"/>
      <c r="P116" s="21" t="n"/>
      <c r="Q116" s="21" t="n"/>
      <c r="R116" s="22" t="n"/>
      <c r="S116" s="22" t="n"/>
      <c r="T116" s="21" t="n"/>
      <c r="U116" s="66" t="n"/>
      <c r="V116" s="66" t="n"/>
      <c r="W116" s="66" t="n"/>
      <c r="X116" s="8" t="n"/>
      <c r="Y116" s="68">
        <f>IF($AN116="","",IF($AN116=0,$H116,IF($AN116=$AJ116,$AK116,$AL116)))</f>
        <v/>
      </c>
      <c r="Z116" s="68">
        <f>IF(OR($Y116="",NOT(ISNUMBER($K116))),"",IF($L116="日前",$Y116-$K116,EDATE($Y116,-$K116)))</f>
        <v/>
      </c>
      <c r="AA116" s="68">
        <f>IF(OR($Y116="",ISNUMBER($V116),N($Y116)&lt;'設定'!$B$6),"",IF($Z116&lt;&gt;"",$Z116,$Y116))</f>
        <v/>
      </c>
      <c r="AB116" s="69">
        <f>IF($AA116="","",$AA116-'設定'!$B$6)</f>
        <v/>
      </c>
      <c r="AC116" s="28">
        <f>IF(NOT(OR($B116&lt;&gt;"",$C116&lt;&gt;"")),"",IF(ISNUMBER($V116),IF($V116&lt;'設定'!$B$6,"終了","終了予定"),IF($Y116="","有効",IF($Y116&lt;'設定'!$B$6,"満了",IF(AND($T116="更新する",ISNUMBER($U116),N($U116)&lt;='設定'!$B$6,OR($AO116="",N($U116)&gt;N($AO116))),"確認済み",IF($AB116&lt;0,"通知期限切れ",IF($AB116&lt;=N('設定'!$B$7),"要対応","有効")))))))</f>
        <v/>
      </c>
      <c r="AD116" s="68">
        <f>IF(OR(NOT(ISNUMBER($M116)),$AC116="",$AC116="終了",$AC116="終了予定",$AC116="満了"),"",IF($N116="日前",'設定'!$B$6+$M116,EDATE('設定'!$B$6,$M116)))</f>
        <v/>
      </c>
      <c r="AE116" s="70">
        <f>IF(NOT(ISNUMBER($O116)),"",IF($P116="月額",$O116*12,IF($P116="年額",$O116,"")))</f>
        <v/>
      </c>
      <c r="AF116" s="30">
        <f>MID(IF(AND(ISNUMBER($G116),ISNUMBER($H116)),IF(N($H116)&lt;N($G116)," / 満了日が開始日より前",""),"")&amp;IF(AND($I116="あり",NOT(ISNUMBER($H116)))," / 自動更新ありなのに満了日が空","")&amp;IF(AND($I116="あり",ISNUMBER($H116),NOT(ISNUMBER($J116)))," / 更新期間が空（更新を計算できない）","")&amp;IF($AH116="","",IF(AND(DAY($AH116)&gt;=29,OR(MOD($J116,12)&lt;&gt;0,MONTH($AH116)=2))," / 更新の初日が29〜31日（更新を重ねると満了日が1日ずれることがある。満了日を今の期間の満了日に書き換えると直る）",""))&amp;IF(AND(ISNUMBER($K116),$L116="")," / 通知の単位が空（か月前で計算）","")&amp;IF(AND(ISNUMBER($M116),$N116="")," / 解約予告の単位が空（か月前で計算）","")&amp;IF(AND(ISNUMBER($O116),$P116="")," / 金額の区分が空","")&amp;IF(AND($T116&lt;&gt;"",NOT(ISNUMBER($U116)))," / 対応を決めた日が空","")&amp;IF(AND(ISNUMBER($U116),$T116="")," / 今期の対応が空","")&amp;IF(AND($T116="更新しない",NOT(ISNUMBER($V116)))," / 更新しないなら、解約・終了した日（契約が終わる日）を入れる",""),4,300)</f>
        <v/>
      </c>
      <c r="AG116" s="53" t="n"/>
      <c r="AH116" s="71">
        <f>IF(AND(ISNUMBER($H116),$I116="あり",ISNUMBER($J116)),IF($J116&gt;=1,$H116+1,""),"")</f>
        <v/>
      </c>
      <c r="AI116" s="32">
        <f>IF($AH116="","",(YEAR('設定'!$B$6)-YEAR($AH116))*12+MONTH('設定'!$B$6)-MONTH($AH116))</f>
        <v/>
      </c>
      <c r="AJ116" s="32">
        <f>IF($AH116="","",MAX(1,ROUNDUP($AI116/$J116,0)))</f>
        <v/>
      </c>
      <c r="AK116" s="71">
        <f>IF($AJ116="","",IF(DAY(EDATE($AH116,$AJ116*$J116))&lt;DAY($AH116),EDATE($AH116,$AJ116*$J116),EDATE($AH116,$AJ116*$J116)-1))</f>
        <v/>
      </c>
      <c r="AL116" s="71">
        <f>IF($AJ116="","",IF(DAY(EDATE($AH116,($AJ116+1)*$J116))&lt;DAY($AH116),EDATE($AH116,($AJ116+1)*$J116),EDATE($AH116,($AJ116+1)*$J116)-1))</f>
        <v/>
      </c>
      <c r="AM116" s="71">
        <f>IF($AJ116="","",IF($AJ116=1,$H116,IF(DAY(EDATE($AH116,($AJ116-1)*$J116))&lt;DAY($AH116),EDATE($AH116,($AJ116-1)*$J116),EDATE($AH116,($AJ116-1)*$J116)-1)))</f>
        <v/>
      </c>
      <c r="AN116" s="32">
        <f>IF(NOT(ISNUMBER($H116)),"",IF(OR($AH116="",$H116&gt;='設定'!$B$6),0,IF($AK116&gt;='設定'!$B$6,$AJ116,$AJ116+1)))</f>
        <v/>
      </c>
      <c r="AO116" s="71">
        <f>IF($AN116="","",IF($AN116=0,"",IF($AN116=$AJ116,$AM116,$AK116)))</f>
        <v/>
      </c>
      <c r="AP116" s="32">
        <f>IF(OR($AC116="要対応",$AC116="通知期限切れ",$AC116="確認済み",$AC116="有効",$AC116="終了予定"),1,0)</f>
        <v/>
      </c>
      <c r="AQ116" s="32">
        <f>IF(OR($AC116="要対応",$AC116="通知期限切れ"),1,0)</f>
        <v/>
      </c>
      <c r="AR116" s="72">
        <f>IF(AND(ISNUMBER($AB116),OR($AC116="要対応",$AC116="通知期限切れ",$AC116="確認済み",$AC116="有効")),$AB116+ROW()/100000,"")</f>
        <v/>
      </c>
      <c r="AS116" s="32">
        <f>IF($E116="","",IF(COUNTIF($E$5:$E116,$E116)=1,ROW(),""))</f>
        <v/>
      </c>
      <c r="AT116" s="32">
        <f>IF($S116="","",IF(COUNTIF($S$5:$S116,$S116)=1,ROW(),""))</f>
        <v/>
      </c>
    </row>
    <row r="117" ht="20" customHeight="1">
      <c r="A117" s="20" t="n">
        <v>113</v>
      </c>
      <c r="B117" s="21" t="n"/>
      <c r="C117" s="22" t="n"/>
      <c r="D117" s="22" t="n"/>
      <c r="E117" s="22" t="n"/>
      <c r="F117" s="66" t="n"/>
      <c r="G117" s="66" t="n"/>
      <c r="H117" s="66" t="n"/>
      <c r="I117" s="21" t="n"/>
      <c r="J117" s="24" t="n"/>
      <c r="K117" s="24" t="n"/>
      <c r="L117" s="21" t="n"/>
      <c r="M117" s="24" t="n"/>
      <c r="N117" s="21" t="n"/>
      <c r="O117" s="67" t="n"/>
      <c r="P117" s="21" t="n"/>
      <c r="Q117" s="21" t="n"/>
      <c r="R117" s="22" t="n"/>
      <c r="S117" s="22" t="n"/>
      <c r="T117" s="21" t="n"/>
      <c r="U117" s="66" t="n"/>
      <c r="V117" s="66" t="n"/>
      <c r="W117" s="66" t="n"/>
      <c r="X117" s="8" t="n"/>
      <c r="Y117" s="68">
        <f>IF($AN117="","",IF($AN117=0,$H117,IF($AN117=$AJ117,$AK117,$AL117)))</f>
        <v/>
      </c>
      <c r="Z117" s="68">
        <f>IF(OR($Y117="",NOT(ISNUMBER($K117))),"",IF($L117="日前",$Y117-$K117,EDATE($Y117,-$K117)))</f>
        <v/>
      </c>
      <c r="AA117" s="68">
        <f>IF(OR($Y117="",ISNUMBER($V117),N($Y117)&lt;'設定'!$B$6),"",IF($Z117&lt;&gt;"",$Z117,$Y117))</f>
        <v/>
      </c>
      <c r="AB117" s="69">
        <f>IF($AA117="","",$AA117-'設定'!$B$6)</f>
        <v/>
      </c>
      <c r="AC117" s="28">
        <f>IF(NOT(OR($B117&lt;&gt;"",$C117&lt;&gt;"")),"",IF(ISNUMBER($V117),IF($V117&lt;'設定'!$B$6,"終了","終了予定"),IF($Y117="","有効",IF($Y117&lt;'設定'!$B$6,"満了",IF(AND($T117="更新する",ISNUMBER($U117),N($U117)&lt;='設定'!$B$6,OR($AO117="",N($U117)&gt;N($AO117))),"確認済み",IF($AB117&lt;0,"通知期限切れ",IF($AB117&lt;=N('設定'!$B$7),"要対応","有効")))))))</f>
        <v/>
      </c>
      <c r="AD117" s="68">
        <f>IF(OR(NOT(ISNUMBER($M117)),$AC117="",$AC117="終了",$AC117="終了予定",$AC117="満了"),"",IF($N117="日前",'設定'!$B$6+$M117,EDATE('設定'!$B$6,$M117)))</f>
        <v/>
      </c>
      <c r="AE117" s="70">
        <f>IF(NOT(ISNUMBER($O117)),"",IF($P117="月額",$O117*12,IF($P117="年額",$O117,"")))</f>
        <v/>
      </c>
      <c r="AF117" s="30">
        <f>MID(IF(AND(ISNUMBER($G117),ISNUMBER($H117)),IF(N($H117)&lt;N($G117)," / 満了日が開始日より前",""),"")&amp;IF(AND($I117="あり",NOT(ISNUMBER($H117)))," / 自動更新ありなのに満了日が空","")&amp;IF(AND($I117="あり",ISNUMBER($H117),NOT(ISNUMBER($J117)))," / 更新期間が空（更新を計算できない）","")&amp;IF($AH117="","",IF(AND(DAY($AH117)&gt;=29,OR(MOD($J117,12)&lt;&gt;0,MONTH($AH117)=2))," / 更新の初日が29〜31日（更新を重ねると満了日が1日ずれることがある。満了日を今の期間の満了日に書き換えると直る）",""))&amp;IF(AND(ISNUMBER($K117),$L117="")," / 通知の単位が空（か月前で計算）","")&amp;IF(AND(ISNUMBER($M117),$N117="")," / 解約予告の単位が空（か月前で計算）","")&amp;IF(AND(ISNUMBER($O117),$P117="")," / 金額の区分が空","")&amp;IF(AND($T117&lt;&gt;"",NOT(ISNUMBER($U117)))," / 対応を決めた日が空","")&amp;IF(AND(ISNUMBER($U117),$T117="")," / 今期の対応が空","")&amp;IF(AND($T117="更新しない",NOT(ISNUMBER($V117)))," / 更新しないなら、解約・終了した日（契約が終わる日）を入れる",""),4,300)</f>
        <v/>
      </c>
      <c r="AG117" s="53" t="n"/>
      <c r="AH117" s="71">
        <f>IF(AND(ISNUMBER($H117),$I117="あり",ISNUMBER($J117)),IF($J117&gt;=1,$H117+1,""),"")</f>
        <v/>
      </c>
      <c r="AI117" s="32">
        <f>IF($AH117="","",(YEAR('設定'!$B$6)-YEAR($AH117))*12+MONTH('設定'!$B$6)-MONTH($AH117))</f>
        <v/>
      </c>
      <c r="AJ117" s="32">
        <f>IF($AH117="","",MAX(1,ROUNDUP($AI117/$J117,0)))</f>
        <v/>
      </c>
      <c r="AK117" s="71">
        <f>IF($AJ117="","",IF(DAY(EDATE($AH117,$AJ117*$J117))&lt;DAY($AH117),EDATE($AH117,$AJ117*$J117),EDATE($AH117,$AJ117*$J117)-1))</f>
        <v/>
      </c>
      <c r="AL117" s="71">
        <f>IF($AJ117="","",IF(DAY(EDATE($AH117,($AJ117+1)*$J117))&lt;DAY($AH117),EDATE($AH117,($AJ117+1)*$J117),EDATE($AH117,($AJ117+1)*$J117)-1))</f>
        <v/>
      </c>
      <c r="AM117" s="71">
        <f>IF($AJ117="","",IF($AJ117=1,$H117,IF(DAY(EDATE($AH117,($AJ117-1)*$J117))&lt;DAY($AH117),EDATE($AH117,($AJ117-1)*$J117),EDATE($AH117,($AJ117-1)*$J117)-1)))</f>
        <v/>
      </c>
      <c r="AN117" s="32">
        <f>IF(NOT(ISNUMBER($H117)),"",IF(OR($AH117="",$H117&gt;='設定'!$B$6),0,IF($AK117&gt;='設定'!$B$6,$AJ117,$AJ117+1)))</f>
        <v/>
      </c>
      <c r="AO117" s="71">
        <f>IF($AN117="","",IF($AN117=0,"",IF($AN117=$AJ117,$AM117,$AK117)))</f>
        <v/>
      </c>
      <c r="AP117" s="32">
        <f>IF(OR($AC117="要対応",$AC117="通知期限切れ",$AC117="確認済み",$AC117="有効",$AC117="終了予定"),1,0)</f>
        <v/>
      </c>
      <c r="AQ117" s="32">
        <f>IF(OR($AC117="要対応",$AC117="通知期限切れ"),1,0)</f>
        <v/>
      </c>
      <c r="AR117" s="72">
        <f>IF(AND(ISNUMBER($AB117),OR($AC117="要対応",$AC117="通知期限切れ",$AC117="確認済み",$AC117="有効")),$AB117+ROW()/100000,"")</f>
        <v/>
      </c>
      <c r="AS117" s="32">
        <f>IF($E117="","",IF(COUNTIF($E$5:$E117,$E117)=1,ROW(),""))</f>
        <v/>
      </c>
      <c r="AT117" s="32">
        <f>IF($S117="","",IF(COUNTIF($S$5:$S117,$S117)=1,ROW(),""))</f>
        <v/>
      </c>
    </row>
    <row r="118" ht="20" customHeight="1">
      <c r="A118" s="20" t="n">
        <v>114</v>
      </c>
      <c r="B118" s="21" t="n"/>
      <c r="C118" s="22" t="n"/>
      <c r="D118" s="22" t="n"/>
      <c r="E118" s="22" t="n"/>
      <c r="F118" s="66" t="n"/>
      <c r="G118" s="66" t="n"/>
      <c r="H118" s="66" t="n"/>
      <c r="I118" s="21" t="n"/>
      <c r="J118" s="24" t="n"/>
      <c r="K118" s="24" t="n"/>
      <c r="L118" s="21" t="n"/>
      <c r="M118" s="24" t="n"/>
      <c r="N118" s="21" t="n"/>
      <c r="O118" s="67" t="n"/>
      <c r="P118" s="21" t="n"/>
      <c r="Q118" s="21" t="n"/>
      <c r="R118" s="22" t="n"/>
      <c r="S118" s="22" t="n"/>
      <c r="T118" s="21" t="n"/>
      <c r="U118" s="66" t="n"/>
      <c r="V118" s="66" t="n"/>
      <c r="W118" s="66" t="n"/>
      <c r="X118" s="8" t="n"/>
      <c r="Y118" s="68">
        <f>IF($AN118="","",IF($AN118=0,$H118,IF($AN118=$AJ118,$AK118,$AL118)))</f>
        <v/>
      </c>
      <c r="Z118" s="68">
        <f>IF(OR($Y118="",NOT(ISNUMBER($K118))),"",IF($L118="日前",$Y118-$K118,EDATE($Y118,-$K118)))</f>
        <v/>
      </c>
      <c r="AA118" s="68">
        <f>IF(OR($Y118="",ISNUMBER($V118),N($Y118)&lt;'設定'!$B$6),"",IF($Z118&lt;&gt;"",$Z118,$Y118))</f>
        <v/>
      </c>
      <c r="AB118" s="69">
        <f>IF($AA118="","",$AA118-'設定'!$B$6)</f>
        <v/>
      </c>
      <c r="AC118" s="28">
        <f>IF(NOT(OR($B118&lt;&gt;"",$C118&lt;&gt;"")),"",IF(ISNUMBER($V118),IF($V118&lt;'設定'!$B$6,"終了","終了予定"),IF($Y118="","有効",IF($Y118&lt;'設定'!$B$6,"満了",IF(AND($T118="更新する",ISNUMBER($U118),N($U118)&lt;='設定'!$B$6,OR($AO118="",N($U118)&gt;N($AO118))),"確認済み",IF($AB118&lt;0,"通知期限切れ",IF($AB118&lt;=N('設定'!$B$7),"要対応","有効")))))))</f>
        <v/>
      </c>
      <c r="AD118" s="68">
        <f>IF(OR(NOT(ISNUMBER($M118)),$AC118="",$AC118="終了",$AC118="終了予定",$AC118="満了"),"",IF($N118="日前",'設定'!$B$6+$M118,EDATE('設定'!$B$6,$M118)))</f>
        <v/>
      </c>
      <c r="AE118" s="70">
        <f>IF(NOT(ISNUMBER($O118)),"",IF($P118="月額",$O118*12,IF($P118="年額",$O118,"")))</f>
        <v/>
      </c>
      <c r="AF118" s="30">
        <f>MID(IF(AND(ISNUMBER($G118),ISNUMBER($H118)),IF(N($H118)&lt;N($G118)," / 満了日が開始日より前",""),"")&amp;IF(AND($I118="あり",NOT(ISNUMBER($H118)))," / 自動更新ありなのに満了日が空","")&amp;IF(AND($I118="あり",ISNUMBER($H118),NOT(ISNUMBER($J118)))," / 更新期間が空（更新を計算できない）","")&amp;IF($AH118="","",IF(AND(DAY($AH118)&gt;=29,OR(MOD($J118,12)&lt;&gt;0,MONTH($AH118)=2))," / 更新の初日が29〜31日（更新を重ねると満了日が1日ずれることがある。満了日を今の期間の満了日に書き換えると直る）",""))&amp;IF(AND(ISNUMBER($K118),$L118="")," / 通知の単位が空（か月前で計算）","")&amp;IF(AND(ISNUMBER($M118),$N118="")," / 解約予告の単位が空（か月前で計算）","")&amp;IF(AND(ISNUMBER($O118),$P118="")," / 金額の区分が空","")&amp;IF(AND($T118&lt;&gt;"",NOT(ISNUMBER($U118)))," / 対応を決めた日が空","")&amp;IF(AND(ISNUMBER($U118),$T118="")," / 今期の対応が空","")&amp;IF(AND($T118="更新しない",NOT(ISNUMBER($V118)))," / 更新しないなら、解約・終了した日（契約が終わる日）を入れる",""),4,300)</f>
        <v/>
      </c>
      <c r="AG118" s="53" t="n"/>
      <c r="AH118" s="71">
        <f>IF(AND(ISNUMBER($H118),$I118="あり",ISNUMBER($J118)),IF($J118&gt;=1,$H118+1,""),"")</f>
        <v/>
      </c>
      <c r="AI118" s="32">
        <f>IF($AH118="","",(YEAR('設定'!$B$6)-YEAR($AH118))*12+MONTH('設定'!$B$6)-MONTH($AH118))</f>
        <v/>
      </c>
      <c r="AJ118" s="32">
        <f>IF($AH118="","",MAX(1,ROUNDUP($AI118/$J118,0)))</f>
        <v/>
      </c>
      <c r="AK118" s="71">
        <f>IF($AJ118="","",IF(DAY(EDATE($AH118,$AJ118*$J118))&lt;DAY($AH118),EDATE($AH118,$AJ118*$J118),EDATE($AH118,$AJ118*$J118)-1))</f>
        <v/>
      </c>
      <c r="AL118" s="71">
        <f>IF($AJ118="","",IF(DAY(EDATE($AH118,($AJ118+1)*$J118))&lt;DAY($AH118),EDATE($AH118,($AJ118+1)*$J118),EDATE($AH118,($AJ118+1)*$J118)-1))</f>
        <v/>
      </c>
      <c r="AM118" s="71">
        <f>IF($AJ118="","",IF($AJ118=1,$H118,IF(DAY(EDATE($AH118,($AJ118-1)*$J118))&lt;DAY($AH118),EDATE($AH118,($AJ118-1)*$J118),EDATE($AH118,($AJ118-1)*$J118)-1)))</f>
        <v/>
      </c>
      <c r="AN118" s="32">
        <f>IF(NOT(ISNUMBER($H118)),"",IF(OR($AH118="",$H118&gt;='設定'!$B$6),0,IF($AK118&gt;='設定'!$B$6,$AJ118,$AJ118+1)))</f>
        <v/>
      </c>
      <c r="AO118" s="71">
        <f>IF($AN118="","",IF($AN118=0,"",IF($AN118=$AJ118,$AM118,$AK118)))</f>
        <v/>
      </c>
      <c r="AP118" s="32">
        <f>IF(OR($AC118="要対応",$AC118="通知期限切れ",$AC118="確認済み",$AC118="有効",$AC118="終了予定"),1,0)</f>
        <v/>
      </c>
      <c r="AQ118" s="32">
        <f>IF(OR($AC118="要対応",$AC118="通知期限切れ"),1,0)</f>
        <v/>
      </c>
      <c r="AR118" s="72">
        <f>IF(AND(ISNUMBER($AB118),OR($AC118="要対応",$AC118="通知期限切れ",$AC118="確認済み",$AC118="有効")),$AB118+ROW()/100000,"")</f>
        <v/>
      </c>
      <c r="AS118" s="32">
        <f>IF($E118="","",IF(COUNTIF($E$5:$E118,$E118)=1,ROW(),""))</f>
        <v/>
      </c>
      <c r="AT118" s="32">
        <f>IF($S118="","",IF(COUNTIF($S$5:$S118,$S118)=1,ROW(),""))</f>
        <v/>
      </c>
    </row>
    <row r="119" ht="20" customHeight="1">
      <c r="A119" s="20" t="n">
        <v>115</v>
      </c>
      <c r="B119" s="21" t="n"/>
      <c r="C119" s="22" t="n"/>
      <c r="D119" s="22" t="n"/>
      <c r="E119" s="22" t="n"/>
      <c r="F119" s="66" t="n"/>
      <c r="G119" s="66" t="n"/>
      <c r="H119" s="66" t="n"/>
      <c r="I119" s="21" t="n"/>
      <c r="J119" s="24" t="n"/>
      <c r="K119" s="24" t="n"/>
      <c r="L119" s="21" t="n"/>
      <c r="M119" s="24" t="n"/>
      <c r="N119" s="21" t="n"/>
      <c r="O119" s="67" t="n"/>
      <c r="P119" s="21" t="n"/>
      <c r="Q119" s="21" t="n"/>
      <c r="R119" s="22" t="n"/>
      <c r="S119" s="22" t="n"/>
      <c r="T119" s="21" t="n"/>
      <c r="U119" s="66" t="n"/>
      <c r="V119" s="66" t="n"/>
      <c r="W119" s="66" t="n"/>
      <c r="X119" s="8" t="n"/>
      <c r="Y119" s="68">
        <f>IF($AN119="","",IF($AN119=0,$H119,IF($AN119=$AJ119,$AK119,$AL119)))</f>
        <v/>
      </c>
      <c r="Z119" s="68">
        <f>IF(OR($Y119="",NOT(ISNUMBER($K119))),"",IF($L119="日前",$Y119-$K119,EDATE($Y119,-$K119)))</f>
        <v/>
      </c>
      <c r="AA119" s="68">
        <f>IF(OR($Y119="",ISNUMBER($V119),N($Y119)&lt;'設定'!$B$6),"",IF($Z119&lt;&gt;"",$Z119,$Y119))</f>
        <v/>
      </c>
      <c r="AB119" s="69">
        <f>IF($AA119="","",$AA119-'設定'!$B$6)</f>
        <v/>
      </c>
      <c r="AC119" s="28">
        <f>IF(NOT(OR($B119&lt;&gt;"",$C119&lt;&gt;"")),"",IF(ISNUMBER($V119),IF($V119&lt;'設定'!$B$6,"終了","終了予定"),IF($Y119="","有効",IF($Y119&lt;'設定'!$B$6,"満了",IF(AND($T119="更新する",ISNUMBER($U119),N($U119)&lt;='設定'!$B$6,OR($AO119="",N($U119)&gt;N($AO119))),"確認済み",IF($AB119&lt;0,"通知期限切れ",IF($AB119&lt;=N('設定'!$B$7),"要対応","有効")))))))</f>
        <v/>
      </c>
      <c r="AD119" s="68">
        <f>IF(OR(NOT(ISNUMBER($M119)),$AC119="",$AC119="終了",$AC119="終了予定",$AC119="満了"),"",IF($N119="日前",'設定'!$B$6+$M119,EDATE('設定'!$B$6,$M119)))</f>
        <v/>
      </c>
      <c r="AE119" s="70">
        <f>IF(NOT(ISNUMBER($O119)),"",IF($P119="月額",$O119*12,IF($P119="年額",$O119,"")))</f>
        <v/>
      </c>
      <c r="AF119" s="30">
        <f>MID(IF(AND(ISNUMBER($G119),ISNUMBER($H119)),IF(N($H119)&lt;N($G119)," / 満了日が開始日より前",""),"")&amp;IF(AND($I119="あり",NOT(ISNUMBER($H119)))," / 自動更新ありなのに満了日が空","")&amp;IF(AND($I119="あり",ISNUMBER($H119),NOT(ISNUMBER($J119)))," / 更新期間が空（更新を計算できない）","")&amp;IF($AH119="","",IF(AND(DAY($AH119)&gt;=29,OR(MOD($J119,12)&lt;&gt;0,MONTH($AH119)=2))," / 更新の初日が29〜31日（更新を重ねると満了日が1日ずれることがある。満了日を今の期間の満了日に書き換えると直る）",""))&amp;IF(AND(ISNUMBER($K119),$L119="")," / 通知の単位が空（か月前で計算）","")&amp;IF(AND(ISNUMBER($M119),$N119="")," / 解約予告の単位が空（か月前で計算）","")&amp;IF(AND(ISNUMBER($O119),$P119="")," / 金額の区分が空","")&amp;IF(AND($T119&lt;&gt;"",NOT(ISNUMBER($U119)))," / 対応を決めた日が空","")&amp;IF(AND(ISNUMBER($U119),$T119="")," / 今期の対応が空","")&amp;IF(AND($T119="更新しない",NOT(ISNUMBER($V119)))," / 更新しないなら、解約・終了した日（契約が終わる日）を入れる",""),4,300)</f>
        <v/>
      </c>
      <c r="AG119" s="53" t="n"/>
      <c r="AH119" s="71">
        <f>IF(AND(ISNUMBER($H119),$I119="あり",ISNUMBER($J119)),IF($J119&gt;=1,$H119+1,""),"")</f>
        <v/>
      </c>
      <c r="AI119" s="32">
        <f>IF($AH119="","",(YEAR('設定'!$B$6)-YEAR($AH119))*12+MONTH('設定'!$B$6)-MONTH($AH119))</f>
        <v/>
      </c>
      <c r="AJ119" s="32">
        <f>IF($AH119="","",MAX(1,ROUNDUP($AI119/$J119,0)))</f>
        <v/>
      </c>
      <c r="AK119" s="71">
        <f>IF($AJ119="","",IF(DAY(EDATE($AH119,$AJ119*$J119))&lt;DAY($AH119),EDATE($AH119,$AJ119*$J119),EDATE($AH119,$AJ119*$J119)-1))</f>
        <v/>
      </c>
      <c r="AL119" s="71">
        <f>IF($AJ119="","",IF(DAY(EDATE($AH119,($AJ119+1)*$J119))&lt;DAY($AH119),EDATE($AH119,($AJ119+1)*$J119),EDATE($AH119,($AJ119+1)*$J119)-1))</f>
        <v/>
      </c>
      <c r="AM119" s="71">
        <f>IF($AJ119="","",IF($AJ119=1,$H119,IF(DAY(EDATE($AH119,($AJ119-1)*$J119))&lt;DAY($AH119),EDATE($AH119,($AJ119-1)*$J119),EDATE($AH119,($AJ119-1)*$J119)-1)))</f>
        <v/>
      </c>
      <c r="AN119" s="32">
        <f>IF(NOT(ISNUMBER($H119)),"",IF(OR($AH119="",$H119&gt;='設定'!$B$6),0,IF($AK119&gt;='設定'!$B$6,$AJ119,$AJ119+1)))</f>
        <v/>
      </c>
      <c r="AO119" s="71">
        <f>IF($AN119="","",IF($AN119=0,"",IF($AN119=$AJ119,$AM119,$AK119)))</f>
        <v/>
      </c>
      <c r="AP119" s="32">
        <f>IF(OR($AC119="要対応",$AC119="通知期限切れ",$AC119="確認済み",$AC119="有効",$AC119="終了予定"),1,0)</f>
        <v/>
      </c>
      <c r="AQ119" s="32">
        <f>IF(OR($AC119="要対応",$AC119="通知期限切れ"),1,0)</f>
        <v/>
      </c>
      <c r="AR119" s="72">
        <f>IF(AND(ISNUMBER($AB119),OR($AC119="要対応",$AC119="通知期限切れ",$AC119="確認済み",$AC119="有効")),$AB119+ROW()/100000,"")</f>
        <v/>
      </c>
      <c r="AS119" s="32">
        <f>IF($E119="","",IF(COUNTIF($E$5:$E119,$E119)=1,ROW(),""))</f>
        <v/>
      </c>
      <c r="AT119" s="32">
        <f>IF($S119="","",IF(COUNTIF($S$5:$S119,$S119)=1,ROW(),""))</f>
        <v/>
      </c>
    </row>
    <row r="120" ht="20" customHeight="1">
      <c r="A120" s="20" t="n">
        <v>116</v>
      </c>
      <c r="B120" s="21" t="n"/>
      <c r="C120" s="22" t="n"/>
      <c r="D120" s="22" t="n"/>
      <c r="E120" s="22" t="n"/>
      <c r="F120" s="66" t="n"/>
      <c r="G120" s="66" t="n"/>
      <c r="H120" s="66" t="n"/>
      <c r="I120" s="21" t="n"/>
      <c r="J120" s="24" t="n"/>
      <c r="K120" s="24" t="n"/>
      <c r="L120" s="21" t="n"/>
      <c r="M120" s="24" t="n"/>
      <c r="N120" s="21" t="n"/>
      <c r="O120" s="67" t="n"/>
      <c r="P120" s="21" t="n"/>
      <c r="Q120" s="21" t="n"/>
      <c r="R120" s="22" t="n"/>
      <c r="S120" s="22" t="n"/>
      <c r="T120" s="21" t="n"/>
      <c r="U120" s="66" t="n"/>
      <c r="V120" s="66" t="n"/>
      <c r="W120" s="66" t="n"/>
      <c r="X120" s="8" t="n"/>
      <c r="Y120" s="68">
        <f>IF($AN120="","",IF($AN120=0,$H120,IF($AN120=$AJ120,$AK120,$AL120)))</f>
        <v/>
      </c>
      <c r="Z120" s="68">
        <f>IF(OR($Y120="",NOT(ISNUMBER($K120))),"",IF($L120="日前",$Y120-$K120,EDATE($Y120,-$K120)))</f>
        <v/>
      </c>
      <c r="AA120" s="68">
        <f>IF(OR($Y120="",ISNUMBER($V120),N($Y120)&lt;'設定'!$B$6),"",IF($Z120&lt;&gt;"",$Z120,$Y120))</f>
        <v/>
      </c>
      <c r="AB120" s="69">
        <f>IF($AA120="","",$AA120-'設定'!$B$6)</f>
        <v/>
      </c>
      <c r="AC120" s="28">
        <f>IF(NOT(OR($B120&lt;&gt;"",$C120&lt;&gt;"")),"",IF(ISNUMBER($V120),IF($V120&lt;'設定'!$B$6,"終了","終了予定"),IF($Y120="","有効",IF($Y120&lt;'設定'!$B$6,"満了",IF(AND($T120="更新する",ISNUMBER($U120),N($U120)&lt;='設定'!$B$6,OR($AO120="",N($U120)&gt;N($AO120))),"確認済み",IF($AB120&lt;0,"通知期限切れ",IF($AB120&lt;=N('設定'!$B$7),"要対応","有効")))))))</f>
        <v/>
      </c>
      <c r="AD120" s="68">
        <f>IF(OR(NOT(ISNUMBER($M120)),$AC120="",$AC120="終了",$AC120="終了予定",$AC120="満了"),"",IF($N120="日前",'設定'!$B$6+$M120,EDATE('設定'!$B$6,$M120)))</f>
        <v/>
      </c>
      <c r="AE120" s="70">
        <f>IF(NOT(ISNUMBER($O120)),"",IF($P120="月額",$O120*12,IF($P120="年額",$O120,"")))</f>
        <v/>
      </c>
      <c r="AF120" s="30">
        <f>MID(IF(AND(ISNUMBER($G120),ISNUMBER($H120)),IF(N($H120)&lt;N($G120)," / 満了日が開始日より前",""),"")&amp;IF(AND($I120="あり",NOT(ISNUMBER($H120)))," / 自動更新ありなのに満了日が空","")&amp;IF(AND($I120="あり",ISNUMBER($H120),NOT(ISNUMBER($J120)))," / 更新期間が空（更新を計算できない）","")&amp;IF($AH120="","",IF(AND(DAY($AH120)&gt;=29,OR(MOD($J120,12)&lt;&gt;0,MONTH($AH120)=2))," / 更新の初日が29〜31日（更新を重ねると満了日が1日ずれることがある。満了日を今の期間の満了日に書き換えると直る）",""))&amp;IF(AND(ISNUMBER($K120),$L120="")," / 通知の単位が空（か月前で計算）","")&amp;IF(AND(ISNUMBER($M120),$N120="")," / 解約予告の単位が空（か月前で計算）","")&amp;IF(AND(ISNUMBER($O120),$P120="")," / 金額の区分が空","")&amp;IF(AND($T120&lt;&gt;"",NOT(ISNUMBER($U120)))," / 対応を決めた日が空","")&amp;IF(AND(ISNUMBER($U120),$T120="")," / 今期の対応が空","")&amp;IF(AND($T120="更新しない",NOT(ISNUMBER($V120)))," / 更新しないなら、解約・終了した日（契約が終わる日）を入れる",""),4,300)</f>
        <v/>
      </c>
      <c r="AG120" s="53" t="n"/>
      <c r="AH120" s="71">
        <f>IF(AND(ISNUMBER($H120),$I120="あり",ISNUMBER($J120)),IF($J120&gt;=1,$H120+1,""),"")</f>
        <v/>
      </c>
      <c r="AI120" s="32">
        <f>IF($AH120="","",(YEAR('設定'!$B$6)-YEAR($AH120))*12+MONTH('設定'!$B$6)-MONTH($AH120))</f>
        <v/>
      </c>
      <c r="AJ120" s="32">
        <f>IF($AH120="","",MAX(1,ROUNDUP($AI120/$J120,0)))</f>
        <v/>
      </c>
      <c r="AK120" s="71">
        <f>IF($AJ120="","",IF(DAY(EDATE($AH120,$AJ120*$J120))&lt;DAY($AH120),EDATE($AH120,$AJ120*$J120),EDATE($AH120,$AJ120*$J120)-1))</f>
        <v/>
      </c>
      <c r="AL120" s="71">
        <f>IF($AJ120="","",IF(DAY(EDATE($AH120,($AJ120+1)*$J120))&lt;DAY($AH120),EDATE($AH120,($AJ120+1)*$J120),EDATE($AH120,($AJ120+1)*$J120)-1))</f>
        <v/>
      </c>
      <c r="AM120" s="71">
        <f>IF($AJ120="","",IF($AJ120=1,$H120,IF(DAY(EDATE($AH120,($AJ120-1)*$J120))&lt;DAY($AH120),EDATE($AH120,($AJ120-1)*$J120),EDATE($AH120,($AJ120-1)*$J120)-1)))</f>
        <v/>
      </c>
      <c r="AN120" s="32">
        <f>IF(NOT(ISNUMBER($H120)),"",IF(OR($AH120="",$H120&gt;='設定'!$B$6),0,IF($AK120&gt;='設定'!$B$6,$AJ120,$AJ120+1)))</f>
        <v/>
      </c>
      <c r="AO120" s="71">
        <f>IF($AN120="","",IF($AN120=0,"",IF($AN120=$AJ120,$AM120,$AK120)))</f>
        <v/>
      </c>
      <c r="AP120" s="32">
        <f>IF(OR($AC120="要対応",$AC120="通知期限切れ",$AC120="確認済み",$AC120="有効",$AC120="終了予定"),1,0)</f>
        <v/>
      </c>
      <c r="AQ120" s="32">
        <f>IF(OR($AC120="要対応",$AC120="通知期限切れ"),1,0)</f>
        <v/>
      </c>
      <c r="AR120" s="72">
        <f>IF(AND(ISNUMBER($AB120),OR($AC120="要対応",$AC120="通知期限切れ",$AC120="確認済み",$AC120="有効")),$AB120+ROW()/100000,"")</f>
        <v/>
      </c>
      <c r="AS120" s="32">
        <f>IF($E120="","",IF(COUNTIF($E$5:$E120,$E120)=1,ROW(),""))</f>
        <v/>
      </c>
      <c r="AT120" s="32">
        <f>IF($S120="","",IF(COUNTIF($S$5:$S120,$S120)=1,ROW(),""))</f>
        <v/>
      </c>
    </row>
    <row r="121" ht="20" customHeight="1">
      <c r="A121" s="20" t="n">
        <v>117</v>
      </c>
      <c r="B121" s="21" t="n"/>
      <c r="C121" s="22" t="n"/>
      <c r="D121" s="22" t="n"/>
      <c r="E121" s="22" t="n"/>
      <c r="F121" s="66" t="n"/>
      <c r="G121" s="66" t="n"/>
      <c r="H121" s="66" t="n"/>
      <c r="I121" s="21" t="n"/>
      <c r="J121" s="24" t="n"/>
      <c r="K121" s="24" t="n"/>
      <c r="L121" s="21" t="n"/>
      <c r="M121" s="24" t="n"/>
      <c r="N121" s="21" t="n"/>
      <c r="O121" s="67" t="n"/>
      <c r="P121" s="21" t="n"/>
      <c r="Q121" s="21" t="n"/>
      <c r="R121" s="22" t="n"/>
      <c r="S121" s="22" t="n"/>
      <c r="T121" s="21" t="n"/>
      <c r="U121" s="66" t="n"/>
      <c r="V121" s="66" t="n"/>
      <c r="W121" s="66" t="n"/>
      <c r="X121" s="8" t="n"/>
      <c r="Y121" s="68">
        <f>IF($AN121="","",IF($AN121=0,$H121,IF($AN121=$AJ121,$AK121,$AL121)))</f>
        <v/>
      </c>
      <c r="Z121" s="68">
        <f>IF(OR($Y121="",NOT(ISNUMBER($K121))),"",IF($L121="日前",$Y121-$K121,EDATE($Y121,-$K121)))</f>
        <v/>
      </c>
      <c r="AA121" s="68">
        <f>IF(OR($Y121="",ISNUMBER($V121),N($Y121)&lt;'設定'!$B$6),"",IF($Z121&lt;&gt;"",$Z121,$Y121))</f>
        <v/>
      </c>
      <c r="AB121" s="69">
        <f>IF($AA121="","",$AA121-'設定'!$B$6)</f>
        <v/>
      </c>
      <c r="AC121" s="28">
        <f>IF(NOT(OR($B121&lt;&gt;"",$C121&lt;&gt;"")),"",IF(ISNUMBER($V121),IF($V121&lt;'設定'!$B$6,"終了","終了予定"),IF($Y121="","有効",IF($Y121&lt;'設定'!$B$6,"満了",IF(AND($T121="更新する",ISNUMBER($U121),N($U121)&lt;='設定'!$B$6,OR($AO121="",N($U121)&gt;N($AO121))),"確認済み",IF($AB121&lt;0,"通知期限切れ",IF($AB121&lt;=N('設定'!$B$7),"要対応","有効")))))))</f>
        <v/>
      </c>
      <c r="AD121" s="68">
        <f>IF(OR(NOT(ISNUMBER($M121)),$AC121="",$AC121="終了",$AC121="終了予定",$AC121="満了"),"",IF($N121="日前",'設定'!$B$6+$M121,EDATE('設定'!$B$6,$M121)))</f>
        <v/>
      </c>
      <c r="AE121" s="70">
        <f>IF(NOT(ISNUMBER($O121)),"",IF($P121="月額",$O121*12,IF($P121="年額",$O121,"")))</f>
        <v/>
      </c>
      <c r="AF121" s="30">
        <f>MID(IF(AND(ISNUMBER($G121),ISNUMBER($H121)),IF(N($H121)&lt;N($G121)," / 満了日が開始日より前",""),"")&amp;IF(AND($I121="あり",NOT(ISNUMBER($H121)))," / 自動更新ありなのに満了日が空","")&amp;IF(AND($I121="あり",ISNUMBER($H121),NOT(ISNUMBER($J121)))," / 更新期間が空（更新を計算できない）","")&amp;IF($AH121="","",IF(AND(DAY($AH121)&gt;=29,OR(MOD($J121,12)&lt;&gt;0,MONTH($AH121)=2))," / 更新の初日が29〜31日（更新を重ねると満了日が1日ずれることがある。満了日を今の期間の満了日に書き換えると直る）",""))&amp;IF(AND(ISNUMBER($K121),$L121="")," / 通知の単位が空（か月前で計算）","")&amp;IF(AND(ISNUMBER($M121),$N121="")," / 解約予告の単位が空（か月前で計算）","")&amp;IF(AND(ISNUMBER($O121),$P121="")," / 金額の区分が空","")&amp;IF(AND($T121&lt;&gt;"",NOT(ISNUMBER($U121)))," / 対応を決めた日が空","")&amp;IF(AND(ISNUMBER($U121),$T121="")," / 今期の対応が空","")&amp;IF(AND($T121="更新しない",NOT(ISNUMBER($V121)))," / 更新しないなら、解約・終了した日（契約が終わる日）を入れる",""),4,300)</f>
        <v/>
      </c>
      <c r="AG121" s="53" t="n"/>
      <c r="AH121" s="71">
        <f>IF(AND(ISNUMBER($H121),$I121="あり",ISNUMBER($J121)),IF($J121&gt;=1,$H121+1,""),"")</f>
        <v/>
      </c>
      <c r="AI121" s="32">
        <f>IF($AH121="","",(YEAR('設定'!$B$6)-YEAR($AH121))*12+MONTH('設定'!$B$6)-MONTH($AH121))</f>
        <v/>
      </c>
      <c r="AJ121" s="32">
        <f>IF($AH121="","",MAX(1,ROUNDUP($AI121/$J121,0)))</f>
        <v/>
      </c>
      <c r="AK121" s="71">
        <f>IF($AJ121="","",IF(DAY(EDATE($AH121,$AJ121*$J121))&lt;DAY($AH121),EDATE($AH121,$AJ121*$J121),EDATE($AH121,$AJ121*$J121)-1))</f>
        <v/>
      </c>
      <c r="AL121" s="71">
        <f>IF($AJ121="","",IF(DAY(EDATE($AH121,($AJ121+1)*$J121))&lt;DAY($AH121),EDATE($AH121,($AJ121+1)*$J121),EDATE($AH121,($AJ121+1)*$J121)-1))</f>
        <v/>
      </c>
      <c r="AM121" s="71">
        <f>IF($AJ121="","",IF($AJ121=1,$H121,IF(DAY(EDATE($AH121,($AJ121-1)*$J121))&lt;DAY($AH121),EDATE($AH121,($AJ121-1)*$J121),EDATE($AH121,($AJ121-1)*$J121)-1)))</f>
        <v/>
      </c>
      <c r="AN121" s="32">
        <f>IF(NOT(ISNUMBER($H121)),"",IF(OR($AH121="",$H121&gt;='設定'!$B$6),0,IF($AK121&gt;='設定'!$B$6,$AJ121,$AJ121+1)))</f>
        <v/>
      </c>
      <c r="AO121" s="71">
        <f>IF($AN121="","",IF($AN121=0,"",IF($AN121=$AJ121,$AM121,$AK121)))</f>
        <v/>
      </c>
      <c r="AP121" s="32">
        <f>IF(OR($AC121="要対応",$AC121="通知期限切れ",$AC121="確認済み",$AC121="有効",$AC121="終了予定"),1,0)</f>
        <v/>
      </c>
      <c r="AQ121" s="32">
        <f>IF(OR($AC121="要対応",$AC121="通知期限切れ"),1,0)</f>
        <v/>
      </c>
      <c r="AR121" s="72">
        <f>IF(AND(ISNUMBER($AB121),OR($AC121="要対応",$AC121="通知期限切れ",$AC121="確認済み",$AC121="有効")),$AB121+ROW()/100000,"")</f>
        <v/>
      </c>
      <c r="AS121" s="32">
        <f>IF($E121="","",IF(COUNTIF($E$5:$E121,$E121)=1,ROW(),""))</f>
        <v/>
      </c>
      <c r="AT121" s="32">
        <f>IF($S121="","",IF(COUNTIF($S$5:$S121,$S121)=1,ROW(),""))</f>
        <v/>
      </c>
    </row>
    <row r="122" ht="20" customHeight="1">
      <c r="A122" s="20" t="n">
        <v>118</v>
      </c>
      <c r="B122" s="21" t="n"/>
      <c r="C122" s="22" t="n"/>
      <c r="D122" s="22" t="n"/>
      <c r="E122" s="22" t="n"/>
      <c r="F122" s="66" t="n"/>
      <c r="G122" s="66" t="n"/>
      <c r="H122" s="66" t="n"/>
      <c r="I122" s="21" t="n"/>
      <c r="J122" s="24" t="n"/>
      <c r="K122" s="24" t="n"/>
      <c r="L122" s="21" t="n"/>
      <c r="M122" s="24" t="n"/>
      <c r="N122" s="21" t="n"/>
      <c r="O122" s="67" t="n"/>
      <c r="P122" s="21" t="n"/>
      <c r="Q122" s="21" t="n"/>
      <c r="R122" s="22" t="n"/>
      <c r="S122" s="22" t="n"/>
      <c r="T122" s="21" t="n"/>
      <c r="U122" s="66" t="n"/>
      <c r="V122" s="66" t="n"/>
      <c r="W122" s="66" t="n"/>
      <c r="X122" s="8" t="n"/>
      <c r="Y122" s="68">
        <f>IF($AN122="","",IF($AN122=0,$H122,IF($AN122=$AJ122,$AK122,$AL122)))</f>
        <v/>
      </c>
      <c r="Z122" s="68">
        <f>IF(OR($Y122="",NOT(ISNUMBER($K122))),"",IF($L122="日前",$Y122-$K122,EDATE($Y122,-$K122)))</f>
        <v/>
      </c>
      <c r="AA122" s="68">
        <f>IF(OR($Y122="",ISNUMBER($V122),N($Y122)&lt;'設定'!$B$6),"",IF($Z122&lt;&gt;"",$Z122,$Y122))</f>
        <v/>
      </c>
      <c r="AB122" s="69">
        <f>IF($AA122="","",$AA122-'設定'!$B$6)</f>
        <v/>
      </c>
      <c r="AC122" s="28">
        <f>IF(NOT(OR($B122&lt;&gt;"",$C122&lt;&gt;"")),"",IF(ISNUMBER($V122),IF($V122&lt;'設定'!$B$6,"終了","終了予定"),IF($Y122="","有効",IF($Y122&lt;'設定'!$B$6,"満了",IF(AND($T122="更新する",ISNUMBER($U122),N($U122)&lt;='設定'!$B$6,OR($AO122="",N($U122)&gt;N($AO122))),"確認済み",IF($AB122&lt;0,"通知期限切れ",IF($AB122&lt;=N('設定'!$B$7),"要対応","有効")))))))</f>
        <v/>
      </c>
      <c r="AD122" s="68">
        <f>IF(OR(NOT(ISNUMBER($M122)),$AC122="",$AC122="終了",$AC122="終了予定",$AC122="満了"),"",IF($N122="日前",'設定'!$B$6+$M122,EDATE('設定'!$B$6,$M122)))</f>
        <v/>
      </c>
      <c r="AE122" s="70">
        <f>IF(NOT(ISNUMBER($O122)),"",IF($P122="月額",$O122*12,IF($P122="年額",$O122,"")))</f>
        <v/>
      </c>
      <c r="AF122" s="30">
        <f>MID(IF(AND(ISNUMBER($G122),ISNUMBER($H122)),IF(N($H122)&lt;N($G122)," / 満了日が開始日より前",""),"")&amp;IF(AND($I122="あり",NOT(ISNUMBER($H122)))," / 自動更新ありなのに満了日が空","")&amp;IF(AND($I122="あり",ISNUMBER($H122),NOT(ISNUMBER($J122)))," / 更新期間が空（更新を計算できない）","")&amp;IF($AH122="","",IF(AND(DAY($AH122)&gt;=29,OR(MOD($J122,12)&lt;&gt;0,MONTH($AH122)=2))," / 更新の初日が29〜31日（更新を重ねると満了日が1日ずれることがある。満了日を今の期間の満了日に書き換えると直る）",""))&amp;IF(AND(ISNUMBER($K122),$L122="")," / 通知の単位が空（か月前で計算）","")&amp;IF(AND(ISNUMBER($M122),$N122="")," / 解約予告の単位が空（か月前で計算）","")&amp;IF(AND(ISNUMBER($O122),$P122="")," / 金額の区分が空","")&amp;IF(AND($T122&lt;&gt;"",NOT(ISNUMBER($U122)))," / 対応を決めた日が空","")&amp;IF(AND(ISNUMBER($U122),$T122="")," / 今期の対応が空","")&amp;IF(AND($T122="更新しない",NOT(ISNUMBER($V122)))," / 更新しないなら、解約・終了した日（契約が終わる日）を入れる",""),4,300)</f>
        <v/>
      </c>
      <c r="AG122" s="53" t="n"/>
      <c r="AH122" s="71">
        <f>IF(AND(ISNUMBER($H122),$I122="あり",ISNUMBER($J122)),IF($J122&gt;=1,$H122+1,""),"")</f>
        <v/>
      </c>
      <c r="AI122" s="32">
        <f>IF($AH122="","",(YEAR('設定'!$B$6)-YEAR($AH122))*12+MONTH('設定'!$B$6)-MONTH($AH122))</f>
        <v/>
      </c>
      <c r="AJ122" s="32">
        <f>IF($AH122="","",MAX(1,ROUNDUP($AI122/$J122,0)))</f>
        <v/>
      </c>
      <c r="AK122" s="71">
        <f>IF($AJ122="","",IF(DAY(EDATE($AH122,$AJ122*$J122))&lt;DAY($AH122),EDATE($AH122,$AJ122*$J122),EDATE($AH122,$AJ122*$J122)-1))</f>
        <v/>
      </c>
      <c r="AL122" s="71">
        <f>IF($AJ122="","",IF(DAY(EDATE($AH122,($AJ122+1)*$J122))&lt;DAY($AH122),EDATE($AH122,($AJ122+1)*$J122),EDATE($AH122,($AJ122+1)*$J122)-1))</f>
        <v/>
      </c>
      <c r="AM122" s="71">
        <f>IF($AJ122="","",IF($AJ122=1,$H122,IF(DAY(EDATE($AH122,($AJ122-1)*$J122))&lt;DAY($AH122),EDATE($AH122,($AJ122-1)*$J122),EDATE($AH122,($AJ122-1)*$J122)-1)))</f>
        <v/>
      </c>
      <c r="AN122" s="32">
        <f>IF(NOT(ISNUMBER($H122)),"",IF(OR($AH122="",$H122&gt;='設定'!$B$6),0,IF($AK122&gt;='設定'!$B$6,$AJ122,$AJ122+1)))</f>
        <v/>
      </c>
      <c r="AO122" s="71">
        <f>IF($AN122="","",IF($AN122=0,"",IF($AN122=$AJ122,$AM122,$AK122)))</f>
        <v/>
      </c>
      <c r="AP122" s="32">
        <f>IF(OR($AC122="要対応",$AC122="通知期限切れ",$AC122="確認済み",$AC122="有効",$AC122="終了予定"),1,0)</f>
        <v/>
      </c>
      <c r="AQ122" s="32">
        <f>IF(OR($AC122="要対応",$AC122="通知期限切れ"),1,0)</f>
        <v/>
      </c>
      <c r="AR122" s="72">
        <f>IF(AND(ISNUMBER($AB122),OR($AC122="要対応",$AC122="通知期限切れ",$AC122="確認済み",$AC122="有効")),$AB122+ROW()/100000,"")</f>
        <v/>
      </c>
      <c r="AS122" s="32">
        <f>IF($E122="","",IF(COUNTIF($E$5:$E122,$E122)=1,ROW(),""))</f>
        <v/>
      </c>
      <c r="AT122" s="32">
        <f>IF($S122="","",IF(COUNTIF($S$5:$S122,$S122)=1,ROW(),""))</f>
        <v/>
      </c>
    </row>
    <row r="123" ht="20" customHeight="1">
      <c r="A123" s="20" t="n">
        <v>119</v>
      </c>
      <c r="B123" s="21" t="n"/>
      <c r="C123" s="22" t="n"/>
      <c r="D123" s="22" t="n"/>
      <c r="E123" s="22" t="n"/>
      <c r="F123" s="66" t="n"/>
      <c r="G123" s="66" t="n"/>
      <c r="H123" s="66" t="n"/>
      <c r="I123" s="21" t="n"/>
      <c r="J123" s="24" t="n"/>
      <c r="K123" s="24" t="n"/>
      <c r="L123" s="21" t="n"/>
      <c r="M123" s="24" t="n"/>
      <c r="N123" s="21" t="n"/>
      <c r="O123" s="67" t="n"/>
      <c r="P123" s="21" t="n"/>
      <c r="Q123" s="21" t="n"/>
      <c r="R123" s="22" t="n"/>
      <c r="S123" s="22" t="n"/>
      <c r="T123" s="21" t="n"/>
      <c r="U123" s="66" t="n"/>
      <c r="V123" s="66" t="n"/>
      <c r="W123" s="66" t="n"/>
      <c r="X123" s="8" t="n"/>
      <c r="Y123" s="68">
        <f>IF($AN123="","",IF($AN123=0,$H123,IF($AN123=$AJ123,$AK123,$AL123)))</f>
        <v/>
      </c>
      <c r="Z123" s="68">
        <f>IF(OR($Y123="",NOT(ISNUMBER($K123))),"",IF($L123="日前",$Y123-$K123,EDATE($Y123,-$K123)))</f>
        <v/>
      </c>
      <c r="AA123" s="68">
        <f>IF(OR($Y123="",ISNUMBER($V123),N($Y123)&lt;'設定'!$B$6),"",IF($Z123&lt;&gt;"",$Z123,$Y123))</f>
        <v/>
      </c>
      <c r="AB123" s="69">
        <f>IF($AA123="","",$AA123-'設定'!$B$6)</f>
        <v/>
      </c>
      <c r="AC123" s="28">
        <f>IF(NOT(OR($B123&lt;&gt;"",$C123&lt;&gt;"")),"",IF(ISNUMBER($V123),IF($V123&lt;'設定'!$B$6,"終了","終了予定"),IF($Y123="","有効",IF($Y123&lt;'設定'!$B$6,"満了",IF(AND($T123="更新する",ISNUMBER($U123),N($U123)&lt;='設定'!$B$6,OR($AO123="",N($U123)&gt;N($AO123))),"確認済み",IF($AB123&lt;0,"通知期限切れ",IF($AB123&lt;=N('設定'!$B$7),"要対応","有効")))))))</f>
        <v/>
      </c>
      <c r="AD123" s="68">
        <f>IF(OR(NOT(ISNUMBER($M123)),$AC123="",$AC123="終了",$AC123="終了予定",$AC123="満了"),"",IF($N123="日前",'設定'!$B$6+$M123,EDATE('設定'!$B$6,$M123)))</f>
        <v/>
      </c>
      <c r="AE123" s="70">
        <f>IF(NOT(ISNUMBER($O123)),"",IF($P123="月額",$O123*12,IF($P123="年額",$O123,"")))</f>
        <v/>
      </c>
      <c r="AF123" s="30">
        <f>MID(IF(AND(ISNUMBER($G123),ISNUMBER($H123)),IF(N($H123)&lt;N($G123)," / 満了日が開始日より前",""),"")&amp;IF(AND($I123="あり",NOT(ISNUMBER($H123)))," / 自動更新ありなのに満了日が空","")&amp;IF(AND($I123="あり",ISNUMBER($H123),NOT(ISNUMBER($J123)))," / 更新期間が空（更新を計算できない）","")&amp;IF($AH123="","",IF(AND(DAY($AH123)&gt;=29,OR(MOD($J123,12)&lt;&gt;0,MONTH($AH123)=2))," / 更新の初日が29〜31日（更新を重ねると満了日が1日ずれることがある。満了日を今の期間の満了日に書き換えると直る）",""))&amp;IF(AND(ISNUMBER($K123),$L123="")," / 通知の単位が空（か月前で計算）","")&amp;IF(AND(ISNUMBER($M123),$N123="")," / 解約予告の単位が空（か月前で計算）","")&amp;IF(AND(ISNUMBER($O123),$P123="")," / 金額の区分が空","")&amp;IF(AND($T123&lt;&gt;"",NOT(ISNUMBER($U123)))," / 対応を決めた日が空","")&amp;IF(AND(ISNUMBER($U123),$T123="")," / 今期の対応が空","")&amp;IF(AND($T123="更新しない",NOT(ISNUMBER($V123)))," / 更新しないなら、解約・終了した日（契約が終わる日）を入れる",""),4,300)</f>
        <v/>
      </c>
      <c r="AG123" s="53" t="n"/>
      <c r="AH123" s="71">
        <f>IF(AND(ISNUMBER($H123),$I123="あり",ISNUMBER($J123)),IF($J123&gt;=1,$H123+1,""),"")</f>
        <v/>
      </c>
      <c r="AI123" s="32">
        <f>IF($AH123="","",(YEAR('設定'!$B$6)-YEAR($AH123))*12+MONTH('設定'!$B$6)-MONTH($AH123))</f>
        <v/>
      </c>
      <c r="AJ123" s="32">
        <f>IF($AH123="","",MAX(1,ROUNDUP($AI123/$J123,0)))</f>
        <v/>
      </c>
      <c r="AK123" s="71">
        <f>IF($AJ123="","",IF(DAY(EDATE($AH123,$AJ123*$J123))&lt;DAY($AH123),EDATE($AH123,$AJ123*$J123),EDATE($AH123,$AJ123*$J123)-1))</f>
        <v/>
      </c>
      <c r="AL123" s="71">
        <f>IF($AJ123="","",IF(DAY(EDATE($AH123,($AJ123+1)*$J123))&lt;DAY($AH123),EDATE($AH123,($AJ123+1)*$J123),EDATE($AH123,($AJ123+1)*$J123)-1))</f>
        <v/>
      </c>
      <c r="AM123" s="71">
        <f>IF($AJ123="","",IF($AJ123=1,$H123,IF(DAY(EDATE($AH123,($AJ123-1)*$J123))&lt;DAY($AH123),EDATE($AH123,($AJ123-1)*$J123),EDATE($AH123,($AJ123-1)*$J123)-1)))</f>
        <v/>
      </c>
      <c r="AN123" s="32">
        <f>IF(NOT(ISNUMBER($H123)),"",IF(OR($AH123="",$H123&gt;='設定'!$B$6),0,IF($AK123&gt;='設定'!$B$6,$AJ123,$AJ123+1)))</f>
        <v/>
      </c>
      <c r="AO123" s="71">
        <f>IF($AN123="","",IF($AN123=0,"",IF($AN123=$AJ123,$AM123,$AK123)))</f>
        <v/>
      </c>
      <c r="AP123" s="32">
        <f>IF(OR($AC123="要対応",$AC123="通知期限切れ",$AC123="確認済み",$AC123="有効",$AC123="終了予定"),1,0)</f>
        <v/>
      </c>
      <c r="AQ123" s="32">
        <f>IF(OR($AC123="要対応",$AC123="通知期限切れ"),1,0)</f>
        <v/>
      </c>
      <c r="AR123" s="72">
        <f>IF(AND(ISNUMBER($AB123),OR($AC123="要対応",$AC123="通知期限切れ",$AC123="確認済み",$AC123="有効")),$AB123+ROW()/100000,"")</f>
        <v/>
      </c>
      <c r="AS123" s="32">
        <f>IF($E123="","",IF(COUNTIF($E$5:$E123,$E123)=1,ROW(),""))</f>
        <v/>
      </c>
      <c r="AT123" s="32">
        <f>IF($S123="","",IF(COUNTIF($S$5:$S123,$S123)=1,ROW(),""))</f>
        <v/>
      </c>
    </row>
    <row r="124" ht="20" customHeight="1">
      <c r="A124" s="20" t="n">
        <v>120</v>
      </c>
      <c r="B124" s="21" t="n"/>
      <c r="C124" s="22" t="n"/>
      <c r="D124" s="22" t="n"/>
      <c r="E124" s="22" t="n"/>
      <c r="F124" s="66" t="n"/>
      <c r="G124" s="66" t="n"/>
      <c r="H124" s="66" t="n"/>
      <c r="I124" s="21" t="n"/>
      <c r="J124" s="24" t="n"/>
      <c r="K124" s="24" t="n"/>
      <c r="L124" s="21" t="n"/>
      <c r="M124" s="24" t="n"/>
      <c r="N124" s="21" t="n"/>
      <c r="O124" s="67" t="n"/>
      <c r="P124" s="21" t="n"/>
      <c r="Q124" s="21" t="n"/>
      <c r="R124" s="22" t="n"/>
      <c r="S124" s="22" t="n"/>
      <c r="T124" s="21" t="n"/>
      <c r="U124" s="66" t="n"/>
      <c r="V124" s="66" t="n"/>
      <c r="W124" s="66" t="n"/>
      <c r="X124" s="8" t="n"/>
      <c r="Y124" s="68">
        <f>IF($AN124="","",IF($AN124=0,$H124,IF($AN124=$AJ124,$AK124,$AL124)))</f>
        <v/>
      </c>
      <c r="Z124" s="68">
        <f>IF(OR($Y124="",NOT(ISNUMBER($K124))),"",IF($L124="日前",$Y124-$K124,EDATE($Y124,-$K124)))</f>
        <v/>
      </c>
      <c r="AA124" s="68">
        <f>IF(OR($Y124="",ISNUMBER($V124),N($Y124)&lt;'設定'!$B$6),"",IF($Z124&lt;&gt;"",$Z124,$Y124))</f>
        <v/>
      </c>
      <c r="AB124" s="69">
        <f>IF($AA124="","",$AA124-'設定'!$B$6)</f>
        <v/>
      </c>
      <c r="AC124" s="28">
        <f>IF(NOT(OR($B124&lt;&gt;"",$C124&lt;&gt;"")),"",IF(ISNUMBER($V124),IF($V124&lt;'設定'!$B$6,"終了","終了予定"),IF($Y124="","有効",IF($Y124&lt;'設定'!$B$6,"満了",IF(AND($T124="更新する",ISNUMBER($U124),N($U124)&lt;='設定'!$B$6,OR($AO124="",N($U124)&gt;N($AO124))),"確認済み",IF($AB124&lt;0,"通知期限切れ",IF($AB124&lt;=N('設定'!$B$7),"要対応","有効")))))))</f>
        <v/>
      </c>
      <c r="AD124" s="68">
        <f>IF(OR(NOT(ISNUMBER($M124)),$AC124="",$AC124="終了",$AC124="終了予定",$AC124="満了"),"",IF($N124="日前",'設定'!$B$6+$M124,EDATE('設定'!$B$6,$M124)))</f>
        <v/>
      </c>
      <c r="AE124" s="70">
        <f>IF(NOT(ISNUMBER($O124)),"",IF($P124="月額",$O124*12,IF($P124="年額",$O124,"")))</f>
        <v/>
      </c>
      <c r="AF124" s="30">
        <f>MID(IF(AND(ISNUMBER($G124),ISNUMBER($H124)),IF(N($H124)&lt;N($G124)," / 満了日が開始日より前",""),"")&amp;IF(AND($I124="あり",NOT(ISNUMBER($H124)))," / 自動更新ありなのに満了日が空","")&amp;IF(AND($I124="あり",ISNUMBER($H124),NOT(ISNUMBER($J124)))," / 更新期間が空（更新を計算できない）","")&amp;IF($AH124="","",IF(AND(DAY($AH124)&gt;=29,OR(MOD($J124,12)&lt;&gt;0,MONTH($AH124)=2))," / 更新の初日が29〜31日（更新を重ねると満了日が1日ずれることがある。満了日を今の期間の満了日に書き換えると直る）",""))&amp;IF(AND(ISNUMBER($K124),$L124="")," / 通知の単位が空（か月前で計算）","")&amp;IF(AND(ISNUMBER($M124),$N124="")," / 解約予告の単位が空（か月前で計算）","")&amp;IF(AND(ISNUMBER($O124),$P124="")," / 金額の区分が空","")&amp;IF(AND($T124&lt;&gt;"",NOT(ISNUMBER($U124)))," / 対応を決めた日が空","")&amp;IF(AND(ISNUMBER($U124),$T124="")," / 今期の対応が空","")&amp;IF(AND($T124="更新しない",NOT(ISNUMBER($V124)))," / 更新しないなら、解約・終了した日（契約が終わる日）を入れる",""),4,300)</f>
        <v/>
      </c>
      <c r="AG124" s="53" t="n"/>
      <c r="AH124" s="71">
        <f>IF(AND(ISNUMBER($H124),$I124="あり",ISNUMBER($J124)),IF($J124&gt;=1,$H124+1,""),"")</f>
        <v/>
      </c>
      <c r="AI124" s="32">
        <f>IF($AH124="","",(YEAR('設定'!$B$6)-YEAR($AH124))*12+MONTH('設定'!$B$6)-MONTH($AH124))</f>
        <v/>
      </c>
      <c r="AJ124" s="32">
        <f>IF($AH124="","",MAX(1,ROUNDUP($AI124/$J124,0)))</f>
        <v/>
      </c>
      <c r="AK124" s="71">
        <f>IF($AJ124="","",IF(DAY(EDATE($AH124,$AJ124*$J124))&lt;DAY($AH124),EDATE($AH124,$AJ124*$J124),EDATE($AH124,$AJ124*$J124)-1))</f>
        <v/>
      </c>
      <c r="AL124" s="71">
        <f>IF($AJ124="","",IF(DAY(EDATE($AH124,($AJ124+1)*$J124))&lt;DAY($AH124),EDATE($AH124,($AJ124+1)*$J124),EDATE($AH124,($AJ124+1)*$J124)-1))</f>
        <v/>
      </c>
      <c r="AM124" s="71">
        <f>IF($AJ124="","",IF($AJ124=1,$H124,IF(DAY(EDATE($AH124,($AJ124-1)*$J124))&lt;DAY($AH124),EDATE($AH124,($AJ124-1)*$J124),EDATE($AH124,($AJ124-1)*$J124)-1)))</f>
        <v/>
      </c>
      <c r="AN124" s="32">
        <f>IF(NOT(ISNUMBER($H124)),"",IF(OR($AH124="",$H124&gt;='設定'!$B$6),0,IF($AK124&gt;='設定'!$B$6,$AJ124,$AJ124+1)))</f>
        <v/>
      </c>
      <c r="AO124" s="71">
        <f>IF($AN124="","",IF($AN124=0,"",IF($AN124=$AJ124,$AM124,$AK124)))</f>
        <v/>
      </c>
      <c r="AP124" s="32">
        <f>IF(OR($AC124="要対応",$AC124="通知期限切れ",$AC124="確認済み",$AC124="有効",$AC124="終了予定"),1,0)</f>
        <v/>
      </c>
      <c r="AQ124" s="32">
        <f>IF(OR($AC124="要対応",$AC124="通知期限切れ"),1,0)</f>
        <v/>
      </c>
      <c r="AR124" s="72">
        <f>IF(AND(ISNUMBER($AB124),OR($AC124="要対応",$AC124="通知期限切れ",$AC124="確認済み",$AC124="有効")),$AB124+ROW()/100000,"")</f>
        <v/>
      </c>
      <c r="AS124" s="32">
        <f>IF($E124="","",IF(COUNTIF($E$5:$E124,$E124)=1,ROW(),""))</f>
        <v/>
      </c>
      <c r="AT124" s="32">
        <f>IF($S124="","",IF(COUNTIF($S$5:$S124,$S124)=1,ROW(),""))</f>
        <v/>
      </c>
    </row>
    <row r="125" ht="20" customHeight="1">
      <c r="A125" s="20" t="n">
        <v>121</v>
      </c>
      <c r="B125" s="21" t="n"/>
      <c r="C125" s="22" t="n"/>
      <c r="D125" s="22" t="n"/>
      <c r="E125" s="22" t="n"/>
      <c r="F125" s="66" t="n"/>
      <c r="G125" s="66" t="n"/>
      <c r="H125" s="66" t="n"/>
      <c r="I125" s="21" t="n"/>
      <c r="J125" s="24" t="n"/>
      <c r="K125" s="24" t="n"/>
      <c r="L125" s="21" t="n"/>
      <c r="M125" s="24" t="n"/>
      <c r="N125" s="21" t="n"/>
      <c r="O125" s="67" t="n"/>
      <c r="P125" s="21" t="n"/>
      <c r="Q125" s="21" t="n"/>
      <c r="R125" s="22" t="n"/>
      <c r="S125" s="22" t="n"/>
      <c r="T125" s="21" t="n"/>
      <c r="U125" s="66" t="n"/>
      <c r="V125" s="66" t="n"/>
      <c r="W125" s="66" t="n"/>
      <c r="X125" s="8" t="n"/>
      <c r="Y125" s="68">
        <f>IF($AN125="","",IF($AN125=0,$H125,IF($AN125=$AJ125,$AK125,$AL125)))</f>
        <v/>
      </c>
      <c r="Z125" s="68">
        <f>IF(OR($Y125="",NOT(ISNUMBER($K125))),"",IF($L125="日前",$Y125-$K125,EDATE($Y125,-$K125)))</f>
        <v/>
      </c>
      <c r="AA125" s="68">
        <f>IF(OR($Y125="",ISNUMBER($V125),N($Y125)&lt;'設定'!$B$6),"",IF($Z125&lt;&gt;"",$Z125,$Y125))</f>
        <v/>
      </c>
      <c r="AB125" s="69">
        <f>IF($AA125="","",$AA125-'設定'!$B$6)</f>
        <v/>
      </c>
      <c r="AC125" s="28">
        <f>IF(NOT(OR($B125&lt;&gt;"",$C125&lt;&gt;"")),"",IF(ISNUMBER($V125),IF($V125&lt;'設定'!$B$6,"終了","終了予定"),IF($Y125="","有効",IF($Y125&lt;'設定'!$B$6,"満了",IF(AND($T125="更新する",ISNUMBER($U125),N($U125)&lt;='設定'!$B$6,OR($AO125="",N($U125)&gt;N($AO125))),"確認済み",IF($AB125&lt;0,"通知期限切れ",IF($AB125&lt;=N('設定'!$B$7),"要対応","有効")))))))</f>
        <v/>
      </c>
      <c r="AD125" s="68">
        <f>IF(OR(NOT(ISNUMBER($M125)),$AC125="",$AC125="終了",$AC125="終了予定",$AC125="満了"),"",IF($N125="日前",'設定'!$B$6+$M125,EDATE('設定'!$B$6,$M125)))</f>
        <v/>
      </c>
      <c r="AE125" s="70">
        <f>IF(NOT(ISNUMBER($O125)),"",IF($P125="月額",$O125*12,IF($P125="年額",$O125,"")))</f>
        <v/>
      </c>
      <c r="AF125" s="30">
        <f>MID(IF(AND(ISNUMBER($G125),ISNUMBER($H125)),IF(N($H125)&lt;N($G125)," / 満了日が開始日より前",""),"")&amp;IF(AND($I125="あり",NOT(ISNUMBER($H125)))," / 自動更新ありなのに満了日が空","")&amp;IF(AND($I125="あり",ISNUMBER($H125),NOT(ISNUMBER($J125)))," / 更新期間が空（更新を計算できない）","")&amp;IF($AH125="","",IF(AND(DAY($AH125)&gt;=29,OR(MOD($J125,12)&lt;&gt;0,MONTH($AH125)=2))," / 更新の初日が29〜31日（更新を重ねると満了日が1日ずれることがある。満了日を今の期間の満了日に書き換えると直る）",""))&amp;IF(AND(ISNUMBER($K125),$L125="")," / 通知の単位が空（か月前で計算）","")&amp;IF(AND(ISNUMBER($M125),$N125="")," / 解約予告の単位が空（か月前で計算）","")&amp;IF(AND(ISNUMBER($O125),$P125="")," / 金額の区分が空","")&amp;IF(AND($T125&lt;&gt;"",NOT(ISNUMBER($U125)))," / 対応を決めた日が空","")&amp;IF(AND(ISNUMBER($U125),$T125="")," / 今期の対応が空","")&amp;IF(AND($T125="更新しない",NOT(ISNUMBER($V125)))," / 更新しないなら、解約・終了した日（契約が終わる日）を入れる",""),4,300)</f>
        <v/>
      </c>
      <c r="AG125" s="53" t="n"/>
      <c r="AH125" s="71">
        <f>IF(AND(ISNUMBER($H125),$I125="あり",ISNUMBER($J125)),IF($J125&gt;=1,$H125+1,""),"")</f>
        <v/>
      </c>
      <c r="AI125" s="32">
        <f>IF($AH125="","",(YEAR('設定'!$B$6)-YEAR($AH125))*12+MONTH('設定'!$B$6)-MONTH($AH125))</f>
        <v/>
      </c>
      <c r="AJ125" s="32">
        <f>IF($AH125="","",MAX(1,ROUNDUP($AI125/$J125,0)))</f>
        <v/>
      </c>
      <c r="AK125" s="71">
        <f>IF($AJ125="","",IF(DAY(EDATE($AH125,$AJ125*$J125))&lt;DAY($AH125),EDATE($AH125,$AJ125*$J125),EDATE($AH125,$AJ125*$J125)-1))</f>
        <v/>
      </c>
      <c r="AL125" s="71">
        <f>IF($AJ125="","",IF(DAY(EDATE($AH125,($AJ125+1)*$J125))&lt;DAY($AH125),EDATE($AH125,($AJ125+1)*$J125),EDATE($AH125,($AJ125+1)*$J125)-1))</f>
        <v/>
      </c>
      <c r="AM125" s="71">
        <f>IF($AJ125="","",IF($AJ125=1,$H125,IF(DAY(EDATE($AH125,($AJ125-1)*$J125))&lt;DAY($AH125),EDATE($AH125,($AJ125-1)*$J125),EDATE($AH125,($AJ125-1)*$J125)-1)))</f>
        <v/>
      </c>
      <c r="AN125" s="32">
        <f>IF(NOT(ISNUMBER($H125)),"",IF(OR($AH125="",$H125&gt;='設定'!$B$6),0,IF($AK125&gt;='設定'!$B$6,$AJ125,$AJ125+1)))</f>
        <v/>
      </c>
      <c r="AO125" s="71">
        <f>IF($AN125="","",IF($AN125=0,"",IF($AN125=$AJ125,$AM125,$AK125)))</f>
        <v/>
      </c>
      <c r="AP125" s="32">
        <f>IF(OR($AC125="要対応",$AC125="通知期限切れ",$AC125="確認済み",$AC125="有効",$AC125="終了予定"),1,0)</f>
        <v/>
      </c>
      <c r="AQ125" s="32">
        <f>IF(OR($AC125="要対応",$AC125="通知期限切れ"),1,0)</f>
        <v/>
      </c>
      <c r="AR125" s="72">
        <f>IF(AND(ISNUMBER($AB125),OR($AC125="要対応",$AC125="通知期限切れ",$AC125="確認済み",$AC125="有効")),$AB125+ROW()/100000,"")</f>
        <v/>
      </c>
      <c r="AS125" s="32">
        <f>IF($E125="","",IF(COUNTIF($E$5:$E125,$E125)=1,ROW(),""))</f>
        <v/>
      </c>
      <c r="AT125" s="32">
        <f>IF($S125="","",IF(COUNTIF($S$5:$S125,$S125)=1,ROW(),""))</f>
        <v/>
      </c>
    </row>
    <row r="126" ht="20" customHeight="1">
      <c r="A126" s="20" t="n">
        <v>122</v>
      </c>
      <c r="B126" s="21" t="n"/>
      <c r="C126" s="22" t="n"/>
      <c r="D126" s="22" t="n"/>
      <c r="E126" s="22" t="n"/>
      <c r="F126" s="66" t="n"/>
      <c r="G126" s="66" t="n"/>
      <c r="H126" s="66" t="n"/>
      <c r="I126" s="21" t="n"/>
      <c r="J126" s="24" t="n"/>
      <c r="K126" s="24" t="n"/>
      <c r="L126" s="21" t="n"/>
      <c r="M126" s="24" t="n"/>
      <c r="N126" s="21" t="n"/>
      <c r="O126" s="67" t="n"/>
      <c r="P126" s="21" t="n"/>
      <c r="Q126" s="21" t="n"/>
      <c r="R126" s="22" t="n"/>
      <c r="S126" s="22" t="n"/>
      <c r="T126" s="21" t="n"/>
      <c r="U126" s="66" t="n"/>
      <c r="V126" s="66" t="n"/>
      <c r="W126" s="66" t="n"/>
      <c r="X126" s="8" t="n"/>
      <c r="Y126" s="68">
        <f>IF($AN126="","",IF($AN126=0,$H126,IF($AN126=$AJ126,$AK126,$AL126)))</f>
        <v/>
      </c>
      <c r="Z126" s="68">
        <f>IF(OR($Y126="",NOT(ISNUMBER($K126))),"",IF($L126="日前",$Y126-$K126,EDATE($Y126,-$K126)))</f>
        <v/>
      </c>
      <c r="AA126" s="68">
        <f>IF(OR($Y126="",ISNUMBER($V126),N($Y126)&lt;'設定'!$B$6),"",IF($Z126&lt;&gt;"",$Z126,$Y126))</f>
        <v/>
      </c>
      <c r="AB126" s="69">
        <f>IF($AA126="","",$AA126-'設定'!$B$6)</f>
        <v/>
      </c>
      <c r="AC126" s="28">
        <f>IF(NOT(OR($B126&lt;&gt;"",$C126&lt;&gt;"")),"",IF(ISNUMBER($V126),IF($V126&lt;'設定'!$B$6,"終了","終了予定"),IF($Y126="","有効",IF($Y126&lt;'設定'!$B$6,"満了",IF(AND($T126="更新する",ISNUMBER($U126),N($U126)&lt;='設定'!$B$6,OR($AO126="",N($U126)&gt;N($AO126))),"確認済み",IF($AB126&lt;0,"通知期限切れ",IF($AB126&lt;=N('設定'!$B$7),"要対応","有効")))))))</f>
        <v/>
      </c>
      <c r="AD126" s="68">
        <f>IF(OR(NOT(ISNUMBER($M126)),$AC126="",$AC126="終了",$AC126="終了予定",$AC126="満了"),"",IF($N126="日前",'設定'!$B$6+$M126,EDATE('設定'!$B$6,$M126)))</f>
        <v/>
      </c>
      <c r="AE126" s="70">
        <f>IF(NOT(ISNUMBER($O126)),"",IF($P126="月額",$O126*12,IF($P126="年額",$O126,"")))</f>
        <v/>
      </c>
      <c r="AF126" s="30">
        <f>MID(IF(AND(ISNUMBER($G126),ISNUMBER($H126)),IF(N($H126)&lt;N($G126)," / 満了日が開始日より前",""),"")&amp;IF(AND($I126="あり",NOT(ISNUMBER($H126)))," / 自動更新ありなのに満了日が空","")&amp;IF(AND($I126="あり",ISNUMBER($H126),NOT(ISNUMBER($J126)))," / 更新期間が空（更新を計算できない）","")&amp;IF($AH126="","",IF(AND(DAY($AH126)&gt;=29,OR(MOD($J126,12)&lt;&gt;0,MONTH($AH126)=2))," / 更新の初日が29〜31日（更新を重ねると満了日が1日ずれることがある。満了日を今の期間の満了日に書き換えると直る）",""))&amp;IF(AND(ISNUMBER($K126),$L126="")," / 通知の単位が空（か月前で計算）","")&amp;IF(AND(ISNUMBER($M126),$N126="")," / 解約予告の単位が空（か月前で計算）","")&amp;IF(AND(ISNUMBER($O126),$P126="")," / 金額の区分が空","")&amp;IF(AND($T126&lt;&gt;"",NOT(ISNUMBER($U126)))," / 対応を決めた日が空","")&amp;IF(AND(ISNUMBER($U126),$T126="")," / 今期の対応が空","")&amp;IF(AND($T126="更新しない",NOT(ISNUMBER($V126)))," / 更新しないなら、解約・終了した日（契約が終わる日）を入れる",""),4,300)</f>
        <v/>
      </c>
      <c r="AG126" s="53" t="n"/>
      <c r="AH126" s="71">
        <f>IF(AND(ISNUMBER($H126),$I126="あり",ISNUMBER($J126)),IF($J126&gt;=1,$H126+1,""),"")</f>
        <v/>
      </c>
      <c r="AI126" s="32">
        <f>IF($AH126="","",(YEAR('設定'!$B$6)-YEAR($AH126))*12+MONTH('設定'!$B$6)-MONTH($AH126))</f>
        <v/>
      </c>
      <c r="AJ126" s="32">
        <f>IF($AH126="","",MAX(1,ROUNDUP($AI126/$J126,0)))</f>
        <v/>
      </c>
      <c r="AK126" s="71">
        <f>IF($AJ126="","",IF(DAY(EDATE($AH126,$AJ126*$J126))&lt;DAY($AH126),EDATE($AH126,$AJ126*$J126),EDATE($AH126,$AJ126*$J126)-1))</f>
        <v/>
      </c>
      <c r="AL126" s="71">
        <f>IF($AJ126="","",IF(DAY(EDATE($AH126,($AJ126+1)*$J126))&lt;DAY($AH126),EDATE($AH126,($AJ126+1)*$J126),EDATE($AH126,($AJ126+1)*$J126)-1))</f>
        <v/>
      </c>
      <c r="AM126" s="71">
        <f>IF($AJ126="","",IF($AJ126=1,$H126,IF(DAY(EDATE($AH126,($AJ126-1)*$J126))&lt;DAY($AH126),EDATE($AH126,($AJ126-1)*$J126),EDATE($AH126,($AJ126-1)*$J126)-1)))</f>
        <v/>
      </c>
      <c r="AN126" s="32">
        <f>IF(NOT(ISNUMBER($H126)),"",IF(OR($AH126="",$H126&gt;='設定'!$B$6),0,IF($AK126&gt;='設定'!$B$6,$AJ126,$AJ126+1)))</f>
        <v/>
      </c>
      <c r="AO126" s="71">
        <f>IF($AN126="","",IF($AN126=0,"",IF($AN126=$AJ126,$AM126,$AK126)))</f>
        <v/>
      </c>
      <c r="AP126" s="32">
        <f>IF(OR($AC126="要対応",$AC126="通知期限切れ",$AC126="確認済み",$AC126="有効",$AC126="終了予定"),1,0)</f>
        <v/>
      </c>
      <c r="AQ126" s="32">
        <f>IF(OR($AC126="要対応",$AC126="通知期限切れ"),1,0)</f>
        <v/>
      </c>
      <c r="AR126" s="72">
        <f>IF(AND(ISNUMBER($AB126),OR($AC126="要対応",$AC126="通知期限切れ",$AC126="確認済み",$AC126="有効")),$AB126+ROW()/100000,"")</f>
        <v/>
      </c>
      <c r="AS126" s="32">
        <f>IF($E126="","",IF(COUNTIF($E$5:$E126,$E126)=1,ROW(),""))</f>
        <v/>
      </c>
      <c r="AT126" s="32">
        <f>IF($S126="","",IF(COUNTIF($S$5:$S126,$S126)=1,ROW(),""))</f>
        <v/>
      </c>
    </row>
    <row r="127" ht="20" customHeight="1">
      <c r="A127" s="20" t="n">
        <v>123</v>
      </c>
      <c r="B127" s="21" t="n"/>
      <c r="C127" s="22" t="n"/>
      <c r="D127" s="22" t="n"/>
      <c r="E127" s="22" t="n"/>
      <c r="F127" s="66" t="n"/>
      <c r="G127" s="66" t="n"/>
      <c r="H127" s="66" t="n"/>
      <c r="I127" s="21" t="n"/>
      <c r="J127" s="24" t="n"/>
      <c r="K127" s="24" t="n"/>
      <c r="L127" s="21" t="n"/>
      <c r="M127" s="24" t="n"/>
      <c r="N127" s="21" t="n"/>
      <c r="O127" s="67" t="n"/>
      <c r="P127" s="21" t="n"/>
      <c r="Q127" s="21" t="n"/>
      <c r="R127" s="22" t="n"/>
      <c r="S127" s="22" t="n"/>
      <c r="T127" s="21" t="n"/>
      <c r="U127" s="66" t="n"/>
      <c r="V127" s="66" t="n"/>
      <c r="W127" s="66" t="n"/>
      <c r="X127" s="8" t="n"/>
      <c r="Y127" s="68">
        <f>IF($AN127="","",IF($AN127=0,$H127,IF($AN127=$AJ127,$AK127,$AL127)))</f>
        <v/>
      </c>
      <c r="Z127" s="68">
        <f>IF(OR($Y127="",NOT(ISNUMBER($K127))),"",IF($L127="日前",$Y127-$K127,EDATE($Y127,-$K127)))</f>
        <v/>
      </c>
      <c r="AA127" s="68">
        <f>IF(OR($Y127="",ISNUMBER($V127),N($Y127)&lt;'設定'!$B$6),"",IF($Z127&lt;&gt;"",$Z127,$Y127))</f>
        <v/>
      </c>
      <c r="AB127" s="69">
        <f>IF($AA127="","",$AA127-'設定'!$B$6)</f>
        <v/>
      </c>
      <c r="AC127" s="28">
        <f>IF(NOT(OR($B127&lt;&gt;"",$C127&lt;&gt;"")),"",IF(ISNUMBER($V127),IF($V127&lt;'設定'!$B$6,"終了","終了予定"),IF($Y127="","有効",IF($Y127&lt;'設定'!$B$6,"満了",IF(AND($T127="更新する",ISNUMBER($U127),N($U127)&lt;='設定'!$B$6,OR($AO127="",N($U127)&gt;N($AO127))),"確認済み",IF($AB127&lt;0,"通知期限切れ",IF($AB127&lt;=N('設定'!$B$7),"要対応","有効")))))))</f>
        <v/>
      </c>
      <c r="AD127" s="68">
        <f>IF(OR(NOT(ISNUMBER($M127)),$AC127="",$AC127="終了",$AC127="終了予定",$AC127="満了"),"",IF($N127="日前",'設定'!$B$6+$M127,EDATE('設定'!$B$6,$M127)))</f>
        <v/>
      </c>
      <c r="AE127" s="70">
        <f>IF(NOT(ISNUMBER($O127)),"",IF($P127="月額",$O127*12,IF($P127="年額",$O127,"")))</f>
        <v/>
      </c>
      <c r="AF127" s="30">
        <f>MID(IF(AND(ISNUMBER($G127),ISNUMBER($H127)),IF(N($H127)&lt;N($G127)," / 満了日が開始日より前",""),"")&amp;IF(AND($I127="あり",NOT(ISNUMBER($H127)))," / 自動更新ありなのに満了日が空","")&amp;IF(AND($I127="あり",ISNUMBER($H127),NOT(ISNUMBER($J127)))," / 更新期間が空（更新を計算できない）","")&amp;IF($AH127="","",IF(AND(DAY($AH127)&gt;=29,OR(MOD($J127,12)&lt;&gt;0,MONTH($AH127)=2))," / 更新の初日が29〜31日（更新を重ねると満了日が1日ずれることがある。満了日を今の期間の満了日に書き換えると直る）",""))&amp;IF(AND(ISNUMBER($K127),$L127="")," / 通知の単位が空（か月前で計算）","")&amp;IF(AND(ISNUMBER($M127),$N127="")," / 解約予告の単位が空（か月前で計算）","")&amp;IF(AND(ISNUMBER($O127),$P127="")," / 金額の区分が空","")&amp;IF(AND($T127&lt;&gt;"",NOT(ISNUMBER($U127)))," / 対応を決めた日が空","")&amp;IF(AND(ISNUMBER($U127),$T127="")," / 今期の対応が空","")&amp;IF(AND($T127="更新しない",NOT(ISNUMBER($V127)))," / 更新しないなら、解約・終了した日（契約が終わる日）を入れる",""),4,300)</f>
        <v/>
      </c>
      <c r="AG127" s="53" t="n"/>
      <c r="AH127" s="71">
        <f>IF(AND(ISNUMBER($H127),$I127="あり",ISNUMBER($J127)),IF($J127&gt;=1,$H127+1,""),"")</f>
        <v/>
      </c>
      <c r="AI127" s="32">
        <f>IF($AH127="","",(YEAR('設定'!$B$6)-YEAR($AH127))*12+MONTH('設定'!$B$6)-MONTH($AH127))</f>
        <v/>
      </c>
      <c r="AJ127" s="32">
        <f>IF($AH127="","",MAX(1,ROUNDUP($AI127/$J127,0)))</f>
        <v/>
      </c>
      <c r="AK127" s="71">
        <f>IF($AJ127="","",IF(DAY(EDATE($AH127,$AJ127*$J127))&lt;DAY($AH127),EDATE($AH127,$AJ127*$J127),EDATE($AH127,$AJ127*$J127)-1))</f>
        <v/>
      </c>
      <c r="AL127" s="71">
        <f>IF($AJ127="","",IF(DAY(EDATE($AH127,($AJ127+1)*$J127))&lt;DAY($AH127),EDATE($AH127,($AJ127+1)*$J127),EDATE($AH127,($AJ127+1)*$J127)-1))</f>
        <v/>
      </c>
      <c r="AM127" s="71">
        <f>IF($AJ127="","",IF($AJ127=1,$H127,IF(DAY(EDATE($AH127,($AJ127-1)*$J127))&lt;DAY($AH127),EDATE($AH127,($AJ127-1)*$J127),EDATE($AH127,($AJ127-1)*$J127)-1)))</f>
        <v/>
      </c>
      <c r="AN127" s="32">
        <f>IF(NOT(ISNUMBER($H127)),"",IF(OR($AH127="",$H127&gt;='設定'!$B$6),0,IF($AK127&gt;='設定'!$B$6,$AJ127,$AJ127+1)))</f>
        <v/>
      </c>
      <c r="AO127" s="71">
        <f>IF($AN127="","",IF($AN127=0,"",IF($AN127=$AJ127,$AM127,$AK127)))</f>
        <v/>
      </c>
      <c r="AP127" s="32">
        <f>IF(OR($AC127="要対応",$AC127="通知期限切れ",$AC127="確認済み",$AC127="有効",$AC127="終了予定"),1,0)</f>
        <v/>
      </c>
      <c r="AQ127" s="32">
        <f>IF(OR($AC127="要対応",$AC127="通知期限切れ"),1,0)</f>
        <v/>
      </c>
      <c r="AR127" s="72">
        <f>IF(AND(ISNUMBER($AB127),OR($AC127="要対応",$AC127="通知期限切れ",$AC127="確認済み",$AC127="有効")),$AB127+ROW()/100000,"")</f>
        <v/>
      </c>
      <c r="AS127" s="32">
        <f>IF($E127="","",IF(COUNTIF($E$5:$E127,$E127)=1,ROW(),""))</f>
        <v/>
      </c>
      <c r="AT127" s="32">
        <f>IF($S127="","",IF(COUNTIF($S$5:$S127,$S127)=1,ROW(),""))</f>
        <v/>
      </c>
    </row>
    <row r="128" ht="20" customHeight="1">
      <c r="A128" s="20" t="n">
        <v>124</v>
      </c>
      <c r="B128" s="21" t="n"/>
      <c r="C128" s="22" t="n"/>
      <c r="D128" s="22" t="n"/>
      <c r="E128" s="22" t="n"/>
      <c r="F128" s="66" t="n"/>
      <c r="G128" s="66" t="n"/>
      <c r="H128" s="66" t="n"/>
      <c r="I128" s="21" t="n"/>
      <c r="J128" s="24" t="n"/>
      <c r="K128" s="24" t="n"/>
      <c r="L128" s="21" t="n"/>
      <c r="M128" s="24" t="n"/>
      <c r="N128" s="21" t="n"/>
      <c r="O128" s="67" t="n"/>
      <c r="P128" s="21" t="n"/>
      <c r="Q128" s="21" t="n"/>
      <c r="R128" s="22" t="n"/>
      <c r="S128" s="22" t="n"/>
      <c r="T128" s="21" t="n"/>
      <c r="U128" s="66" t="n"/>
      <c r="V128" s="66" t="n"/>
      <c r="W128" s="66" t="n"/>
      <c r="X128" s="8" t="n"/>
      <c r="Y128" s="68">
        <f>IF($AN128="","",IF($AN128=0,$H128,IF($AN128=$AJ128,$AK128,$AL128)))</f>
        <v/>
      </c>
      <c r="Z128" s="68">
        <f>IF(OR($Y128="",NOT(ISNUMBER($K128))),"",IF($L128="日前",$Y128-$K128,EDATE($Y128,-$K128)))</f>
        <v/>
      </c>
      <c r="AA128" s="68">
        <f>IF(OR($Y128="",ISNUMBER($V128),N($Y128)&lt;'設定'!$B$6),"",IF($Z128&lt;&gt;"",$Z128,$Y128))</f>
        <v/>
      </c>
      <c r="AB128" s="69">
        <f>IF($AA128="","",$AA128-'設定'!$B$6)</f>
        <v/>
      </c>
      <c r="AC128" s="28">
        <f>IF(NOT(OR($B128&lt;&gt;"",$C128&lt;&gt;"")),"",IF(ISNUMBER($V128),IF($V128&lt;'設定'!$B$6,"終了","終了予定"),IF($Y128="","有効",IF($Y128&lt;'設定'!$B$6,"満了",IF(AND($T128="更新する",ISNUMBER($U128),N($U128)&lt;='設定'!$B$6,OR($AO128="",N($U128)&gt;N($AO128))),"確認済み",IF($AB128&lt;0,"通知期限切れ",IF($AB128&lt;=N('設定'!$B$7),"要対応","有効")))))))</f>
        <v/>
      </c>
      <c r="AD128" s="68">
        <f>IF(OR(NOT(ISNUMBER($M128)),$AC128="",$AC128="終了",$AC128="終了予定",$AC128="満了"),"",IF($N128="日前",'設定'!$B$6+$M128,EDATE('設定'!$B$6,$M128)))</f>
        <v/>
      </c>
      <c r="AE128" s="70">
        <f>IF(NOT(ISNUMBER($O128)),"",IF($P128="月額",$O128*12,IF($P128="年額",$O128,"")))</f>
        <v/>
      </c>
      <c r="AF128" s="30">
        <f>MID(IF(AND(ISNUMBER($G128),ISNUMBER($H128)),IF(N($H128)&lt;N($G128)," / 満了日が開始日より前",""),"")&amp;IF(AND($I128="あり",NOT(ISNUMBER($H128)))," / 自動更新ありなのに満了日が空","")&amp;IF(AND($I128="あり",ISNUMBER($H128),NOT(ISNUMBER($J128)))," / 更新期間が空（更新を計算できない）","")&amp;IF($AH128="","",IF(AND(DAY($AH128)&gt;=29,OR(MOD($J128,12)&lt;&gt;0,MONTH($AH128)=2))," / 更新の初日が29〜31日（更新を重ねると満了日が1日ずれることがある。満了日を今の期間の満了日に書き換えると直る）",""))&amp;IF(AND(ISNUMBER($K128),$L128="")," / 通知の単位が空（か月前で計算）","")&amp;IF(AND(ISNUMBER($M128),$N128="")," / 解約予告の単位が空（か月前で計算）","")&amp;IF(AND(ISNUMBER($O128),$P128="")," / 金額の区分が空","")&amp;IF(AND($T128&lt;&gt;"",NOT(ISNUMBER($U128)))," / 対応を決めた日が空","")&amp;IF(AND(ISNUMBER($U128),$T128="")," / 今期の対応が空","")&amp;IF(AND($T128="更新しない",NOT(ISNUMBER($V128)))," / 更新しないなら、解約・終了した日（契約が終わる日）を入れる",""),4,300)</f>
        <v/>
      </c>
      <c r="AG128" s="53" t="n"/>
      <c r="AH128" s="71">
        <f>IF(AND(ISNUMBER($H128),$I128="あり",ISNUMBER($J128)),IF($J128&gt;=1,$H128+1,""),"")</f>
        <v/>
      </c>
      <c r="AI128" s="32">
        <f>IF($AH128="","",(YEAR('設定'!$B$6)-YEAR($AH128))*12+MONTH('設定'!$B$6)-MONTH($AH128))</f>
        <v/>
      </c>
      <c r="AJ128" s="32">
        <f>IF($AH128="","",MAX(1,ROUNDUP($AI128/$J128,0)))</f>
        <v/>
      </c>
      <c r="AK128" s="71">
        <f>IF($AJ128="","",IF(DAY(EDATE($AH128,$AJ128*$J128))&lt;DAY($AH128),EDATE($AH128,$AJ128*$J128),EDATE($AH128,$AJ128*$J128)-1))</f>
        <v/>
      </c>
      <c r="AL128" s="71">
        <f>IF($AJ128="","",IF(DAY(EDATE($AH128,($AJ128+1)*$J128))&lt;DAY($AH128),EDATE($AH128,($AJ128+1)*$J128),EDATE($AH128,($AJ128+1)*$J128)-1))</f>
        <v/>
      </c>
      <c r="AM128" s="71">
        <f>IF($AJ128="","",IF($AJ128=1,$H128,IF(DAY(EDATE($AH128,($AJ128-1)*$J128))&lt;DAY($AH128),EDATE($AH128,($AJ128-1)*$J128),EDATE($AH128,($AJ128-1)*$J128)-1)))</f>
        <v/>
      </c>
      <c r="AN128" s="32">
        <f>IF(NOT(ISNUMBER($H128)),"",IF(OR($AH128="",$H128&gt;='設定'!$B$6),0,IF($AK128&gt;='設定'!$B$6,$AJ128,$AJ128+1)))</f>
        <v/>
      </c>
      <c r="AO128" s="71">
        <f>IF($AN128="","",IF($AN128=0,"",IF($AN128=$AJ128,$AM128,$AK128)))</f>
        <v/>
      </c>
      <c r="AP128" s="32">
        <f>IF(OR($AC128="要対応",$AC128="通知期限切れ",$AC128="確認済み",$AC128="有効",$AC128="終了予定"),1,0)</f>
        <v/>
      </c>
      <c r="AQ128" s="32">
        <f>IF(OR($AC128="要対応",$AC128="通知期限切れ"),1,0)</f>
        <v/>
      </c>
      <c r="AR128" s="72">
        <f>IF(AND(ISNUMBER($AB128),OR($AC128="要対応",$AC128="通知期限切れ",$AC128="確認済み",$AC128="有効")),$AB128+ROW()/100000,"")</f>
        <v/>
      </c>
      <c r="AS128" s="32">
        <f>IF($E128="","",IF(COUNTIF($E$5:$E128,$E128)=1,ROW(),""))</f>
        <v/>
      </c>
      <c r="AT128" s="32">
        <f>IF($S128="","",IF(COUNTIF($S$5:$S128,$S128)=1,ROW(),""))</f>
        <v/>
      </c>
    </row>
    <row r="129" ht="20" customHeight="1">
      <c r="A129" s="20" t="n">
        <v>125</v>
      </c>
      <c r="B129" s="21" t="n"/>
      <c r="C129" s="22" t="n"/>
      <c r="D129" s="22" t="n"/>
      <c r="E129" s="22" t="n"/>
      <c r="F129" s="66" t="n"/>
      <c r="G129" s="66" t="n"/>
      <c r="H129" s="66" t="n"/>
      <c r="I129" s="21" t="n"/>
      <c r="J129" s="24" t="n"/>
      <c r="K129" s="24" t="n"/>
      <c r="L129" s="21" t="n"/>
      <c r="M129" s="24" t="n"/>
      <c r="N129" s="21" t="n"/>
      <c r="O129" s="67" t="n"/>
      <c r="P129" s="21" t="n"/>
      <c r="Q129" s="21" t="n"/>
      <c r="R129" s="22" t="n"/>
      <c r="S129" s="22" t="n"/>
      <c r="T129" s="21" t="n"/>
      <c r="U129" s="66" t="n"/>
      <c r="V129" s="66" t="n"/>
      <c r="W129" s="66" t="n"/>
      <c r="X129" s="8" t="n"/>
      <c r="Y129" s="68">
        <f>IF($AN129="","",IF($AN129=0,$H129,IF($AN129=$AJ129,$AK129,$AL129)))</f>
        <v/>
      </c>
      <c r="Z129" s="68">
        <f>IF(OR($Y129="",NOT(ISNUMBER($K129))),"",IF($L129="日前",$Y129-$K129,EDATE($Y129,-$K129)))</f>
        <v/>
      </c>
      <c r="AA129" s="68">
        <f>IF(OR($Y129="",ISNUMBER($V129),N($Y129)&lt;'設定'!$B$6),"",IF($Z129&lt;&gt;"",$Z129,$Y129))</f>
        <v/>
      </c>
      <c r="AB129" s="69">
        <f>IF($AA129="","",$AA129-'設定'!$B$6)</f>
        <v/>
      </c>
      <c r="AC129" s="28">
        <f>IF(NOT(OR($B129&lt;&gt;"",$C129&lt;&gt;"")),"",IF(ISNUMBER($V129),IF($V129&lt;'設定'!$B$6,"終了","終了予定"),IF($Y129="","有効",IF($Y129&lt;'設定'!$B$6,"満了",IF(AND($T129="更新する",ISNUMBER($U129),N($U129)&lt;='設定'!$B$6,OR($AO129="",N($U129)&gt;N($AO129))),"確認済み",IF($AB129&lt;0,"通知期限切れ",IF($AB129&lt;=N('設定'!$B$7),"要対応","有効")))))))</f>
        <v/>
      </c>
      <c r="AD129" s="68">
        <f>IF(OR(NOT(ISNUMBER($M129)),$AC129="",$AC129="終了",$AC129="終了予定",$AC129="満了"),"",IF($N129="日前",'設定'!$B$6+$M129,EDATE('設定'!$B$6,$M129)))</f>
        <v/>
      </c>
      <c r="AE129" s="70">
        <f>IF(NOT(ISNUMBER($O129)),"",IF($P129="月額",$O129*12,IF($P129="年額",$O129,"")))</f>
        <v/>
      </c>
      <c r="AF129" s="30">
        <f>MID(IF(AND(ISNUMBER($G129),ISNUMBER($H129)),IF(N($H129)&lt;N($G129)," / 満了日が開始日より前",""),"")&amp;IF(AND($I129="あり",NOT(ISNUMBER($H129)))," / 自動更新ありなのに満了日が空","")&amp;IF(AND($I129="あり",ISNUMBER($H129),NOT(ISNUMBER($J129)))," / 更新期間が空（更新を計算できない）","")&amp;IF($AH129="","",IF(AND(DAY($AH129)&gt;=29,OR(MOD($J129,12)&lt;&gt;0,MONTH($AH129)=2))," / 更新の初日が29〜31日（更新を重ねると満了日が1日ずれることがある。満了日を今の期間の満了日に書き換えると直る）",""))&amp;IF(AND(ISNUMBER($K129),$L129="")," / 通知の単位が空（か月前で計算）","")&amp;IF(AND(ISNUMBER($M129),$N129="")," / 解約予告の単位が空（か月前で計算）","")&amp;IF(AND(ISNUMBER($O129),$P129="")," / 金額の区分が空","")&amp;IF(AND($T129&lt;&gt;"",NOT(ISNUMBER($U129)))," / 対応を決めた日が空","")&amp;IF(AND(ISNUMBER($U129),$T129="")," / 今期の対応が空","")&amp;IF(AND($T129="更新しない",NOT(ISNUMBER($V129)))," / 更新しないなら、解約・終了した日（契約が終わる日）を入れる",""),4,300)</f>
        <v/>
      </c>
      <c r="AG129" s="53" t="n"/>
      <c r="AH129" s="71">
        <f>IF(AND(ISNUMBER($H129),$I129="あり",ISNUMBER($J129)),IF($J129&gt;=1,$H129+1,""),"")</f>
        <v/>
      </c>
      <c r="AI129" s="32">
        <f>IF($AH129="","",(YEAR('設定'!$B$6)-YEAR($AH129))*12+MONTH('設定'!$B$6)-MONTH($AH129))</f>
        <v/>
      </c>
      <c r="AJ129" s="32">
        <f>IF($AH129="","",MAX(1,ROUNDUP($AI129/$J129,0)))</f>
        <v/>
      </c>
      <c r="AK129" s="71">
        <f>IF($AJ129="","",IF(DAY(EDATE($AH129,$AJ129*$J129))&lt;DAY($AH129),EDATE($AH129,$AJ129*$J129),EDATE($AH129,$AJ129*$J129)-1))</f>
        <v/>
      </c>
      <c r="AL129" s="71">
        <f>IF($AJ129="","",IF(DAY(EDATE($AH129,($AJ129+1)*$J129))&lt;DAY($AH129),EDATE($AH129,($AJ129+1)*$J129),EDATE($AH129,($AJ129+1)*$J129)-1))</f>
        <v/>
      </c>
      <c r="AM129" s="71">
        <f>IF($AJ129="","",IF($AJ129=1,$H129,IF(DAY(EDATE($AH129,($AJ129-1)*$J129))&lt;DAY($AH129),EDATE($AH129,($AJ129-1)*$J129),EDATE($AH129,($AJ129-1)*$J129)-1)))</f>
        <v/>
      </c>
      <c r="AN129" s="32">
        <f>IF(NOT(ISNUMBER($H129)),"",IF(OR($AH129="",$H129&gt;='設定'!$B$6),0,IF($AK129&gt;='設定'!$B$6,$AJ129,$AJ129+1)))</f>
        <v/>
      </c>
      <c r="AO129" s="71">
        <f>IF($AN129="","",IF($AN129=0,"",IF($AN129=$AJ129,$AM129,$AK129)))</f>
        <v/>
      </c>
      <c r="AP129" s="32">
        <f>IF(OR($AC129="要対応",$AC129="通知期限切れ",$AC129="確認済み",$AC129="有効",$AC129="終了予定"),1,0)</f>
        <v/>
      </c>
      <c r="AQ129" s="32">
        <f>IF(OR($AC129="要対応",$AC129="通知期限切れ"),1,0)</f>
        <v/>
      </c>
      <c r="AR129" s="72">
        <f>IF(AND(ISNUMBER($AB129),OR($AC129="要対応",$AC129="通知期限切れ",$AC129="確認済み",$AC129="有効")),$AB129+ROW()/100000,"")</f>
        <v/>
      </c>
      <c r="AS129" s="32">
        <f>IF($E129="","",IF(COUNTIF($E$5:$E129,$E129)=1,ROW(),""))</f>
        <v/>
      </c>
      <c r="AT129" s="32">
        <f>IF($S129="","",IF(COUNTIF($S$5:$S129,$S129)=1,ROW(),""))</f>
        <v/>
      </c>
    </row>
    <row r="130" ht="20" customHeight="1">
      <c r="A130" s="20" t="n">
        <v>126</v>
      </c>
      <c r="B130" s="21" t="n"/>
      <c r="C130" s="22" t="n"/>
      <c r="D130" s="22" t="n"/>
      <c r="E130" s="22" t="n"/>
      <c r="F130" s="66" t="n"/>
      <c r="G130" s="66" t="n"/>
      <c r="H130" s="66" t="n"/>
      <c r="I130" s="21" t="n"/>
      <c r="J130" s="24" t="n"/>
      <c r="K130" s="24" t="n"/>
      <c r="L130" s="21" t="n"/>
      <c r="M130" s="24" t="n"/>
      <c r="N130" s="21" t="n"/>
      <c r="O130" s="67" t="n"/>
      <c r="P130" s="21" t="n"/>
      <c r="Q130" s="21" t="n"/>
      <c r="R130" s="22" t="n"/>
      <c r="S130" s="22" t="n"/>
      <c r="T130" s="21" t="n"/>
      <c r="U130" s="66" t="n"/>
      <c r="V130" s="66" t="n"/>
      <c r="W130" s="66" t="n"/>
      <c r="X130" s="8" t="n"/>
      <c r="Y130" s="68">
        <f>IF($AN130="","",IF($AN130=0,$H130,IF($AN130=$AJ130,$AK130,$AL130)))</f>
        <v/>
      </c>
      <c r="Z130" s="68">
        <f>IF(OR($Y130="",NOT(ISNUMBER($K130))),"",IF($L130="日前",$Y130-$K130,EDATE($Y130,-$K130)))</f>
        <v/>
      </c>
      <c r="AA130" s="68">
        <f>IF(OR($Y130="",ISNUMBER($V130),N($Y130)&lt;'設定'!$B$6),"",IF($Z130&lt;&gt;"",$Z130,$Y130))</f>
        <v/>
      </c>
      <c r="AB130" s="69">
        <f>IF($AA130="","",$AA130-'設定'!$B$6)</f>
        <v/>
      </c>
      <c r="AC130" s="28">
        <f>IF(NOT(OR($B130&lt;&gt;"",$C130&lt;&gt;"")),"",IF(ISNUMBER($V130),IF($V130&lt;'設定'!$B$6,"終了","終了予定"),IF($Y130="","有効",IF($Y130&lt;'設定'!$B$6,"満了",IF(AND($T130="更新する",ISNUMBER($U130),N($U130)&lt;='設定'!$B$6,OR($AO130="",N($U130)&gt;N($AO130))),"確認済み",IF($AB130&lt;0,"通知期限切れ",IF($AB130&lt;=N('設定'!$B$7),"要対応","有効")))))))</f>
        <v/>
      </c>
      <c r="AD130" s="68">
        <f>IF(OR(NOT(ISNUMBER($M130)),$AC130="",$AC130="終了",$AC130="終了予定",$AC130="満了"),"",IF($N130="日前",'設定'!$B$6+$M130,EDATE('設定'!$B$6,$M130)))</f>
        <v/>
      </c>
      <c r="AE130" s="70">
        <f>IF(NOT(ISNUMBER($O130)),"",IF($P130="月額",$O130*12,IF($P130="年額",$O130,"")))</f>
        <v/>
      </c>
      <c r="AF130" s="30">
        <f>MID(IF(AND(ISNUMBER($G130),ISNUMBER($H130)),IF(N($H130)&lt;N($G130)," / 満了日が開始日より前",""),"")&amp;IF(AND($I130="あり",NOT(ISNUMBER($H130)))," / 自動更新ありなのに満了日が空","")&amp;IF(AND($I130="あり",ISNUMBER($H130),NOT(ISNUMBER($J130)))," / 更新期間が空（更新を計算できない）","")&amp;IF($AH130="","",IF(AND(DAY($AH130)&gt;=29,OR(MOD($J130,12)&lt;&gt;0,MONTH($AH130)=2))," / 更新の初日が29〜31日（更新を重ねると満了日が1日ずれることがある。満了日を今の期間の満了日に書き換えると直る）",""))&amp;IF(AND(ISNUMBER($K130),$L130="")," / 通知の単位が空（か月前で計算）","")&amp;IF(AND(ISNUMBER($M130),$N130="")," / 解約予告の単位が空（か月前で計算）","")&amp;IF(AND(ISNUMBER($O130),$P130="")," / 金額の区分が空","")&amp;IF(AND($T130&lt;&gt;"",NOT(ISNUMBER($U130)))," / 対応を決めた日が空","")&amp;IF(AND(ISNUMBER($U130),$T130="")," / 今期の対応が空","")&amp;IF(AND($T130="更新しない",NOT(ISNUMBER($V130)))," / 更新しないなら、解約・終了した日（契約が終わる日）を入れる",""),4,300)</f>
        <v/>
      </c>
      <c r="AG130" s="53" t="n"/>
      <c r="AH130" s="71">
        <f>IF(AND(ISNUMBER($H130),$I130="あり",ISNUMBER($J130)),IF($J130&gt;=1,$H130+1,""),"")</f>
        <v/>
      </c>
      <c r="AI130" s="32">
        <f>IF($AH130="","",(YEAR('設定'!$B$6)-YEAR($AH130))*12+MONTH('設定'!$B$6)-MONTH($AH130))</f>
        <v/>
      </c>
      <c r="AJ130" s="32">
        <f>IF($AH130="","",MAX(1,ROUNDUP($AI130/$J130,0)))</f>
        <v/>
      </c>
      <c r="AK130" s="71">
        <f>IF($AJ130="","",IF(DAY(EDATE($AH130,$AJ130*$J130))&lt;DAY($AH130),EDATE($AH130,$AJ130*$J130),EDATE($AH130,$AJ130*$J130)-1))</f>
        <v/>
      </c>
      <c r="AL130" s="71">
        <f>IF($AJ130="","",IF(DAY(EDATE($AH130,($AJ130+1)*$J130))&lt;DAY($AH130),EDATE($AH130,($AJ130+1)*$J130),EDATE($AH130,($AJ130+1)*$J130)-1))</f>
        <v/>
      </c>
      <c r="AM130" s="71">
        <f>IF($AJ130="","",IF($AJ130=1,$H130,IF(DAY(EDATE($AH130,($AJ130-1)*$J130))&lt;DAY($AH130),EDATE($AH130,($AJ130-1)*$J130),EDATE($AH130,($AJ130-1)*$J130)-1)))</f>
        <v/>
      </c>
      <c r="AN130" s="32">
        <f>IF(NOT(ISNUMBER($H130)),"",IF(OR($AH130="",$H130&gt;='設定'!$B$6),0,IF($AK130&gt;='設定'!$B$6,$AJ130,$AJ130+1)))</f>
        <v/>
      </c>
      <c r="AO130" s="71">
        <f>IF($AN130="","",IF($AN130=0,"",IF($AN130=$AJ130,$AM130,$AK130)))</f>
        <v/>
      </c>
      <c r="AP130" s="32">
        <f>IF(OR($AC130="要対応",$AC130="通知期限切れ",$AC130="確認済み",$AC130="有効",$AC130="終了予定"),1,0)</f>
        <v/>
      </c>
      <c r="AQ130" s="32">
        <f>IF(OR($AC130="要対応",$AC130="通知期限切れ"),1,0)</f>
        <v/>
      </c>
      <c r="AR130" s="72">
        <f>IF(AND(ISNUMBER($AB130),OR($AC130="要対応",$AC130="通知期限切れ",$AC130="確認済み",$AC130="有効")),$AB130+ROW()/100000,"")</f>
        <v/>
      </c>
      <c r="AS130" s="32">
        <f>IF($E130="","",IF(COUNTIF($E$5:$E130,$E130)=1,ROW(),""))</f>
        <v/>
      </c>
      <c r="AT130" s="32">
        <f>IF($S130="","",IF(COUNTIF($S$5:$S130,$S130)=1,ROW(),""))</f>
        <v/>
      </c>
    </row>
    <row r="131" ht="20" customHeight="1">
      <c r="A131" s="20" t="n">
        <v>127</v>
      </c>
      <c r="B131" s="21" t="n"/>
      <c r="C131" s="22" t="n"/>
      <c r="D131" s="22" t="n"/>
      <c r="E131" s="22" t="n"/>
      <c r="F131" s="66" t="n"/>
      <c r="G131" s="66" t="n"/>
      <c r="H131" s="66" t="n"/>
      <c r="I131" s="21" t="n"/>
      <c r="J131" s="24" t="n"/>
      <c r="K131" s="24" t="n"/>
      <c r="L131" s="21" t="n"/>
      <c r="M131" s="24" t="n"/>
      <c r="N131" s="21" t="n"/>
      <c r="O131" s="67" t="n"/>
      <c r="P131" s="21" t="n"/>
      <c r="Q131" s="21" t="n"/>
      <c r="R131" s="22" t="n"/>
      <c r="S131" s="22" t="n"/>
      <c r="T131" s="21" t="n"/>
      <c r="U131" s="66" t="n"/>
      <c r="V131" s="66" t="n"/>
      <c r="W131" s="66" t="n"/>
      <c r="X131" s="8" t="n"/>
      <c r="Y131" s="68">
        <f>IF($AN131="","",IF($AN131=0,$H131,IF($AN131=$AJ131,$AK131,$AL131)))</f>
        <v/>
      </c>
      <c r="Z131" s="68">
        <f>IF(OR($Y131="",NOT(ISNUMBER($K131))),"",IF($L131="日前",$Y131-$K131,EDATE($Y131,-$K131)))</f>
        <v/>
      </c>
      <c r="AA131" s="68">
        <f>IF(OR($Y131="",ISNUMBER($V131),N($Y131)&lt;'設定'!$B$6),"",IF($Z131&lt;&gt;"",$Z131,$Y131))</f>
        <v/>
      </c>
      <c r="AB131" s="69">
        <f>IF($AA131="","",$AA131-'設定'!$B$6)</f>
        <v/>
      </c>
      <c r="AC131" s="28">
        <f>IF(NOT(OR($B131&lt;&gt;"",$C131&lt;&gt;"")),"",IF(ISNUMBER($V131),IF($V131&lt;'設定'!$B$6,"終了","終了予定"),IF($Y131="","有効",IF($Y131&lt;'設定'!$B$6,"満了",IF(AND($T131="更新する",ISNUMBER($U131),N($U131)&lt;='設定'!$B$6,OR($AO131="",N($U131)&gt;N($AO131))),"確認済み",IF($AB131&lt;0,"通知期限切れ",IF($AB131&lt;=N('設定'!$B$7),"要対応","有効")))))))</f>
        <v/>
      </c>
      <c r="AD131" s="68">
        <f>IF(OR(NOT(ISNUMBER($M131)),$AC131="",$AC131="終了",$AC131="終了予定",$AC131="満了"),"",IF($N131="日前",'設定'!$B$6+$M131,EDATE('設定'!$B$6,$M131)))</f>
        <v/>
      </c>
      <c r="AE131" s="70">
        <f>IF(NOT(ISNUMBER($O131)),"",IF($P131="月額",$O131*12,IF($P131="年額",$O131,"")))</f>
        <v/>
      </c>
      <c r="AF131" s="30">
        <f>MID(IF(AND(ISNUMBER($G131),ISNUMBER($H131)),IF(N($H131)&lt;N($G131)," / 満了日が開始日より前",""),"")&amp;IF(AND($I131="あり",NOT(ISNUMBER($H131)))," / 自動更新ありなのに満了日が空","")&amp;IF(AND($I131="あり",ISNUMBER($H131),NOT(ISNUMBER($J131)))," / 更新期間が空（更新を計算できない）","")&amp;IF($AH131="","",IF(AND(DAY($AH131)&gt;=29,OR(MOD($J131,12)&lt;&gt;0,MONTH($AH131)=2))," / 更新の初日が29〜31日（更新を重ねると満了日が1日ずれることがある。満了日を今の期間の満了日に書き換えると直る）",""))&amp;IF(AND(ISNUMBER($K131),$L131="")," / 通知の単位が空（か月前で計算）","")&amp;IF(AND(ISNUMBER($M131),$N131="")," / 解約予告の単位が空（か月前で計算）","")&amp;IF(AND(ISNUMBER($O131),$P131="")," / 金額の区分が空","")&amp;IF(AND($T131&lt;&gt;"",NOT(ISNUMBER($U131)))," / 対応を決めた日が空","")&amp;IF(AND(ISNUMBER($U131),$T131="")," / 今期の対応が空","")&amp;IF(AND($T131="更新しない",NOT(ISNUMBER($V131)))," / 更新しないなら、解約・終了した日（契約が終わる日）を入れる",""),4,300)</f>
        <v/>
      </c>
      <c r="AG131" s="53" t="n"/>
      <c r="AH131" s="71">
        <f>IF(AND(ISNUMBER($H131),$I131="あり",ISNUMBER($J131)),IF($J131&gt;=1,$H131+1,""),"")</f>
        <v/>
      </c>
      <c r="AI131" s="32">
        <f>IF($AH131="","",(YEAR('設定'!$B$6)-YEAR($AH131))*12+MONTH('設定'!$B$6)-MONTH($AH131))</f>
        <v/>
      </c>
      <c r="AJ131" s="32">
        <f>IF($AH131="","",MAX(1,ROUNDUP($AI131/$J131,0)))</f>
        <v/>
      </c>
      <c r="AK131" s="71">
        <f>IF($AJ131="","",IF(DAY(EDATE($AH131,$AJ131*$J131))&lt;DAY($AH131),EDATE($AH131,$AJ131*$J131),EDATE($AH131,$AJ131*$J131)-1))</f>
        <v/>
      </c>
      <c r="AL131" s="71">
        <f>IF($AJ131="","",IF(DAY(EDATE($AH131,($AJ131+1)*$J131))&lt;DAY($AH131),EDATE($AH131,($AJ131+1)*$J131),EDATE($AH131,($AJ131+1)*$J131)-1))</f>
        <v/>
      </c>
      <c r="AM131" s="71">
        <f>IF($AJ131="","",IF($AJ131=1,$H131,IF(DAY(EDATE($AH131,($AJ131-1)*$J131))&lt;DAY($AH131),EDATE($AH131,($AJ131-1)*$J131),EDATE($AH131,($AJ131-1)*$J131)-1)))</f>
        <v/>
      </c>
      <c r="AN131" s="32">
        <f>IF(NOT(ISNUMBER($H131)),"",IF(OR($AH131="",$H131&gt;='設定'!$B$6),0,IF($AK131&gt;='設定'!$B$6,$AJ131,$AJ131+1)))</f>
        <v/>
      </c>
      <c r="AO131" s="71">
        <f>IF($AN131="","",IF($AN131=0,"",IF($AN131=$AJ131,$AM131,$AK131)))</f>
        <v/>
      </c>
      <c r="AP131" s="32">
        <f>IF(OR($AC131="要対応",$AC131="通知期限切れ",$AC131="確認済み",$AC131="有効",$AC131="終了予定"),1,0)</f>
        <v/>
      </c>
      <c r="AQ131" s="32">
        <f>IF(OR($AC131="要対応",$AC131="通知期限切れ"),1,0)</f>
        <v/>
      </c>
      <c r="AR131" s="72">
        <f>IF(AND(ISNUMBER($AB131),OR($AC131="要対応",$AC131="通知期限切れ",$AC131="確認済み",$AC131="有効")),$AB131+ROW()/100000,"")</f>
        <v/>
      </c>
      <c r="AS131" s="32">
        <f>IF($E131="","",IF(COUNTIF($E$5:$E131,$E131)=1,ROW(),""))</f>
        <v/>
      </c>
      <c r="AT131" s="32">
        <f>IF($S131="","",IF(COUNTIF($S$5:$S131,$S131)=1,ROW(),""))</f>
        <v/>
      </c>
    </row>
    <row r="132" ht="20" customHeight="1">
      <c r="A132" s="20" t="n">
        <v>128</v>
      </c>
      <c r="B132" s="21" t="n"/>
      <c r="C132" s="22" t="n"/>
      <c r="D132" s="22" t="n"/>
      <c r="E132" s="22" t="n"/>
      <c r="F132" s="66" t="n"/>
      <c r="G132" s="66" t="n"/>
      <c r="H132" s="66" t="n"/>
      <c r="I132" s="21" t="n"/>
      <c r="J132" s="24" t="n"/>
      <c r="K132" s="24" t="n"/>
      <c r="L132" s="21" t="n"/>
      <c r="M132" s="24" t="n"/>
      <c r="N132" s="21" t="n"/>
      <c r="O132" s="67" t="n"/>
      <c r="P132" s="21" t="n"/>
      <c r="Q132" s="21" t="n"/>
      <c r="R132" s="22" t="n"/>
      <c r="S132" s="22" t="n"/>
      <c r="T132" s="21" t="n"/>
      <c r="U132" s="66" t="n"/>
      <c r="V132" s="66" t="n"/>
      <c r="W132" s="66" t="n"/>
      <c r="X132" s="8" t="n"/>
      <c r="Y132" s="68">
        <f>IF($AN132="","",IF($AN132=0,$H132,IF($AN132=$AJ132,$AK132,$AL132)))</f>
        <v/>
      </c>
      <c r="Z132" s="68">
        <f>IF(OR($Y132="",NOT(ISNUMBER($K132))),"",IF($L132="日前",$Y132-$K132,EDATE($Y132,-$K132)))</f>
        <v/>
      </c>
      <c r="AA132" s="68">
        <f>IF(OR($Y132="",ISNUMBER($V132),N($Y132)&lt;'設定'!$B$6),"",IF($Z132&lt;&gt;"",$Z132,$Y132))</f>
        <v/>
      </c>
      <c r="AB132" s="69">
        <f>IF($AA132="","",$AA132-'設定'!$B$6)</f>
        <v/>
      </c>
      <c r="AC132" s="28">
        <f>IF(NOT(OR($B132&lt;&gt;"",$C132&lt;&gt;"")),"",IF(ISNUMBER($V132),IF($V132&lt;'設定'!$B$6,"終了","終了予定"),IF($Y132="","有効",IF($Y132&lt;'設定'!$B$6,"満了",IF(AND($T132="更新する",ISNUMBER($U132),N($U132)&lt;='設定'!$B$6,OR($AO132="",N($U132)&gt;N($AO132))),"確認済み",IF($AB132&lt;0,"通知期限切れ",IF($AB132&lt;=N('設定'!$B$7),"要対応","有効")))))))</f>
        <v/>
      </c>
      <c r="AD132" s="68">
        <f>IF(OR(NOT(ISNUMBER($M132)),$AC132="",$AC132="終了",$AC132="終了予定",$AC132="満了"),"",IF($N132="日前",'設定'!$B$6+$M132,EDATE('設定'!$B$6,$M132)))</f>
        <v/>
      </c>
      <c r="AE132" s="70">
        <f>IF(NOT(ISNUMBER($O132)),"",IF($P132="月額",$O132*12,IF($P132="年額",$O132,"")))</f>
        <v/>
      </c>
      <c r="AF132" s="30">
        <f>MID(IF(AND(ISNUMBER($G132),ISNUMBER($H132)),IF(N($H132)&lt;N($G132)," / 満了日が開始日より前",""),"")&amp;IF(AND($I132="あり",NOT(ISNUMBER($H132)))," / 自動更新ありなのに満了日が空","")&amp;IF(AND($I132="あり",ISNUMBER($H132),NOT(ISNUMBER($J132)))," / 更新期間が空（更新を計算できない）","")&amp;IF($AH132="","",IF(AND(DAY($AH132)&gt;=29,OR(MOD($J132,12)&lt;&gt;0,MONTH($AH132)=2))," / 更新の初日が29〜31日（更新を重ねると満了日が1日ずれることがある。満了日を今の期間の満了日に書き換えると直る）",""))&amp;IF(AND(ISNUMBER($K132),$L132="")," / 通知の単位が空（か月前で計算）","")&amp;IF(AND(ISNUMBER($M132),$N132="")," / 解約予告の単位が空（か月前で計算）","")&amp;IF(AND(ISNUMBER($O132),$P132="")," / 金額の区分が空","")&amp;IF(AND($T132&lt;&gt;"",NOT(ISNUMBER($U132)))," / 対応を決めた日が空","")&amp;IF(AND(ISNUMBER($U132),$T132="")," / 今期の対応が空","")&amp;IF(AND($T132="更新しない",NOT(ISNUMBER($V132)))," / 更新しないなら、解約・終了した日（契約が終わる日）を入れる",""),4,300)</f>
        <v/>
      </c>
      <c r="AG132" s="53" t="n"/>
      <c r="AH132" s="71">
        <f>IF(AND(ISNUMBER($H132),$I132="あり",ISNUMBER($J132)),IF($J132&gt;=1,$H132+1,""),"")</f>
        <v/>
      </c>
      <c r="AI132" s="32">
        <f>IF($AH132="","",(YEAR('設定'!$B$6)-YEAR($AH132))*12+MONTH('設定'!$B$6)-MONTH($AH132))</f>
        <v/>
      </c>
      <c r="AJ132" s="32">
        <f>IF($AH132="","",MAX(1,ROUNDUP($AI132/$J132,0)))</f>
        <v/>
      </c>
      <c r="AK132" s="71">
        <f>IF($AJ132="","",IF(DAY(EDATE($AH132,$AJ132*$J132))&lt;DAY($AH132),EDATE($AH132,$AJ132*$J132),EDATE($AH132,$AJ132*$J132)-1))</f>
        <v/>
      </c>
      <c r="AL132" s="71">
        <f>IF($AJ132="","",IF(DAY(EDATE($AH132,($AJ132+1)*$J132))&lt;DAY($AH132),EDATE($AH132,($AJ132+1)*$J132),EDATE($AH132,($AJ132+1)*$J132)-1))</f>
        <v/>
      </c>
      <c r="AM132" s="71">
        <f>IF($AJ132="","",IF($AJ132=1,$H132,IF(DAY(EDATE($AH132,($AJ132-1)*$J132))&lt;DAY($AH132),EDATE($AH132,($AJ132-1)*$J132),EDATE($AH132,($AJ132-1)*$J132)-1)))</f>
        <v/>
      </c>
      <c r="AN132" s="32">
        <f>IF(NOT(ISNUMBER($H132)),"",IF(OR($AH132="",$H132&gt;='設定'!$B$6),0,IF($AK132&gt;='設定'!$B$6,$AJ132,$AJ132+1)))</f>
        <v/>
      </c>
      <c r="AO132" s="71">
        <f>IF($AN132="","",IF($AN132=0,"",IF($AN132=$AJ132,$AM132,$AK132)))</f>
        <v/>
      </c>
      <c r="AP132" s="32">
        <f>IF(OR($AC132="要対応",$AC132="通知期限切れ",$AC132="確認済み",$AC132="有効",$AC132="終了予定"),1,0)</f>
        <v/>
      </c>
      <c r="AQ132" s="32">
        <f>IF(OR($AC132="要対応",$AC132="通知期限切れ"),1,0)</f>
        <v/>
      </c>
      <c r="AR132" s="72">
        <f>IF(AND(ISNUMBER($AB132),OR($AC132="要対応",$AC132="通知期限切れ",$AC132="確認済み",$AC132="有効")),$AB132+ROW()/100000,"")</f>
        <v/>
      </c>
      <c r="AS132" s="32">
        <f>IF($E132="","",IF(COUNTIF($E$5:$E132,$E132)=1,ROW(),""))</f>
        <v/>
      </c>
      <c r="AT132" s="32">
        <f>IF($S132="","",IF(COUNTIF($S$5:$S132,$S132)=1,ROW(),""))</f>
        <v/>
      </c>
    </row>
    <row r="133" ht="20" customHeight="1">
      <c r="A133" s="20" t="n">
        <v>129</v>
      </c>
      <c r="B133" s="21" t="n"/>
      <c r="C133" s="22" t="n"/>
      <c r="D133" s="22" t="n"/>
      <c r="E133" s="22" t="n"/>
      <c r="F133" s="66" t="n"/>
      <c r="G133" s="66" t="n"/>
      <c r="H133" s="66" t="n"/>
      <c r="I133" s="21" t="n"/>
      <c r="J133" s="24" t="n"/>
      <c r="K133" s="24" t="n"/>
      <c r="L133" s="21" t="n"/>
      <c r="M133" s="24" t="n"/>
      <c r="N133" s="21" t="n"/>
      <c r="O133" s="67" t="n"/>
      <c r="P133" s="21" t="n"/>
      <c r="Q133" s="21" t="n"/>
      <c r="R133" s="22" t="n"/>
      <c r="S133" s="22" t="n"/>
      <c r="T133" s="21" t="n"/>
      <c r="U133" s="66" t="n"/>
      <c r="V133" s="66" t="n"/>
      <c r="W133" s="66" t="n"/>
      <c r="X133" s="8" t="n"/>
      <c r="Y133" s="68">
        <f>IF($AN133="","",IF($AN133=0,$H133,IF($AN133=$AJ133,$AK133,$AL133)))</f>
        <v/>
      </c>
      <c r="Z133" s="68">
        <f>IF(OR($Y133="",NOT(ISNUMBER($K133))),"",IF($L133="日前",$Y133-$K133,EDATE($Y133,-$K133)))</f>
        <v/>
      </c>
      <c r="AA133" s="68">
        <f>IF(OR($Y133="",ISNUMBER($V133),N($Y133)&lt;'設定'!$B$6),"",IF($Z133&lt;&gt;"",$Z133,$Y133))</f>
        <v/>
      </c>
      <c r="AB133" s="69">
        <f>IF($AA133="","",$AA133-'設定'!$B$6)</f>
        <v/>
      </c>
      <c r="AC133" s="28">
        <f>IF(NOT(OR($B133&lt;&gt;"",$C133&lt;&gt;"")),"",IF(ISNUMBER($V133),IF($V133&lt;'設定'!$B$6,"終了","終了予定"),IF($Y133="","有効",IF($Y133&lt;'設定'!$B$6,"満了",IF(AND($T133="更新する",ISNUMBER($U133),N($U133)&lt;='設定'!$B$6,OR($AO133="",N($U133)&gt;N($AO133))),"確認済み",IF($AB133&lt;0,"通知期限切れ",IF($AB133&lt;=N('設定'!$B$7),"要対応","有効")))))))</f>
        <v/>
      </c>
      <c r="AD133" s="68">
        <f>IF(OR(NOT(ISNUMBER($M133)),$AC133="",$AC133="終了",$AC133="終了予定",$AC133="満了"),"",IF($N133="日前",'設定'!$B$6+$M133,EDATE('設定'!$B$6,$M133)))</f>
        <v/>
      </c>
      <c r="AE133" s="70">
        <f>IF(NOT(ISNUMBER($O133)),"",IF($P133="月額",$O133*12,IF($P133="年額",$O133,"")))</f>
        <v/>
      </c>
      <c r="AF133" s="30">
        <f>MID(IF(AND(ISNUMBER($G133),ISNUMBER($H133)),IF(N($H133)&lt;N($G133)," / 満了日が開始日より前",""),"")&amp;IF(AND($I133="あり",NOT(ISNUMBER($H133)))," / 自動更新ありなのに満了日が空","")&amp;IF(AND($I133="あり",ISNUMBER($H133),NOT(ISNUMBER($J133)))," / 更新期間が空（更新を計算できない）","")&amp;IF($AH133="","",IF(AND(DAY($AH133)&gt;=29,OR(MOD($J133,12)&lt;&gt;0,MONTH($AH133)=2))," / 更新の初日が29〜31日（更新を重ねると満了日が1日ずれることがある。満了日を今の期間の満了日に書き換えると直る）",""))&amp;IF(AND(ISNUMBER($K133),$L133="")," / 通知の単位が空（か月前で計算）","")&amp;IF(AND(ISNUMBER($M133),$N133="")," / 解約予告の単位が空（か月前で計算）","")&amp;IF(AND(ISNUMBER($O133),$P133="")," / 金額の区分が空","")&amp;IF(AND($T133&lt;&gt;"",NOT(ISNUMBER($U133)))," / 対応を決めた日が空","")&amp;IF(AND(ISNUMBER($U133),$T133="")," / 今期の対応が空","")&amp;IF(AND($T133="更新しない",NOT(ISNUMBER($V133)))," / 更新しないなら、解約・終了した日（契約が終わる日）を入れる",""),4,300)</f>
        <v/>
      </c>
      <c r="AG133" s="53" t="n"/>
      <c r="AH133" s="71">
        <f>IF(AND(ISNUMBER($H133),$I133="あり",ISNUMBER($J133)),IF($J133&gt;=1,$H133+1,""),"")</f>
        <v/>
      </c>
      <c r="AI133" s="32">
        <f>IF($AH133="","",(YEAR('設定'!$B$6)-YEAR($AH133))*12+MONTH('設定'!$B$6)-MONTH($AH133))</f>
        <v/>
      </c>
      <c r="AJ133" s="32">
        <f>IF($AH133="","",MAX(1,ROUNDUP($AI133/$J133,0)))</f>
        <v/>
      </c>
      <c r="AK133" s="71">
        <f>IF($AJ133="","",IF(DAY(EDATE($AH133,$AJ133*$J133))&lt;DAY($AH133),EDATE($AH133,$AJ133*$J133),EDATE($AH133,$AJ133*$J133)-1))</f>
        <v/>
      </c>
      <c r="AL133" s="71">
        <f>IF($AJ133="","",IF(DAY(EDATE($AH133,($AJ133+1)*$J133))&lt;DAY($AH133),EDATE($AH133,($AJ133+1)*$J133),EDATE($AH133,($AJ133+1)*$J133)-1))</f>
        <v/>
      </c>
      <c r="AM133" s="71">
        <f>IF($AJ133="","",IF($AJ133=1,$H133,IF(DAY(EDATE($AH133,($AJ133-1)*$J133))&lt;DAY($AH133),EDATE($AH133,($AJ133-1)*$J133),EDATE($AH133,($AJ133-1)*$J133)-1)))</f>
        <v/>
      </c>
      <c r="AN133" s="32">
        <f>IF(NOT(ISNUMBER($H133)),"",IF(OR($AH133="",$H133&gt;='設定'!$B$6),0,IF($AK133&gt;='設定'!$B$6,$AJ133,$AJ133+1)))</f>
        <v/>
      </c>
      <c r="AO133" s="71">
        <f>IF($AN133="","",IF($AN133=0,"",IF($AN133=$AJ133,$AM133,$AK133)))</f>
        <v/>
      </c>
      <c r="AP133" s="32">
        <f>IF(OR($AC133="要対応",$AC133="通知期限切れ",$AC133="確認済み",$AC133="有効",$AC133="終了予定"),1,0)</f>
        <v/>
      </c>
      <c r="AQ133" s="32">
        <f>IF(OR($AC133="要対応",$AC133="通知期限切れ"),1,0)</f>
        <v/>
      </c>
      <c r="AR133" s="72">
        <f>IF(AND(ISNUMBER($AB133),OR($AC133="要対応",$AC133="通知期限切れ",$AC133="確認済み",$AC133="有効")),$AB133+ROW()/100000,"")</f>
        <v/>
      </c>
      <c r="AS133" s="32">
        <f>IF($E133="","",IF(COUNTIF($E$5:$E133,$E133)=1,ROW(),""))</f>
        <v/>
      </c>
      <c r="AT133" s="32">
        <f>IF($S133="","",IF(COUNTIF($S$5:$S133,$S133)=1,ROW(),""))</f>
        <v/>
      </c>
    </row>
    <row r="134" ht="20" customHeight="1">
      <c r="A134" s="20" t="n">
        <v>130</v>
      </c>
      <c r="B134" s="21" t="n"/>
      <c r="C134" s="22" t="n"/>
      <c r="D134" s="22" t="n"/>
      <c r="E134" s="22" t="n"/>
      <c r="F134" s="66" t="n"/>
      <c r="G134" s="66" t="n"/>
      <c r="H134" s="66" t="n"/>
      <c r="I134" s="21" t="n"/>
      <c r="J134" s="24" t="n"/>
      <c r="K134" s="24" t="n"/>
      <c r="L134" s="21" t="n"/>
      <c r="M134" s="24" t="n"/>
      <c r="N134" s="21" t="n"/>
      <c r="O134" s="67" t="n"/>
      <c r="P134" s="21" t="n"/>
      <c r="Q134" s="21" t="n"/>
      <c r="R134" s="22" t="n"/>
      <c r="S134" s="22" t="n"/>
      <c r="T134" s="21" t="n"/>
      <c r="U134" s="66" t="n"/>
      <c r="V134" s="66" t="n"/>
      <c r="W134" s="66" t="n"/>
      <c r="X134" s="8" t="n"/>
      <c r="Y134" s="68">
        <f>IF($AN134="","",IF($AN134=0,$H134,IF($AN134=$AJ134,$AK134,$AL134)))</f>
        <v/>
      </c>
      <c r="Z134" s="68">
        <f>IF(OR($Y134="",NOT(ISNUMBER($K134))),"",IF($L134="日前",$Y134-$K134,EDATE($Y134,-$K134)))</f>
        <v/>
      </c>
      <c r="AA134" s="68">
        <f>IF(OR($Y134="",ISNUMBER($V134),N($Y134)&lt;'設定'!$B$6),"",IF($Z134&lt;&gt;"",$Z134,$Y134))</f>
        <v/>
      </c>
      <c r="AB134" s="69">
        <f>IF($AA134="","",$AA134-'設定'!$B$6)</f>
        <v/>
      </c>
      <c r="AC134" s="28">
        <f>IF(NOT(OR($B134&lt;&gt;"",$C134&lt;&gt;"")),"",IF(ISNUMBER($V134),IF($V134&lt;'設定'!$B$6,"終了","終了予定"),IF($Y134="","有効",IF($Y134&lt;'設定'!$B$6,"満了",IF(AND($T134="更新する",ISNUMBER($U134),N($U134)&lt;='設定'!$B$6,OR($AO134="",N($U134)&gt;N($AO134))),"確認済み",IF($AB134&lt;0,"通知期限切れ",IF($AB134&lt;=N('設定'!$B$7),"要対応","有効")))))))</f>
        <v/>
      </c>
      <c r="AD134" s="68">
        <f>IF(OR(NOT(ISNUMBER($M134)),$AC134="",$AC134="終了",$AC134="終了予定",$AC134="満了"),"",IF($N134="日前",'設定'!$B$6+$M134,EDATE('設定'!$B$6,$M134)))</f>
        <v/>
      </c>
      <c r="AE134" s="70">
        <f>IF(NOT(ISNUMBER($O134)),"",IF($P134="月額",$O134*12,IF($P134="年額",$O134,"")))</f>
        <v/>
      </c>
      <c r="AF134" s="30">
        <f>MID(IF(AND(ISNUMBER($G134),ISNUMBER($H134)),IF(N($H134)&lt;N($G134)," / 満了日が開始日より前",""),"")&amp;IF(AND($I134="あり",NOT(ISNUMBER($H134)))," / 自動更新ありなのに満了日が空","")&amp;IF(AND($I134="あり",ISNUMBER($H134),NOT(ISNUMBER($J134)))," / 更新期間が空（更新を計算できない）","")&amp;IF($AH134="","",IF(AND(DAY($AH134)&gt;=29,OR(MOD($J134,12)&lt;&gt;0,MONTH($AH134)=2))," / 更新の初日が29〜31日（更新を重ねると満了日が1日ずれることがある。満了日を今の期間の満了日に書き換えると直る）",""))&amp;IF(AND(ISNUMBER($K134),$L134="")," / 通知の単位が空（か月前で計算）","")&amp;IF(AND(ISNUMBER($M134),$N134="")," / 解約予告の単位が空（か月前で計算）","")&amp;IF(AND(ISNUMBER($O134),$P134="")," / 金額の区分が空","")&amp;IF(AND($T134&lt;&gt;"",NOT(ISNUMBER($U134)))," / 対応を決めた日が空","")&amp;IF(AND(ISNUMBER($U134),$T134="")," / 今期の対応が空","")&amp;IF(AND($T134="更新しない",NOT(ISNUMBER($V134)))," / 更新しないなら、解約・終了した日（契約が終わる日）を入れる",""),4,300)</f>
        <v/>
      </c>
      <c r="AG134" s="53" t="n"/>
      <c r="AH134" s="71">
        <f>IF(AND(ISNUMBER($H134),$I134="あり",ISNUMBER($J134)),IF($J134&gt;=1,$H134+1,""),"")</f>
        <v/>
      </c>
      <c r="AI134" s="32">
        <f>IF($AH134="","",(YEAR('設定'!$B$6)-YEAR($AH134))*12+MONTH('設定'!$B$6)-MONTH($AH134))</f>
        <v/>
      </c>
      <c r="AJ134" s="32">
        <f>IF($AH134="","",MAX(1,ROUNDUP($AI134/$J134,0)))</f>
        <v/>
      </c>
      <c r="AK134" s="71">
        <f>IF($AJ134="","",IF(DAY(EDATE($AH134,$AJ134*$J134))&lt;DAY($AH134),EDATE($AH134,$AJ134*$J134),EDATE($AH134,$AJ134*$J134)-1))</f>
        <v/>
      </c>
      <c r="AL134" s="71">
        <f>IF($AJ134="","",IF(DAY(EDATE($AH134,($AJ134+1)*$J134))&lt;DAY($AH134),EDATE($AH134,($AJ134+1)*$J134),EDATE($AH134,($AJ134+1)*$J134)-1))</f>
        <v/>
      </c>
      <c r="AM134" s="71">
        <f>IF($AJ134="","",IF($AJ134=1,$H134,IF(DAY(EDATE($AH134,($AJ134-1)*$J134))&lt;DAY($AH134),EDATE($AH134,($AJ134-1)*$J134),EDATE($AH134,($AJ134-1)*$J134)-1)))</f>
        <v/>
      </c>
      <c r="AN134" s="32">
        <f>IF(NOT(ISNUMBER($H134)),"",IF(OR($AH134="",$H134&gt;='設定'!$B$6),0,IF($AK134&gt;='設定'!$B$6,$AJ134,$AJ134+1)))</f>
        <v/>
      </c>
      <c r="AO134" s="71">
        <f>IF($AN134="","",IF($AN134=0,"",IF($AN134=$AJ134,$AM134,$AK134)))</f>
        <v/>
      </c>
      <c r="AP134" s="32">
        <f>IF(OR($AC134="要対応",$AC134="通知期限切れ",$AC134="確認済み",$AC134="有効",$AC134="終了予定"),1,0)</f>
        <v/>
      </c>
      <c r="AQ134" s="32">
        <f>IF(OR($AC134="要対応",$AC134="通知期限切れ"),1,0)</f>
        <v/>
      </c>
      <c r="AR134" s="72">
        <f>IF(AND(ISNUMBER($AB134),OR($AC134="要対応",$AC134="通知期限切れ",$AC134="確認済み",$AC134="有効")),$AB134+ROW()/100000,"")</f>
        <v/>
      </c>
      <c r="AS134" s="32">
        <f>IF($E134="","",IF(COUNTIF($E$5:$E134,$E134)=1,ROW(),""))</f>
        <v/>
      </c>
      <c r="AT134" s="32">
        <f>IF($S134="","",IF(COUNTIF($S$5:$S134,$S134)=1,ROW(),""))</f>
        <v/>
      </c>
    </row>
    <row r="135" ht="20" customHeight="1">
      <c r="A135" s="20" t="n">
        <v>131</v>
      </c>
      <c r="B135" s="21" t="n"/>
      <c r="C135" s="22" t="n"/>
      <c r="D135" s="22" t="n"/>
      <c r="E135" s="22" t="n"/>
      <c r="F135" s="66" t="n"/>
      <c r="G135" s="66" t="n"/>
      <c r="H135" s="66" t="n"/>
      <c r="I135" s="21" t="n"/>
      <c r="J135" s="24" t="n"/>
      <c r="K135" s="24" t="n"/>
      <c r="L135" s="21" t="n"/>
      <c r="M135" s="24" t="n"/>
      <c r="N135" s="21" t="n"/>
      <c r="O135" s="67" t="n"/>
      <c r="P135" s="21" t="n"/>
      <c r="Q135" s="21" t="n"/>
      <c r="R135" s="22" t="n"/>
      <c r="S135" s="22" t="n"/>
      <c r="T135" s="21" t="n"/>
      <c r="U135" s="66" t="n"/>
      <c r="V135" s="66" t="n"/>
      <c r="W135" s="66" t="n"/>
      <c r="X135" s="8" t="n"/>
      <c r="Y135" s="68">
        <f>IF($AN135="","",IF($AN135=0,$H135,IF($AN135=$AJ135,$AK135,$AL135)))</f>
        <v/>
      </c>
      <c r="Z135" s="68">
        <f>IF(OR($Y135="",NOT(ISNUMBER($K135))),"",IF($L135="日前",$Y135-$K135,EDATE($Y135,-$K135)))</f>
        <v/>
      </c>
      <c r="AA135" s="68">
        <f>IF(OR($Y135="",ISNUMBER($V135),N($Y135)&lt;'設定'!$B$6),"",IF($Z135&lt;&gt;"",$Z135,$Y135))</f>
        <v/>
      </c>
      <c r="AB135" s="69">
        <f>IF($AA135="","",$AA135-'設定'!$B$6)</f>
        <v/>
      </c>
      <c r="AC135" s="28">
        <f>IF(NOT(OR($B135&lt;&gt;"",$C135&lt;&gt;"")),"",IF(ISNUMBER($V135),IF($V135&lt;'設定'!$B$6,"終了","終了予定"),IF($Y135="","有効",IF($Y135&lt;'設定'!$B$6,"満了",IF(AND($T135="更新する",ISNUMBER($U135),N($U135)&lt;='設定'!$B$6,OR($AO135="",N($U135)&gt;N($AO135))),"確認済み",IF($AB135&lt;0,"通知期限切れ",IF($AB135&lt;=N('設定'!$B$7),"要対応","有効")))))))</f>
        <v/>
      </c>
      <c r="AD135" s="68">
        <f>IF(OR(NOT(ISNUMBER($M135)),$AC135="",$AC135="終了",$AC135="終了予定",$AC135="満了"),"",IF($N135="日前",'設定'!$B$6+$M135,EDATE('設定'!$B$6,$M135)))</f>
        <v/>
      </c>
      <c r="AE135" s="70">
        <f>IF(NOT(ISNUMBER($O135)),"",IF($P135="月額",$O135*12,IF($P135="年額",$O135,"")))</f>
        <v/>
      </c>
      <c r="AF135" s="30">
        <f>MID(IF(AND(ISNUMBER($G135),ISNUMBER($H135)),IF(N($H135)&lt;N($G135)," / 満了日が開始日より前",""),"")&amp;IF(AND($I135="あり",NOT(ISNUMBER($H135)))," / 自動更新ありなのに満了日が空","")&amp;IF(AND($I135="あり",ISNUMBER($H135),NOT(ISNUMBER($J135)))," / 更新期間が空（更新を計算できない）","")&amp;IF($AH135="","",IF(AND(DAY($AH135)&gt;=29,OR(MOD($J135,12)&lt;&gt;0,MONTH($AH135)=2))," / 更新の初日が29〜31日（更新を重ねると満了日が1日ずれることがある。満了日を今の期間の満了日に書き換えると直る）",""))&amp;IF(AND(ISNUMBER($K135),$L135="")," / 通知の単位が空（か月前で計算）","")&amp;IF(AND(ISNUMBER($M135),$N135="")," / 解約予告の単位が空（か月前で計算）","")&amp;IF(AND(ISNUMBER($O135),$P135="")," / 金額の区分が空","")&amp;IF(AND($T135&lt;&gt;"",NOT(ISNUMBER($U135)))," / 対応を決めた日が空","")&amp;IF(AND(ISNUMBER($U135),$T135="")," / 今期の対応が空","")&amp;IF(AND($T135="更新しない",NOT(ISNUMBER($V135)))," / 更新しないなら、解約・終了した日（契約が終わる日）を入れる",""),4,300)</f>
        <v/>
      </c>
      <c r="AG135" s="53" t="n"/>
      <c r="AH135" s="71">
        <f>IF(AND(ISNUMBER($H135),$I135="あり",ISNUMBER($J135)),IF($J135&gt;=1,$H135+1,""),"")</f>
        <v/>
      </c>
      <c r="AI135" s="32">
        <f>IF($AH135="","",(YEAR('設定'!$B$6)-YEAR($AH135))*12+MONTH('設定'!$B$6)-MONTH($AH135))</f>
        <v/>
      </c>
      <c r="AJ135" s="32">
        <f>IF($AH135="","",MAX(1,ROUNDUP($AI135/$J135,0)))</f>
        <v/>
      </c>
      <c r="AK135" s="71">
        <f>IF($AJ135="","",IF(DAY(EDATE($AH135,$AJ135*$J135))&lt;DAY($AH135),EDATE($AH135,$AJ135*$J135),EDATE($AH135,$AJ135*$J135)-1))</f>
        <v/>
      </c>
      <c r="AL135" s="71">
        <f>IF($AJ135="","",IF(DAY(EDATE($AH135,($AJ135+1)*$J135))&lt;DAY($AH135),EDATE($AH135,($AJ135+1)*$J135),EDATE($AH135,($AJ135+1)*$J135)-1))</f>
        <v/>
      </c>
      <c r="AM135" s="71">
        <f>IF($AJ135="","",IF($AJ135=1,$H135,IF(DAY(EDATE($AH135,($AJ135-1)*$J135))&lt;DAY($AH135),EDATE($AH135,($AJ135-1)*$J135),EDATE($AH135,($AJ135-1)*$J135)-1)))</f>
        <v/>
      </c>
      <c r="AN135" s="32">
        <f>IF(NOT(ISNUMBER($H135)),"",IF(OR($AH135="",$H135&gt;='設定'!$B$6),0,IF($AK135&gt;='設定'!$B$6,$AJ135,$AJ135+1)))</f>
        <v/>
      </c>
      <c r="AO135" s="71">
        <f>IF($AN135="","",IF($AN135=0,"",IF($AN135=$AJ135,$AM135,$AK135)))</f>
        <v/>
      </c>
      <c r="AP135" s="32">
        <f>IF(OR($AC135="要対応",$AC135="通知期限切れ",$AC135="確認済み",$AC135="有効",$AC135="終了予定"),1,0)</f>
        <v/>
      </c>
      <c r="AQ135" s="32">
        <f>IF(OR($AC135="要対応",$AC135="通知期限切れ"),1,0)</f>
        <v/>
      </c>
      <c r="AR135" s="72">
        <f>IF(AND(ISNUMBER($AB135),OR($AC135="要対応",$AC135="通知期限切れ",$AC135="確認済み",$AC135="有効")),$AB135+ROW()/100000,"")</f>
        <v/>
      </c>
      <c r="AS135" s="32">
        <f>IF($E135="","",IF(COUNTIF($E$5:$E135,$E135)=1,ROW(),""))</f>
        <v/>
      </c>
      <c r="AT135" s="32">
        <f>IF($S135="","",IF(COUNTIF($S$5:$S135,$S135)=1,ROW(),""))</f>
        <v/>
      </c>
    </row>
    <row r="136" ht="20" customHeight="1">
      <c r="A136" s="20" t="n">
        <v>132</v>
      </c>
      <c r="B136" s="21" t="n"/>
      <c r="C136" s="22" t="n"/>
      <c r="D136" s="22" t="n"/>
      <c r="E136" s="22" t="n"/>
      <c r="F136" s="66" t="n"/>
      <c r="G136" s="66" t="n"/>
      <c r="H136" s="66" t="n"/>
      <c r="I136" s="21" t="n"/>
      <c r="J136" s="24" t="n"/>
      <c r="K136" s="24" t="n"/>
      <c r="L136" s="21" t="n"/>
      <c r="M136" s="24" t="n"/>
      <c r="N136" s="21" t="n"/>
      <c r="O136" s="67" t="n"/>
      <c r="P136" s="21" t="n"/>
      <c r="Q136" s="21" t="n"/>
      <c r="R136" s="22" t="n"/>
      <c r="S136" s="22" t="n"/>
      <c r="T136" s="21" t="n"/>
      <c r="U136" s="66" t="n"/>
      <c r="V136" s="66" t="n"/>
      <c r="W136" s="66" t="n"/>
      <c r="X136" s="8" t="n"/>
      <c r="Y136" s="68">
        <f>IF($AN136="","",IF($AN136=0,$H136,IF($AN136=$AJ136,$AK136,$AL136)))</f>
        <v/>
      </c>
      <c r="Z136" s="68">
        <f>IF(OR($Y136="",NOT(ISNUMBER($K136))),"",IF($L136="日前",$Y136-$K136,EDATE($Y136,-$K136)))</f>
        <v/>
      </c>
      <c r="AA136" s="68">
        <f>IF(OR($Y136="",ISNUMBER($V136),N($Y136)&lt;'設定'!$B$6),"",IF($Z136&lt;&gt;"",$Z136,$Y136))</f>
        <v/>
      </c>
      <c r="AB136" s="69">
        <f>IF($AA136="","",$AA136-'設定'!$B$6)</f>
        <v/>
      </c>
      <c r="AC136" s="28">
        <f>IF(NOT(OR($B136&lt;&gt;"",$C136&lt;&gt;"")),"",IF(ISNUMBER($V136),IF($V136&lt;'設定'!$B$6,"終了","終了予定"),IF($Y136="","有効",IF($Y136&lt;'設定'!$B$6,"満了",IF(AND($T136="更新する",ISNUMBER($U136),N($U136)&lt;='設定'!$B$6,OR($AO136="",N($U136)&gt;N($AO136))),"確認済み",IF($AB136&lt;0,"通知期限切れ",IF($AB136&lt;=N('設定'!$B$7),"要対応","有効")))))))</f>
        <v/>
      </c>
      <c r="AD136" s="68">
        <f>IF(OR(NOT(ISNUMBER($M136)),$AC136="",$AC136="終了",$AC136="終了予定",$AC136="満了"),"",IF($N136="日前",'設定'!$B$6+$M136,EDATE('設定'!$B$6,$M136)))</f>
        <v/>
      </c>
      <c r="AE136" s="70">
        <f>IF(NOT(ISNUMBER($O136)),"",IF($P136="月額",$O136*12,IF($P136="年額",$O136,"")))</f>
        <v/>
      </c>
      <c r="AF136" s="30">
        <f>MID(IF(AND(ISNUMBER($G136),ISNUMBER($H136)),IF(N($H136)&lt;N($G136)," / 満了日が開始日より前",""),"")&amp;IF(AND($I136="あり",NOT(ISNUMBER($H136)))," / 自動更新ありなのに満了日が空","")&amp;IF(AND($I136="あり",ISNUMBER($H136),NOT(ISNUMBER($J136)))," / 更新期間が空（更新を計算できない）","")&amp;IF($AH136="","",IF(AND(DAY($AH136)&gt;=29,OR(MOD($J136,12)&lt;&gt;0,MONTH($AH136)=2))," / 更新の初日が29〜31日（更新を重ねると満了日が1日ずれることがある。満了日を今の期間の満了日に書き換えると直る）",""))&amp;IF(AND(ISNUMBER($K136),$L136="")," / 通知の単位が空（か月前で計算）","")&amp;IF(AND(ISNUMBER($M136),$N136="")," / 解約予告の単位が空（か月前で計算）","")&amp;IF(AND(ISNUMBER($O136),$P136="")," / 金額の区分が空","")&amp;IF(AND($T136&lt;&gt;"",NOT(ISNUMBER($U136)))," / 対応を決めた日が空","")&amp;IF(AND(ISNUMBER($U136),$T136="")," / 今期の対応が空","")&amp;IF(AND($T136="更新しない",NOT(ISNUMBER($V136)))," / 更新しないなら、解約・終了した日（契約が終わる日）を入れる",""),4,300)</f>
        <v/>
      </c>
      <c r="AG136" s="53" t="n"/>
      <c r="AH136" s="71">
        <f>IF(AND(ISNUMBER($H136),$I136="あり",ISNUMBER($J136)),IF($J136&gt;=1,$H136+1,""),"")</f>
        <v/>
      </c>
      <c r="AI136" s="32">
        <f>IF($AH136="","",(YEAR('設定'!$B$6)-YEAR($AH136))*12+MONTH('設定'!$B$6)-MONTH($AH136))</f>
        <v/>
      </c>
      <c r="AJ136" s="32">
        <f>IF($AH136="","",MAX(1,ROUNDUP($AI136/$J136,0)))</f>
        <v/>
      </c>
      <c r="AK136" s="71">
        <f>IF($AJ136="","",IF(DAY(EDATE($AH136,$AJ136*$J136))&lt;DAY($AH136),EDATE($AH136,$AJ136*$J136),EDATE($AH136,$AJ136*$J136)-1))</f>
        <v/>
      </c>
      <c r="AL136" s="71">
        <f>IF($AJ136="","",IF(DAY(EDATE($AH136,($AJ136+1)*$J136))&lt;DAY($AH136),EDATE($AH136,($AJ136+1)*$J136),EDATE($AH136,($AJ136+1)*$J136)-1))</f>
        <v/>
      </c>
      <c r="AM136" s="71">
        <f>IF($AJ136="","",IF($AJ136=1,$H136,IF(DAY(EDATE($AH136,($AJ136-1)*$J136))&lt;DAY($AH136),EDATE($AH136,($AJ136-1)*$J136),EDATE($AH136,($AJ136-1)*$J136)-1)))</f>
        <v/>
      </c>
      <c r="AN136" s="32">
        <f>IF(NOT(ISNUMBER($H136)),"",IF(OR($AH136="",$H136&gt;='設定'!$B$6),0,IF($AK136&gt;='設定'!$B$6,$AJ136,$AJ136+1)))</f>
        <v/>
      </c>
      <c r="AO136" s="71">
        <f>IF($AN136="","",IF($AN136=0,"",IF($AN136=$AJ136,$AM136,$AK136)))</f>
        <v/>
      </c>
      <c r="AP136" s="32">
        <f>IF(OR($AC136="要対応",$AC136="通知期限切れ",$AC136="確認済み",$AC136="有効",$AC136="終了予定"),1,0)</f>
        <v/>
      </c>
      <c r="AQ136" s="32">
        <f>IF(OR($AC136="要対応",$AC136="通知期限切れ"),1,0)</f>
        <v/>
      </c>
      <c r="AR136" s="72">
        <f>IF(AND(ISNUMBER($AB136),OR($AC136="要対応",$AC136="通知期限切れ",$AC136="確認済み",$AC136="有効")),$AB136+ROW()/100000,"")</f>
        <v/>
      </c>
      <c r="AS136" s="32">
        <f>IF($E136="","",IF(COUNTIF($E$5:$E136,$E136)=1,ROW(),""))</f>
        <v/>
      </c>
      <c r="AT136" s="32">
        <f>IF($S136="","",IF(COUNTIF($S$5:$S136,$S136)=1,ROW(),""))</f>
        <v/>
      </c>
    </row>
    <row r="137" ht="20" customHeight="1">
      <c r="A137" s="20" t="n">
        <v>133</v>
      </c>
      <c r="B137" s="21" t="n"/>
      <c r="C137" s="22" t="n"/>
      <c r="D137" s="22" t="n"/>
      <c r="E137" s="22" t="n"/>
      <c r="F137" s="66" t="n"/>
      <c r="G137" s="66" t="n"/>
      <c r="H137" s="66" t="n"/>
      <c r="I137" s="21" t="n"/>
      <c r="J137" s="24" t="n"/>
      <c r="K137" s="24" t="n"/>
      <c r="L137" s="21" t="n"/>
      <c r="M137" s="24" t="n"/>
      <c r="N137" s="21" t="n"/>
      <c r="O137" s="67" t="n"/>
      <c r="P137" s="21" t="n"/>
      <c r="Q137" s="21" t="n"/>
      <c r="R137" s="22" t="n"/>
      <c r="S137" s="22" t="n"/>
      <c r="T137" s="21" t="n"/>
      <c r="U137" s="66" t="n"/>
      <c r="V137" s="66" t="n"/>
      <c r="W137" s="66" t="n"/>
      <c r="X137" s="8" t="n"/>
      <c r="Y137" s="68">
        <f>IF($AN137="","",IF($AN137=0,$H137,IF($AN137=$AJ137,$AK137,$AL137)))</f>
        <v/>
      </c>
      <c r="Z137" s="68">
        <f>IF(OR($Y137="",NOT(ISNUMBER($K137))),"",IF($L137="日前",$Y137-$K137,EDATE($Y137,-$K137)))</f>
        <v/>
      </c>
      <c r="AA137" s="68">
        <f>IF(OR($Y137="",ISNUMBER($V137),N($Y137)&lt;'設定'!$B$6),"",IF($Z137&lt;&gt;"",$Z137,$Y137))</f>
        <v/>
      </c>
      <c r="AB137" s="69">
        <f>IF($AA137="","",$AA137-'設定'!$B$6)</f>
        <v/>
      </c>
      <c r="AC137" s="28">
        <f>IF(NOT(OR($B137&lt;&gt;"",$C137&lt;&gt;"")),"",IF(ISNUMBER($V137),IF($V137&lt;'設定'!$B$6,"終了","終了予定"),IF($Y137="","有効",IF($Y137&lt;'設定'!$B$6,"満了",IF(AND($T137="更新する",ISNUMBER($U137),N($U137)&lt;='設定'!$B$6,OR($AO137="",N($U137)&gt;N($AO137))),"確認済み",IF($AB137&lt;0,"通知期限切れ",IF($AB137&lt;=N('設定'!$B$7),"要対応","有効")))))))</f>
        <v/>
      </c>
      <c r="AD137" s="68">
        <f>IF(OR(NOT(ISNUMBER($M137)),$AC137="",$AC137="終了",$AC137="終了予定",$AC137="満了"),"",IF($N137="日前",'設定'!$B$6+$M137,EDATE('設定'!$B$6,$M137)))</f>
        <v/>
      </c>
      <c r="AE137" s="70">
        <f>IF(NOT(ISNUMBER($O137)),"",IF($P137="月額",$O137*12,IF($P137="年額",$O137,"")))</f>
        <v/>
      </c>
      <c r="AF137" s="30">
        <f>MID(IF(AND(ISNUMBER($G137),ISNUMBER($H137)),IF(N($H137)&lt;N($G137)," / 満了日が開始日より前",""),"")&amp;IF(AND($I137="あり",NOT(ISNUMBER($H137)))," / 自動更新ありなのに満了日が空","")&amp;IF(AND($I137="あり",ISNUMBER($H137),NOT(ISNUMBER($J137)))," / 更新期間が空（更新を計算できない）","")&amp;IF($AH137="","",IF(AND(DAY($AH137)&gt;=29,OR(MOD($J137,12)&lt;&gt;0,MONTH($AH137)=2))," / 更新の初日が29〜31日（更新を重ねると満了日が1日ずれることがある。満了日を今の期間の満了日に書き換えると直る）",""))&amp;IF(AND(ISNUMBER($K137),$L137="")," / 通知の単位が空（か月前で計算）","")&amp;IF(AND(ISNUMBER($M137),$N137="")," / 解約予告の単位が空（か月前で計算）","")&amp;IF(AND(ISNUMBER($O137),$P137="")," / 金額の区分が空","")&amp;IF(AND($T137&lt;&gt;"",NOT(ISNUMBER($U137)))," / 対応を決めた日が空","")&amp;IF(AND(ISNUMBER($U137),$T137="")," / 今期の対応が空","")&amp;IF(AND($T137="更新しない",NOT(ISNUMBER($V137)))," / 更新しないなら、解約・終了した日（契約が終わる日）を入れる",""),4,300)</f>
        <v/>
      </c>
      <c r="AG137" s="53" t="n"/>
      <c r="AH137" s="71">
        <f>IF(AND(ISNUMBER($H137),$I137="あり",ISNUMBER($J137)),IF($J137&gt;=1,$H137+1,""),"")</f>
        <v/>
      </c>
      <c r="AI137" s="32">
        <f>IF($AH137="","",(YEAR('設定'!$B$6)-YEAR($AH137))*12+MONTH('設定'!$B$6)-MONTH($AH137))</f>
        <v/>
      </c>
      <c r="AJ137" s="32">
        <f>IF($AH137="","",MAX(1,ROUNDUP($AI137/$J137,0)))</f>
        <v/>
      </c>
      <c r="AK137" s="71">
        <f>IF($AJ137="","",IF(DAY(EDATE($AH137,$AJ137*$J137))&lt;DAY($AH137),EDATE($AH137,$AJ137*$J137),EDATE($AH137,$AJ137*$J137)-1))</f>
        <v/>
      </c>
      <c r="AL137" s="71">
        <f>IF($AJ137="","",IF(DAY(EDATE($AH137,($AJ137+1)*$J137))&lt;DAY($AH137),EDATE($AH137,($AJ137+1)*$J137),EDATE($AH137,($AJ137+1)*$J137)-1))</f>
        <v/>
      </c>
      <c r="AM137" s="71">
        <f>IF($AJ137="","",IF($AJ137=1,$H137,IF(DAY(EDATE($AH137,($AJ137-1)*$J137))&lt;DAY($AH137),EDATE($AH137,($AJ137-1)*$J137),EDATE($AH137,($AJ137-1)*$J137)-1)))</f>
        <v/>
      </c>
      <c r="AN137" s="32">
        <f>IF(NOT(ISNUMBER($H137)),"",IF(OR($AH137="",$H137&gt;='設定'!$B$6),0,IF($AK137&gt;='設定'!$B$6,$AJ137,$AJ137+1)))</f>
        <v/>
      </c>
      <c r="AO137" s="71">
        <f>IF($AN137="","",IF($AN137=0,"",IF($AN137=$AJ137,$AM137,$AK137)))</f>
        <v/>
      </c>
      <c r="AP137" s="32">
        <f>IF(OR($AC137="要対応",$AC137="通知期限切れ",$AC137="確認済み",$AC137="有効",$AC137="終了予定"),1,0)</f>
        <v/>
      </c>
      <c r="AQ137" s="32">
        <f>IF(OR($AC137="要対応",$AC137="通知期限切れ"),1,0)</f>
        <v/>
      </c>
      <c r="AR137" s="72">
        <f>IF(AND(ISNUMBER($AB137),OR($AC137="要対応",$AC137="通知期限切れ",$AC137="確認済み",$AC137="有効")),$AB137+ROW()/100000,"")</f>
        <v/>
      </c>
      <c r="AS137" s="32">
        <f>IF($E137="","",IF(COUNTIF($E$5:$E137,$E137)=1,ROW(),""))</f>
        <v/>
      </c>
      <c r="AT137" s="32">
        <f>IF($S137="","",IF(COUNTIF($S$5:$S137,$S137)=1,ROW(),""))</f>
        <v/>
      </c>
    </row>
    <row r="138" ht="20" customHeight="1">
      <c r="A138" s="20" t="n">
        <v>134</v>
      </c>
      <c r="B138" s="21" t="n"/>
      <c r="C138" s="22" t="n"/>
      <c r="D138" s="22" t="n"/>
      <c r="E138" s="22" t="n"/>
      <c r="F138" s="66" t="n"/>
      <c r="G138" s="66" t="n"/>
      <c r="H138" s="66" t="n"/>
      <c r="I138" s="21" t="n"/>
      <c r="J138" s="24" t="n"/>
      <c r="K138" s="24" t="n"/>
      <c r="L138" s="21" t="n"/>
      <c r="M138" s="24" t="n"/>
      <c r="N138" s="21" t="n"/>
      <c r="O138" s="67" t="n"/>
      <c r="P138" s="21" t="n"/>
      <c r="Q138" s="21" t="n"/>
      <c r="R138" s="22" t="n"/>
      <c r="S138" s="22" t="n"/>
      <c r="T138" s="21" t="n"/>
      <c r="U138" s="66" t="n"/>
      <c r="V138" s="66" t="n"/>
      <c r="W138" s="66" t="n"/>
      <c r="X138" s="8" t="n"/>
      <c r="Y138" s="68">
        <f>IF($AN138="","",IF($AN138=0,$H138,IF($AN138=$AJ138,$AK138,$AL138)))</f>
        <v/>
      </c>
      <c r="Z138" s="68">
        <f>IF(OR($Y138="",NOT(ISNUMBER($K138))),"",IF($L138="日前",$Y138-$K138,EDATE($Y138,-$K138)))</f>
        <v/>
      </c>
      <c r="AA138" s="68">
        <f>IF(OR($Y138="",ISNUMBER($V138),N($Y138)&lt;'設定'!$B$6),"",IF($Z138&lt;&gt;"",$Z138,$Y138))</f>
        <v/>
      </c>
      <c r="AB138" s="69">
        <f>IF($AA138="","",$AA138-'設定'!$B$6)</f>
        <v/>
      </c>
      <c r="AC138" s="28">
        <f>IF(NOT(OR($B138&lt;&gt;"",$C138&lt;&gt;"")),"",IF(ISNUMBER($V138),IF($V138&lt;'設定'!$B$6,"終了","終了予定"),IF($Y138="","有効",IF($Y138&lt;'設定'!$B$6,"満了",IF(AND($T138="更新する",ISNUMBER($U138),N($U138)&lt;='設定'!$B$6,OR($AO138="",N($U138)&gt;N($AO138))),"確認済み",IF($AB138&lt;0,"通知期限切れ",IF($AB138&lt;=N('設定'!$B$7),"要対応","有効")))))))</f>
        <v/>
      </c>
      <c r="AD138" s="68">
        <f>IF(OR(NOT(ISNUMBER($M138)),$AC138="",$AC138="終了",$AC138="終了予定",$AC138="満了"),"",IF($N138="日前",'設定'!$B$6+$M138,EDATE('設定'!$B$6,$M138)))</f>
        <v/>
      </c>
      <c r="AE138" s="70">
        <f>IF(NOT(ISNUMBER($O138)),"",IF($P138="月額",$O138*12,IF($P138="年額",$O138,"")))</f>
        <v/>
      </c>
      <c r="AF138" s="30">
        <f>MID(IF(AND(ISNUMBER($G138),ISNUMBER($H138)),IF(N($H138)&lt;N($G138)," / 満了日が開始日より前",""),"")&amp;IF(AND($I138="あり",NOT(ISNUMBER($H138)))," / 自動更新ありなのに満了日が空","")&amp;IF(AND($I138="あり",ISNUMBER($H138),NOT(ISNUMBER($J138)))," / 更新期間が空（更新を計算できない）","")&amp;IF($AH138="","",IF(AND(DAY($AH138)&gt;=29,OR(MOD($J138,12)&lt;&gt;0,MONTH($AH138)=2))," / 更新の初日が29〜31日（更新を重ねると満了日が1日ずれることがある。満了日を今の期間の満了日に書き換えると直る）",""))&amp;IF(AND(ISNUMBER($K138),$L138="")," / 通知の単位が空（か月前で計算）","")&amp;IF(AND(ISNUMBER($M138),$N138="")," / 解約予告の単位が空（か月前で計算）","")&amp;IF(AND(ISNUMBER($O138),$P138="")," / 金額の区分が空","")&amp;IF(AND($T138&lt;&gt;"",NOT(ISNUMBER($U138)))," / 対応を決めた日が空","")&amp;IF(AND(ISNUMBER($U138),$T138="")," / 今期の対応が空","")&amp;IF(AND($T138="更新しない",NOT(ISNUMBER($V138)))," / 更新しないなら、解約・終了した日（契約が終わる日）を入れる",""),4,300)</f>
        <v/>
      </c>
      <c r="AG138" s="53" t="n"/>
      <c r="AH138" s="71">
        <f>IF(AND(ISNUMBER($H138),$I138="あり",ISNUMBER($J138)),IF($J138&gt;=1,$H138+1,""),"")</f>
        <v/>
      </c>
      <c r="AI138" s="32">
        <f>IF($AH138="","",(YEAR('設定'!$B$6)-YEAR($AH138))*12+MONTH('設定'!$B$6)-MONTH($AH138))</f>
        <v/>
      </c>
      <c r="AJ138" s="32">
        <f>IF($AH138="","",MAX(1,ROUNDUP($AI138/$J138,0)))</f>
        <v/>
      </c>
      <c r="AK138" s="71">
        <f>IF($AJ138="","",IF(DAY(EDATE($AH138,$AJ138*$J138))&lt;DAY($AH138),EDATE($AH138,$AJ138*$J138),EDATE($AH138,$AJ138*$J138)-1))</f>
        <v/>
      </c>
      <c r="AL138" s="71">
        <f>IF($AJ138="","",IF(DAY(EDATE($AH138,($AJ138+1)*$J138))&lt;DAY($AH138),EDATE($AH138,($AJ138+1)*$J138),EDATE($AH138,($AJ138+1)*$J138)-1))</f>
        <v/>
      </c>
      <c r="AM138" s="71">
        <f>IF($AJ138="","",IF($AJ138=1,$H138,IF(DAY(EDATE($AH138,($AJ138-1)*$J138))&lt;DAY($AH138),EDATE($AH138,($AJ138-1)*$J138),EDATE($AH138,($AJ138-1)*$J138)-1)))</f>
        <v/>
      </c>
      <c r="AN138" s="32">
        <f>IF(NOT(ISNUMBER($H138)),"",IF(OR($AH138="",$H138&gt;='設定'!$B$6),0,IF($AK138&gt;='設定'!$B$6,$AJ138,$AJ138+1)))</f>
        <v/>
      </c>
      <c r="AO138" s="71">
        <f>IF($AN138="","",IF($AN138=0,"",IF($AN138=$AJ138,$AM138,$AK138)))</f>
        <v/>
      </c>
      <c r="AP138" s="32">
        <f>IF(OR($AC138="要対応",$AC138="通知期限切れ",$AC138="確認済み",$AC138="有効",$AC138="終了予定"),1,0)</f>
        <v/>
      </c>
      <c r="AQ138" s="32">
        <f>IF(OR($AC138="要対応",$AC138="通知期限切れ"),1,0)</f>
        <v/>
      </c>
      <c r="AR138" s="72">
        <f>IF(AND(ISNUMBER($AB138),OR($AC138="要対応",$AC138="通知期限切れ",$AC138="確認済み",$AC138="有効")),$AB138+ROW()/100000,"")</f>
        <v/>
      </c>
      <c r="AS138" s="32">
        <f>IF($E138="","",IF(COUNTIF($E$5:$E138,$E138)=1,ROW(),""))</f>
        <v/>
      </c>
      <c r="AT138" s="32">
        <f>IF($S138="","",IF(COUNTIF($S$5:$S138,$S138)=1,ROW(),""))</f>
        <v/>
      </c>
    </row>
    <row r="139" ht="20" customHeight="1">
      <c r="A139" s="20" t="n">
        <v>135</v>
      </c>
      <c r="B139" s="21" t="n"/>
      <c r="C139" s="22" t="n"/>
      <c r="D139" s="22" t="n"/>
      <c r="E139" s="22" t="n"/>
      <c r="F139" s="66" t="n"/>
      <c r="G139" s="66" t="n"/>
      <c r="H139" s="66" t="n"/>
      <c r="I139" s="21" t="n"/>
      <c r="J139" s="24" t="n"/>
      <c r="K139" s="24" t="n"/>
      <c r="L139" s="21" t="n"/>
      <c r="M139" s="24" t="n"/>
      <c r="N139" s="21" t="n"/>
      <c r="O139" s="67" t="n"/>
      <c r="P139" s="21" t="n"/>
      <c r="Q139" s="21" t="n"/>
      <c r="R139" s="22" t="n"/>
      <c r="S139" s="22" t="n"/>
      <c r="T139" s="21" t="n"/>
      <c r="U139" s="66" t="n"/>
      <c r="V139" s="66" t="n"/>
      <c r="W139" s="66" t="n"/>
      <c r="X139" s="8" t="n"/>
      <c r="Y139" s="68">
        <f>IF($AN139="","",IF($AN139=0,$H139,IF($AN139=$AJ139,$AK139,$AL139)))</f>
        <v/>
      </c>
      <c r="Z139" s="68">
        <f>IF(OR($Y139="",NOT(ISNUMBER($K139))),"",IF($L139="日前",$Y139-$K139,EDATE($Y139,-$K139)))</f>
        <v/>
      </c>
      <c r="AA139" s="68">
        <f>IF(OR($Y139="",ISNUMBER($V139),N($Y139)&lt;'設定'!$B$6),"",IF($Z139&lt;&gt;"",$Z139,$Y139))</f>
        <v/>
      </c>
      <c r="AB139" s="69">
        <f>IF($AA139="","",$AA139-'設定'!$B$6)</f>
        <v/>
      </c>
      <c r="AC139" s="28">
        <f>IF(NOT(OR($B139&lt;&gt;"",$C139&lt;&gt;"")),"",IF(ISNUMBER($V139),IF($V139&lt;'設定'!$B$6,"終了","終了予定"),IF($Y139="","有効",IF($Y139&lt;'設定'!$B$6,"満了",IF(AND($T139="更新する",ISNUMBER($U139),N($U139)&lt;='設定'!$B$6,OR($AO139="",N($U139)&gt;N($AO139))),"確認済み",IF($AB139&lt;0,"通知期限切れ",IF($AB139&lt;=N('設定'!$B$7),"要対応","有効")))))))</f>
        <v/>
      </c>
      <c r="AD139" s="68">
        <f>IF(OR(NOT(ISNUMBER($M139)),$AC139="",$AC139="終了",$AC139="終了予定",$AC139="満了"),"",IF($N139="日前",'設定'!$B$6+$M139,EDATE('設定'!$B$6,$M139)))</f>
        <v/>
      </c>
      <c r="AE139" s="70">
        <f>IF(NOT(ISNUMBER($O139)),"",IF($P139="月額",$O139*12,IF($P139="年額",$O139,"")))</f>
        <v/>
      </c>
      <c r="AF139" s="30">
        <f>MID(IF(AND(ISNUMBER($G139),ISNUMBER($H139)),IF(N($H139)&lt;N($G139)," / 満了日が開始日より前",""),"")&amp;IF(AND($I139="あり",NOT(ISNUMBER($H139)))," / 自動更新ありなのに満了日が空","")&amp;IF(AND($I139="あり",ISNUMBER($H139),NOT(ISNUMBER($J139)))," / 更新期間が空（更新を計算できない）","")&amp;IF($AH139="","",IF(AND(DAY($AH139)&gt;=29,OR(MOD($J139,12)&lt;&gt;0,MONTH($AH139)=2))," / 更新の初日が29〜31日（更新を重ねると満了日が1日ずれることがある。満了日を今の期間の満了日に書き換えると直る）",""))&amp;IF(AND(ISNUMBER($K139),$L139="")," / 通知の単位が空（か月前で計算）","")&amp;IF(AND(ISNUMBER($M139),$N139="")," / 解約予告の単位が空（か月前で計算）","")&amp;IF(AND(ISNUMBER($O139),$P139="")," / 金額の区分が空","")&amp;IF(AND($T139&lt;&gt;"",NOT(ISNUMBER($U139)))," / 対応を決めた日が空","")&amp;IF(AND(ISNUMBER($U139),$T139="")," / 今期の対応が空","")&amp;IF(AND($T139="更新しない",NOT(ISNUMBER($V139)))," / 更新しないなら、解約・終了した日（契約が終わる日）を入れる",""),4,300)</f>
        <v/>
      </c>
      <c r="AG139" s="53" t="n"/>
      <c r="AH139" s="71">
        <f>IF(AND(ISNUMBER($H139),$I139="あり",ISNUMBER($J139)),IF($J139&gt;=1,$H139+1,""),"")</f>
        <v/>
      </c>
      <c r="AI139" s="32">
        <f>IF($AH139="","",(YEAR('設定'!$B$6)-YEAR($AH139))*12+MONTH('設定'!$B$6)-MONTH($AH139))</f>
        <v/>
      </c>
      <c r="AJ139" s="32">
        <f>IF($AH139="","",MAX(1,ROUNDUP($AI139/$J139,0)))</f>
        <v/>
      </c>
      <c r="AK139" s="71">
        <f>IF($AJ139="","",IF(DAY(EDATE($AH139,$AJ139*$J139))&lt;DAY($AH139),EDATE($AH139,$AJ139*$J139),EDATE($AH139,$AJ139*$J139)-1))</f>
        <v/>
      </c>
      <c r="AL139" s="71">
        <f>IF($AJ139="","",IF(DAY(EDATE($AH139,($AJ139+1)*$J139))&lt;DAY($AH139),EDATE($AH139,($AJ139+1)*$J139),EDATE($AH139,($AJ139+1)*$J139)-1))</f>
        <v/>
      </c>
      <c r="AM139" s="71">
        <f>IF($AJ139="","",IF($AJ139=1,$H139,IF(DAY(EDATE($AH139,($AJ139-1)*$J139))&lt;DAY($AH139),EDATE($AH139,($AJ139-1)*$J139),EDATE($AH139,($AJ139-1)*$J139)-1)))</f>
        <v/>
      </c>
      <c r="AN139" s="32">
        <f>IF(NOT(ISNUMBER($H139)),"",IF(OR($AH139="",$H139&gt;='設定'!$B$6),0,IF($AK139&gt;='設定'!$B$6,$AJ139,$AJ139+1)))</f>
        <v/>
      </c>
      <c r="AO139" s="71">
        <f>IF($AN139="","",IF($AN139=0,"",IF($AN139=$AJ139,$AM139,$AK139)))</f>
        <v/>
      </c>
      <c r="AP139" s="32">
        <f>IF(OR($AC139="要対応",$AC139="通知期限切れ",$AC139="確認済み",$AC139="有効",$AC139="終了予定"),1,0)</f>
        <v/>
      </c>
      <c r="AQ139" s="32">
        <f>IF(OR($AC139="要対応",$AC139="通知期限切れ"),1,0)</f>
        <v/>
      </c>
      <c r="AR139" s="72">
        <f>IF(AND(ISNUMBER($AB139),OR($AC139="要対応",$AC139="通知期限切れ",$AC139="確認済み",$AC139="有効")),$AB139+ROW()/100000,"")</f>
        <v/>
      </c>
      <c r="AS139" s="32">
        <f>IF($E139="","",IF(COUNTIF($E$5:$E139,$E139)=1,ROW(),""))</f>
        <v/>
      </c>
      <c r="AT139" s="32">
        <f>IF($S139="","",IF(COUNTIF($S$5:$S139,$S139)=1,ROW(),""))</f>
        <v/>
      </c>
    </row>
    <row r="140" ht="20" customHeight="1">
      <c r="A140" s="20" t="n">
        <v>136</v>
      </c>
      <c r="B140" s="21" t="n"/>
      <c r="C140" s="22" t="n"/>
      <c r="D140" s="22" t="n"/>
      <c r="E140" s="22" t="n"/>
      <c r="F140" s="66" t="n"/>
      <c r="G140" s="66" t="n"/>
      <c r="H140" s="66" t="n"/>
      <c r="I140" s="21" t="n"/>
      <c r="J140" s="24" t="n"/>
      <c r="K140" s="24" t="n"/>
      <c r="L140" s="21" t="n"/>
      <c r="M140" s="24" t="n"/>
      <c r="N140" s="21" t="n"/>
      <c r="O140" s="67" t="n"/>
      <c r="P140" s="21" t="n"/>
      <c r="Q140" s="21" t="n"/>
      <c r="R140" s="22" t="n"/>
      <c r="S140" s="22" t="n"/>
      <c r="T140" s="21" t="n"/>
      <c r="U140" s="66" t="n"/>
      <c r="V140" s="66" t="n"/>
      <c r="W140" s="66" t="n"/>
      <c r="X140" s="8" t="n"/>
      <c r="Y140" s="68">
        <f>IF($AN140="","",IF($AN140=0,$H140,IF($AN140=$AJ140,$AK140,$AL140)))</f>
        <v/>
      </c>
      <c r="Z140" s="68">
        <f>IF(OR($Y140="",NOT(ISNUMBER($K140))),"",IF($L140="日前",$Y140-$K140,EDATE($Y140,-$K140)))</f>
        <v/>
      </c>
      <c r="AA140" s="68">
        <f>IF(OR($Y140="",ISNUMBER($V140),N($Y140)&lt;'設定'!$B$6),"",IF($Z140&lt;&gt;"",$Z140,$Y140))</f>
        <v/>
      </c>
      <c r="AB140" s="69">
        <f>IF($AA140="","",$AA140-'設定'!$B$6)</f>
        <v/>
      </c>
      <c r="AC140" s="28">
        <f>IF(NOT(OR($B140&lt;&gt;"",$C140&lt;&gt;"")),"",IF(ISNUMBER($V140),IF($V140&lt;'設定'!$B$6,"終了","終了予定"),IF($Y140="","有効",IF($Y140&lt;'設定'!$B$6,"満了",IF(AND($T140="更新する",ISNUMBER($U140),N($U140)&lt;='設定'!$B$6,OR($AO140="",N($U140)&gt;N($AO140))),"確認済み",IF($AB140&lt;0,"通知期限切れ",IF($AB140&lt;=N('設定'!$B$7),"要対応","有効")))))))</f>
        <v/>
      </c>
      <c r="AD140" s="68">
        <f>IF(OR(NOT(ISNUMBER($M140)),$AC140="",$AC140="終了",$AC140="終了予定",$AC140="満了"),"",IF($N140="日前",'設定'!$B$6+$M140,EDATE('設定'!$B$6,$M140)))</f>
        <v/>
      </c>
      <c r="AE140" s="70">
        <f>IF(NOT(ISNUMBER($O140)),"",IF($P140="月額",$O140*12,IF($P140="年額",$O140,"")))</f>
        <v/>
      </c>
      <c r="AF140" s="30">
        <f>MID(IF(AND(ISNUMBER($G140),ISNUMBER($H140)),IF(N($H140)&lt;N($G140)," / 満了日が開始日より前",""),"")&amp;IF(AND($I140="あり",NOT(ISNUMBER($H140)))," / 自動更新ありなのに満了日が空","")&amp;IF(AND($I140="あり",ISNUMBER($H140),NOT(ISNUMBER($J140)))," / 更新期間が空（更新を計算できない）","")&amp;IF($AH140="","",IF(AND(DAY($AH140)&gt;=29,OR(MOD($J140,12)&lt;&gt;0,MONTH($AH140)=2))," / 更新の初日が29〜31日（更新を重ねると満了日が1日ずれることがある。満了日を今の期間の満了日に書き換えると直る）",""))&amp;IF(AND(ISNUMBER($K140),$L140="")," / 通知の単位が空（か月前で計算）","")&amp;IF(AND(ISNUMBER($M140),$N140="")," / 解約予告の単位が空（か月前で計算）","")&amp;IF(AND(ISNUMBER($O140),$P140="")," / 金額の区分が空","")&amp;IF(AND($T140&lt;&gt;"",NOT(ISNUMBER($U140)))," / 対応を決めた日が空","")&amp;IF(AND(ISNUMBER($U140),$T140="")," / 今期の対応が空","")&amp;IF(AND($T140="更新しない",NOT(ISNUMBER($V140)))," / 更新しないなら、解約・終了した日（契約が終わる日）を入れる",""),4,300)</f>
        <v/>
      </c>
      <c r="AG140" s="53" t="n"/>
      <c r="AH140" s="71">
        <f>IF(AND(ISNUMBER($H140),$I140="あり",ISNUMBER($J140)),IF($J140&gt;=1,$H140+1,""),"")</f>
        <v/>
      </c>
      <c r="AI140" s="32">
        <f>IF($AH140="","",(YEAR('設定'!$B$6)-YEAR($AH140))*12+MONTH('設定'!$B$6)-MONTH($AH140))</f>
        <v/>
      </c>
      <c r="AJ140" s="32">
        <f>IF($AH140="","",MAX(1,ROUNDUP($AI140/$J140,0)))</f>
        <v/>
      </c>
      <c r="AK140" s="71">
        <f>IF($AJ140="","",IF(DAY(EDATE($AH140,$AJ140*$J140))&lt;DAY($AH140),EDATE($AH140,$AJ140*$J140),EDATE($AH140,$AJ140*$J140)-1))</f>
        <v/>
      </c>
      <c r="AL140" s="71">
        <f>IF($AJ140="","",IF(DAY(EDATE($AH140,($AJ140+1)*$J140))&lt;DAY($AH140),EDATE($AH140,($AJ140+1)*$J140),EDATE($AH140,($AJ140+1)*$J140)-1))</f>
        <v/>
      </c>
      <c r="AM140" s="71">
        <f>IF($AJ140="","",IF($AJ140=1,$H140,IF(DAY(EDATE($AH140,($AJ140-1)*$J140))&lt;DAY($AH140),EDATE($AH140,($AJ140-1)*$J140),EDATE($AH140,($AJ140-1)*$J140)-1)))</f>
        <v/>
      </c>
      <c r="AN140" s="32">
        <f>IF(NOT(ISNUMBER($H140)),"",IF(OR($AH140="",$H140&gt;='設定'!$B$6),0,IF($AK140&gt;='設定'!$B$6,$AJ140,$AJ140+1)))</f>
        <v/>
      </c>
      <c r="AO140" s="71">
        <f>IF($AN140="","",IF($AN140=0,"",IF($AN140=$AJ140,$AM140,$AK140)))</f>
        <v/>
      </c>
      <c r="AP140" s="32">
        <f>IF(OR($AC140="要対応",$AC140="通知期限切れ",$AC140="確認済み",$AC140="有効",$AC140="終了予定"),1,0)</f>
        <v/>
      </c>
      <c r="AQ140" s="32">
        <f>IF(OR($AC140="要対応",$AC140="通知期限切れ"),1,0)</f>
        <v/>
      </c>
      <c r="AR140" s="72">
        <f>IF(AND(ISNUMBER($AB140),OR($AC140="要対応",$AC140="通知期限切れ",$AC140="確認済み",$AC140="有効")),$AB140+ROW()/100000,"")</f>
        <v/>
      </c>
      <c r="AS140" s="32">
        <f>IF($E140="","",IF(COUNTIF($E$5:$E140,$E140)=1,ROW(),""))</f>
        <v/>
      </c>
      <c r="AT140" s="32">
        <f>IF($S140="","",IF(COUNTIF($S$5:$S140,$S140)=1,ROW(),""))</f>
        <v/>
      </c>
    </row>
    <row r="141" ht="20" customHeight="1">
      <c r="A141" s="20" t="n">
        <v>137</v>
      </c>
      <c r="B141" s="21" t="n"/>
      <c r="C141" s="22" t="n"/>
      <c r="D141" s="22" t="n"/>
      <c r="E141" s="22" t="n"/>
      <c r="F141" s="66" t="n"/>
      <c r="G141" s="66" t="n"/>
      <c r="H141" s="66" t="n"/>
      <c r="I141" s="21" t="n"/>
      <c r="J141" s="24" t="n"/>
      <c r="K141" s="24" t="n"/>
      <c r="L141" s="21" t="n"/>
      <c r="M141" s="24" t="n"/>
      <c r="N141" s="21" t="n"/>
      <c r="O141" s="67" t="n"/>
      <c r="P141" s="21" t="n"/>
      <c r="Q141" s="21" t="n"/>
      <c r="R141" s="22" t="n"/>
      <c r="S141" s="22" t="n"/>
      <c r="T141" s="21" t="n"/>
      <c r="U141" s="66" t="n"/>
      <c r="V141" s="66" t="n"/>
      <c r="W141" s="66" t="n"/>
      <c r="X141" s="8" t="n"/>
      <c r="Y141" s="68">
        <f>IF($AN141="","",IF($AN141=0,$H141,IF($AN141=$AJ141,$AK141,$AL141)))</f>
        <v/>
      </c>
      <c r="Z141" s="68">
        <f>IF(OR($Y141="",NOT(ISNUMBER($K141))),"",IF($L141="日前",$Y141-$K141,EDATE($Y141,-$K141)))</f>
        <v/>
      </c>
      <c r="AA141" s="68">
        <f>IF(OR($Y141="",ISNUMBER($V141),N($Y141)&lt;'設定'!$B$6),"",IF($Z141&lt;&gt;"",$Z141,$Y141))</f>
        <v/>
      </c>
      <c r="AB141" s="69">
        <f>IF($AA141="","",$AA141-'設定'!$B$6)</f>
        <v/>
      </c>
      <c r="AC141" s="28">
        <f>IF(NOT(OR($B141&lt;&gt;"",$C141&lt;&gt;"")),"",IF(ISNUMBER($V141),IF($V141&lt;'設定'!$B$6,"終了","終了予定"),IF($Y141="","有効",IF($Y141&lt;'設定'!$B$6,"満了",IF(AND($T141="更新する",ISNUMBER($U141),N($U141)&lt;='設定'!$B$6,OR($AO141="",N($U141)&gt;N($AO141))),"確認済み",IF($AB141&lt;0,"通知期限切れ",IF($AB141&lt;=N('設定'!$B$7),"要対応","有効")))))))</f>
        <v/>
      </c>
      <c r="AD141" s="68">
        <f>IF(OR(NOT(ISNUMBER($M141)),$AC141="",$AC141="終了",$AC141="終了予定",$AC141="満了"),"",IF($N141="日前",'設定'!$B$6+$M141,EDATE('設定'!$B$6,$M141)))</f>
        <v/>
      </c>
      <c r="AE141" s="70">
        <f>IF(NOT(ISNUMBER($O141)),"",IF($P141="月額",$O141*12,IF($P141="年額",$O141,"")))</f>
        <v/>
      </c>
      <c r="AF141" s="30">
        <f>MID(IF(AND(ISNUMBER($G141),ISNUMBER($H141)),IF(N($H141)&lt;N($G141)," / 満了日が開始日より前",""),"")&amp;IF(AND($I141="あり",NOT(ISNUMBER($H141)))," / 自動更新ありなのに満了日が空","")&amp;IF(AND($I141="あり",ISNUMBER($H141),NOT(ISNUMBER($J141)))," / 更新期間が空（更新を計算できない）","")&amp;IF($AH141="","",IF(AND(DAY($AH141)&gt;=29,OR(MOD($J141,12)&lt;&gt;0,MONTH($AH141)=2))," / 更新の初日が29〜31日（更新を重ねると満了日が1日ずれることがある。満了日を今の期間の満了日に書き換えると直る）",""))&amp;IF(AND(ISNUMBER($K141),$L141="")," / 通知の単位が空（か月前で計算）","")&amp;IF(AND(ISNUMBER($M141),$N141="")," / 解約予告の単位が空（か月前で計算）","")&amp;IF(AND(ISNUMBER($O141),$P141="")," / 金額の区分が空","")&amp;IF(AND($T141&lt;&gt;"",NOT(ISNUMBER($U141)))," / 対応を決めた日が空","")&amp;IF(AND(ISNUMBER($U141),$T141="")," / 今期の対応が空","")&amp;IF(AND($T141="更新しない",NOT(ISNUMBER($V141)))," / 更新しないなら、解約・終了した日（契約が終わる日）を入れる",""),4,300)</f>
        <v/>
      </c>
      <c r="AG141" s="53" t="n"/>
      <c r="AH141" s="71">
        <f>IF(AND(ISNUMBER($H141),$I141="あり",ISNUMBER($J141)),IF($J141&gt;=1,$H141+1,""),"")</f>
        <v/>
      </c>
      <c r="AI141" s="32">
        <f>IF($AH141="","",(YEAR('設定'!$B$6)-YEAR($AH141))*12+MONTH('設定'!$B$6)-MONTH($AH141))</f>
        <v/>
      </c>
      <c r="AJ141" s="32">
        <f>IF($AH141="","",MAX(1,ROUNDUP($AI141/$J141,0)))</f>
        <v/>
      </c>
      <c r="AK141" s="71">
        <f>IF($AJ141="","",IF(DAY(EDATE($AH141,$AJ141*$J141))&lt;DAY($AH141),EDATE($AH141,$AJ141*$J141),EDATE($AH141,$AJ141*$J141)-1))</f>
        <v/>
      </c>
      <c r="AL141" s="71">
        <f>IF($AJ141="","",IF(DAY(EDATE($AH141,($AJ141+1)*$J141))&lt;DAY($AH141),EDATE($AH141,($AJ141+1)*$J141),EDATE($AH141,($AJ141+1)*$J141)-1))</f>
        <v/>
      </c>
      <c r="AM141" s="71">
        <f>IF($AJ141="","",IF($AJ141=1,$H141,IF(DAY(EDATE($AH141,($AJ141-1)*$J141))&lt;DAY($AH141),EDATE($AH141,($AJ141-1)*$J141),EDATE($AH141,($AJ141-1)*$J141)-1)))</f>
        <v/>
      </c>
      <c r="AN141" s="32">
        <f>IF(NOT(ISNUMBER($H141)),"",IF(OR($AH141="",$H141&gt;='設定'!$B$6),0,IF($AK141&gt;='設定'!$B$6,$AJ141,$AJ141+1)))</f>
        <v/>
      </c>
      <c r="AO141" s="71">
        <f>IF($AN141="","",IF($AN141=0,"",IF($AN141=$AJ141,$AM141,$AK141)))</f>
        <v/>
      </c>
      <c r="AP141" s="32">
        <f>IF(OR($AC141="要対応",$AC141="通知期限切れ",$AC141="確認済み",$AC141="有効",$AC141="終了予定"),1,0)</f>
        <v/>
      </c>
      <c r="AQ141" s="32">
        <f>IF(OR($AC141="要対応",$AC141="通知期限切れ"),1,0)</f>
        <v/>
      </c>
      <c r="AR141" s="72">
        <f>IF(AND(ISNUMBER($AB141),OR($AC141="要対応",$AC141="通知期限切れ",$AC141="確認済み",$AC141="有効")),$AB141+ROW()/100000,"")</f>
        <v/>
      </c>
      <c r="AS141" s="32">
        <f>IF($E141="","",IF(COUNTIF($E$5:$E141,$E141)=1,ROW(),""))</f>
        <v/>
      </c>
      <c r="AT141" s="32">
        <f>IF($S141="","",IF(COUNTIF($S$5:$S141,$S141)=1,ROW(),""))</f>
        <v/>
      </c>
    </row>
    <row r="142" ht="20" customHeight="1">
      <c r="A142" s="20" t="n">
        <v>138</v>
      </c>
      <c r="B142" s="21" t="n"/>
      <c r="C142" s="22" t="n"/>
      <c r="D142" s="22" t="n"/>
      <c r="E142" s="22" t="n"/>
      <c r="F142" s="66" t="n"/>
      <c r="G142" s="66" t="n"/>
      <c r="H142" s="66" t="n"/>
      <c r="I142" s="21" t="n"/>
      <c r="J142" s="24" t="n"/>
      <c r="K142" s="24" t="n"/>
      <c r="L142" s="21" t="n"/>
      <c r="M142" s="24" t="n"/>
      <c r="N142" s="21" t="n"/>
      <c r="O142" s="67" t="n"/>
      <c r="P142" s="21" t="n"/>
      <c r="Q142" s="21" t="n"/>
      <c r="R142" s="22" t="n"/>
      <c r="S142" s="22" t="n"/>
      <c r="T142" s="21" t="n"/>
      <c r="U142" s="66" t="n"/>
      <c r="V142" s="66" t="n"/>
      <c r="W142" s="66" t="n"/>
      <c r="X142" s="8" t="n"/>
      <c r="Y142" s="68">
        <f>IF($AN142="","",IF($AN142=0,$H142,IF($AN142=$AJ142,$AK142,$AL142)))</f>
        <v/>
      </c>
      <c r="Z142" s="68">
        <f>IF(OR($Y142="",NOT(ISNUMBER($K142))),"",IF($L142="日前",$Y142-$K142,EDATE($Y142,-$K142)))</f>
        <v/>
      </c>
      <c r="AA142" s="68">
        <f>IF(OR($Y142="",ISNUMBER($V142),N($Y142)&lt;'設定'!$B$6),"",IF($Z142&lt;&gt;"",$Z142,$Y142))</f>
        <v/>
      </c>
      <c r="AB142" s="69">
        <f>IF($AA142="","",$AA142-'設定'!$B$6)</f>
        <v/>
      </c>
      <c r="AC142" s="28">
        <f>IF(NOT(OR($B142&lt;&gt;"",$C142&lt;&gt;"")),"",IF(ISNUMBER($V142),IF($V142&lt;'設定'!$B$6,"終了","終了予定"),IF($Y142="","有効",IF($Y142&lt;'設定'!$B$6,"満了",IF(AND($T142="更新する",ISNUMBER($U142),N($U142)&lt;='設定'!$B$6,OR($AO142="",N($U142)&gt;N($AO142))),"確認済み",IF($AB142&lt;0,"通知期限切れ",IF($AB142&lt;=N('設定'!$B$7),"要対応","有効")))))))</f>
        <v/>
      </c>
      <c r="AD142" s="68">
        <f>IF(OR(NOT(ISNUMBER($M142)),$AC142="",$AC142="終了",$AC142="終了予定",$AC142="満了"),"",IF($N142="日前",'設定'!$B$6+$M142,EDATE('設定'!$B$6,$M142)))</f>
        <v/>
      </c>
      <c r="AE142" s="70">
        <f>IF(NOT(ISNUMBER($O142)),"",IF($P142="月額",$O142*12,IF($P142="年額",$O142,"")))</f>
        <v/>
      </c>
      <c r="AF142" s="30">
        <f>MID(IF(AND(ISNUMBER($G142),ISNUMBER($H142)),IF(N($H142)&lt;N($G142)," / 満了日が開始日より前",""),"")&amp;IF(AND($I142="あり",NOT(ISNUMBER($H142)))," / 自動更新ありなのに満了日が空","")&amp;IF(AND($I142="あり",ISNUMBER($H142),NOT(ISNUMBER($J142)))," / 更新期間が空（更新を計算できない）","")&amp;IF($AH142="","",IF(AND(DAY($AH142)&gt;=29,OR(MOD($J142,12)&lt;&gt;0,MONTH($AH142)=2))," / 更新の初日が29〜31日（更新を重ねると満了日が1日ずれることがある。満了日を今の期間の満了日に書き換えると直る）",""))&amp;IF(AND(ISNUMBER($K142),$L142="")," / 通知の単位が空（か月前で計算）","")&amp;IF(AND(ISNUMBER($M142),$N142="")," / 解約予告の単位が空（か月前で計算）","")&amp;IF(AND(ISNUMBER($O142),$P142="")," / 金額の区分が空","")&amp;IF(AND($T142&lt;&gt;"",NOT(ISNUMBER($U142)))," / 対応を決めた日が空","")&amp;IF(AND(ISNUMBER($U142),$T142="")," / 今期の対応が空","")&amp;IF(AND($T142="更新しない",NOT(ISNUMBER($V142)))," / 更新しないなら、解約・終了した日（契約が終わる日）を入れる",""),4,300)</f>
        <v/>
      </c>
      <c r="AG142" s="53" t="n"/>
      <c r="AH142" s="71">
        <f>IF(AND(ISNUMBER($H142),$I142="あり",ISNUMBER($J142)),IF($J142&gt;=1,$H142+1,""),"")</f>
        <v/>
      </c>
      <c r="AI142" s="32">
        <f>IF($AH142="","",(YEAR('設定'!$B$6)-YEAR($AH142))*12+MONTH('設定'!$B$6)-MONTH($AH142))</f>
        <v/>
      </c>
      <c r="AJ142" s="32">
        <f>IF($AH142="","",MAX(1,ROUNDUP($AI142/$J142,0)))</f>
        <v/>
      </c>
      <c r="AK142" s="71">
        <f>IF($AJ142="","",IF(DAY(EDATE($AH142,$AJ142*$J142))&lt;DAY($AH142),EDATE($AH142,$AJ142*$J142),EDATE($AH142,$AJ142*$J142)-1))</f>
        <v/>
      </c>
      <c r="AL142" s="71">
        <f>IF($AJ142="","",IF(DAY(EDATE($AH142,($AJ142+1)*$J142))&lt;DAY($AH142),EDATE($AH142,($AJ142+1)*$J142),EDATE($AH142,($AJ142+1)*$J142)-1))</f>
        <v/>
      </c>
      <c r="AM142" s="71">
        <f>IF($AJ142="","",IF($AJ142=1,$H142,IF(DAY(EDATE($AH142,($AJ142-1)*$J142))&lt;DAY($AH142),EDATE($AH142,($AJ142-1)*$J142),EDATE($AH142,($AJ142-1)*$J142)-1)))</f>
        <v/>
      </c>
      <c r="AN142" s="32">
        <f>IF(NOT(ISNUMBER($H142)),"",IF(OR($AH142="",$H142&gt;='設定'!$B$6),0,IF($AK142&gt;='設定'!$B$6,$AJ142,$AJ142+1)))</f>
        <v/>
      </c>
      <c r="AO142" s="71">
        <f>IF($AN142="","",IF($AN142=0,"",IF($AN142=$AJ142,$AM142,$AK142)))</f>
        <v/>
      </c>
      <c r="AP142" s="32">
        <f>IF(OR($AC142="要対応",$AC142="通知期限切れ",$AC142="確認済み",$AC142="有効",$AC142="終了予定"),1,0)</f>
        <v/>
      </c>
      <c r="AQ142" s="32">
        <f>IF(OR($AC142="要対応",$AC142="通知期限切れ"),1,0)</f>
        <v/>
      </c>
      <c r="AR142" s="72">
        <f>IF(AND(ISNUMBER($AB142),OR($AC142="要対応",$AC142="通知期限切れ",$AC142="確認済み",$AC142="有効")),$AB142+ROW()/100000,"")</f>
        <v/>
      </c>
      <c r="AS142" s="32">
        <f>IF($E142="","",IF(COUNTIF($E$5:$E142,$E142)=1,ROW(),""))</f>
        <v/>
      </c>
      <c r="AT142" s="32">
        <f>IF($S142="","",IF(COUNTIF($S$5:$S142,$S142)=1,ROW(),""))</f>
        <v/>
      </c>
    </row>
    <row r="143" ht="20" customHeight="1">
      <c r="A143" s="20" t="n">
        <v>139</v>
      </c>
      <c r="B143" s="21" t="n"/>
      <c r="C143" s="22" t="n"/>
      <c r="D143" s="22" t="n"/>
      <c r="E143" s="22" t="n"/>
      <c r="F143" s="66" t="n"/>
      <c r="G143" s="66" t="n"/>
      <c r="H143" s="66" t="n"/>
      <c r="I143" s="21" t="n"/>
      <c r="J143" s="24" t="n"/>
      <c r="K143" s="24" t="n"/>
      <c r="L143" s="21" t="n"/>
      <c r="M143" s="24" t="n"/>
      <c r="N143" s="21" t="n"/>
      <c r="O143" s="67" t="n"/>
      <c r="P143" s="21" t="n"/>
      <c r="Q143" s="21" t="n"/>
      <c r="R143" s="22" t="n"/>
      <c r="S143" s="22" t="n"/>
      <c r="T143" s="21" t="n"/>
      <c r="U143" s="66" t="n"/>
      <c r="V143" s="66" t="n"/>
      <c r="W143" s="66" t="n"/>
      <c r="X143" s="8" t="n"/>
      <c r="Y143" s="68">
        <f>IF($AN143="","",IF($AN143=0,$H143,IF($AN143=$AJ143,$AK143,$AL143)))</f>
        <v/>
      </c>
      <c r="Z143" s="68">
        <f>IF(OR($Y143="",NOT(ISNUMBER($K143))),"",IF($L143="日前",$Y143-$K143,EDATE($Y143,-$K143)))</f>
        <v/>
      </c>
      <c r="AA143" s="68">
        <f>IF(OR($Y143="",ISNUMBER($V143),N($Y143)&lt;'設定'!$B$6),"",IF($Z143&lt;&gt;"",$Z143,$Y143))</f>
        <v/>
      </c>
      <c r="AB143" s="69">
        <f>IF($AA143="","",$AA143-'設定'!$B$6)</f>
        <v/>
      </c>
      <c r="AC143" s="28">
        <f>IF(NOT(OR($B143&lt;&gt;"",$C143&lt;&gt;"")),"",IF(ISNUMBER($V143),IF($V143&lt;'設定'!$B$6,"終了","終了予定"),IF($Y143="","有効",IF($Y143&lt;'設定'!$B$6,"満了",IF(AND($T143="更新する",ISNUMBER($U143),N($U143)&lt;='設定'!$B$6,OR($AO143="",N($U143)&gt;N($AO143))),"確認済み",IF($AB143&lt;0,"通知期限切れ",IF($AB143&lt;=N('設定'!$B$7),"要対応","有効")))))))</f>
        <v/>
      </c>
      <c r="AD143" s="68">
        <f>IF(OR(NOT(ISNUMBER($M143)),$AC143="",$AC143="終了",$AC143="終了予定",$AC143="満了"),"",IF($N143="日前",'設定'!$B$6+$M143,EDATE('設定'!$B$6,$M143)))</f>
        <v/>
      </c>
      <c r="AE143" s="70">
        <f>IF(NOT(ISNUMBER($O143)),"",IF($P143="月額",$O143*12,IF($P143="年額",$O143,"")))</f>
        <v/>
      </c>
      <c r="AF143" s="30">
        <f>MID(IF(AND(ISNUMBER($G143),ISNUMBER($H143)),IF(N($H143)&lt;N($G143)," / 満了日が開始日より前",""),"")&amp;IF(AND($I143="あり",NOT(ISNUMBER($H143)))," / 自動更新ありなのに満了日が空","")&amp;IF(AND($I143="あり",ISNUMBER($H143),NOT(ISNUMBER($J143)))," / 更新期間が空（更新を計算できない）","")&amp;IF($AH143="","",IF(AND(DAY($AH143)&gt;=29,OR(MOD($J143,12)&lt;&gt;0,MONTH($AH143)=2))," / 更新の初日が29〜31日（更新を重ねると満了日が1日ずれることがある。満了日を今の期間の満了日に書き換えると直る）",""))&amp;IF(AND(ISNUMBER($K143),$L143="")," / 通知の単位が空（か月前で計算）","")&amp;IF(AND(ISNUMBER($M143),$N143="")," / 解約予告の単位が空（か月前で計算）","")&amp;IF(AND(ISNUMBER($O143),$P143="")," / 金額の区分が空","")&amp;IF(AND($T143&lt;&gt;"",NOT(ISNUMBER($U143)))," / 対応を決めた日が空","")&amp;IF(AND(ISNUMBER($U143),$T143="")," / 今期の対応が空","")&amp;IF(AND($T143="更新しない",NOT(ISNUMBER($V143)))," / 更新しないなら、解約・終了した日（契約が終わる日）を入れる",""),4,300)</f>
        <v/>
      </c>
      <c r="AG143" s="53" t="n"/>
      <c r="AH143" s="71">
        <f>IF(AND(ISNUMBER($H143),$I143="あり",ISNUMBER($J143)),IF($J143&gt;=1,$H143+1,""),"")</f>
        <v/>
      </c>
      <c r="AI143" s="32">
        <f>IF($AH143="","",(YEAR('設定'!$B$6)-YEAR($AH143))*12+MONTH('設定'!$B$6)-MONTH($AH143))</f>
        <v/>
      </c>
      <c r="AJ143" s="32">
        <f>IF($AH143="","",MAX(1,ROUNDUP($AI143/$J143,0)))</f>
        <v/>
      </c>
      <c r="AK143" s="71">
        <f>IF($AJ143="","",IF(DAY(EDATE($AH143,$AJ143*$J143))&lt;DAY($AH143),EDATE($AH143,$AJ143*$J143),EDATE($AH143,$AJ143*$J143)-1))</f>
        <v/>
      </c>
      <c r="AL143" s="71">
        <f>IF($AJ143="","",IF(DAY(EDATE($AH143,($AJ143+1)*$J143))&lt;DAY($AH143),EDATE($AH143,($AJ143+1)*$J143),EDATE($AH143,($AJ143+1)*$J143)-1))</f>
        <v/>
      </c>
      <c r="AM143" s="71">
        <f>IF($AJ143="","",IF($AJ143=1,$H143,IF(DAY(EDATE($AH143,($AJ143-1)*$J143))&lt;DAY($AH143),EDATE($AH143,($AJ143-1)*$J143),EDATE($AH143,($AJ143-1)*$J143)-1)))</f>
        <v/>
      </c>
      <c r="AN143" s="32">
        <f>IF(NOT(ISNUMBER($H143)),"",IF(OR($AH143="",$H143&gt;='設定'!$B$6),0,IF($AK143&gt;='設定'!$B$6,$AJ143,$AJ143+1)))</f>
        <v/>
      </c>
      <c r="AO143" s="71">
        <f>IF($AN143="","",IF($AN143=0,"",IF($AN143=$AJ143,$AM143,$AK143)))</f>
        <v/>
      </c>
      <c r="AP143" s="32">
        <f>IF(OR($AC143="要対応",$AC143="通知期限切れ",$AC143="確認済み",$AC143="有効",$AC143="終了予定"),1,0)</f>
        <v/>
      </c>
      <c r="AQ143" s="32">
        <f>IF(OR($AC143="要対応",$AC143="通知期限切れ"),1,0)</f>
        <v/>
      </c>
      <c r="AR143" s="72">
        <f>IF(AND(ISNUMBER($AB143),OR($AC143="要対応",$AC143="通知期限切れ",$AC143="確認済み",$AC143="有効")),$AB143+ROW()/100000,"")</f>
        <v/>
      </c>
      <c r="AS143" s="32">
        <f>IF($E143="","",IF(COUNTIF($E$5:$E143,$E143)=1,ROW(),""))</f>
        <v/>
      </c>
      <c r="AT143" s="32">
        <f>IF($S143="","",IF(COUNTIF($S$5:$S143,$S143)=1,ROW(),""))</f>
        <v/>
      </c>
    </row>
    <row r="144" ht="20" customHeight="1">
      <c r="A144" s="20" t="n">
        <v>140</v>
      </c>
      <c r="B144" s="21" t="n"/>
      <c r="C144" s="22" t="n"/>
      <c r="D144" s="22" t="n"/>
      <c r="E144" s="22" t="n"/>
      <c r="F144" s="66" t="n"/>
      <c r="G144" s="66" t="n"/>
      <c r="H144" s="66" t="n"/>
      <c r="I144" s="21" t="n"/>
      <c r="J144" s="24" t="n"/>
      <c r="K144" s="24" t="n"/>
      <c r="L144" s="21" t="n"/>
      <c r="M144" s="24" t="n"/>
      <c r="N144" s="21" t="n"/>
      <c r="O144" s="67" t="n"/>
      <c r="P144" s="21" t="n"/>
      <c r="Q144" s="21" t="n"/>
      <c r="R144" s="22" t="n"/>
      <c r="S144" s="22" t="n"/>
      <c r="T144" s="21" t="n"/>
      <c r="U144" s="66" t="n"/>
      <c r="V144" s="66" t="n"/>
      <c r="W144" s="66" t="n"/>
      <c r="X144" s="8" t="n"/>
      <c r="Y144" s="68">
        <f>IF($AN144="","",IF($AN144=0,$H144,IF($AN144=$AJ144,$AK144,$AL144)))</f>
        <v/>
      </c>
      <c r="Z144" s="68">
        <f>IF(OR($Y144="",NOT(ISNUMBER($K144))),"",IF($L144="日前",$Y144-$K144,EDATE($Y144,-$K144)))</f>
        <v/>
      </c>
      <c r="AA144" s="68">
        <f>IF(OR($Y144="",ISNUMBER($V144),N($Y144)&lt;'設定'!$B$6),"",IF($Z144&lt;&gt;"",$Z144,$Y144))</f>
        <v/>
      </c>
      <c r="AB144" s="69">
        <f>IF($AA144="","",$AA144-'設定'!$B$6)</f>
        <v/>
      </c>
      <c r="AC144" s="28">
        <f>IF(NOT(OR($B144&lt;&gt;"",$C144&lt;&gt;"")),"",IF(ISNUMBER($V144),IF($V144&lt;'設定'!$B$6,"終了","終了予定"),IF($Y144="","有効",IF($Y144&lt;'設定'!$B$6,"満了",IF(AND($T144="更新する",ISNUMBER($U144),N($U144)&lt;='設定'!$B$6,OR($AO144="",N($U144)&gt;N($AO144))),"確認済み",IF($AB144&lt;0,"通知期限切れ",IF($AB144&lt;=N('設定'!$B$7),"要対応","有効")))))))</f>
        <v/>
      </c>
      <c r="AD144" s="68">
        <f>IF(OR(NOT(ISNUMBER($M144)),$AC144="",$AC144="終了",$AC144="終了予定",$AC144="満了"),"",IF($N144="日前",'設定'!$B$6+$M144,EDATE('設定'!$B$6,$M144)))</f>
        <v/>
      </c>
      <c r="AE144" s="70">
        <f>IF(NOT(ISNUMBER($O144)),"",IF($P144="月額",$O144*12,IF($P144="年額",$O144,"")))</f>
        <v/>
      </c>
      <c r="AF144" s="30">
        <f>MID(IF(AND(ISNUMBER($G144),ISNUMBER($H144)),IF(N($H144)&lt;N($G144)," / 満了日が開始日より前",""),"")&amp;IF(AND($I144="あり",NOT(ISNUMBER($H144)))," / 自動更新ありなのに満了日が空","")&amp;IF(AND($I144="あり",ISNUMBER($H144),NOT(ISNUMBER($J144)))," / 更新期間が空（更新を計算できない）","")&amp;IF($AH144="","",IF(AND(DAY($AH144)&gt;=29,OR(MOD($J144,12)&lt;&gt;0,MONTH($AH144)=2))," / 更新の初日が29〜31日（更新を重ねると満了日が1日ずれることがある。満了日を今の期間の満了日に書き換えると直る）",""))&amp;IF(AND(ISNUMBER($K144),$L144="")," / 通知の単位が空（か月前で計算）","")&amp;IF(AND(ISNUMBER($M144),$N144="")," / 解約予告の単位が空（か月前で計算）","")&amp;IF(AND(ISNUMBER($O144),$P144="")," / 金額の区分が空","")&amp;IF(AND($T144&lt;&gt;"",NOT(ISNUMBER($U144)))," / 対応を決めた日が空","")&amp;IF(AND(ISNUMBER($U144),$T144="")," / 今期の対応が空","")&amp;IF(AND($T144="更新しない",NOT(ISNUMBER($V144)))," / 更新しないなら、解約・終了した日（契約が終わる日）を入れる",""),4,300)</f>
        <v/>
      </c>
      <c r="AG144" s="53" t="n"/>
      <c r="AH144" s="71">
        <f>IF(AND(ISNUMBER($H144),$I144="あり",ISNUMBER($J144)),IF($J144&gt;=1,$H144+1,""),"")</f>
        <v/>
      </c>
      <c r="AI144" s="32">
        <f>IF($AH144="","",(YEAR('設定'!$B$6)-YEAR($AH144))*12+MONTH('設定'!$B$6)-MONTH($AH144))</f>
        <v/>
      </c>
      <c r="AJ144" s="32">
        <f>IF($AH144="","",MAX(1,ROUNDUP($AI144/$J144,0)))</f>
        <v/>
      </c>
      <c r="AK144" s="71">
        <f>IF($AJ144="","",IF(DAY(EDATE($AH144,$AJ144*$J144))&lt;DAY($AH144),EDATE($AH144,$AJ144*$J144),EDATE($AH144,$AJ144*$J144)-1))</f>
        <v/>
      </c>
      <c r="AL144" s="71">
        <f>IF($AJ144="","",IF(DAY(EDATE($AH144,($AJ144+1)*$J144))&lt;DAY($AH144),EDATE($AH144,($AJ144+1)*$J144),EDATE($AH144,($AJ144+1)*$J144)-1))</f>
        <v/>
      </c>
      <c r="AM144" s="71">
        <f>IF($AJ144="","",IF($AJ144=1,$H144,IF(DAY(EDATE($AH144,($AJ144-1)*$J144))&lt;DAY($AH144),EDATE($AH144,($AJ144-1)*$J144),EDATE($AH144,($AJ144-1)*$J144)-1)))</f>
        <v/>
      </c>
      <c r="AN144" s="32">
        <f>IF(NOT(ISNUMBER($H144)),"",IF(OR($AH144="",$H144&gt;='設定'!$B$6),0,IF($AK144&gt;='設定'!$B$6,$AJ144,$AJ144+1)))</f>
        <v/>
      </c>
      <c r="AO144" s="71">
        <f>IF($AN144="","",IF($AN144=0,"",IF($AN144=$AJ144,$AM144,$AK144)))</f>
        <v/>
      </c>
      <c r="AP144" s="32">
        <f>IF(OR($AC144="要対応",$AC144="通知期限切れ",$AC144="確認済み",$AC144="有効",$AC144="終了予定"),1,0)</f>
        <v/>
      </c>
      <c r="AQ144" s="32">
        <f>IF(OR($AC144="要対応",$AC144="通知期限切れ"),1,0)</f>
        <v/>
      </c>
      <c r="AR144" s="72">
        <f>IF(AND(ISNUMBER($AB144),OR($AC144="要対応",$AC144="通知期限切れ",$AC144="確認済み",$AC144="有効")),$AB144+ROW()/100000,"")</f>
        <v/>
      </c>
      <c r="AS144" s="32">
        <f>IF($E144="","",IF(COUNTIF($E$5:$E144,$E144)=1,ROW(),""))</f>
        <v/>
      </c>
      <c r="AT144" s="32">
        <f>IF($S144="","",IF(COUNTIF($S$5:$S144,$S144)=1,ROW(),""))</f>
        <v/>
      </c>
    </row>
    <row r="145" ht="20" customHeight="1">
      <c r="A145" s="20" t="n">
        <v>141</v>
      </c>
      <c r="B145" s="21" t="n"/>
      <c r="C145" s="22" t="n"/>
      <c r="D145" s="22" t="n"/>
      <c r="E145" s="22" t="n"/>
      <c r="F145" s="66" t="n"/>
      <c r="G145" s="66" t="n"/>
      <c r="H145" s="66" t="n"/>
      <c r="I145" s="21" t="n"/>
      <c r="J145" s="24" t="n"/>
      <c r="K145" s="24" t="n"/>
      <c r="L145" s="21" t="n"/>
      <c r="M145" s="24" t="n"/>
      <c r="N145" s="21" t="n"/>
      <c r="O145" s="67" t="n"/>
      <c r="P145" s="21" t="n"/>
      <c r="Q145" s="21" t="n"/>
      <c r="R145" s="22" t="n"/>
      <c r="S145" s="22" t="n"/>
      <c r="T145" s="21" t="n"/>
      <c r="U145" s="66" t="n"/>
      <c r="V145" s="66" t="n"/>
      <c r="W145" s="66" t="n"/>
      <c r="X145" s="8" t="n"/>
      <c r="Y145" s="68">
        <f>IF($AN145="","",IF($AN145=0,$H145,IF($AN145=$AJ145,$AK145,$AL145)))</f>
        <v/>
      </c>
      <c r="Z145" s="68">
        <f>IF(OR($Y145="",NOT(ISNUMBER($K145))),"",IF($L145="日前",$Y145-$K145,EDATE($Y145,-$K145)))</f>
        <v/>
      </c>
      <c r="AA145" s="68">
        <f>IF(OR($Y145="",ISNUMBER($V145),N($Y145)&lt;'設定'!$B$6),"",IF($Z145&lt;&gt;"",$Z145,$Y145))</f>
        <v/>
      </c>
      <c r="AB145" s="69">
        <f>IF($AA145="","",$AA145-'設定'!$B$6)</f>
        <v/>
      </c>
      <c r="AC145" s="28">
        <f>IF(NOT(OR($B145&lt;&gt;"",$C145&lt;&gt;"")),"",IF(ISNUMBER($V145),IF($V145&lt;'設定'!$B$6,"終了","終了予定"),IF($Y145="","有効",IF($Y145&lt;'設定'!$B$6,"満了",IF(AND($T145="更新する",ISNUMBER($U145),N($U145)&lt;='設定'!$B$6,OR($AO145="",N($U145)&gt;N($AO145))),"確認済み",IF($AB145&lt;0,"通知期限切れ",IF($AB145&lt;=N('設定'!$B$7),"要対応","有効")))))))</f>
        <v/>
      </c>
      <c r="AD145" s="68">
        <f>IF(OR(NOT(ISNUMBER($M145)),$AC145="",$AC145="終了",$AC145="終了予定",$AC145="満了"),"",IF($N145="日前",'設定'!$B$6+$M145,EDATE('設定'!$B$6,$M145)))</f>
        <v/>
      </c>
      <c r="AE145" s="70">
        <f>IF(NOT(ISNUMBER($O145)),"",IF($P145="月額",$O145*12,IF($P145="年額",$O145,"")))</f>
        <v/>
      </c>
      <c r="AF145" s="30">
        <f>MID(IF(AND(ISNUMBER($G145),ISNUMBER($H145)),IF(N($H145)&lt;N($G145)," / 満了日が開始日より前",""),"")&amp;IF(AND($I145="あり",NOT(ISNUMBER($H145)))," / 自動更新ありなのに満了日が空","")&amp;IF(AND($I145="あり",ISNUMBER($H145),NOT(ISNUMBER($J145)))," / 更新期間が空（更新を計算できない）","")&amp;IF($AH145="","",IF(AND(DAY($AH145)&gt;=29,OR(MOD($J145,12)&lt;&gt;0,MONTH($AH145)=2))," / 更新の初日が29〜31日（更新を重ねると満了日が1日ずれることがある。満了日を今の期間の満了日に書き換えると直る）",""))&amp;IF(AND(ISNUMBER($K145),$L145="")," / 通知の単位が空（か月前で計算）","")&amp;IF(AND(ISNUMBER($M145),$N145="")," / 解約予告の単位が空（か月前で計算）","")&amp;IF(AND(ISNUMBER($O145),$P145="")," / 金額の区分が空","")&amp;IF(AND($T145&lt;&gt;"",NOT(ISNUMBER($U145)))," / 対応を決めた日が空","")&amp;IF(AND(ISNUMBER($U145),$T145="")," / 今期の対応が空","")&amp;IF(AND($T145="更新しない",NOT(ISNUMBER($V145)))," / 更新しないなら、解約・終了した日（契約が終わる日）を入れる",""),4,300)</f>
        <v/>
      </c>
      <c r="AG145" s="53" t="n"/>
      <c r="AH145" s="71">
        <f>IF(AND(ISNUMBER($H145),$I145="あり",ISNUMBER($J145)),IF($J145&gt;=1,$H145+1,""),"")</f>
        <v/>
      </c>
      <c r="AI145" s="32">
        <f>IF($AH145="","",(YEAR('設定'!$B$6)-YEAR($AH145))*12+MONTH('設定'!$B$6)-MONTH($AH145))</f>
        <v/>
      </c>
      <c r="AJ145" s="32">
        <f>IF($AH145="","",MAX(1,ROUNDUP($AI145/$J145,0)))</f>
        <v/>
      </c>
      <c r="AK145" s="71">
        <f>IF($AJ145="","",IF(DAY(EDATE($AH145,$AJ145*$J145))&lt;DAY($AH145),EDATE($AH145,$AJ145*$J145),EDATE($AH145,$AJ145*$J145)-1))</f>
        <v/>
      </c>
      <c r="AL145" s="71">
        <f>IF($AJ145="","",IF(DAY(EDATE($AH145,($AJ145+1)*$J145))&lt;DAY($AH145),EDATE($AH145,($AJ145+1)*$J145),EDATE($AH145,($AJ145+1)*$J145)-1))</f>
        <v/>
      </c>
      <c r="AM145" s="71">
        <f>IF($AJ145="","",IF($AJ145=1,$H145,IF(DAY(EDATE($AH145,($AJ145-1)*$J145))&lt;DAY($AH145),EDATE($AH145,($AJ145-1)*$J145),EDATE($AH145,($AJ145-1)*$J145)-1)))</f>
        <v/>
      </c>
      <c r="AN145" s="32">
        <f>IF(NOT(ISNUMBER($H145)),"",IF(OR($AH145="",$H145&gt;='設定'!$B$6),0,IF($AK145&gt;='設定'!$B$6,$AJ145,$AJ145+1)))</f>
        <v/>
      </c>
      <c r="AO145" s="71">
        <f>IF($AN145="","",IF($AN145=0,"",IF($AN145=$AJ145,$AM145,$AK145)))</f>
        <v/>
      </c>
      <c r="AP145" s="32">
        <f>IF(OR($AC145="要対応",$AC145="通知期限切れ",$AC145="確認済み",$AC145="有効",$AC145="終了予定"),1,0)</f>
        <v/>
      </c>
      <c r="AQ145" s="32">
        <f>IF(OR($AC145="要対応",$AC145="通知期限切れ"),1,0)</f>
        <v/>
      </c>
      <c r="AR145" s="72">
        <f>IF(AND(ISNUMBER($AB145),OR($AC145="要対応",$AC145="通知期限切れ",$AC145="確認済み",$AC145="有効")),$AB145+ROW()/100000,"")</f>
        <v/>
      </c>
      <c r="AS145" s="32">
        <f>IF($E145="","",IF(COUNTIF($E$5:$E145,$E145)=1,ROW(),""))</f>
        <v/>
      </c>
      <c r="AT145" s="32">
        <f>IF($S145="","",IF(COUNTIF($S$5:$S145,$S145)=1,ROW(),""))</f>
        <v/>
      </c>
    </row>
    <row r="146" ht="20" customHeight="1">
      <c r="A146" s="20" t="n">
        <v>142</v>
      </c>
      <c r="B146" s="21" t="n"/>
      <c r="C146" s="22" t="n"/>
      <c r="D146" s="22" t="n"/>
      <c r="E146" s="22" t="n"/>
      <c r="F146" s="66" t="n"/>
      <c r="G146" s="66" t="n"/>
      <c r="H146" s="66" t="n"/>
      <c r="I146" s="21" t="n"/>
      <c r="J146" s="24" t="n"/>
      <c r="K146" s="24" t="n"/>
      <c r="L146" s="21" t="n"/>
      <c r="M146" s="24" t="n"/>
      <c r="N146" s="21" t="n"/>
      <c r="O146" s="67" t="n"/>
      <c r="P146" s="21" t="n"/>
      <c r="Q146" s="21" t="n"/>
      <c r="R146" s="22" t="n"/>
      <c r="S146" s="22" t="n"/>
      <c r="T146" s="21" t="n"/>
      <c r="U146" s="66" t="n"/>
      <c r="V146" s="66" t="n"/>
      <c r="W146" s="66" t="n"/>
      <c r="X146" s="8" t="n"/>
      <c r="Y146" s="68">
        <f>IF($AN146="","",IF($AN146=0,$H146,IF($AN146=$AJ146,$AK146,$AL146)))</f>
        <v/>
      </c>
      <c r="Z146" s="68">
        <f>IF(OR($Y146="",NOT(ISNUMBER($K146))),"",IF($L146="日前",$Y146-$K146,EDATE($Y146,-$K146)))</f>
        <v/>
      </c>
      <c r="AA146" s="68">
        <f>IF(OR($Y146="",ISNUMBER($V146),N($Y146)&lt;'設定'!$B$6),"",IF($Z146&lt;&gt;"",$Z146,$Y146))</f>
        <v/>
      </c>
      <c r="AB146" s="69">
        <f>IF($AA146="","",$AA146-'設定'!$B$6)</f>
        <v/>
      </c>
      <c r="AC146" s="28">
        <f>IF(NOT(OR($B146&lt;&gt;"",$C146&lt;&gt;"")),"",IF(ISNUMBER($V146),IF($V146&lt;'設定'!$B$6,"終了","終了予定"),IF($Y146="","有効",IF($Y146&lt;'設定'!$B$6,"満了",IF(AND($T146="更新する",ISNUMBER($U146),N($U146)&lt;='設定'!$B$6,OR($AO146="",N($U146)&gt;N($AO146))),"確認済み",IF($AB146&lt;0,"通知期限切れ",IF($AB146&lt;=N('設定'!$B$7),"要対応","有効")))))))</f>
        <v/>
      </c>
      <c r="AD146" s="68">
        <f>IF(OR(NOT(ISNUMBER($M146)),$AC146="",$AC146="終了",$AC146="終了予定",$AC146="満了"),"",IF($N146="日前",'設定'!$B$6+$M146,EDATE('設定'!$B$6,$M146)))</f>
        <v/>
      </c>
      <c r="AE146" s="70">
        <f>IF(NOT(ISNUMBER($O146)),"",IF($P146="月額",$O146*12,IF($P146="年額",$O146,"")))</f>
        <v/>
      </c>
      <c r="AF146" s="30">
        <f>MID(IF(AND(ISNUMBER($G146),ISNUMBER($H146)),IF(N($H146)&lt;N($G146)," / 満了日が開始日より前",""),"")&amp;IF(AND($I146="あり",NOT(ISNUMBER($H146)))," / 自動更新ありなのに満了日が空","")&amp;IF(AND($I146="あり",ISNUMBER($H146),NOT(ISNUMBER($J146)))," / 更新期間が空（更新を計算できない）","")&amp;IF($AH146="","",IF(AND(DAY($AH146)&gt;=29,OR(MOD($J146,12)&lt;&gt;0,MONTH($AH146)=2))," / 更新の初日が29〜31日（更新を重ねると満了日が1日ずれることがある。満了日を今の期間の満了日に書き換えると直る）",""))&amp;IF(AND(ISNUMBER($K146),$L146="")," / 通知の単位が空（か月前で計算）","")&amp;IF(AND(ISNUMBER($M146),$N146="")," / 解約予告の単位が空（か月前で計算）","")&amp;IF(AND(ISNUMBER($O146),$P146="")," / 金額の区分が空","")&amp;IF(AND($T146&lt;&gt;"",NOT(ISNUMBER($U146)))," / 対応を決めた日が空","")&amp;IF(AND(ISNUMBER($U146),$T146="")," / 今期の対応が空","")&amp;IF(AND($T146="更新しない",NOT(ISNUMBER($V146)))," / 更新しないなら、解約・終了した日（契約が終わる日）を入れる",""),4,300)</f>
        <v/>
      </c>
      <c r="AG146" s="53" t="n"/>
      <c r="AH146" s="71">
        <f>IF(AND(ISNUMBER($H146),$I146="あり",ISNUMBER($J146)),IF($J146&gt;=1,$H146+1,""),"")</f>
        <v/>
      </c>
      <c r="AI146" s="32">
        <f>IF($AH146="","",(YEAR('設定'!$B$6)-YEAR($AH146))*12+MONTH('設定'!$B$6)-MONTH($AH146))</f>
        <v/>
      </c>
      <c r="AJ146" s="32">
        <f>IF($AH146="","",MAX(1,ROUNDUP($AI146/$J146,0)))</f>
        <v/>
      </c>
      <c r="AK146" s="71">
        <f>IF($AJ146="","",IF(DAY(EDATE($AH146,$AJ146*$J146))&lt;DAY($AH146),EDATE($AH146,$AJ146*$J146),EDATE($AH146,$AJ146*$J146)-1))</f>
        <v/>
      </c>
      <c r="AL146" s="71">
        <f>IF($AJ146="","",IF(DAY(EDATE($AH146,($AJ146+1)*$J146))&lt;DAY($AH146),EDATE($AH146,($AJ146+1)*$J146),EDATE($AH146,($AJ146+1)*$J146)-1))</f>
        <v/>
      </c>
      <c r="AM146" s="71">
        <f>IF($AJ146="","",IF($AJ146=1,$H146,IF(DAY(EDATE($AH146,($AJ146-1)*$J146))&lt;DAY($AH146),EDATE($AH146,($AJ146-1)*$J146),EDATE($AH146,($AJ146-1)*$J146)-1)))</f>
        <v/>
      </c>
      <c r="AN146" s="32">
        <f>IF(NOT(ISNUMBER($H146)),"",IF(OR($AH146="",$H146&gt;='設定'!$B$6),0,IF($AK146&gt;='設定'!$B$6,$AJ146,$AJ146+1)))</f>
        <v/>
      </c>
      <c r="AO146" s="71">
        <f>IF($AN146="","",IF($AN146=0,"",IF($AN146=$AJ146,$AM146,$AK146)))</f>
        <v/>
      </c>
      <c r="AP146" s="32">
        <f>IF(OR($AC146="要対応",$AC146="通知期限切れ",$AC146="確認済み",$AC146="有効",$AC146="終了予定"),1,0)</f>
        <v/>
      </c>
      <c r="AQ146" s="32">
        <f>IF(OR($AC146="要対応",$AC146="通知期限切れ"),1,0)</f>
        <v/>
      </c>
      <c r="AR146" s="72">
        <f>IF(AND(ISNUMBER($AB146),OR($AC146="要対応",$AC146="通知期限切れ",$AC146="確認済み",$AC146="有効")),$AB146+ROW()/100000,"")</f>
        <v/>
      </c>
      <c r="AS146" s="32">
        <f>IF($E146="","",IF(COUNTIF($E$5:$E146,$E146)=1,ROW(),""))</f>
        <v/>
      </c>
      <c r="AT146" s="32">
        <f>IF($S146="","",IF(COUNTIF($S$5:$S146,$S146)=1,ROW(),""))</f>
        <v/>
      </c>
    </row>
    <row r="147" ht="20" customHeight="1">
      <c r="A147" s="20" t="n">
        <v>143</v>
      </c>
      <c r="B147" s="21" t="n"/>
      <c r="C147" s="22" t="n"/>
      <c r="D147" s="22" t="n"/>
      <c r="E147" s="22" t="n"/>
      <c r="F147" s="66" t="n"/>
      <c r="G147" s="66" t="n"/>
      <c r="H147" s="66" t="n"/>
      <c r="I147" s="21" t="n"/>
      <c r="J147" s="24" t="n"/>
      <c r="K147" s="24" t="n"/>
      <c r="L147" s="21" t="n"/>
      <c r="M147" s="24" t="n"/>
      <c r="N147" s="21" t="n"/>
      <c r="O147" s="67" t="n"/>
      <c r="P147" s="21" t="n"/>
      <c r="Q147" s="21" t="n"/>
      <c r="R147" s="22" t="n"/>
      <c r="S147" s="22" t="n"/>
      <c r="T147" s="21" t="n"/>
      <c r="U147" s="66" t="n"/>
      <c r="V147" s="66" t="n"/>
      <c r="W147" s="66" t="n"/>
      <c r="X147" s="8" t="n"/>
      <c r="Y147" s="68">
        <f>IF($AN147="","",IF($AN147=0,$H147,IF($AN147=$AJ147,$AK147,$AL147)))</f>
        <v/>
      </c>
      <c r="Z147" s="68">
        <f>IF(OR($Y147="",NOT(ISNUMBER($K147))),"",IF($L147="日前",$Y147-$K147,EDATE($Y147,-$K147)))</f>
        <v/>
      </c>
      <c r="AA147" s="68">
        <f>IF(OR($Y147="",ISNUMBER($V147),N($Y147)&lt;'設定'!$B$6),"",IF($Z147&lt;&gt;"",$Z147,$Y147))</f>
        <v/>
      </c>
      <c r="AB147" s="69">
        <f>IF($AA147="","",$AA147-'設定'!$B$6)</f>
        <v/>
      </c>
      <c r="AC147" s="28">
        <f>IF(NOT(OR($B147&lt;&gt;"",$C147&lt;&gt;"")),"",IF(ISNUMBER($V147),IF($V147&lt;'設定'!$B$6,"終了","終了予定"),IF($Y147="","有効",IF($Y147&lt;'設定'!$B$6,"満了",IF(AND($T147="更新する",ISNUMBER($U147),N($U147)&lt;='設定'!$B$6,OR($AO147="",N($U147)&gt;N($AO147))),"確認済み",IF($AB147&lt;0,"通知期限切れ",IF($AB147&lt;=N('設定'!$B$7),"要対応","有効")))))))</f>
        <v/>
      </c>
      <c r="AD147" s="68">
        <f>IF(OR(NOT(ISNUMBER($M147)),$AC147="",$AC147="終了",$AC147="終了予定",$AC147="満了"),"",IF($N147="日前",'設定'!$B$6+$M147,EDATE('設定'!$B$6,$M147)))</f>
        <v/>
      </c>
      <c r="AE147" s="70">
        <f>IF(NOT(ISNUMBER($O147)),"",IF($P147="月額",$O147*12,IF($P147="年額",$O147,"")))</f>
        <v/>
      </c>
      <c r="AF147" s="30">
        <f>MID(IF(AND(ISNUMBER($G147),ISNUMBER($H147)),IF(N($H147)&lt;N($G147)," / 満了日が開始日より前",""),"")&amp;IF(AND($I147="あり",NOT(ISNUMBER($H147)))," / 自動更新ありなのに満了日が空","")&amp;IF(AND($I147="あり",ISNUMBER($H147),NOT(ISNUMBER($J147)))," / 更新期間が空（更新を計算できない）","")&amp;IF($AH147="","",IF(AND(DAY($AH147)&gt;=29,OR(MOD($J147,12)&lt;&gt;0,MONTH($AH147)=2))," / 更新の初日が29〜31日（更新を重ねると満了日が1日ずれることがある。満了日を今の期間の満了日に書き換えると直る）",""))&amp;IF(AND(ISNUMBER($K147),$L147="")," / 通知の単位が空（か月前で計算）","")&amp;IF(AND(ISNUMBER($M147),$N147="")," / 解約予告の単位が空（か月前で計算）","")&amp;IF(AND(ISNUMBER($O147),$P147="")," / 金額の区分が空","")&amp;IF(AND($T147&lt;&gt;"",NOT(ISNUMBER($U147)))," / 対応を決めた日が空","")&amp;IF(AND(ISNUMBER($U147),$T147="")," / 今期の対応が空","")&amp;IF(AND($T147="更新しない",NOT(ISNUMBER($V147)))," / 更新しないなら、解約・終了した日（契約が終わる日）を入れる",""),4,300)</f>
        <v/>
      </c>
      <c r="AG147" s="53" t="n"/>
      <c r="AH147" s="71">
        <f>IF(AND(ISNUMBER($H147),$I147="あり",ISNUMBER($J147)),IF($J147&gt;=1,$H147+1,""),"")</f>
        <v/>
      </c>
      <c r="AI147" s="32">
        <f>IF($AH147="","",(YEAR('設定'!$B$6)-YEAR($AH147))*12+MONTH('設定'!$B$6)-MONTH($AH147))</f>
        <v/>
      </c>
      <c r="AJ147" s="32">
        <f>IF($AH147="","",MAX(1,ROUNDUP($AI147/$J147,0)))</f>
        <v/>
      </c>
      <c r="AK147" s="71">
        <f>IF($AJ147="","",IF(DAY(EDATE($AH147,$AJ147*$J147))&lt;DAY($AH147),EDATE($AH147,$AJ147*$J147),EDATE($AH147,$AJ147*$J147)-1))</f>
        <v/>
      </c>
      <c r="AL147" s="71">
        <f>IF($AJ147="","",IF(DAY(EDATE($AH147,($AJ147+1)*$J147))&lt;DAY($AH147),EDATE($AH147,($AJ147+1)*$J147),EDATE($AH147,($AJ147+1)*$J147)-1))</f>
        <v/>
      </c>
      <c r="AM147" s="71">
        <f>IF($AJ147="","",IF($AJ147=1,$H147,IF(DAY(EDATE($AH147,($AJ147-1)*$J147))&lt;DAY($AH147),EDATE($AH147,($AJ147-1)*$J147),EDATE($AH147,($AJ147-1)*$J147)-1)))</f>
        <v/>
      </c>
      <c r="AN147" s="32">
        <f>IF(NOT(ISNUMBER($H147)),"",IF(OR($AH147="",$H147&gt;='設定'!$B$6),0,IF($AK147&gt;='設定'!$B$6,$AJ147,$AJ147+1)))</f>
        <v/>
      </c>
      <c r="AO147" s="71">
        <f>IF($AN147="","",IF($AN147=0,"",IF($AN147=$AJ147,$AM147,$AK147)))</f>
        <v/>
      </c>
      <c r="AP147" s="32">
        <f>IF(OR($AC147="要対応",$AC147="通知期限切れ",$AC147="確認済み",$AC147="有効",$AC147="終了予定"),1,0)</f>
        <v/>
      </c>
      <c r="AQ147" s="32">
        <f>IF(OR($AC147="要対応",$AC147="通知期限切れ"),1,0)</f>
        <v/>
      </c>
      <c r="AR147" s="72">
        <f>IF(AND(ISNUMBER($AB147),OR($AC147="要対応",$AC147="通知期限切れ",$AC147="確認済み",$AC147="有効")),$AB147+ROW()/100000,"")</f>
        <v/>
      </c>
      <c r="AS147" s="32">
        <f>IF($E147="","",IF(COUNTIF($E$5:$E147,$E147)=1,ROW(),""))</f>
        <v/>
      </c>
      <c r="AT147" s="32">
        <f>IF($S147="","",IF(COUNTIF($S$5:$S147,$S147)=1,ROW(),""))</f>
        <v/>
      </c>
    </row>
    <row r="148" ht="20" customHeight="1">
      <c r="A148" s="20" t="n">
        <v>144</v>
      </c>
      <c r="B148" s="21" t="n"/>
      <c r="C148" s="22" t="n"/>
      <c r="D148" s="22" t="n"/>
      <c r="E148" s="22" t="n"/>
      <c r="F148" s="66" t="n"/>
      <c r="G148" s="66" t="n"/>
      <c r="H148" s="66" t="n"/>
      <c r="I148" s="21" t="n"/>
      <c r="J148" s="24" t="n"/>
      <c r="K148" s="24" t="n"/>
      <c r="L148" s="21" t="n"/>
      <c r="M148" s="24" t="n"/>
      <c r="N148" s="21" t="n"/>
      <c r="O148" s="67" t="n"/>
      <c r="P148" s="21" t="n"/>
      <c r="Q148" s="21" t="n"/>
      <c r="R148" s="22" t="n"/>
      <c r="S148" s="22" t="n"/>
      <c r="T148" s="21" t="n"/>
      <c r="U148" s="66" t="n"/>
      <c r="V148" s="66" t="n"/>
      <c r="W148" s="66" t="n"/>
      <c r="X148" s="8" t="n"/>
      <c r="Y148" s="68">
        <f>IF($AN148="","",IF($AN148=0,$H148,IF($AN148=$AJ148,$AK148,$AL148)))</f>
        <v/>
      </c>
      <c r="Z148" s="68">
        <f>IF(OR($Y148="",NOT(ISNUMBER($K148))),"",IF($L148="日前",$Y148-$K148,EDATE($Y148,-$K148)))</f>
        <v/>
      </c>
      <c r="AA148" s="68">
        <f>IF(OR($Y148="",ISNUMBER($V148),N($Y148)&lt;'設定'!$B$6),"",IF($Z148&lt;&gt;"",$Z148,$Y148))</f>
        <v/>
      </c>
      <c r="AB148" s="69">
        <f>IF($AA148="","",$AA148-'設定'!$B$6)</f>
        <v/>
      </c>
      <c r="AC148" s="28">
        <f>IF(NOT(OR($B148&lt;&gt;"",$C148&lt;&gt;"")),"",IF(ISNUMBER($V148),IF($V148&lt;'設定'!$B$6,"終了","終了予定"),IF($Y148="","有効",IF($Y148&lt;'設定'!$B$6,"満了",IF(AND($T148="更新する",ISNUMBER($U148),N($U148)&lt;='設定'!$B$6,OR($AO148="",N($U148)&gt;N($AO148))),"確認済み",IF($AB148&lt;0,"通知期限切れ",IF($AB148&lt;=N('設定'!$B$7),"要対応","有効")))))))</f>
        <v/>
      </c>
      <c r="AD148" s="68">
        <f>IF(OR(NOT(ISNUMBER($M148)),$AC148="",$AC148="終了",$AC148="終了予定",$AC148="満了"),"",IF($N148="日前",'設定'!$B$6+$M148,EDATE('設定'!$B$6,$M148)))</f>
        <v/>
      </c>
      <c r="AE148" s="70">
        <f>IF(NOT(ISNUMBER($O148)),"",IF($P148="月額",$O148*12,IF($P148="年額",$O148,"")))</f>
        <v/>
      </c>
      <c r="AF148" s="30">
        <f>MID(IF(AND(ISNUMBER($G148),ISNUMBER($H148)),IF(N($H148)&lt;N($G148)," / 満了日が開始日より前",""),"")&amp;IF(AND($I148="あり",NOT(ISNUMBER($H148)))," / 自動更新ありなのに満了日が空","")&amp;IF(AND($I148="あり",ISNUMBER($H148),NOT(ISNUMBER($J148)))," / 更新期間が空（更新を計算できない）","")&amp;IF($AH148="","",IF(AND(DAY($AH148)&gt;=29,OR(MOD($J148,12)&lt;&gt;0,MONTH($AH148)=2))," / 更新の初日が29〜31日（更新を重ねると満了日が1日ずれることがある。満了日を今の期間の満了日に書き換えると直る）",""))&amp;IF(AND(ISNUMBER($K148),$L148="")," / 通知の単位が空（か月前で計算）","")&amp;IF(AND(ISNUMBER($M148),$N148="")," / 解約予告の単位が空（か月前で計算）","")&amp;IF(AND(ISNUMBER($O148),$P148="")," / 金額の区分が空","")&amp;IF(AND($T148&lt;&gt;"",NOT(ISNUMBER($U148)))," / 対応を決めた日が空","")&amp;IF(AND(ISNUMBER($U148),$T148="")," / 今期の対応が空","")&amp;IF(AND($T148="更新しない",NOT(ISNUMBER($V148)))," / 更新しないなら、解約・終了した日（契約が終わる日）を入れる",""),4,300)</f>
        <v/>
      </c>
      <c r="AG148" s="53" t="n"/>
      <c r="AH148" s="71">
        <f>IF(AND(ISNUMBER($H148),$I148="あり",ISNUMBER($J148)),IF($J148&gt;=1,$H148+1,""),"")</f>
        <v/>
      </c>
      <c r="AI148" s="32">
        <f>IF($AH148="","",(YEAR('設定'!$B$6)-YEAR($AH148))*12+MONTH('設定'!$B$6)-MONTH($AH148))</f>
        <v/>
      </c>
      <c r="AJ148" s="32">
        <f>IF($AH148="","",MAX(1,ROUNDUP($AI148/$J148,0)))</f>
        <v/>
      </c>
      <c r="AK148" s="71">
        <f>IF($AJ148="","",IF(DAY(EDATE($AH148,$AJ148*$J148))&lt;DAY($AH148),EDATE($AH148,$AJ148*$J148),EDATE($AH148,$AJ148*$J148)-1))</f>
        <v/>
      </c>
      <c r="AL148" s="71">
        <f>IF($AJ148="","",IF(DAY(EDATE($AH148,($AJ148+1)*$J148))&lt;DAY($AH148),EDATE($AH148,($AJ148+1)*$J148),EDATE($AH148,($AJ148+1)*$J148)-1))</f>
        <v/>
      </c>
      <c r="AM148" s="71">
        <f>IF($AJ148="","",IF($AJ148=1,$H148,IF(DAY(EDATE($AH148,($AJ148-1)*$J148))&lt;DAY($AH148),EDATE($AH148,($AJ148-1)*$J148),EDATE($AH148,($AJ148-1)*$J148)-1)))</f>
        <v/>
      </c>
      <c r="AN148" s="32">
        <f>IF(NOT(ISNUMBER($H148)),"",IF(OR($AH148="",$H148&gt;='設定'!$B$6),0,IF($AK148&gt;='設定'!$B$6,$AJ148,$AJ148+1)))</f>
        <v/>
      </c>
      <c r="AO148" s="71">
        <f>IF($AN148="","",IF($AN148=0,"",IF($AN148=$AJ148,$AM148,$AK148)))</f>
        <v/>
      </c>
      <c r="AP148" s="32">
        <f>IF(OR($AC148="要対応",$AC148="通知期限切れ",$AC148="確認済み",$AC148="有効",$AC148="終了予定"),1,0)</f>
        <v/>
      </c>
      <c r="AQ148" s="32">
        <f>IF(OR($AC148="要対応",$AC148="通知期限切れ"),1,0)</f>
        <v/>
      </c>
      <c r="AR148" s="72">
        <f>IF(AND(ISNUMBER($AB148),OR($AC148="要対応",$AC148="通知期限切れ",$AC148="確認済み",$AC148="有効")),$AB148+ROW()/100000,"")</f>
        <v/>
      </c>
      <c r="AS148" s="32">
        <f>IF($E148="","",IF(COUNTIF($E$5:$E148,$E148)=1,ROW(),""))</f>
        <v/>
      </c>
      <c r="AT148" s="32">
        <f>IF($S148="","",IF(COUNTIF($S$5:$S148,$S148)=1,ROW(),""))</f>
        <v/>
      </c>
    </row>
    <row r="149" ht="20" customHeight="1">
      <c r="A149" s="20" t="n">
        <v>145</v>
      </c>
      <c r="B149" s="21" t="n"/>
      <c r="C149" s="22" t="n"/>
      <c r="D149" s="22" t="n"/>
      <c r="E149" s="22" t="n"/>
      <c r="F149" s="66" t="n"/>
      <c r="G149" s="66" t="n"/>
      <c r="H149" s="66" t="n"/>
      <c r="I149" s="21" t="n"/>
      <c r="J149" s="24" t="n"/>
      <c r="K149" s="24" t="n"/>
      <c r="L149" s="21" t="n"/>
      <c r="M149" s="24" t="n"/>
      <c r="N149" s="21" t="n"/>
      <c r="O149" s="67" t="n"/>
      <c r="P149" s="21" t="n"/>
      <c r="Q149" s="21" t="n"/>
      <c r="R149" s="22" t="n"/>
      <c r="S149" s="22" t="n"/>
      <c r="T149" s="21" t="n"/>
      <c r="U149" s="66" t="n"/>
      <c r="V149" s="66" t="n"/>
      <c r="W149" s="66" t="n"/>
      <c r="X149" s="8" t="n"/>
      <c r="Y149" s="68">
        <f>IF($AN149="","",IF($AN149=0,$H149,IF($AN149=$AJ149,$AK149,$AL149)))</f>
        <v/>
      </c>
      <c r="Z149" s="68">
        <f>IF(OR($Y149="",NOT(ISNUMBER($K149))),"",IF($L149="日前",$Y149-$K149,EDATE($Y149,-$K149)))</f>
        <v/>
      </c>
      <c r="AA149" s="68">
        <f>IF(OR($Y149="",ISNUMBER($V149),N($Y149)&lt;'設定'!$B$6),"",IF($Z149&lt;&gt;"",$Z149,$Y149))</f>
        <v/>
      </c>
      <c r="AB149" s="69">
        <f>IF($AA149="","",$AA149-'設定'!$B$6)</f>
        <v/>
      </c>
      <c r="AC149" s="28">
        <f>IF(NOT(OR($B149&lt;&gt;"",$C149&lt;&gt;"")),"",IF(ISNUMBER($V149),IF($V149&lt;'設定'!$B$6,"終了","終了予定"),IF($Y149="","有効",IF($Y149&lt;'設定'!$B$6,"満了",IF(AND($T149="更新する",ISNUMBER($U149),N($U149)&lt;='設定'!$B$6,OR($AO149="",N($U149)&gt;N($AO149))),"確認済み",IF($AB149&lt;0,"通知期限切れ",IF($AB149&lt;=N('設定'!$B$7),"要対応","有効")))))))</f>
        <v/>
      </c>
      <c r="AD149" s="68">
        <f>IF(OR(NOT(ISNUMBER($M149)),$AC149="",$AC149="終了",$AC149="終了予定",$AC149="満了"),"",IF($N149="日前",'設定'!$B$6+$M149,EDATE('設定'!$B$6,$M149)))</f>
        <v/>
      </c>
      <c r="AE149" s="70">
        <f>IF(NOT(ISNUMBER($O149)),"",IF($P149="月額",$O149*12,IF($P149="年額",$O149,"")))</f>
        <v/>
      </c>
      <c r="AF149" s="30">
        <f>MID(IF(AND(ISNUMBER($G149),ISNUMBER($H149)),IF(N($H149)&lt;N($G149)," / 満了日が開始日より前",""),"")&amp;IF(AND($I149="あり",NOT(ISNUMBER($H149)))," / 自動更新ありなのに満了日が空","")&amp;IF(AND($I149="あり",ISNUMBER($H149),NOT(ISNUMBER($J149)))," / 更新期間が空（更新を計算できない）","")&amp;IF($AH149="","",IF(AND(DAY($AH149)&gt;=29,OR(MOD($J149,12)&lt;&gt;0,MONTH($AH149)=2))," / 更新の初日が29〜31日（更新を重ねると満了日が1日ずれることがある。満了日を今の期間の満了日に書き換えると直る）",""))&amp;IF(AND(ISNUMBER($K149),$L149="")," / 通知の単位が空（か月前で計算）","")&amp;IF(AND(ISNUMBER($M149),$N149="")," / 解約予告の単位が空（か月前で計算）","")&amp;IF(AND(ISNUMBER($O149),$P149="")," / 金額の区分が空","")&amp;IF(AND($T149&lt;&gt;"",NOT(ISNUMBER($U149)))," / 対応を決めた日が空","")&amp;IF(AND(ISNUMBER($U149),$T149="")," / 今期の対応が空","")&amp;IF(AND($T149="更新しない",NOT(ISNUMBER($V149)))," / 更新しないなら、解約・終了した日（契約が終わる日）を入れる",""),4,300)</f>
        <v/>
      </c>
      <c r="AG149" s="53" t="n"/>
      <c r="AH149" s="71">
        <f>IF(AND(ISNUMBER($H149),$I149="あり",ISNUMBER($J149)),IF($J149&gt;=1,$H149+1,""),"")</f>
        <v/>
      </c>
      <c r="AI149" s="32">
        <f>IF($AH149="","",(YEAR('設定'!$B$6)-YEAR($AH149))*12+MONTH('設定'!$B$6)-MONTH($AH149))</f>
        <v/>
      </c>
      <c r="AJ149" s="32">
        <f>IF($AH149="","",MAX(1,ROUNDUP($AI149/$J149,0)))</f>
        <v/>
      </c>
      <c r="AK149" s="71">
        <f>IF($AJ149="","",IF(DAY(EDATE($AH149,$AJ149*$J149))&lt;DAY($AH149),EDATE($AH149,$AJ149*$J149),EDATE($AH149,$AJ149*$J149)-1))</f>
        <v/>
      </c>
      <c r="AL149" s="71">
        <f>IF($AJ149="","",IF(DAY(EDATE($AH149,($AJ149+1)*$J149))&lt;DAY($AH149),EDATE($AH149,($AJ149+1)*$J149),EDATE($AH149,($AJ149+1)*$J149)-1))</f>
        <v/>
      </c>
      <c r="AM149" s="71">
        <f>IF($AJ149="","",IF($AJ149=1,$H149,IF(DAY(EDATE($AH149,($AJ149-1)*$J149))&lt;DAY($AH149),EDATE($AH149,($AJ149-1)*$J149),EDATE($AH149,($AJ149-1)*$J149)-1)))</f>
        <v/>
      </c>
      <c r="AN149" s="32">
        <f>IF(NOT(ISNUMBER($H149)),"",IF(OR($AH149="",$H149&gt;='設定'!$B$6),0,IF($AK149&gt;='設定'!$B$6,$AJ149,$AJ149+1)))</f>
        <v/>
      </c>
      <c r="AO149" s="71">
        <f>IF($AN149="","",IF($AN149=0,"",IF($AN149=$AJ149,$AM149,$AK149)))</f>
        <v/>
      </c>
      <c r="AP149" s="32">
        <f>IF(OR($AC149="要対応",$AC149="通知期限切れ",$AC149="確認済み",$AC149="有効",$AC149="終了予定"),1,0)</f>
        <v/>
      </c>
      <c r="AQ149" s="32">
        <f>IF(OR($AC149="要対応",$AC149="通知期限切れ"),1,0)</f>
        <v/>
      </c>
      <c r="AR149" s="72">
        <f>IF(AND(ISNUMBER($AB149),OR($AC149="要対応",$AC149="通知期限切れ",$AC149="確認済み",$AC149="有効")),$AB149+ROW()/100000,"")</f>
        <v/>
      </c>
      <c r="AS149" s="32">
        <f>IF($E149="","",IF(COUNTIF($E$5:$E149,$E149)=1,ROW(),""))</f>
        <v/>
      </c>
      <c r="AT149" s="32">
        <f>IF($S149="","",IF(COUNTIF($S$5:$S149,$S149)=1,ROW(),""))</f>
        <v/>
      </c>
    </row>
    <row r="150" ht="20" customHeight="1">
      <c r="A150" s="20" t="n">
        <v>146</v>
      </c>
      <c r="B150" s="21" t="n"/>
      <c r="C150" s="22" t="n"/>
      <c r="D150" s="22" t="n"/>
      <c r="E150" s="22" t="n"/>
      <c r="F150" s="66" t="n"/>
      <c r="G150" s="66" t="n"/>
      <c r="H150" s="66" t="n"/>
      <c r="I150" s="21" t="n"/>
      <c r="J150" s="24" t="n"/>
      <c r="K150" s="24" t="n"/>
      <c r="L150" s="21" t="n"/>
      <c r="M150" s="24" t="n"/>
      <c r="N150" s="21" t="n"/>
      <c r="O150" s="67" t="n"/>
      <c r="P150" s="21" t="n"/>
      <c r="Q150" s="21" t="n"/>
      <c r="R150" s="22" t="n"/>
      <c r="S150" s="22" t="n"/>
      <c r="T150" s="21" t="n"/>
      <c r="U150" s="66" t="n"/>
      <c r="V150" s="66" t="n"/>
      <c r="W150" s="66" t="n"/>
      <c r="X150" s="8" t="n"/>
      <c r="Y150" s="68">
        <f>IF($AN150="","",IF($AN150=0,$H150,IF($AN150=$AJ150,$AK150,$AL150)))</f>
        <v/>
      </c>
      <c r="Z150" s="68">
        <f>IF(OR($Y150="",NOT(ISNUMBER($K150))),"",IF($L150="日前",$Y150-$K150,EDATE($Y150,-$K150)))</f>
        <v/>
      </c>
      <c r="AA150" s="68">
        <f>IF(OR($Y150="",ISNUMBER($V150),N($Y150)&lt;'設定'!$B$6),"",IF($Z150&lt;&gt;"",$Z150,$Y150))</f>
        <v/>
      </c>
      <c r="AB150" s="69">
        <f>IF($AA150="","",$AA150-'設定'!$B$6)</f>
        <v/>
      </c>
      <c r="AC150" s="28">
        <f>IF(NOT(OR($B150&lt;&gt;"",$C150&lt;&gt;"")),"",IF(ISNUMBER($V150),IF($V150&lt;'設定'!$B$6,"終了","終了予定"),IF($Y150="","有効",IF($Y150&lt;'設定'!$B$6,"満了",IF(AND($T150="更新する",ISNUMBER($U150),N($U150)&lt;='設定'!$B$6,OR($AO150="",N($U150)&gt;N($AO150))),"確認済み",IF($AB150&lt;0,"通知期限切れ",IF($AB150&lt;=N('設定'!$B$7),"要対応","有効")))))))</f>
        <v/>
      </c>
      <c r="AD150" s="68">
        <f>IF(OR(NOT(ISNUMBER($M150)),$AC150="",$AC150="終了",$AC150="終了予定",$AC150="満了"),"",IF($N150="日前",'設定'!$B$6+$M150,EDATE('設定'!$B$6,$M150)))</f>
        <v/>
      </c>
      <c r="AE150" s="70">
        <f>IF(NOT(ISNUMBER($O150)),"",IF($P150="月額",$O150*12,IF($P150="年額",$O150,"")))</f>
        <v/>
      </c>
      <c r="AF150" s="30">
        <f>MID(IF(AND(ISNUMBER($G150),ISNUMBER($H150)),IF(N($H150)&lt;N($G150)," / 満了日が開始日より前",""),"")&amp;IF(AND($I150="あり",NOT(ISNUMBER($H150)))," / 自動更新ありなのに満了日が空","")&amp;IF(AND($I150="あり",ISNUMBER($H150),NOT(ISNUMBER($J150)))," / 更新期間が空（更新を計算できない）","")&amp;IF($AH150="","",IF(AND(DAY($AH150)&gt;=29,OR(MOD($J150,12)&lt;&gt;0,MONTH($AH150)=2))," / 更新の初日が29〜31日（更新を重ねると満了日が1日ずれることがある。満了日を今の期間の満了日に書き換えると直る）",""))&amp;IF(AND(ISNUMBER($K150),$L150="")," / 通知の単位が空（か月前で計算）","")&amp;IF(AND(ISNUMBER($M150),$N150="")," / 解約予告の単位が空（か月前で計算）","")&amp;IF(AND(ISNUMBER($O150),$P150="")," / 金額の区分が空","")&amp;IF(AND($T150&lt;&gt;"",NOT(ISNUMBER($U150)))," / 対応を決めた日が空","")&amp;IF(AND(ISNUMBER($U150),$T150="")," / 今期の対応が空","")&amp;IF(AND($T150="更新しない",NOT(ISNUMBER($V150)))," / 更新しないなら、解約・終了した日（契約が終わる日）を入れる",""),4,300)</f>
        <v/>
      </c>
      <c r="AG150" s="53" t="n"/>
      <c r="AH150" s="71">
        <f>IF(AND(ISNUMBER($H150),$I150="あり",ISNUMBER($J150)),IF($J150&gt;=1,$H150+1,""),"")</f>
        <v/>
      </c>
      <c r="AI150" s="32">
        <f>IF($AH150="","",(YEAR('設定'!$B$6)-YEAR($AH150))*12+MONTH('設定'!$B$6)-MONTH($AH150))</f>
        <v/>
      </c>
      <c r="AJ150" s="32">
        <f>IF($AH150="","",MAX(1,ROUNDUP($AI150/$J150,0)))</f>
        <v/>
      </c>
      <c r="AK150" s="71">
        <f>IF($AJ150="","",IF(DAY(EDATE($AH150,$AJ150*$J150))&lt;DAY($AH150),EDATE($AH150,$AJ150*$J150),EDATE($AH150,$AJ150*$J150)-1))</f>
        <v/>
      </c>
      <c r="AL150" s="71">
        <f>IF($AJ150="","",IF(DAY(EDATE($AH150,($AJ150+1)*$J150))&lt;DAY($AH150),EDATE($AH150,($AJ150+1)*$J150),EDATE($AH150,($AJ150+1)*$J150)-1))</f>
        <v/>
      </c>
      <c r="AM150" s="71">
        <f>IF($AJ150="","",IF($AJ150=1,$H150,IF(DAY(EDATE($AH150,($AJ150-1)*$J150))&lt;DAY($AH150),EDATE($AH150,($AJ150-1)*$J150),EDATE($AH150,($AJ150-1)*$J150)-1)))</f>
        <v/>
      </c>
      <c r="AN150" s="32">
        <f>IF(NOT(ISNUMBER($H150)),"",IF(OR($AH150="",$H150&gt;='設定'!$B$6),0,IF($AK150&gt;='設定'!$B$6,$AJ150,$AJ150+1)))</f>
        <v/>
      </c>
      <c r="AO150" s="71">
        <f>IF($AN150="","",IF($AN150=0,"",IF($AN150=$AJ150,$AM150,$AK150)))</f>
        <v/>
      </c>
      <c r="AP150" s="32">
        <f>IF(OR($AC150="要対応",$AC150="通知期限切れ",$AC150="確認済み",$AC150="有効",$AC150="終了予定"),1,0)</f>
        <v/>
      </c>
      <c r="AQ150" s="32">
        <f>IF(OR($AC150="要対応",$AC150="通知期限切れ"),1,0)</f>
        <v/>
      </c>
      <c r="AR150" s="72">
        <f>IF(AND(ISNUMBER($AB150),OR($AC150="要対応",$AC150="通知期限切れ",$AC150="確認済み",$AC150="有効")),$AB150+ROW()/100000,"")</f>
        <v/>
      </c>
      <c r="AS150" s="32">
        <f>IF($E150="","",IF(COUNTIF($E$5:$E150,$E150)=1,ROW(),""))</f>
        <v/>
      </c>
      <c r="AT150" s="32">
        <f>IF($S150="","",IF(COUNTIF($S$5:$S150,$S150)=1,ROW(),""))</f>
        <v/>
      </c>
    </row>
    <row r="151" ht="20" customHeight="1">
      <c r="A151" s="20" t="n">
        <v>147</v>
      </c>
      <c r="B151" s="21" t="n"/>
      <c r="C151" s="22" t="n"/>
      <c r="D151" s="22" t="n"/>
      <c r="E151" s="22" t="n"/>
      <c r="F151" s="66" t="n"/>
      <c r="G151" s="66" t="n"/>
      <c r="H151" s="66" t="n"/>
      <c r="I151" s="21" t="n"/>
      <c r="J151" s="24" t="n"/>
      <c r="K151" s="24" t="n"/>
      <c r="L151" s="21" t="n"/>
      <c r="M151" s="24" t="n"/>
      <c r="N151" s="21" t="n"/>
      <c r="O151" s="67" t="n"/>
      <c r="P151" s="21" t="n"/>
      <c r="Q151" s="21" t="n"/>
      <c r="R151" s="22" t="n"/>
      <c r="S151" s="22" t="n"/>
      <c r="T151" s="21" t="n"/>
      <c r="U151" s="66" t="n"/>
      <c r="V151" s="66" t="n"/>
      <c r="W151" s="66" t="n"/>
      <c r="X151" s="8" t="n"/>
      <c r="Y151" s="68">
        <f>IF($AN151="","",IF($AN151=0,$H151,IF($AN151=$AJ151,$AK151,$AL151)))</f>
        <v/>
      </c>
      <c r="Z151" s="68">
        <f>IF(OR($Y151="",NOT(ISNUMBER($K151))),"",IF($L151="日前",$Y151-$K151,EDATE($Y151,-$K151)))</f>
        <v/>
      </c>
      <c r="AA151" s="68">
        <f>IF(OR($Y151="",ISNUMBER($V151),N($Y151)&lt;'設定'!$B$6),"",IF($Z151&lt;&gt;"",$Z151,$Y151))</f>
        <v/>
      </c>
      <c r="AB151" s="69">
        <f>IF($AA151="","",$AA151-'設定'!$B$6)</f>
        <v/>
      </c>
      <c r="AC151" s="28">
        <f>IF(NOT(OR($B151&lt;&gt;"",$C151&lt;&gt;"")),"",IF(ISNUMBER($V151),IF($V151&lt;'設定'!$B$6,"終了","終了予定"),IF($Y151="","有効",IF($Y151&lt;'設定'!$B$6,"満了",IF(AND($T151="更新する",ISNUMBER($U151),N($U151)&lt;='設定'!$B$6,OR($AO151="",N($U151)&gt;N($AO151))),"確認済み",IF($AB151&lt;0,"通知期限切れ",IF($AB151&lt;=N('設定'!$B$7),"要対応","有効")))))))</f>
        <v/>
      </c>
      <c r="AD151" s="68">
        <f>IF(OR(NOT(ISNUMBER($M151)),$AC151="",$AC151="終了",$AC151="終了予定",$AC151="満了"),"",IF($N151="日前",'設定'!$B$6+$M151,EDATE('設定'!$B$6,$M151)))</f>
        <v/>
      </c>
      <c r="AE151" s="70">
        <f>IF(NOT(ISNUMBER($O151)),"",IF($P151="月額",$O151*12,IF($P151="年額",$O151,"")))</f>
        <v/>
      </c>
      <c r="AF151" s="30">
        <f>MID(IF(AND(ISNUMBER($G151),ISNUMBER($H151)),IF(N($H151)&lt;N($G151)," / 満了日が開始日より前",""),"")&amp;IF(AND($I151="あり",NOT(ISNUMBER($H151)))," / 自動更新ありなのに満了日が空","")&amp;IF(AND($I151="あり",ISNUMBER($H151),NOT(ISNUMBER($J151)))," / 更新期間が空（更新を計算できない）","")&amp;IF($AH151="","",IF(AND(DAY($AH151)&gt;=29,OR(MOD($J151,12)&lt;&gt;0,MONTH($AH151)=2))," / 更新の初日が29〜31日（更新を重ねると満了日が1日ずれることがある。満了日を今の期間の満了日に書き換えると直る）",""))&amp;IF(AND(ISNUMBER($K151),$L151="")," / 通知の単位が空（か月前で計算）","")&amp;IF(AND(ISNUMBER($M151),$N151="")," / 解約予告の単位が空（か月前で計算）","")&amp;IF(AND(ISNUMBER($O151),$P151="")," / 金額の区分が空","")&amp;IF(AND($T151&lt;&gt;"",NOT(ISNUMBER($U151)))," / 対応を決めた日が空","")&amp;IF(AND(ISNUMBER($U151),$T151="")," / 今期の対応が空","")&amp;IF(AND($T151="更新しない",NOT(ISNUMBER($V151)))," / 更新しないなら、解約・終了した日（契約が終わる日）を入れる",""),4,300)</f>
        <v/>
      </c>
      <c r="AG151" s="53" t="n"/>
      <c r="AH151" s="71">
        <f>IF(AND(ISNUMBER($H151),$I151="あり",ISNUMBER($J151)),IF($J151&gt;=1,$H151+1,""),"")</f>
        <v/>
      </c>
      <c r="AI151" s="32">
        <f>IF($AH151="","",(YEAR('設定'!$B$6)-YEAR($AH151))*12+MONTH('設定'!$B$6)-MONTH($AH151))</f>
        <v/>
      </c>
      <c r="AJ151" s="32">
        <f>IF($AH151="","",MAX(1,ROUNDUP($AI151/$J151,0)))</f>
        <v/>
      </c>
      <c r="AK151" s="71">
        <f>IF($AJ151="","",IF(DAY(EDATE($AH151,$AJ151*$J151))&lt;DAY($AH151),EDATE($AH151,$AJ151*$J151),EDATE($AH151,$AJ151*$J151)-1))</f>
        <v/>
      </c>
      <c r="AL151" s="71">
        <f>IF($AJ151="","",IF(DAY(EDATE($AH151,($AJ151+1)*$J151))&lt;DAY($AH151),EDATE($AH151,($AJ151+1)*$J151),EDATE($AH151,($AJ151+1)*$J151)-1))</f>
        <v/>
      </c>
      <c r="AM151" s="71">
        <f>IF($AJ151="","",IF($AJ151=1,$H151,IF(DAY(EDATE($AH151,($AJ151-1)*$J151))&lt;DAY($AH151),EDATE($AH151,($AJ151-1)*$J151),EDATE($AH151,($AJ151-1)*$J151)-1)))</f>
        <v/>
      </c>
      <c r="AN151" s="32">
        <f>IF(NOT(ISNUMBER($H151)),"",IF(OR($AH151="",$H151&gt;='設定'!$B$6),0,IF($AK151&gt;='設定'!$B$6,$AJ151,$AJ151+1)))</f>
        <v/>
      </c>
      <c r="AO151" s="71">
        <f>IF($AN151="","",IF($AN151=0,"",IF($AN151=$AJ151,$AM151,$AK151)))</f>
        <v/>
      </c>
      <c r="AP151" s="32">
        <f>IF(OR($AC151="要対応",$AC151="通知期限切れ",$AC151="確認済み",$AC151="有効",$AC151="終了予定"),1,0)</f>
        <v/>
      </c>
      <c r="AQ151" s="32">
        <f>IF(OR($AC151="要対応",$AC151="通知期限切れ"),1,0)</f>
        <v/>
      </c>
      <c r="AR151" s="72">
        <f>IF(AND(ISNUMBER($AB151),OR($AC151="要対応",$AC151="通知期限切れ",$AC151="確認済み",$AC151="有効")),$AB151+ROW()/100000,"")</f>
        <v/>
      </c>
      <c r="AS151" s="32">
        <f>IF($E151="","",IF(COUNTIF($E$5:$E151,$E151)=1,ROW(),""))</f>
        <v/>
      </c>
      <c r="AT151" s="32">
        <f>IF($S151="","",IF(COUNTIF($S$5:$S151,$S151)=1,ROW(),""))</f>
        <v/>
      </c>
    </row>
    <row r="152" ht="20" customHeight="1">
      <c r="A152" s="20" t="n">
        <v>148</v>
      </c>
      <c r="B152" s="21" t="n"/>
      <c r="C152" s="22" t="n"/>
      <c r="D152" s="22" t="n"/>
      <c r="E152" s="22" t="n"/>
      <c r="F152" s="66" t="n"/>
      <c r="G152" s="66" t="n"/>
      <c r="H152" s="66" t="n"/>
      <c r="I152" s="21" t="n"/>
      <c r="J152" s="24" t="n"/>
      <c r="K152" s="24" t="n"/>
      <c r="L152" s="21" t="n"/>
      <c r="M152" s="24" t="n"/>
      <c r="N152" s="21" t="n"/>
      <c r="O152" s="67" t="n"/>
      <c r="P152" s="21" t="n"/>
      <c r="Q152" s="21" t="n"/>
      <c r="R152" s="22" t="n"/>
      <c r="S152" s="22" t="n"/>
      <c r="T152" s="21" t="n"/>
      <c r="U152" s="66" t="n"/>
      <c r="V152" s="66" t="n"/>
      <c r="W152" s="66" t="n"/>
      <c r="X152" s="8" t="n"/>
      <c r="Y152" s="68">
        <f>IF($AN152="","",IF($AN152=0,$H152,IF($AN152=$AJ152,$AK152,$AL152)))</f>
        <v/>
      </c>
      <c r="Z152" s="68">
        <f>IF(OR($Y152="",NOT(ISNUMBER($K152))),"",IF($L152="日前",$Y152-$K152,EDATE($Y152,-$K152)))</f>
        <v/>
      </c>
      <c r="AA152" s="68">
        <f>IF(OR($Y152="",ISNUMBER($V152),N($Y152)&lt;'設定'!$B$6),"",IF($Z152&lt;&gt;"",$Z152,$Y152))</f>
        <v/>
      </c>
      <c r="AB152" s="69">
        <f>IF($AA152="","",$AA152-'設定'!$B$6)</f>
        <v/>
      </c>
      <c r="AC152" s="28">
        <f>IF(NOT(OR($B152&lt;&gt;"",$C152&lt;&gt;"")),"",IF(ISNUMBER($V152),IF($V152&lt;'設定'!$B$6,"終了","終了予定"),IF($Y152="","有効",IF($Y152&lt;'設定'!$B$6,"満了",IF(AND($T152="更新する",ISNUMBER($U152),N($U152)&lt;='設定'!$B$6,OR($AO152="",N($U152)&gt;N($AO152))),"確認済み",IF($AB152&lt;0,"通知期限切れ",IF($AB152&lt;=N('設定'!$B$7),"要対応","有効")))))))</f>
        <v/>
      </c>
      <c r="AD152" s="68">
        <f>IF(OR(NOT(ISNUMBER($M152)),$AC152="",$AC152="終了",$AC152="終了予定",$AC152="満了"),"",IF($N152="日前",'設定'!$B$6+$M152,EDATE('設定'!$B$6,$M152)))</f>
        <v/>
      </c>
      <c r="AE152" s="70">
        <f>IF(NOT(ISNUMBER($O152)),"",IF($P152="月額",$O152*12,IF($P152="年額",$O152,"")))</f>
        <v/>
      </c>
      <c r="AF152" s="30">
        <f>MID(IF(AND(ISNUMBER($G152),ISNUMBER($H152)),IF(N($H152)&lt;N($G152)," / 満了日が開始日より前",""),"")&amp;IF(AND($I152="あり",NOT(ISNUMBER($H152)))," / 自動更新ありなのに満了日が空","")&amp;IF(AND($I152="あり",ISNUMBER($H152),NOT(ISNUMBER($J152)))," / 更新期間が空（更新を計算できない）","")&amp;IF($AH152="","",IF(AND(DAY($AH152)&gt;=29,OR(MOD($J152,12)&lt;&gt;0,MONTH($AH152)=2))," / 更新の初日が29〜31日（更新を重ねると満了日が1日ずれることがある。満了日を今の期間の満了日に書き換えると直る）",""))&amp;IF(AND(ISNUMBER($K152),$L152="")," / 通知の単位が空（か月前で計算）","")&amp;IF(AND(ISNUMBER($M152),$N152="")," / 解約予告の単位が空（か月前で計算）","")&amp;IF(AND(ISNUMBER($O152),$P152="")," / 金額の区分が空","")&amp;IF(AND($T152&lt;&gt;"",NOT(ISNUMBER($U152)))," / 対応を決めた日が空","")&amp;IF(AND(ISNUMBER($U152),$T152="")," / 今期の対応が空","")&amp;IF(AND($T152="更新しない",NOT(ISNUMBER($V152)))," / 更新しないなら、解約・終了した日（契約が終わる日）を入れる",""),4,300)</f>
        <v/>
      </c>
      <c r="AG152" s="53" t="n"/>
      <c r="AH152" s="71">
        <f>IF(AND(ISNUMBER($H152),$I152="あり",ISNUMBER($J152)),IF($J152&gt;=1,$H152+1,""),"")</f>
        <v/>
      </c>
      <c r="AI152" s="32">
        <f>IF($AH152="","",(YEAR('設定'!$B$6)-YEAR($AH152))*12+MONTH('設定'!$B$6)-MONTH($AH152))</f>
        <v/>
      </c>
      <c r="AJ152" s="32">
        <f>IF($AH152="","",MAX(1,ROUNDUP($AI152/$J152,0)))</f>
        <v/>
      </c>
      <c r="AK152" s="71">
        <f>IF($AJ152="","",IF(DAY(EDATE($AH152,$AJ152*$J152))&lt;DAY($AH152),EDATE($AH152,$AJ152*$J152),EDATE($AH152,$AJ152*$J152)-1))</f>
        <v/>
      </c>
      <c r="AL152" s="71">
        <f>IF($AJ152="","",IF(DAY(EDATE($AH152,($AJ152+1)*$J152))&lt;DAY($AH152),EDATE($AH152,($AJ152+1)*$J152),EDATE($AH152,($AJ152+1)*$J152)-1))</f>
        <v/>
      </c>
      <c r="AM152" s="71">
        <f>IF($AJ152="","",IF($AJ152=1,$H152,IF(DAY(EDATE($AH152,($AJ152-1)*$J152))&lt;DAY($AH152),EDATE($AH152,($AJ152-1)*$J152),EDATE($AH152,($AJ152-1)*$J152)-1)))</f>
        <v/>
      </c>
      <c r="AN152" s="32">
        <f>IF(NOT(ISNUMBER($H152)),"",IF(OR($AH152="",$H152&gt;='設定'!$B$6),0,IF($AK152&gt;='設定'!$B$6,$AJ152,$AJ152+1)))</f>
        <v/>
      </c>
      <c r="AO152" s="71">
        <f>IF($AN152="","",IF($AN152=0,"",IF($AN152=$AJ152,$AM152,$AK152)))</f>
        <v/>
      </c>
      <c r="AP152" s="32">
        <f>IF(OR($AC152="要対応",$AC152="通知期限切れ",$AC152="確認済み",$AC152="有効",$AC152="終了予定"),1,0)</f>
        <v/>
      </c>
      <c r="AQ152" s="32">
        <f>IF(OR($AC152="要対応",$AC152="通知期限切れ"),1,0)</f>
        <v/>
      </c>
      <c r="AR152" s="72">
        <f>IF(AND(ISNUMBER($AB152),OR($AC152="要対応",$AC152="通知期限切れ",$AC152="確認済み",$AC152="有効")),$AB152+ROW()/100000,"")</f>
        <v/>
      </c>
      <c r="AS152" s="32">
        <f>IF($E152="","",IF(COUNTIF($E$5:$E152,$E152)=1,ROW(),""))</f>
        <v/>
      </c>
      <c r="AT152" s="32">
        <f>IF($S152="","",IF(COUNTIF($S$5:$S152,$S152)=1,ROW(),""))</f>
        <v/>
      </c>
    </row>
    <row r="153" ht="20" customHeight="1">
      <c r="A153" s="20" t="n">
        <v>149</v>
      </c>
      <c r="B153" s="21" t="n"/>
      <c r="C153" s="22" t="n"/>
      <c r="D153" s="22" t="n"/>
      <c r="E153" s="22" t="n"/>
      <c r="F153" s="66" t="n"/>
      <c r="G153" s="66" t="n"/>
      <c r="H153" s="66" t="n"/>
      <c r="I153" s="21" t="n"/>
      <c r="J153" s="24" t="n"/>
      <c r="K153" s="24" t="n"/>
      <c r="L153" s="21" t="n"/>
      <c r="M153" s="24" t="n"/>
      <c r="N153" s="21" t="n"/>
      <c r="O153" s="67" t="n"/>
      <c r="P153" s="21" t="n"/>
      <c r="Q153" s="21" t="n"/>
      <c r="R153" s="22" t="n"/>
      <c r="S153" s="22" t="n"/>
      <c r="T153" s="21" t="n"/>
      <c r="U153" s="66" t="n"/>
      <c r="V153" s="66" t="n"/>
      <c r="W153" s="66" t="n"/>
      <c r="X153" s="8" t="n"/>
      <c r="Y153" s="68">
        <f>IF($AN153="","",IF($AN153=0,$H153,IF($AN153=$AJ153,$AK153,$AL153)))</f>
        <v/>
      </c>
      <c r="Z153" s="68">
        <f>IF(OR($Y153="",NOT(ISNUMBER($K153))),"",IF($L153="日前",$Y153-$K153,EDATE($Y153,-$K153)))</f>
        <v/>
      </c>
      <c r="AA153" s="68">
        <f>IF(OR($Y153="",ISNUMBER($V153),N($Y153)&lt;'設定'!$B$6),"",IF($Z153&lt;&gt;"",$Z153,$Y153))</f>
        <v/>
      </c>
      <c r="AB153" s="69">
        <f>IF($AA153="","",$AA153-'設定'!$B$6)</f>
        <v/>
      </c>
      <c r="AC153" s="28">
        <f>IF(NOT(OR($B153&lt;&gt;"",$C153&lt;&gt;"")),"",IF(ISNUMBER($V153),IF($V153&lt;'設定'!$B$6,"終了","終了予定"),IF($Y153="","有効",IF($Y153&lt;'設定'!$B$6,"満了",IF(AND($T153="更新する",ISNUMBER($U153),N($U153)&lt;='設定'!$B$6,OR($AO153="",N($U153)&gt;N($AO153))),"確認済み",IF($AB153&lt;0,"通知期限切れ",IF($AB153&lt;=N('設定'!$B$7),"要対応","有効")))))))</f>
        <v/>
      </c>
      <c r="AD153" s="68">
        <f>IF(OR(NOT(ISNUMBER($M153)),$AC153="",$AC153="終了",$AC153="終了予定",$AC153="満了"),"",IF($N153="日前",'設定'!$B$6+$M153,EDATE('設定'!$B$6,$M153)))</f>
        <v/>
      </c>
      <c r="AE153" s="70">
        <f>IF(NOT(ISNUMBER($O153)),"",IF($P153="月額",$O153*12,IF($P153="年額",$O153,"")))</f>
        <v/>
      </c>
      <c r="AF153" s="30">
        <f>MID(IF(AND(ISNUMBER($G153),ISNUMBER($H153)),IF(N($H153)&lt;N($G153)," / 満了日が開始日より前",""),"")&amp;IF(AND($I153="あり",NOT(ISNUMBER($H153)))," / 自動更新ありなのに満了日が空","")&amp;IF(AND($I153="あり",ISNUMBER($H153),NOT(ISNUMBER($J153)))," / 更新期間が空（更新を計算できない）","")&amp;IF($AH153="","",IF(AND(DAY($AH153)&gt;=29,OR(MOD($J153,12)&lt;&gt;0,MONTH($AH153)=2))," / 更新の初日が29〜31日（更新を重ねると満了日が1日ずれることがある。満了日を今の期間の満了日に書き換えると直る）",""))&amp;IF(AND(ISNUMBER($K153),$L153="")," / 通知の単位が空（か月前で計算）","")&amp;IF(AND(ISNUMBER($M153),$N153="")," / 解約予告の単位が空（か月前で計算）","")&amp;IF(AND(ISNUMBER($O153),$P153="")," / 金額の区分が空","")&amp;IF(AND($T153&lt;&gt;"",NOT(ISNUMBER($U153)))," / 対応を決めた日が空","")&amp;IF(AND(ISNUMBER($U153),$T153="")," / 今期の対応が空","")&amp;IF(AND($T153="更新しない",NOT(ISNUMBER($V153)))," / 更新しないなら、解約・終了した日（契約が終わる日）を入れる",""),4,300)</f>
        <v/>
      </c>
      <c r="AG153" s="53" t="n"/>
      <c r="AH153" s="71">
        <f>IF(AND(ISNUMBER($H153),$I153="あり",ISNUMBER($J153)),IF($J153&gt;=1,$H153+1,""),"")</f>
        <v/>
      </c>
      <c r="AI153" s="32">
        <f>IF($AH153="","",(YEAR('設定'!$B$6)-YEAR($AH153))*12+MONTH('設定'!$B$6)-MONTH($AH153))</f>
        <v/>
      </c>
      <c r="AJ153" s="32">
        <f>IF($AH153="","",MAX(1,ROUNDUP($AI153/$J153,0)))</f>
        <v/>
      </c>
      <c r="AK153" s="71">
        <f>IF($AJ153="","",IF(DAY(EDATE($AH153,$AJ153*$J153))&lt;DAY($AH153),EDATE($AH153,$AJ153*$J153),EDATE($AH153,$AJ153*$J153)-1))</f>
        <v/>
      </c>
      <c r="AL153" s="71">
        <f>IF($AJ153="","",IF(DAY(EDATE($AH153,($AJ153+1)*$J153))&lt;DAY($AH153),EDATE($AH153,($AJ153+1)*$J153),EDATE($AH153,($AJ153+1)*$J153)-1))</f>
        <v/>
      </c>
      <c r="AM153" s="71">
        <f>IF($AJ153="","",IF($AJ153=1,$H153,IF(DAY(EDATE($AH153,($AJ153-1)*$J153))&lt;DAY($AH153),EDATE($AH153,($AJ153-1)*$J153),EDATE($AH153,($AJ153-1)*$J153)-1)))</f>
        <v/>
      </c>
      <c r="AN153" s="32">
        <f>IF(NOT(ISNUMBER($H153)),"",IF(OR($AH153="",$H153&gt;='設定'!$B$6),0,IF($AK153&gt;='設定'!$B$6,$AJ153,$AJ153+1)))</f>
        <v/>
      </c>
      <c r="AO153" s="71">
        <f>IF($AN153="","",IF($AN153=0,"",IF($AN153=$AJ153,$AM153,$AK153)))</f>
        <v/>
      </c>
      <c r="AP153" s="32">
        <f>IF(OR($AC153="要対応",$AC153="通知期限切れ",$AC153="確認済み",$AC153="有効",$AC153="終了予定"),1,0)</f>
        <v/>
      </c>
      <c r="AQ153" s="32">
        <f>IF(OR($AC153="要対応",$AC153="通知期限切れ"),1,0)</f>
        <v/>
      </c>
      <c r="AR153" s="72">
        <f>IF(AND(ISNUMBER($AB153),OR($AC153="要対応",$AC153="通知期限切れ",$AC153="確認済み",$AC153="有効")),$AB153+ROW()/100000,"")</f>
        <v/>
      </c>
      <c r="AS153" s="32">
        <f>IF($E153="","",IF(COUNTIF($E$5:$E153,$E153)=1,ROW(),""))</f>
        <v/>
      </c>
      <c r="AT153" s="32">
        <f>IF($S153="","",IF(COUNTIF($S$5:$S153,$S153)=1,ROW(),""))</f>
        <v/>
      </c>
    </row>
    <row r="154" ht="20" customHeight="1">
      <c r="A154" s="20" t="n">
        <v>150</v>
      </c>
      <c r="B154" s="21" t="n"/>
      <c r="C154" s="22" t="n"/>
      <c r="D154" s="22" t="n"/>
      <c r="E154" s="22" t="n"/>
      <c r="F154" s="66" t="n"/>
      <c r="G154" s="66" t="n"/>
      <c r="H154" s="66" t="n"/>
      <c r="I154" s="21" t="n"/>
      <c r="J154" s="24" t="n"/>
      <c r="K154" s="24" t="n"/>
      <c r="L154" s="21" t="n"/>
      <c r="M154" s="24" t="n"/>
      <c r="N154" s="21" t="n"/>
      <c r="O154" s="67" t="n"/>
      <c r="P154" s="21" t="n"/>
      <c r="Q154" s="21" t="n"/>
      <c r="R154" s="22" t="n"/>
      <c r="S154" s="22" t="n"/>
      <c r="T154" s="21" t="n"/>
      <c r="U154" s="66" t="n"/>
      <c r="V154" s="66" t="n"/>
      <c r="W154" s="66" t="n"/>
      <c r="X154" s="8" t="n"/>
      <c r="Y154" s="68">
        <f>IF($AN154="","",IF($AN154=0,$H154,IF($AN154=$AJ154,$AK154,$AL154)))</f>
        <v/>
      </c>
      <c r="Z154" s="68">
        <f>IF(OR($Y154="",NOT(ISNUMBER($K154))),"",IF($L154="日前",$Y154-$K154,EDATE($Y154,-$K154)))</f>
        <v/>
      </c>
      <c r="AA154" s="68">
        <f>IF(OR($Y154="",ISNUMBER($V154),N($Y154)&lt;'設定'!$B$6),"",IF($Z154&lt;&gt;"",$Z154,$Y154))</f>
        <v/>
      </c>
      <c r="AB154" s="69">
        <f>IF($AA154="","",$AA154-'設定'!$B$6)</f>
        <v/>
      </c>
      <c r="AC154" s="28">
        <f>IF(NOT(OR($B154&lt;&gt;"",$C154&lt;&gt;"")),"",IF(ISNUMBER($V154),IF($V154&lt;'設定'!$B$6,"終了","終了予定"),IF($Y154="","有効",IF($Y154&lt;'設定'!$B$6,"満了",IF(AND($T154="更新する",ISNUMBER($U154),N($U154)&lt;='設定'!$B$6,OR($AO154="",N($U154)&gt;N($AO154))),"確認済み",IF($AB154&lt;0,"通知期限切れ",IF($AB154&lt;=N('設定'!$B$7),"要対応","有効")))))))</f>
        <v/>
      </c>
      <c r="AD154" s="68">
        <f>IF(OR(NOT(ISNUMBER($M154)),$AC154="",$AC154="終了",$AC154="終了予定",$AC154="満了"),"",IF($N154="日前",'設定'!$B$6+$M154,EDATE('設定'!$B$6,$M154)))</f>
        <v/>
      </c>
      <c r="AE154" s="70">
        <f>IF(NOT(ISNUMBER($O154)),"",IF($P154="月額",$O154*12,IF($P154="年額",$O154,"")))</f>
        <v/>
      </c>
      <c r="AF154" s="30">
        <f>MID(IF(AND(ISNUMBER($G154),ISNUMBER($H154)),IF(N($H154)&lt;N($G154)," / 満了日が開始日より前",""),"")&amp;IF(AND($I154="あり",NOT(ISNUMBER($H154)))," / 自動更新ありなのに満了日が空","")&amp;IF(AND($I154="あり",ISNUMBER($H154),NOT(ISNUMBER($J154)))," / 更新期間が空（更新を計算できない）","")&amp;IF($AH154="","",IF(AND(DAY($AH154)&gt;=29,OR(MOD($J154,12)&lt;&gt;0,MONTH($AH154)=2))," / 更新の初日が29〜31日（更新を重ねると満了日が1日ずれることがある。満了日を今の期間の満了日に書き換えると直る）",""))&amp;IF(AND(ISNUMBER($K154),$L154="")," / 通知の単位が空（か月前で計算）","")&amp;IF(AND(ISNUMBER($M154),$N154="")," / 解約予告の単位が空（か月前で計算）","")&amp;IF(AND(ISNUMBER($O154),$P154="")," / 金額の区分が空","")&amp;IF(AND($T154&lt;&gt;"",NOT(ISNUMBER($U154)))," / 対応を決めた日が空","")&amp;IF(AND(ISNUMBER($U154),$T154="")," / 今期の対応が空","")&amp;IF(AND($T154="更新しない",NOT(ISNUMBER($V154)))," / 更新しないなら、解約・終了した日（契約が終わる日）を入れる",""),4,300)</f>
        <v/>
      </c>
      <c r="AG154" s="53" t="n"/>
      <c r="AH154" s="71">
        <f>IF(AND(ISNUMBER($H154),$I154="あり",ISNUMBER($J154)),IF($J154&gt;=1,$H154+1,""),"")</f>
        <v/>
      </c>
      <c r="AI154" s="32">
        <f>IF($AH154="","",(YEAR('設定'!$B$6)-YEAR($AH154))*12+MONTH('設定'!$B$6)-MONTH($AH154))</f>
        <v/>
      </c>
      <c r="AJ154" s="32">
        <f>IF($AH154="","",MAX(1,ROUNDUP($AI154/$J154,0)))</f>
        <v/>
      </c>
      <c r="AK154" s="71">
        <f>IF($AJ154="","",IF(DAY(EDATE($AH154,$AJ154*$J154))&lt;DAY($AH154),EDATE($AH154,$AJ154*$J154),EDATE($AH154,$AJ154*$J154)-1))</f>
        <v/>
      </c>
      <c r="AL154" s="71">
        <f>IF($AJ154="","",IF(DAY(EDATE($AH154,($AJ154+1)*$J154))&lt;DAY($AH154),EDATE($AH154,($AJ154+1)*$J154),EDATE($AH154,($AJ154+1)*$J154)-1))</f>
        <v/>
      </c>
      <c r="AM154" s="71">
        <f>IF($AJ154="","",IF($AJ154=1,$H154,IF(DAY(EDATE($AH154,($AJ154-1)*$J154))&lt;DAY($AH154),EDATE($AH154,($AJ154-1)*$J154),EDATE($AH154,($AJ154-1)*$J154)-1)))</f>
        <v/>
      </c>
      <c r="AN154" s="32">
        <f>IF(NOT(ISNUMBER($H154)),"",IF(OR($AH154="",$H154&gt;='設定'!$B$6),0,IF($AK154&gt;='設定'!$B$6,$AJ154,$AJ154+1)))</f>
        <v/>
      </c>
      <c r="AO154" s="71">
        <f>IF($AN154="","",IF($AN154=0,"",IF($AN154=$AJ154,$AM154,$AK154)))</f>
        <v/>
      </c>
      <c r="AP154" s="32">
        <f>IF(OR($AC154="要対応",$AC154="通知期限切れ",$AC154="確認済み",$AC154="有効",$AC154="終了予定"),1,0)</f>
        <v/>
      </c>
      <c r="AQ154" s="32">
        <f>IF(OR($AC154="要対応",$AC154="通知期限切れ"),1,0)</f>
        <v/>
      </c>
      <c r="AR154" s="72">
        <f>IF(AND(ISNUMBER($AB154),OR($AC154="要対応",$AC154="通知期限切れ",$AC154="確認済み",$AC154="有効")),$AB154+ROW()/100000,"")</f>
        <v/>
      </c>
      <c r="AS154" s="32">
        <f>IF($E154="","",IF(COUNTIF($E$5:$E154,$E154)=1,ROW(),""))</f>
        <v/>
      </c>
      <c r="AT154" s="32">
        <f>IF($S154="","",IF(COUNTIF($S$5:$S154,$S154)=1,ROW(),""))</f>
        <v/>
      </c>
    </row>
    <row r="155" ht="20" customHeight="1">
      <c r="A155" s="20" t="n">
        <v>151</v>
      </c>
      <c r="B155" s="21" t="n"/>
      <c r="C155" s="22" t="n"/>
      <c r="D155" s="22" t="n"/>
      <c r="E155" s="22" t="n"/>
      <c r="F155" s="66" t="n"/>
      <c r="G155" s="66" t="n"/>
      <c r="H155" s="66" t="n"/>
      <c r="I155" s="21" t="n"/>
      <c r="J155" s="24" t="n"/>
      <c r="K155" s="24" t="n"/>
      <c r="L155" s="21" t="n"/>
      <c r="M155" s="24" t="n"/>
      <c r="N155" s="21" t="n"/>
      <c r="O155" s="67" t="n"/>
      <c r="P155" s="21" t="n"/>
      <c r="Q155" s="21" t="n"/>
      <c r="R155" s="22" t="n"/>
      <c r="S155" s="22" t="n"/>
      <c r="T155" s="21" t="n"/>
      <c r="U155" s="66" t="n"/>
      <c r="V155" s="66" t="n"/>
      <c r="W155" s="66" t="n"/>
      <c r="X155" s="8" t="n"/>
      <c r="Y155" s="68">
        <f>IF($AN155="","",IF($AN155=0,$H155,IF($AN155=$AJ155,$AK155,$AL155)))</f>
        <v/>
      </c>
      <c r="Z155" s="68">
        <f>IF(OR($Y155="",NOT(ISNUMBER($K155))),"",IF($L155="日前",$Y155-$K155,EDATE($Y155,-$K155)))</f>
        <v/>
      </c>
      <c r="AA155" s="68">
        <f>IF(OR($Y155="",ISNUMBER($V155),N($Y155)&lt;'設定'!$B$6),"",IF($Z155&lt;&gt;"",$Z155,$Y155))</f>
        <v/>
      </c>
      <c r="AB155" s="69">
        <f>IF($AA155="","",$AA155-'設定'!$B$6)</f>
        <v/>
      </c>
      <c r="AC155" s="28">
        <f>IF(NOT(OR($B155&lt;&gt;"",$C155&lt;&gt;"")),"",IF(ISNUMBER($V155),IF($V155&lt;'設定'!$B$6,"終了","終了予定"),IF($Y155="","有効",IF($Y155&lt;'設定'!$B$6,"満了",IF(AND($T155="更新する",ISNUMBER($U155),N($U155)&lt;='設定'!$B$6,OR($AO155="",N($U155)&gt;N($AO155))),"確認済み",IF($AB155&lt;0,"通知期限切れ",IF($AB155&lt;=N('設定'!$B$7),"要対応","有効")))))))</f>
        <v/>
      </c>
      <c r="AD155" s="68">
        <f>IF(OR(NOT(ISNUMBER($M155)),$AC155="",$AC155="終了",$AC155="終了予定",$AC155="満了"),"",IF($N155="日前",'設定'!$B$6+$M155,EDATE('設定'!$B$6,$M155)))</f>
        <v/>
      </c>
      <c r="AE155" s="70">
        <f>IF(NOT(ISNUMBER($O155)),"",IF($P155="月額",$O155*12,IF($P155="年額",$O155,"")))</f>
        <v/>
      </c>
      <c r="AF155" s="30">
        <f>MID(IF(AND(ISNUMBER($G155),ISNUMBER($H155)),IF(N($H155)&lt;N($G155)," / 満了日が開始日より前",""),"")&amp;IF(AND($I155="あり",NOT(ISNUMBER($H155)))," / 自動更新ありなのに満了日が空","")&amp;IF(AND($I155="あり",ISNUMBER($H155),NOT(ISNUMBER($J155)))," / 更新期間が空（更新を計算できない）","")&amp;IF($AH155="","",IF(AND(DAY($AH155)&gt;=29,OR(MOD($J155,12)&lt;&gt;0,MONTH($AH155)=2))," / 更新の初日が29〜31日（更新を重ねると満了日が1日ずれることがある。満了日を今の期間の満了日に書き換えると直る）",""))&amp;IF(AND(ISNUMBER($K155),$L155="")," / 通知の単位が空（か月前で計算）","")&amp;IF(AND(ISNUMBER($M155),$N155="")," / 解約予告の単位が空（か月前で計算）","")&amp;IF(AND(ISNUMBER($O155),$P155="")," / 金額の区分が空","")&amp;IF(AND($T155&lt;&gt;"",NOT(ISNUMBER($U155)))," / 対応を決めた日が空","")&amp;IF(AND(ISNUMBER($U155),$T155="")," / 今期の対応が空","")&amp;IF(AND($T155="更新しない",NOT(ISNUMBER($V155)))," / 更新しないなら、解約・終了した日（契約が終わる日）を入れる",""),4,300)</f>
        <v/>
      </c>
      <c r="AG155" s="53" t="n"/>
      <c r="AH155" s="71">
        <f>IF(AND(ISNUMBER($H155),$I155="あり",ISNUMBER($J155)),IF($J155&gt;=1,$H155+1,""),"")</f>
        <v/>
      </c>
      <c r="AI155" s="32">
        <f>IF($AH155="","",(YEAR('設定'!$B$6)-YEAR($AH155))*12+MONTH('設定'!$B$6)-MONTH($AH155))</f>
        <v/>
      </c>
      <c r="AJ155" s="32">
        <f>IF($AH155="","",MAX(1,ROUNDUP($AI155/$J155,0)))</f>
        <v/>
      </c>
      <c r="AK155" s="71">
        <f>IF($AJ155="","",IF(DAY(EDATE($AH155,$AJ155*$J155))&lt;DAY($AH155),EDATE($AH155,$AJ155*$J155),EDATE($AH155,$AJ155*$J155)-1))</f>
        <v/>
      </c>
      <c r="AL155" s="71">
        <f>IF($AJ155="","",IF(DAY(EDATE($AH155,($AJ155+1)*$J155))&lt;DAY($AH155),EDATE($AH155,($AJ155+1)*$J155),EDATE($AH155,($AJ155+1)*$J155)-1))</f>
        <v/>
      </c>
      <c r="AM155" s="71">
        <f>IF($AJ155="","",IF($AJ155=1,$H155,IF(DAY(EDATE($AH155,($AJ155-1)*$J155))&lt;DAY($AH155),EDATE($AH155,($AJ155-1)*$J155),EDATE($AH155,($AJ155-1)*$J155)-1)))</f>
        <v/>
      </c>
      <c r="AN155" s="32">
        <f>IF(NOT(ISNUMBER($H155)),"",IF(OR($AH155="",$H155&gt;='設定'!$B$6),0,IF($AK155&gt;='設定'!$B$6,$AJ155,$AJ155+1)))</f>
        <v/>
      </c>
      <c r="AO155" s="71">
        <f>IF($AN155="","",IF($AN155=0,"",IF($AN155=$AJ155,$AM155,$AK155)))</f>
        <v/>
      </c>
      <c r="AP155" s="32">
        <f>IF(OR($AC155="要対応",$AC155="通知期限切れ",$AC155="確認済み",$AC155="有効",$AC155="終了予定"),1,0)</f>
        <v/>
      </c>
      <c r="AQ155" s="32">
        <f>IF(OR($AC155="要対応",$AC155="通知期限切れ"),1,0)</f>
        <v/>
      </c>
      <c r="AR155" s="72">
        <f>IF(AND(ISNUMBER($AB155),OR($AC155="要対応",$AC155="通知期限切れ",$AC155="確認済み",$AC155="有効")),$AB155+ROW()/100000,"")</f>
        <v/>
      </c>
      <c r="AS155" s="32">
        <f>IF($E155="","",IF(COUNTIF($E$5:$E155,$E155)=1,ROW(),""))</f>
        <v/>
      </c>
      <c r="AT155" s="32">
        <f>IF($S155="","",IF(COUNTIF($S$5:$S155,$S155)=1,ROW(),""))</f>
        <v/>
      </c>
    </row>
    <row r="156" ht="20" customHeight="1">
      <c r="A156" s="20" t="n">
        <v>152</v>
      </c>
      <c r="B156" s="21" t="n"/>
      <c r="C156" s="22" t="n"/>
      <c r="D156" s="22" t="n"/>
      <c r="E156" s="22" t="n"/>
      <c r="F156" s="66" t="n"/>
      <c r="G156" s="66" t="n"/>
      <c r="H156" s="66" t="n"/>
      <c r="I156" s="21" t="n"/>
      <c r="J156" s="24" t="n"/>
      <c r="K156" s="24" t="n"/>
      <c r="L156" s="21" t="n"/>
      <c r="M156" s="24" t="n"/>
      <c r="N156" s="21" t="n"/>
      <c r="O156" s="67" t="n"/>
      <c r="P156" s="21" t="n"/>
      <c r="Q156" s="21" t="n"/>
      <c r="R156" s="22" t="n"/>
      <c r="S156" s="22" t="n"/>
      <c r="T156" s="21" t="n"/>
      <c r="U156" s="66" t="n"/>
      <c r="V156" s="66" t="n"/>
      <c r="W156" s="66" t="n"/>
      <c r="X156" s="8" t="n"/>
      <c r="Y156" s="68">
        <f>IF($AN156="","",IF($AN156=0,$H156,IF($AN156=$AJ156,$AK156,$AL156)))</f>
        <v/>
      </c>
      <c r="Z156" s="68">
        <f>IF(OR($Y156="",NOT(ISNUMBER($K156))),"",IF($L156="日前",$Y156-$K156,EDATE($Y156,-$K156)))</f>
        <v/>
      </c>
      <c r="AA156" s="68">
        <f>IF(OR($Y156="",ISNUMBER($V156),N($Y156)&lt;'設定'!$B$6),"",IF($Z156&lt;&gt;"",$Z156,$Y156))</f>
        <v/>
      </c>
      <c r="AB156" s="69">
        <f>IF($AA156="","",$AA156-'設定'!$B$6)</f>
        <v/>
      </c>
      <c r="AC156" s="28">
        <f>IF(NOT(OR($B156&lt;&gt;"",$C156&lt;&gt;"")),"",IF(ISNUMBER($V156),IF($V156&lt;'設定'!$B$6,"終了","終了予定"),IF($Y156="","有効",IF($Y156&lt;'設定'!$B$6,"満了",IF(AND($T156="更新する",ISNUMBER($U156),N($U156)&lt;='設定'!$B$6,OR($AO156="",N($U156)&gt;N($AO156))),"確認済み",IF($AB156&lt;0,"通知期限切れ",IF($AB156&lt;=N('設定'!$B$7),"要対応","有効")))))))</f>
        <v/>
      </c>
      <c r="AD156" s="68">
        <f>IF(OR(NOT(ISNUMBER($M156)),$AC156="",$AC156="終了",$AC156="終了予定",$AC156="満了"),"",IF($N156="日前",'設定'!$B$6+$M156,EDATE('設定'!$B$6,$M156)))</f>
        <v/>
      </c>
      <c r="AE156" s="70">
        <f>IF(NOT(ISNUMBER($O156)),"",IF($P156="月額",$O156*12,IF($P156="年額",$O156,"")))</f>
        <v/>
      </c>
      <c r="AF156" s="30">
        <f>MID(IF(AND(ISNUMBER($G156),ISNUMBER($H156)),IF(N($H156)&lt;N($G156)," / 満了日が開始日より前",""),"")&amp;IF(AND($I156="あり",NOT(ISNUMBER($H156)))," / 自動更新ありなのに満了日が空","")&amp;IF(AND($I156="あり",ISNUMBER($H156),NOT(ISNUMBER($J156)))," / 更新期間が空（更新を計算できない）","")&amp;IF($AH156="","",IF(AND(DAY($AH156)&gt;=29,OR(MOD($J156,12)&lt;&gt;0,MONTH($AH156)=2))," / 更新の初日が29〜31日（更新を重ねると満了日が1日ずれることがある。満了日を今の期間の満了日に書き換えると直る）",""))&amp;IF(AND(ISNUMBER($K156),$L156="")," / 通知の単位が空（か月前で計算）","")&amp;IF(AND(ISNUMBER($M156),$N156="")," / 解約予告の単位が空（か月前で計算）","")&amp;IF(AND(ISNUMBER($O156),$P156="")," / 金額の区分が空","")&amp;IF(AND($T156&lt;&gt;"",NOT(ISNUMBER($U156)))," / 対応を決めた日が空","")&amp;IF(AND(ISNUMBER($U156),$T156="")," / 今期の対応が空","")&amp;IF(AND($T156="更新しない",NOT(ISNUMBER($V156)))," / 更新しないなら、解約・終了した日（契約が終わる日）を入れる",""),4,300)</f>
        <v/>
      </c>
      <c r="AG156" s="53" t="n"/>
      <c r="AH156" s="71">
        <f>IF(AND(ISNUMBER($H156),$I156="あり",ISNUMBER($J156)),IF($J156&gt;=1,$H156+1,""),"")</f>
        <v/>
      </c>
      <c r="AI156" s="32">
        <f>IF($AH156="","",(YEAR('設定'!$B$6)-YEAR($AH156))*12+MONTH('設定'!$B$6)-MONTH($AH156))</f>
        <v/>
      </c>
      <c r="AJ156" s="32">
        <f>IF($AH156="","",MAX(1,ROUNDUP($AI156/$J156,0)))</f>
        <v/>
      </c>
      <c r="AK156" s="71">
        <f>IF($AJ156="","",IF(DAY(EDATE($AH156,$AJ156*$J156))&lt;DAY($AH156),EDATE($AH156,$AJ156*$J156),EDATE($AH156,$AJ156*$J156)-1))</f>
        <v/>
      </c>
      <c r="AL156" s="71">
        <f>IF($AJ156="","",IF(DAY(EDATE($AH156,($AJ156+1)*$J156))&lt;DAY($AH156),EDATE($AH156,($AJ156+1)*$J156),EDATE($AH156,($AJ156+1)*$J156)-1))</f>
        <v/>
      </c>
      <c r="AM156" s="71">
        <f>IF($AJ156="","",IF($AJ156=1,$H156,IF(DAY(EDATE($AH156,($AJ156-1)*$J156))&lt;DAY($AH156),EDATE($AH156,($AJ156-1)*$J156),EDATE($AH156,($AJ156-1)*$J156)-1)))</f>
        <v/>
      </c>
      <c r="AN156" s="32">
        <f>IF(NOT(ISNUMBER($H156)),"",IF(OR($AH156="",$H156&gt;='設定'!$B$6),0,IF($AK156&gt;='設定'!$B$6,$AJ156,$AJ156+1)))</f>
        <v/>
      </c>
      <c r="AO156" s="71">
        <f>IF($AN156="","",IF($AN156=0,"",IF($AN156=$AJ156,$AM156,$AK156)))</f>
        <v/>
      </c>
      <c r="AP156" s="32">
        <f>IF(OR($AC156="要対応",$AC156="通知期限切れ",$AC156="確認済み",$AC156="有効",$AC156="終了予定"),1,0)</f>
        <v/>
      </c>
      <c r="AQ156" s="32">
        <f>IF(OR($AC156="要対応",$AC156="通知期限切れ"),1,0)</f>
        <v/>
      </c>
      <c r="AR156" s="72">
        <f>IF(AND(ISNUMBER($AB156),OR($AC156="要対応",$AC156="通知期限切れ",$AC156="確認済み",$AC156="有効")),$AB156+ROW()/100000,"")</f>
        <v/>
      </c>
      <c r="AS156" s="32">
        <f>IF($E156="","",IF(COUNTIF($E$5:$E156,$E156)=1,ROW(),""))</f>
        <v/>
      </c>
      <c r="AT156" s="32">
        <f>IF($S156="","",IF(COUNTIF($S$5:$S156,$S156)=1,ROW(),""))</f>
        <v/>
      </c>
    </row>
    <row r="157" ht="20" customHeight="1">
      <c r="A157" s="20" t="n">
        <v>153</v>
      </c>
      <c r="B157" s="21" t="n"/>
      <c r="C157" s="22" t="n"/>
      <c r="D157" s="22" t="n"/>
      <c r="E157" s="22" t="n"/>
      <c r="F157" s="66" t="n"/>
      <c r="G157" s="66" t="n"/>
      <c r="H157" s="66" t="n"/>
      <c r="I157" s="21" t="n"/>
      <c r="J157" s="24" t="n"/>
      <c r="K157" s="24" t="n"/>
      <c r="L157" s="21" t="n"/>
      <c r="M157" s="24" t="n"/>
      <c r="N157" s="21" t="n"/>
      <c r="O157" s="67" t="n"/>
      <c r="P157" s="21" t="n"/>
      <c r="Q157" s="21" t="n"/>
      <c r="R157" s="22" t="n"/>
      <c r="S157" s="22" t="n"/>
      <c r="T157" s="21" t="n"/>
      <c r="U157" s="66" t="n"/>
      <c r="V157" s="66" t="n"/>
      <c r="W157" s="66" t="n"/>
      <c r="X157" s="8" t="n"/>
      <c r="Y157" s="68">
        <f>IF($AN157="","",IF($AN157=0,$H157,IF($AN157=$AJ157,$AK157,$AL157)))</f>
        <v/>
      </c>
      <c r="Z157" s="68">
        <f>IF(OR($Y157="",NOT(ISNUMBER($K157))),"",IF($L157="日前",$Y157-$K157,EDATE($Y157,-$K157)))</f>
        <v/>
      </c>
      <c r="AA157" s="68">
        <f>IF(OR($Y157="",ISNUMBER($V157),N($Y157)&lt;'設定'!$B$6),"",IF($Z157&lt;&gt;"",$Z157,$Y157))</f>
        <v/>
      </c>
      <c r="AB157" s="69">
        <f>IF($AA157="","",$AA157-'設定'!$B$6)</f>
        <v/>
      </c>
      <c r="AC157" s="28">
        <f>IF(NOT(OR($B157&lt;&gt;"",$C157&lt;&gt;"")),"",IF(ISNUMBER($V157),IF($V157&lt;'設定'!$B$6,"終了","終了予定"),IF($Y157="","有効",IF($Y157&lt;'設定'!$B$6,"満了",IF(AND($T157="更新する",ISNUMBER($U157),N($U157)&lt;='設定'!$B$6,OR($AO157="",N($U157)&gt;N($AO157))),"確認済み",IF($AB157&lt;0,"通知期限切れ",IF($AB157&lt;=N('設定'!$B$7),"要対応","有効")))))))</f>
        <v/>
      </c>
      <c r="AD157" s="68">
        <f>IF(OR(NOT(ISNUMBER($M157)),$AC157="",$AC157="終了",$AC157="終了予定",$AC157="満了"),"",IF($N157="日前",'設定'!$B$6+$M157,EDATE('設定'!$B$6,$M157)))</f>
        <v/>
      </c>
      <c r="AE157" s="70">
        <f>IF(NOT(ISNUMBER($O157)),"",IF($P157="月額",$O157*12,IF($P157="年額",$O157,"")))</f>
        <v/>
      </c>
      <c r="AF157" s="30">
        <f>MID(IF(AND(ISNUMBER($G157),ISNUMBER($H157)),IF(N($H157)&lt;N($G157)," / 満了日が開始日より前",""),"")&amp;IF(AND($I157="あり",NOT(ISNUMBER($H157)))," / 自動更新ありなのに満了日が空","")&amp;IF(AND($I157="あり",ISNUMBER($H157),NOT(ISNUMBER($J157)))," / 更新期間が空（更新を計算できない）","")&amp;IF($AH157="","",IF(AND(DAY($AH157)&gt;=29,OR(MOD($J157,12)&lt;&gt;0,MONTH($AH157)=2))," / 更新の初日が29〜31日（更新を重ねると満了日が1日ずれることがある。満了日を今の期間の満了日に書き換えると直る）",""))&amp;IF(AND(ISNUMBER($K157),$L157="")," / 通知の単位が空（か月前で計算）","")&amp;IF(AND(ISNUMBER($M157),$N157="")," / 解約予告の単位が空（か月前で計算）","")&amp;IF(AND(ISNUMBER($O157),$P157="")," / 金額の区分が空","")&amp;IF(AND($T157&lt;&gt;"",NOT(ISNUMBER($U157)))," / 対応を決めた日が空","")&amp;IF(AND(ISNUMBER($U157),$T157="")," / 今期の対応が空","")&amp;IF(AND($T157="更新しない",NOT(ISNUMBER($V157)))," / 更新しないなら、解約・終了した日（契約が終わる日）を入れる",""),4,300)</f>
        <v/>
      </c>
      <c r="AG157" s="53" t="n"/>
      <c r="AH157" s="71">
        <f>IF(AND(ISNUMBER($H157),$I157="あり",ISNUMBER($J157)),IF($J157&gt;=1,$H157+1,""),"")</f>
        <v/>
      </c>
      <c r="AI157" s="32">
        <f>IF($AH157="","",(YEAR('設定'!$B$6)-YEAR($AH157))*12+MONTH('設定'!$B$6)-MONTH($AH157))</f>
        <v/>
      </c>
      <c r="AJ157" s="32">
        <f>IF($AH157="","",MAX(1,ROUNDUP($AI157/$J157,0)))</f>
        <v/>
      </c>
      <c r="AK157" s="71">
        <f>IF($AJ157="","",IF(DAY(EDATE($AH157,$AJ157*$J157))&lt;DAY($AH157),EDATE($AH157,$AJ157*$J157),EDATE($AH157,$AJ157*$J157)-1))</f>
        <v/>
      </c>
      <c r="AL157" s="71">
        <f>IF($AJ157="","",IF(DAY(EDATE($AH157,($AJ157+1)*$J157))&lt;DAY($AH157),EDATE($AH157,($AJ157+1)*$J157),EDATE($AH157,($AJ157+1)*$J157)-1))</f>
        <v/>
      </c>
      <c r="AM157" s="71">
        <f>IF($AJ157="","",IF($AJ157=1,$H157,IF(DAY(EDATE($AH157,($AJ157-1)*$J157))&lt;DAY($AH157),EDATE($AH157,($AJ157-1)*$J157),EDATE($AH157,($AJ157-1)*$J157)-1)))</f>
        <v/>
      </c>
      <c r="AN157" s="32">
        <f>IF(NOT(ISNUMBER($H157)),"",IF(OR($AH157="",$H157&gt;='設定'!$B$6),0,IF($AK157&gt;='設定'!$B$6,$AJ157,$AJ157+1)))</f>
        <v/>
      </c>
      <c r="AO157" s="71">
        <f>IF($AN157="","",IF($AN157=0,"",IF($AN157=$AJ157,$AM157,$AK157)))</f>
        <v/>
      </c>
      <c r="AP157" s="32">
        <f>IF(OR($AC157="要対応",$AC157="通知期限切れ",$AC157="確認済み",$AC157="有効",$AC157="終了予定"),1,0)</f>
        <v/>
      </c>
      <c r="AQ157" s="32">
        <f>IF(OR($AC157="要対応",$AC157="通知期限切れ"),1,0)</f>
        <v/>
      </c>
      <c r="AR157" s="72">
        <f>IF(AND(ISNUMBER($AB157),OR($AC157="要対応",$AC157="通知期限切れ",$AC157="確認済み",$AC157="有効")),$AB157+ROW()/100000,"")</f>
        <v/>
      </c>
      <c r="AS157" s="32">
        <f>IF($E157="","",IF(COUNTIF($E$5:$E157,$E157)=1,ROW(),""))</f>
        <v/>
      </c>
      <c r="AT157" s="32">
        <f>IF($S157="","",IF(COUNTIF($S$5:$S157,$S157)=1,ROW(),""))</f>
        <v/>
      </c>
    </row>
    <row r="158" ht="20" customHeight="1">
      <c r="A158" s="20" t="n">
        <v>154</v>
      </c>
      <c r="B158" s="21" t="n"/>
      <c r="C158" s="22" t="n"/>
      <c r="D158" s="22" t="n"/>
      <c r="E158" s="22" t="n"/>
      <c r="F158" s="66" t="n"/>
      <c r="G158" s="66" t="n"/>
      <c r="H158" s="66" t="n"/>
      <c r="I158" s="21" t="n"/>
      <c r="J158" s="24" t="n"/>
      <c r="K158" s="24" t="n"/>
      <c r="L158" s="21" t="n"/>
      <c r="M158" s="24" t="n"/>
      <c r="N158" s="21" t="n"/>
      <c r="O158" s="67" t="n"/>
      <c r="P158" s="21" t="n"/>
      <c r="Q158" s="21" t="n"/>
      <c r="R158" s="22" t="n"/>
      <c r="S158" s="22" t="n"/>
      <c r="T158" s="21" t="n"/>
      <c r="U158" s="66" t="n"/>
      <c r="V158" s="66" t="n"/>
      <c r="W158" s="66" t="n"/>
      <c r="X158" s="8" t="n"/>
      <c r="Y158" s="68">
        <f>IF($AN158="","",IF($AN158=0,$H158,IF($AN158=$AJ158,$AK158,$AL158)))</f>
        <v/>
      </c>
      <c r="Z158" s="68">
        <f>IF(OR($Y158="",NOT(ISNUMBER($K158))),"",IF($L158="日前",$Y158-$K158,EDATE($Y158,-$K158)))</f>
        <v/>
      </c>
      <c r="AA158" s="68">
        <f>IF(OR($Y158="",ISNUMBER($V158),N($Y158)&lt;'設定'!$B$6),"",IF($Z158&lt;&gt;"",$Z158,$Y158))</f>
        <v/>
      </c>
      <c r="AB158" s="69">
        <f>IF($AA158="","",$AA158-'設定'!$B$6)</f>
        <v/>
      </c>
      <c r="AC158" s="28">
        <f>IF(NOT(OR($B158&lt;&gt;"",$C158&lt;&gt;"")),"",IF(ISNUMBER($V158),IF($V158&lt;'設定'!$B$6,"終了","終了予定"),IF($Y158="","有効",IF($Y158&lt;'設定'!$B$6,"満了",IF(AND($T158="更新する",ISNUMBER($U158),N($U158)&lt;='設定'!$B$6,OR($AO158="",N($U158)&gt;N($AO158))),"確認済み",IF($AB158&lt;0,"通知期限切れ",IF($AB158&lt;=N('設定'!$B$7),"要対応","有効")))))))</f>
        <v/>
      </c>
      <c r="AD158" s="68">
        <f>IF(OR(NOT(ISNUMBER($M158)),$AC158="",$AC158="終了",$AC158="終了予定",$AC158="満了"),"",IF($N158="日前",'設定'!$B$6+$M158,EDATE('設定'!$B$6,$M158)))</f>
        <v/>
      </c>
      <c r="AE158" s="70">
        <f>IF(NOT(ISNUMBER($O158)),"",IF($P158="月額",$O158*12,IF($P158="年額",$O158,"")))</f>
        <v/>
      </c>
      <c r="AF158" s="30">
        <f>MID(IF(AND(ISNUMBER($G158),ISNUMBER($H158)),IF(N($H158)&lt;N($G158)," / 満了日が開始日より前",""),"")&amp;IF(AND($I158="あり",NOT(ISNUMBER($H158)))," / 自動更新ありなのに満了日が空","")&amp;IF(AND($I158="あり",ISNUMBER($H158),NOT(ISNUMBER($J158)))," / 更新期間が空（更新を計算できない）","")&amp;IF($AH158="","",IF(AND(DAY($AH158)&gt;=29,OR(MOD($J158,12)&lt;&gt;0,MONTH($AH158)=2))," / 更新の初日が29〜31日（更新を重ねると満了日が1日ずれることがある。満了日を今の期間の満了日に書き換えると直る）",""))&amp;IF(AND(ISNUMBER($K158),$L158="")," / 通知の単位が空（か月前で計算）","")&amp;IF(AND(ISNUMBER($M158),$N158="")," / 解約予告の単位が空（か月前で計算）","")&amp;IF(AND(ISNUMBER($O158),$P158="")," / 金額の区分が空","")&amp;IF(AND($T158&lt;&gt;"",NOT(ISNUMBER($U158)))," / 対応を決めた日が空","")&amp;IF(AND(ISNUMBER($U158),$T158="")," / 今期の対応が空","")&amp;IF(AND($T158="更新しない",NOT(ISNUMBER($V158)))," / 更新しないなら、解約・終了した日（契約が終わる日）を入れる",""),4,300)</f>
        <v/>
      </c>
      <c r="AG158" s="53" t="n"/>
      <c r="AH158" s="71">
        <f>IF(AND(ISNUMBER($H158),$I158="あり",ISNUMBER($J158)),IF($J158&gt;=1,$H158+1,""),"")</f>
        <v/>
      </c>
      <c r="AI158" s="32">
        <f>IF($AH158="","",(YEAR('設定'!$B$6)-YEAR($AH158))*12+MONTH('設定'!$B$6)-MONTH($AH158))</f>
        <v/>
      </c>
      <c r="AJ158" s="32">
        <f>IF($AH158="","",MAX(1,ROUNDUP($AI158/$J158,0)))</f>
        <v/>
      </c>
      <c r="AK158" s="71">
        <f>IF($AJ158="","",IF(DAY(EDATE($AH158,$AJ158*$J158))&lt;DAY($AH158),EDATE($AH158,$AJ158*$J158),EDATE($AH158,$AJ158*$J158)-1))</f>
        <v/>
      </c>
      <c r="AL158" s="71">
        <f>IF($AJ158="","",IF(DAY(EDATE($AH158,($AJ158+1)*$J158))&lt;DAY($AH158),EDATE($AH158,($AJ158+1)*$J158),EDATE($AH158,($AJ158+1)*$J158)-1))</f>
        <v/>
      </c>
      <c r="AM158" s="71">
        <f>IF($AJ158="","",IF($AJ158=1,$H158,IF(DAY(EDATE($AH158,($AJ158-1)*$J158))&lt;DAY($AH158),EDATE($AH158,($AJ158-1)*$J158),EDATE($AH158,($AJ158-1)*$J158)-1)))</f>
        <v/>
      </c>
      <c r="AN158" s="32">
        <f>IF(NOT(ISNUMBER($H158)),"",IF(OR($AH158="",$H158&gt;='設定'!$B$6),0,IF($AK158&gt;='設定'!$B$6,$AJ158,$AJ158+1)))</f>
        <v/>
      </c>
      <c r="AO158" s="71">
        <f>IF($AN158="","",IF($AN158=0,"",IF($AN158=$AJ158,$AM158,$AK158)))</f>
        <v/>
      </c>
      <c r="AP158" s="32">
        <f>IF(OR($AC158="要対応",$AC158="通知期限切れ",$AC158="確認済み",$AC158="有効",$AC158="終了予定"),1,0)</f>
        <v/>
      </c>
      <c r="AQ158" s="32">
        <f>IF(OR($AC158="要対応",$AC158="通知期限切れ"),1,0)</f>
        <v/>
      </c>
      <c r="AR158" s="72">
        <f>IF(AND(ISNUMBER($AB158),OR($AC158="要対応",$AC158="通知期限切れ",$AC158="確認済み",$AC158="有効")),$AB158+ROW()/100000,"")</f>
        <v/>
      </c>
      <c r="AS158" s="32">
        <f>IF($E158="","",IF(COUNTIF($E$5:$E158,$E158)=1,ROW(),""))</f>
        <v/>
      </c>
      <c r="AT158" s="32">
        <f>IF($S158="","",IF(COUNTIF($S$5:$S158,$S158)=1,ROW(),""))</f>
        <v/>
      </c>
    </row>
    <row r="159" ht="20" customHeight="1">
      <c r="A159" s="20" t="n">
        <v>155</v>
      </c>
      <c r="B159" s="21" t="n"/>
      <c r="C159" s="22" t="n"/>
      <c r="D159" s="22" t="n"/>
      <c r="E159" s="22" t="n"/>
      <c r="F159" s="66" t="n"/>
      <c r="G159" s="66" t="n"/>
      <c r="H159" s="66" t="n"/>
      <c r="I159" s="21" t="n"/>
      <c r="J159" s="24" t="n"/>
      <c r="K159" s="24" t="n"/>
      <c r="L159" s="21" t="n"/>
      <c r="M159" s="24" t="n"/>
      <c r="N159" s="21" t="n"/>
      <c r="O159" s="67" t="n"/>
      <c r="P159" s="21" t="n"/>
      <c r="Q159" s="21" t="n"/>
      <c r="R159" s="22" t="n"/>
      <c r="S159" s="22" t="n"/>
      <c r="T159" s="21" t="n"/>
      <c r="U159" s="66" t="n"/>
      <c r="V159" s="66" t="n"/>
      <c r="W159" s="66" t="n"/>
      <c r="X159" s="8" t="n"/>
      <c r="Y159" s="68">
        <f>IF($AN159="","",IF($AN159=0,$H159,IF($AN159=$AJ159,$AK159,$AL159)))</f>
        <v/>
      </c>
      <c r="Z159" s="68">
        <f>IF(OR($Y159="",NOT(ISNUMBER($K159))),"",IF($L159="日前",$Y159-$K159,EDATE($Y159,-$K159)))</f>
        <v/>
      </c>
      <c r="AA159" s="68">
        <f>IF(OR($Y159="",ISNUMBER($V159),N($Y159)&lt;'設定'!$B$6),"",IF($Z159&lt;&gt;"",$Z159,$Y159))</f>
        <v/>
      </c>
      <c r="AB159" s="69">
        <f>IF($AA159="","",$AA159-'設定'!$B$6)</f>
        <v/>
      </c>
      <c r="AC159" s="28">
        <f>IF(NOT(OR($B159&lt;&gt;"",$C159&lt;&gt;"")),"",IF(ISNUMBER($V159),IF($V159&lt;'設定'!$B$6,"終了","終了予定"),IF($Y159="","有効",IF($Y159&lt;'設定'!$B$6,"満了",IF(AND($T159="更新する",ISNUMBER($U159),N($U159)&lt;='設定'!$B$6,OR($AO159="",N($U159)&gt;N($AO159))),"確認済み",IF($AB159&lt;0,"通知期限切れ",IF($AB159&lt;=N('設定'!$B$7),"要対応","有効")))))))</f>
        <v/>
      </c>
      <c r="AD159" s="68">
        <f>IF(OR(NOT(ISNUMBER($M159)),$AC159="",$AC159="終了",$AC159="終了予定",$AC159="満了"),"",IF($N159="日前",'設定'!$B$6+$M159,EDATE('設定'!$B$6,$M159)))</f>
        <v/>
      </c>
      <c r="AE159" s="70">
        <f>IF(NOT(ISNUMBER($O159)),"",IF($P159="月額",$O159*12,IF($P159="年額",$O159,"")))</f>
        <v/>
      </c>
      <c r="AF159" s="30">
        <f>MID(IF(AND(ISNUMBER($G159),ISNUMBER($H159)),IF(N($H159)&lt;N($G159)," / 満了日が開始日より前",""),"")&amp;IF(AND($I159="あり",NOT(ISNUMBER($H159)))," / 自動更新ありなのに満了日が空","")&amp;IF(AND($I159="あり",ISNUMBER($H159),NOT(ISNUMBER($J159)))," / 更新期間が空（更新を計算できない）","")&amp;IF($AH159="","",IF(AND(DAY($AH159)&gt;=29,OR(MOD($J159,12)&lt;&gt;0,MONTH($AH159)=2))," / 更新の初日が29〜31日（更新を重ねると満了日が1日ずれることがある。満了日を今の期間の満了日に書き換えると直る）",""))&amp;IF(AND(ISNUMBER($K159),$L159="")," / 通知の単位が空（か月前で計算）","")&amp;IF(AND(ISNUMBER($M159),$N159="")," / 解約予告の単位が空（か月前で計算）","")&amp;IF(AND(ISNUMBER($O159),$P159="")," / 金額の区分が空","")&amp;IF(AND($T159&lt;&gt;"",NOT(ISNUMBER($U159)))," / 対応を決めた日が空","")&amp;IF(AND(ISNUMBER($U159),$T159="")," / 今期の対応が空","")&amp;IF(AND($T159="更新しない",NOT(ISNUMBER($V159)))," / 更新しないなら、解約・終了した日（契約が終わる日）を入れる",""),4,300)</f>
        <v/>
      </c>
      <c r="AG159" s="53" t="n"/>
      <c r="AH159" s="71">
        <f>IF(AND(ISNUMBER($H159),$I159="あり",ISNUMBER($J159)),IF($J159&gt;=1,$H159+1,""),"")</f>
        <v/>
      </c>
      <c r="AI159" s="32">
        <f>IF($AH159="","",(YEAR('設定'!$B$6)-YEAR($AH159))*12+MONTH('設定'!$B$6)-MONTH($AH159))</f>
        <v/>
      </c>
      <c r="AJ159" s="32">
        <f>IF($AH159="","",MAX(1,ROUNDUP($AI159/$J159,0)))</f>
        <v/>
      </c>
      <c r="AK159" s="71">
        <f>IF($AJ159="","",IF(DAY(EDATE($AH159,$AJ159*$J159))&lt;DAY($AH159),EDATE($AH159,$AJ159*$J159),EDATE($AH159,$AJ159*$J159)-1))</f>
        <v/>
      </c>
      <c r="AL159" s="71">
        <f>IF($AJ159="","",IF(DAY(EDATE($AH159,($AJ159+1)*$J159))&lt;DAY($AH159),EDATE($AH159,($AJ159+1)*$J159),EDATE($AH159,($AJ159+1)*$J159)-1))</f>
        <v/>
      </c>
      <c r="AM159" s="71">
        <f>IF($AJ159="","",IF($AJ159=1,$H159,IF(DAY(EDATE($AH159,($AJ159-1)*$J159))&lt;DAY($AH159),EDATE($AH159,($AJ159-1)*$J159),EDATE($AH159,($AJ159-1)*$J159)-1)))</f>
        <v/>
      </c>
      <c r="AN159" s="32">
        <f>IF(NOT(ISNUMBER($H159)),"",IF(OR($AH159="",$H159&gt;='設定'!$B$6),0,IF($AK159&gt;='設定'!$B$6,$AJ159,$AJ159+1)))</f>
        <v/>
      </c>
      <c r="AO159" s="71">
        <f>IF($AN159="","",IF($AN159=0,"",IF($AN159=$AJ159,$AM159,$AK159)))</f>
        <v/>
      </c>
      <c r="AP159" s="32">
        <f>IF(OR($AC159="要対応",$AC159="通知期限切れ",$AC159="確認済み",$AC159="有効",$AC159="終了予定"),1,0)</f>
        <v/>
      </c>
      <c r="AQ159" s="32">
        <f>IF(OR($AC159="要対応",$AC159="通知期限切れ"),1,0)</f>
        <v/>
      </c>
      <c r="AR159" s="72">
        <f>IF(AND(ISNUMBER($AB159),OR($AC159="要対応",$AC159="通知期限切れ",$AC159="確認済み",$AC159="有効")),$AB159+ROW()/100000,"")</f>
        <v/>
      </c>
      <c r="AS159" s="32">
        <f>IF($E159="","",IF(COUNTIF($E$5:$E159,$E159)=1,ROW(),""))</f>
        <v/>
      </c>
      <c r="AT159" s="32">
        <f>IF($S159="","",IF(COUNTIF($S$5:$S159,$S159)=1,ROW(),""))</f>
        <v/>
      </c>
    </row>
    <row r="160" ht="20" customHeight="1">
      <c r="A160" s="20" t="n">
        <v>156</v>
      </c>
      <c r="B160" s="21" t="n"/>
      <c r="C160" s="22" t="n"/>
      <c r="D160" s="22" t="n"/>
      <c r="E160" s="22" t="n"/>
      <c r="F160" s="66" t="n"/>
      <c r="G160" s="66" t="n"/>
      <c r="H160" s="66" t="n"/>
      <c r="I160" s="21" t="n"/>
      <c r="J160" s="24" t="n"/>
      <c r="K160" s="24" t="n"/>
      <c r="L160" s="21" t="n"/>
      <c r="M160" s="24" t="n"/>
      <c r="N160" s="21" t="n"/>
      <c r="O160" s="67" t="n"/>
      <c r="P160" s="21" t="n"/>
      <c r="Q160" s="21" t="n"/>
      <c r="R160" s="22" t="n"/>
      <c r="S160" s="22" t="n"/>
      <c r="T160" s="21" t="n"/>
      <c r="U160" s="66" t="n"/>
      <c r="V160" s="66" t="n"/>
      <c r="W160" s="66" t="n"/>
      <c r="X160" s="8" t="n"/>
      <c r="Y160" s="68">
        <f>IF($AN160="","",IF($AN160=0,$H160,IF($AN160=$AJ160,$AK160,$AL160)))</f>
        <v/>
      </c>
      <c r="Z160" s="68">
        <f>IF(OR($Y160="",NOT(ISNUMBER($K160))),"",IF($L160="日前",$Y160-$K160,EDATE($Y160,-$K160)))</f>
        <v/>
      </c>
      <c r="AA160" s="68">
        <f>IF(OR($Y160="",ISNUMBER($V160),N($Y160)&lt;'設定'!$B$6),"",IF($Z160&lt;&gt;"",$Z160,$Y160))</f>
        <v/>
      </c>
      <c r="AB160" s="69">
        <f>IF($AA160="","",$AA160-'設定'!$B$6)</f>
        <v/>
      </c>
      <c r="AC160" s="28">
        <f>IF(NOT(OR($B160&lt;&gt;"",$C160&lt;&gt;"")),"",IF(ISNUMBER($V160),IF($V160&lt;'設定'!$B$6,"終了","終了予定"),IF($Y160="","有効",IF($Y160&lt;'設定'!$B$6,"満了",IF(AND($T160="更新する",ISNUMBER($U160),N($U160)&lt;='設定'!$B$6,OR($AO160="",N($U160)&gt;N($AO160))),"確認済み",IF($AB160&lt;0,"通知期限切れ",IF($AB160&lt;=N('設定'!$B$7),"要対応","有効")))))))</f>
        <v/>
      </c>
      <c r="AD160" s="68">
        <f>IF(OR(NOT(ISNUMBER($M160)),$AC160="",$AC160="終了",$AC160="終了予定",$AC160="満了"),"",IF($N160="日前",'設定'!$B$6+$M160,EDATE('設定'!$B$6,$M160)))</f>
        <v/>
      </c>
      <c r="AE160" s="70">
        <f>IF(NOT(ISNUMBER($O160)),"",IF($P160="月額",$O160*12,IF($P160="年額",$O160,"")))</f>
        <v/>
      </c>
      <c r="AF160" s="30">
        <f>MID(IF(AND(ISNUMBER($G160),ISNUMBER($H160)),IF(N($H160)&lt;N($G160)," / 満了日が開始日より前",""),"")&amp;IF(AND($I160="あり",NOT(ISNUMBER($H160)))," / 自動更新ありなのに満了日が空","")&amp;IF(AND($I160="あり",ISNUMBER($H160),NOT(ISNUMBER($J160)))," / 更新期間が空（更新を計算できない）","")&amp;IF($AH160="","",IF(AND(DAY($AH160)&gt;=29,OR(MOD($J160,12)&lt;&gt;0,MONTH($AH160)=2))," / 更新の初日が29〜31日（更新を重ねると満了日が1日ずれることがある。満了日を今の期間の満了日に書き換えると直る）",""))&amp;IF(AND(ISNUMBER($K160),$L160="")," / 通知の単位が空（か月前で計算）","")&amp;IF(AND(ISNUMBER($M160),$N160="")," / 解約予告の単位が空（か月前で計算）","")&amp;IF(AND(ISNUMBER($O160),$P160="")," / 金額の区分が空","")&amp;IF(AND($T160&lt;&gt;"",NOT(ISNUMBER($U160)))," / 対応を決めた日が空","")&amp;IF(AND(ISNUMBER($U160),$T160="")," / 今期の対応が空","")&amp;IF(AND($T160="更新しない",NOT(ISNUMBER($V160)))," / 更新しないなら、解約・終了した日（契約が終わる日）を入れる",""),4,300)</f>
        <v/>
      </c>
      <c r="AG160" s="53" t="n"/>
      <c r="AH160" s="71">
        <f>IF(AND(ISNUMBER($H160),$I160="あり",ISNUMBER($J160)),IF($J160&gt;=1,$H160+1,""),"")</f>
        <v/>
      </c>
      <c r="AI160" s="32">
        <f>IF($AH160="","",(YEAR('設定'!$B$6)-YEAR($AH160))*12+MONTH('設定'!$B$6)-MONTH($AH160))</f>
        <v/>
      </c>
      <c r="AJ160" s="32">
        <f>IF($AH160="","",MAX(1,ROUNDUP($AI160/$J160,0)))</f>
        <v/>
      </c>
      <c r="AK160" s="71">
        <f>IF($AJ160="","",IF(DAY(EDATE($AH160,$AJ160*$J160))&lt;DAY($AH160),EDATE($AH160,$AJ160*$J160),EDATE($AH160,$AJ160*$J160)-1))</f>
        <v/>
      </c>
      <c r="AL160" s="71">
        <f>IF($AJ160="","",IF(DAY(EDATE($AH160,($AJ160+1)*$J160))&lt;DAY($AH160),EDATE($AH160,($AJ160+1)*$J160),EDATE($AH160,($AJ160+1)*$J160)-1))</f>
        <v/>
      </c>
      <c r="AM160" s="71">
        <f>IF($AJ160="","",IF($AJ160=1,$H160,IF(DAY(EDATE($AH160,($AJ160-1)*$J160))&lt;DAY($AH160),EDATE($AH160,($AJ160-1)*$J160),EDATE($AH160,($AJ160-1)*$J160)-1)))</f>
        <v/>
      </c>
      <c r="AN160" s="32">
        <f>IF(NOT(ISNUMBER($H160)),"",IF(OR($AH160="",$H160&gt;='設定'!$B$6),0,IF($AK160&gt;='設定'!$B$6,$AJ160,$AJ160+1)))</f>
        <v/>
      </c>
      <c r="AO160" s="71">
        <f>IF($AN160="","",IF($AN160=0,"",IF($AN160=$AJ160,$AM160,$AK160)))</f>
        <v/>
      </c>
      <c r="AP160" s="32">
        <f>IF(OR($AC160="要対応",$AC160="通知期限切れ",$AC160="確認済み",$AC160="有効",$AC160="終了予定"),1,0)</f>
        <v/>
      </c>
      <c r="AQ160" s="32">
        <f>IF(OR($AC160="要対応",$AC160="通知期限切れ"),1,0)</f>
        <v/>
      </c>
      <c r="AR160" s="72">
        <f>IF(AND(ISNUMBER($AB160),OR($AC160="要対応",$AC160="通知期限切れ",$AC160="確認済み",$AC160="有効")),$AB160+ROW()/100000,"")</f>
        <v/>
      </c>
      <c r="AS160" s="32">
        <f>IF($E160="","",IF(COUNTIF($E$5:$E160,$E160)=1,ROW(),""))</f>
        <v/>
      </c>
      <c r="AT160" s="32">
        <f>IF($S160="","",IF(COUNTIF($S$5:$S160,$S160)=1,ROW(),""))</f>
        <v/>
      </c>
    </row>
    <row r="161" ht="20" customHeight="1">
      <c r="A161" s="20" t="n">
        <v>157</v>
      </c>
      <c r="B161" s="21" t="n"/>
      <c r="C161" s="22" t="n"/>
      <c r="D161" s="22" t="n"/>
      <c r="E161" s="22" t="n"/>
      <c r="F161" s="66" t="n"/>
      <c r="G161" s="66" t="n"/>
      <c r="H161" s="66" t="n"/>
      <c r="I161" s="21" t="n"/>
      <c r="J161" s="24" t="n"/>
      <c r="K161" s="24" t="n"/>
      <c r="L161" s="21" t="n"/>
      <c r="M161" s="24" t="n"/>
      <c r="N161" s="21" t="n"/>
      <c r="O161" s="67" t="n"/>
      <c r="P161" s="21" t="n"/>
      <c r="Q161" s="21" t="n"/>
      <c r="R161" s="22" t="n"/>
      <c r="S161" s="22" t="n"/>
      <c r="T161" s="21" t="n"/>
      <c r="U161" s="66" t="n"/>
      <c r="V161" s="66" t="n"/>
      <c r="W161" s="66" t="n"/>
      <c r="X161" s="8" t="n"/>
      <c r="Y161" s="68">
        <f>IF($AN161="","",IF($AN161=0,$H161,IF($AN161=$AJ161,$AK161,$AL161)))</f>
        <v/>
      </c>
      <c r="Z161" s="68">
        <f>IF(OR($Y161="",NOT(ISNUMBER($K161))),"",IF($L161="日前",$Y161-$K161,EDATE($Y161,-$K161)))</f>
        <v/>
      </c>
      <c r="AA161" s="68">
        <f>IF(OR($Y161="",ISNUMBER($V161),N($Y161)&lt;'設定'!$B$6),"",IF($Z161&lt;&gt;"",$Z161,$Y161))</f>
        <v/>
      </c>
      <c r="AB161" s="69">
        <f>IF($AA161="","",$AA161-'設定'!$B$6)</f>
        <v/>
      </c>
      <c r="AC161" s="28">
        <f>IF(NOT(OR($B161&lt;&gt;"",$C161&lt;&gt;"")),"",IF(ISNUMBER($V161),IF($V161&lt;'設定'!$B$6,"終了","終了予定"),IF($Y161="","有効",IF($Y161&lt;'設定'!$B$6,"満了",IF(AND($T161="更新する",ISNUMBER($U161),N($U161)&lt;='設定'!$B$6,OR($AO161="",N($U161)&gt;N($AO161))),"確認済み",IF($AB161&lt;0,"通知期限切れ",IF($AB161&lt;=N('設定'!$B$7),"要対応","有効")))))))</f>
        <v/>
      </c>
      <c r="AD161" s="68">
        <f>IF(OR(NOT(ISNUMBER($M161)),$AC161="",$AC161="終了",$AC161="終了予定",$AC161="満了"),"",IF($N161="日前",'設定'!$B$6+$M161,EDATE('設定'!$B$6,$M161)))</f>
        <v/>
      </c>
      <c r="AE161" s="70">
        <f>IF(NOT(ISNUMBER($O161)),"",IF($P161="月額",$O161*12,IF($P161="年額",$O161,"")))</f>
        <v/>
      </c>
      <c r="AF161" s="30">
        <f>MID(IF(AND(ISNUMBER($G161),ISNUMBER($H161)),IF(N($H161)&lt;N($G161)," / 満了日が開始日より前",""),"")&amp;IF(AND($I161="あり",NOT(ISNUMBER($H161)))," / 自動更新ありなのに満了日が空","")&amp;IF(AND($I161="あり",ISNUMBER($H161),NOT(ISNUMBER($J161)))," / 更新期間が空（更新を計算できない）","")&amp;IF($AH161="","",IF(AND(DAY($AH161)&gt;=29,OR(MOD($J161,12)&lt;&gt;0,MONTH($AH161)=2))," / 更新の初日が29〜31日（更新を重ねると満了日が1日ずれることがある。満了日を今の期間の満了日に書き換えると直る）",""))&amp;IF(AND(ISNUMBER($K161),$L161="")," / 通知の単位が空（か月前で計算）","")&amp;IF(AND(ISNUMBER($M161),$N161="")," / 解約予告の単位が空（か月前で計算）","")&amp;IF(AND(ISNUMBER($O161),$P161="")," / 金額の区分が空","")&amp;IF(AND($T161&lt;&gt;"",NOT(ISNUMBER($U161)))," / 対応を決めた日が空","")&amp;IF(AND(ISNUMBER($U161),$T161="")," / 今期の対応が空","")&amp;IF(AND($T161="更新しない",NOT(ISNUMBER($V161)))," / 更新しないなら、解約・終了した日（契約が終わる日）を入れる",""),4,300)</f>
        <v/>
      </c>
      <c r="AG161" s="53" t="n"/>
      <c r="AH161" s="71">
        <f>IF(AND(ISNUMBER($H161),$I161="あり",ISNUMBER($J161)),IF($J161&gt;=1,$H161+1,""),"")</f>
        <v/>
      </c>
      <c r="AI161" s="32">
        <f>IF($AH161="","",(YEAR('設定'!$B$6)-YEAR($AH161))*12+MONTH('設定'!$B$6)-MONTH($AH161))</f>
        <v/>
      </c>
      <c r="AJ161" s="32">
        <f>IF($AH161="","",MAX(1,ROUNDUP($AI161/$J161,0)))</f>
        <v/>
      </c>
      <c r="AK161" s="71">
        <f>IF($AJ161="","",IF(DAY(EDATE($AH161,$AJ161*$J161))&lt;DAY($AH161),EDATE($AH161,$AJ161*$J161),EDATE($AH161,$AJ161*$J161)-1))</f>
        <v/>
      </c>
      <c r="AL161" s="71">
        <f>IF($AJ161="","",IF(DAY(EDATE($AH161,($AJ161+1)*$J161))&lt;DAY($AH161),EDATE($AH161,($AJ161+1)*$J161),EDATE($AH161,($AJ161+1)*$J161)-1))</f>
        <v/>
      </c>
      <c r="AM161" s="71">
        <f>IF($AJ161="","",IF($AJ161=1,$H161,IF(DAY(EDATE($AH161,($AJ161-1)*$J161))&lt;DAY($AH161),EDATE($AH161,($AJ161-1)*$J161),EDATE($AH161,($AJ161-1)*$J161)-1)))</f>
        <v/>
      </c>
      <c r="AN161" s="32">
        <f>IF(NOT(ISNUMBER($H161)),"",IF(OR($AH161="",$H161&gt;='設定'!$B$6),0,IF($AK161&gt;='設定'!$B$6,$AJ161,$AJ161+1)))</f>
        <v/>
      </c>
      <c r="AO161" s="71">
        <f>IF($AN161="","",IF($AN161=0,"",IF($AN161=$AJ161,$AM161,$AK161)))</f>
        <v/>
      </c>
      <c r="AP161" s="32">
        <f>IF(OR($AC161="要対応",$AC161="通知期限切れ",$AC161="確認済み",$AC161="有効",$AC161="終了予定"),1,0)</f>
        <v/>
      </c>
      <c r="AQ161" s="32">
        <f>IF(OR($AC161="要対応",$AC161="通知期限切れ"),1,0)</f>
        <v/>
      </c>
      <c r="AR161" s="72">
        <f>IF(AND(ISNUMBER($AB161),OR($AC161="要対応",$AC161="通知期限切れ",$AC161="確認済み",$AC161="有効")),$AB161+ROW()/100000,"")</f>
        <v/>
      </c>
      <c r="AS161" s="32">
        <f>IF($E161="","",IF(COUNTIF($E$5:$E161,$E161)=1,ROW(),""))</f>
        <v/>
      </c>
      <c r="AT161" s="32">
        <f>IF($S161="","",IF(COUNTIF($S$5:$S161,$S161)=1,ROW(),""))</f>
        <v/>
      </c>
    </row>
    <row r="162" ht="20" customHeight="1">
      <c r="A162" s="20" t="n">
        <v>158</v>
      </c>
      <c r="B162" s="21" t="n"/>
      <c r="C162" s="22" t="n"/>
      <c r="D162" s="22" t="n"/>
      <c r="E162" s="22" t="n"/>
      <c r="F162" s="66" t="n"/>
      <c r="G162" s="66" t="n"/>
      <c r="H162" s="66" t="n"/>
      <c r="I162" s="21" t="n"/>
      <c r="J162" s="24" t="n"/>
      <c r="K162" s="24" t="n"/>
      <c r="L162" s="21" t="n"/>
      <c r="M162" s="24" t="n"/>
      <c r="N162" s="21" t="n"/>
      <c r="O162" s="67" t="n"/>
      <c r="P162" s="21" t="n"/>
      <c r="Q162" s="21" t="n"/>
      <c r="R162" s="22" t="n"/>
      <c r="S162" s="22" t="n"/>
      <c r="T162" s="21" t="n"/>
      <c r="U162" s="66" t="n"/>
      <c r="V162" s="66" t="n"/>
      <c r="W162" s="66" t="n"/>
      <c r="X162" s="8" t="n"/>
      <c r="Y162" s="68">
        <f>IF($AN162="","",IF($AN162=0,$H162,IF($AN162=$AJ162,$AK162,$AL162)))</f>
        <v/>
      </c>
      <c r="Z162" s="68">
        <f>IF(OR($Y162="",NOT(ISNUMBER($K162))),"",IF($L162="日前",$Y162-$K162,EDATE($Y162,-$K162)))</f>
        <v/>
      </c>
      <c r="AA162" s="68">
        <f>IF(OR($Y162="",ISNUMBER($V162),N($Y162)&lt;'設定'!$B$6),"",IF($Z162&lt;&gt;"",$Z162,$Y162))</f>
        <v/>
      </c>
      <c r="AB162" s="69">
        <f>IF($AA162="","",$AA162-'設定'!$B$6)</f>
        <v/>
      </c>
      <c r="AC162" s="28">
        <f>IF(NOT(OR($B162&lt;&gt;"",$C162&lt;&gt;"")),"",IF(ISNUMBER($V162),IF($V162&lt;'設定'!$B$6,"終了","終了予定"),IF($Y162="","有効",IF($Y162&lt;'設定'!$B$6,"満了",IF(AND($T162="更新する",ISNUMBER($U162),N($U162)&lt;='設定'!$B$6,OR($AO162="",N($U162)&gt;N($AO162))),"確認済み",IF($AB162&lt;0,"通知期限切れ",IF($AB162&lt;=N('設定'!$B$7),"要対応","有効")))))))</f>
        <v/>
      </c>
      <c r="AD162" s="68">
        <f>IF(OR(NOT(ISNUMBER($M162)),$AC162="",$AC162="終了",$AC162="終了予定",$AC162="満了"),"",IF($N162="日前",'設定'!$B$6+$M162,EDATE('設定'!$B$6,$M162)))</f>
        <v/>
      </c>
      <c r="AE162" s="70">
        <f>IF(NOT(ISNUMBER($O162)),"",IF($P162="月額",$O162*12,IF($P162="年額",$O162,"")))</f>
        <v/>
      </c>
      <c r="AF162" s="30">
        <f>MID(IF(AND(ISNUMBER($G162),ISNUMBER($H162)),IF(N($H162)&lt;N($G162)," / 満了日が開始日より前",""),"")&amp;IF(AND($I162="あり",NOT(ISNUMBER($H162)))," / 自動更新ありなのに満了日が空","")&amp;IF(AND($I162="あり",ISNUMBER($H162),NOT(ISNUMBER($J162)))," / 更新期間が空（更新を計算できない）","")&amp;IF($AH162="","",IF(AND(DAY($AH162)&gt;=29,OR(MOD($J162,12)&lt;&gt;0,MONTH($AH162)=2))," / 更新の初日が29〜31日（更新を重ねると満了日が1日ずれることがある。満了日を今の期間の満了日に書き換えると直る）",""))&amp;IF(AND(ISNUMBER($K162),$L162="")," / 通知の単位が空（か月前で計算）","")&amp;IF(AND(ISNUMBER($M162),$N162="")," / 解約予告の単位が空（か月前で計算）","")&amp;IF(AND(ISNUMBER($O162),$P162="")," / 金額の区分が空","")&amp;IF(AND($T162&lt;&gt;"",NOT(ISNUMBER($U162)))," / 対応を決めた日が空","")&amp;IF(AND(ISNUMBER($U162),$T162="")," / 今期の対応が空","")&amp;IF(AND($T162="更新しない",NOT(ISNUMBER($V162)))," / 更新しないなら、解約・終了した日（契約が終わる日）を入れる",""),4,300)</f>
        <v/>
      </c>
      <c r="AG162" s="53" t="n"/>
      <c r="AH162" s="71">
        <f>IF(AND(ISNUMBER($H162),$I162="あり",ISNUMBER($J162)),IF($J162&gt;=1,$H162+1,""),"")</f>
        <v/>
      </c>
      <c r="AI162" s="32">
        <f>IF($AH162="","",(YEAR('設定'!$B$6)-YEAR($AH162))*12+MONTH('設定'!$B$6)-MONTH($AH162))</f>
        <v/>
      </c>
      <c r="AJ162" s="32">
        <f>IF($AH162="","",MAX(1,ROUNDUP($AI162/$J162,0)))</f>
        <v/>
      </c>
      <c r="AK162" s="71">
        <f>IF($AJ162="","",IF(DAY(EDATE($AH162,$AJ162*$J162))&lt;DAY($AH162),EDATE($AH162,$AJ162*$J162),EDATE($AH162,$AJ162*$J162)-1))</f>
        <v/>
      </c>
      <c r="AL162" s="71">
        <f>IF($AJ162="","",IF(DAY(EDATE($AH162,($AJ162+1)*$J162))&lt;DAY($AH162),EDATE($AH162,($AJ162+1)*$J162),EDATE($AH162,($AJ162+1)*$J162)-1))</f>
        <v/>
      </c>
      <c r="AM162" s="71">
        <f>IF($AJ162="","",IF($AJ162=1,$H162,IF(DAY(EDATE($AH162,($AJ162-1)*$J162))&lt;DAY($AH162),EDATE($AH162,($AJ162-1)*$J162),EDATE($AH162,($AJ162-1)*$J162)-1)))</f>
        <v/>
      </c>
      <c r="AN162" s="32">
        <f>IF(NOT(ISNUMBER($H162)),"",IF(OR($AH162="",$H162&gt;='設定'!$B$6),0,IF($AK162&gt;='設定'!$B$6,$AJ162,$AJ162+1)))</f>
        <v/>
      </c>
      <c r="AO162" s="71">
        <f>IF($AN162="","",IF($AN162=0,"",IF($AN162=$AJ162,$AM162,$AK162)))</f>
        <v/>
      </c>
      <c r="AP162" s="32">
        <f>IF(OR($AC162="要対応",$AC162="通知期限切れ",$AC162="確認済み",$AC162="有効",$AC162="終了予定"),1,0)</f>
        <v/>
      </c>
      <c r="AQ162" s="32">
        <f>IF(OR($AC162="要対応",$AC162="通知期限切れ"),1,0)</f>
        <v/>
      </c>
      <c r="AR162" s="72">
        <f>IF(AND(ISNUMBER($AB162),OR($AC162="要対応",$AC162="通知期限切れ",$AC162="確認済み",$AC162="有効")),$AB162+ROW()/100000,"")</f>
        <v/>
      </c>
      <c r="AS162" s="32">
        <f>IF($E162="","",IF(COUNTIF($E$5:$E162,$E162)=1,ROW(),""))</f>
        <v/>
      </c>
      <c r="AT162" s="32">
        <f>IF($S162="","",IF(COUNTIF($S$5:$S162,$S162)=1,ROW(),""))</f>
        <v/>
      </c>
    </row>
    <row r="163" ht="20" customHeight="1">
      <c r="A163" s="20" t="n">
        <v>159</v>
      </c>
      <c r="B163" s="21" t="n"/>
      <c r="C163" s="22" t="n"/>
      <c r="D163" s="22" t="n"/>
      <c r="E163" s="22" t="n"/>
      <c r="F163" s="66" t="n"/>
      <c r="G163" s="66" t="n"/>
      <c r="H163" s="66" t="n"/>
      <c r="I163" s="21" t="n"/>
      <c r="J163" s="24" t="n"/>
      <c r="K163" s="24" t="n"/>
      <c r="L163" s="21" t="n"/>
      <c r="M163" s="24" t="n"/>
      <c r="N163" s="21" t="n"/>
      <c r="O163" s="67" t="n"/>
      <c r="P163" s="21" t="n"/>
      <c r="Q163" s="21" t="n"/>
      <c r="R163" s="22" t="n"/>
      <c r="S163" s="22" t="n"/>
      <c r="T163" s="21" t="n"/>
      <c r="U163" s="66" t="n"/>
      <c r="V163" s="66" t="n"/>
      <c r="W163" s="66" t="n"/>
      <c r="X163" s="8" t="n"/>
      <c r="Y163" s="68">
        <f>IF($AN163="","",IF($AN163=0,$H163,IF($AN163=$AJ163,$AK163,$AL163)))</f>
        <v/>
      </c>
      <c r="Z163" s="68">
        <f>IF(OR($Y163="",NOT(ISNUMBER($K163))),"",IF($L163="日前",$Y163-$K163,EDATE($Y163,-$K163)))</f>
        <v/>
      </c>
      <c r="AA163" s="68">
        <f>IF(OR($Y163="",ISNUMBER($V163),N($Y163)&lt;'設定'!$B$6),"",IF($Z163&lt;&gt;"",$Z163,$Y163))</f>
        <v/>
      </c>
      <c r="AB163" s="69">
        <f>IF($AA163="","",$AA163-'設定'!$B$6)</f>
        <v/>
      </c>
      <c r="AC163" s="28">
        <f>IF(NOT(OR($B163&lt;&gt;"",$C163&lt;&gt;"")),"",IF(ISNUMBER($V163),IF($V163&lt;'設定'!$B$6,"終了","終了予定"),IF($Y163="","有効",IF($Y163&lt;'設定'!$B$6,"満了",IF(AND($T163="更新する",ISNUMBER($U163),N($U163)&lt;='設定'!$B$6,OR($AO163="",N($U163)&gt;N($AO163))),"確認済み",IF($AB163&lt;0,"通知期限切れ",IF($AB163&lt;=N('設定'!$B$7),"要対応","有効")))))))</f>
        <v/>
      </c>
      <c r="AD163" s="68">
        <f>IF(OR(NOT(ISNUMBER($M163)),$AC163="",$AC163="終了",$AC163="終了予定",$AC163="満了"),"",IF($N163="日前",'設定'!$B$6+$M163,EDATE('設定'!$B$6,$M163)))</f>
        <v/>
      </c>
      <c r="AE163" s="70">
        <f>IF(NOT(ISNUMBER($O163)),"",IF($P163="月額",$O163*12,IF($P163="年額",$O163,"")))</f>
        <v/>
      </c>
      <c r="AF163" s="30">
        <f>MID(IF(AND(ISNUMBER($G163),ISNUMBER($H163)),IF(N($H163)&lt;N($G163)," / 満了日が開始日より前",""),"")&amp;IF(AND($I163="あり",NOT(ISNUMBER($H163)))," / 自動更新ありなのに満了日が空","")&amp;IF(AND($I163="あり",ISNUMBER($H163),NOT(ISNUMBER($J163)))," / 更新期間が空（更新を計算できない）","")&amp;IF($AH163="","",IF(AND(DAY($AH163)&gt;=29,OR(MOD($J163,12)&lt;&gt;0,MONTH($AH163)=2))," / 更新の初日が29〜31日（更新を重ねると満了日が1日ずれることがある。満了日を今の期間の満了日に書き換えると直る）",""))&amp;IF(AND(ISNUMBER($K163),$L163="")," / 通知の単位が空（か月前で計算）","")&amp;IF(AND(ISNUMBER($M163),$N163="")," / 解約予告の単位が空（か月前で計算）","")&amp;IF(AND(ISNUMBER($O163),$P163="")," / 金額の区分が空","")&amp;IF(AND($T163&lt;&gt;"",NOT(ISNUMBER($U163)))," / 対応を決めた日が空","")&amp;IF(AND(ISNUMBER($U163),$T163="")," / 今期の対応が空","")&amp;IF(AND($T163="更新しない",NOT(ISNUMBER($V163)))," / 更新しないなら、解約・終了した日（契約が終わる日）を入れる",""),4,300)</f>
        <v/>
      </c>
      <c r="AG163" s="53" t="n"/>
      <c r="AH163" s="71">
        <f>IF(AND(ISNUMBER($H163),$I163="あり",ISNUMBER($J163)),IF($J163&gt;=1,$H163+1,""),"")</f>
        <v/>
      </c>
      <c r="AI163" s="32">
        <f>IF($AH163="","",(YEAR('設定'!$B$6)-YEAR($AH163))*12+MONTH('設定'!$B$6)-MONTH($AH163))</f>
        <v/>
      </c>
      <c r="AJ163" s="32">
        <f>IF($AH163="","",MAX(1,ROUNDUP($AI163/$J163,0)))</f>
        <v/>
      </c>
      <c r="AK163" s="71">
        <f>IF($AJ163="","",IF(DAY(EDATE($AH163,$AJ163*$J163))&lt;DAY($AH163),EDATE($AH163,$AJ163*$J163),EDATE($AH163,$AJ163*$J163)-1))</f>
        <v/>
      </c>
      <c r="AL163" s="71">
        <f>IF($AJ163="","",IF(DAY(EDATE($AH163,($AJ163+1)*$J163))&lt;DAY($AH163),EDATE($AH163,($AJ163+1)*$J163),EDATE($AH163,($AJ163+1)*$J163)-1))</f>
        <v/>
      </c>
      <c r="AM163" s="71">
        <f>IF($AJ163="","",IF($AJ163=1,$H163,IF(DAY(EDATE($AH163,($AJ163-1)*$J163))&lt;DAY($AH163),EDATE($AH163,($AJ163-1)*$J163),EDATE($AH163,($AJ163-1)*$J163)-1)))</f>
        <v/>
      </c>
      <c r="AN163" s="32">
        <f>IF(NOT(ISNUMBER($H163)),"",IF(OR($AH163="",$H163&gt;='設定'!$B$6),0,IF($AK163&gt;='設定'!$B$6,$AJ163,$AJ163+1)))</f>
        <v/>
      </c>
      <c r="AO163" s="71">
        <f>IF($AN163="","",IF($AN163=0,"",IF($AN163=$AJ163,$AM163,$AK163)))</f>
        <v/>
      </c>
      <c r="AP163" s="32">
        <f>IF(OR($AC163="要対応",$AC163="通知期限切れ",$AC163="確認済み",$AC163="有効",$AC163="終了予定"),1,0)</f>
        <v/>
      </c>
      <c r="AQ163" s="32">
        <f>IF(OR($AC163="要対応",$AC163="通知期限切れ"),1,0)</f>
        <v/>
      </c>
      <c r="AR163" s="72">
        <f>IF(AND(ISNUMBER($AB163),OR($AC163="要対応",$AC163="通知期限切れ",$AC163="確認済み",$AC163="有効")),$AB163+ROW()/100000,"")</f>
        <v/>
      </c>
      <c r="AS163" s="32">
        <f>IF($E163="","",IF(COUNTIF($E$5:$E163,$E163)=1,ROW(),""))</f>
        <v/>
      </c>
      <c r="AT163" s="32">
        <f>IF($S163="","",IF(COUNTIF($S$5:$S163,$S163)=1,ROW(),""))</f>
        <v/>
      </c>
    </row>
    <row r="164" ht="20" customHeight="1">
      <c r="A164" s="20" t="n">
        <v>160</v>
      </c>
      <c r="B164" s="21" t="n"/>
      <c r="C164" s="22" t="n"/>
      <c r="D164" s="22" t="n"/>
      <c r="E164" s="22" t="n"/>
      <c r="F164" s="66" t="n"/>
      <c r="G164" s="66" t="n"/>
      <c r="H164" s="66" t="n"/>
      <c r="I164" s="21" t="n"/>
      <c r="J164" s="24" t="n"/>
      <c r="K164" s="24" t="n"/>
      <c r="L164" s="21" t="n"/>
      <c r="M164" s="24" t="n"/>
      <c r="N164" s="21" t="n"/>
      <c r="O164" s="67" t="n"/>
      <c r="P164" s="21" t="n"/>
      <c r="Q164" s="21" t="n"/>
      <c r="R164" s="22" t="n"/>
      <c r="S164" s="22" t="n"/>
      <c r="T164" s="21" t="n"/>
      <c r="U164" s="66" t="n"/>
      <c r="V164" s="66" t="n"/>
      <c r="W164" s="66" t="n"/>
      <c r="X164" s="8" t="n"/>
      <c r="Y164" s="68">
        <f>IF($AN164="","",IF($AN164=0,$H164,IF($AN164=$AJ164,$AK164,$AL164)))</f>
        <v/>
      </c>
      <c r="Z164" s="68">
        <f>IF(OR($Y164="",NOT(ISNUMBER($K164))),"",IF($L164="日前",$Y164-$K164,EDATE($Y164,-$K164)))</f>
        <v/>
      </c>
      <c r="AA164" s="68">
        <f>IF(OR($Y164="",ISNUMBER($V164),N($Y164)&lt;'設定'!$B$6),"",IF($Z164&lt;&gt;"",$Z164,$Y164))</f>
        <v/>
      </c>
      <c r="AB164" s="69">
        <f>IF($AA164="","",$AA164-'設定'!$B$6)</f>
        <v/>
      </c>
      <c r="AC164" s="28">
        <f>IF(NOT(OR($B164&lt;&gt;"",$C164&lt;&gt;"")),"",IF(ISNUMBER($V164),IF($V164&lt;'設定'!$B$6,"終了","終了予定"),IF($Y164="","有効",IF($Y164&lt;'設定'!$B$6,"満了",IF(AND($T164="更新する",ISNUMBER($U164),N($U164)&lt;='設定'!$B$6,OR($AO164="",N($U164)&gt;N($AO164))),"確認済み",IF($AB164&lt;0,"通知期限切れ",IF($AB164&lt;=N('設定'!$B$7),"要対応","有効")))))))</f>
        <v/>
      </c>
      <c r="AD164" s="68">
        <f>IF(OR(NOT(ISNUMBER($M164)),$AC164="",$AC164="終了",$AC164="終了予定",$AC164="満了"),"",IF($N164="日前",'設定'!$B$6+$M164,EDATE('設定'!$B$6,$M164)))</f>
        <v/>
      </c>
      <c r="AE164" s="70">
        <f>IF(NOT(ISNUMBER($O164)),"",IF($P164="月額",$O164*12,IF($P164="年額",$O164,"")))</f>
        <v/>
      </c>
      <c r="AF164" s="30">
        <f>MID(IF(AND(ISNUMBER($G164),ISNUMBER($H164)),IF(N($H164)&lt;N($G164)," / 満了日が開始日より前",""),"")&amp;IF(AND($I164="あり",NOT(ISNUMBER($H164)))," / 自動更新ありなのに満了日が空","")&amp;IF(AND($I164="あり",ISNUMBER($H164),NOT(ISNUMBER($J164)))," / 更新期間が空（更新を計算できない）","")&amp;IF($AH164="","",IF(AND(DAY($AH164)&gt;=29,OR(MOD($J164,12)&lt;&gt;0,MONTH($AH164)=2))," / 更新の初日が29〜31日（更新を重ねると満了日が1日ずれることがある。満了日を今の期間の満了日に書き換えると直る）",""))&amp;IF(AND(ISNUMBER($K164),$L164="")," / 通知の単位が空（か月前で計算）","")&amp;IF(AND(ISNUMBER($M164),$N164="")," / 解約予告の単位が空（か月前で計算）","")&amp;IF(AND(ISNUMBER($O164),$P164="")," / 金額の区分が空","")&amp;IF(AND($T164&lt;&gt;"",NOT(ISNUMBER($U164)))," / 対応を決めた日が空","")&amp;IF(AND(ISNUMBER($U164),$T164="")," / 今期の対応が空","")&amp;IF(AND($T164="更新しない",NOT(ISNUMBER($V164)))," / 更新しないなら、解約・終了した日（契約が終わる日）を入れる",""),4,300)</f>
        <v/>
      </c>
      <c r="AG164" s="53" t="n"/>
      <c r="AH164" s="71">
        <f>IF(AND(ISNUMBER($H164),$I164="あり",ISNUMBER($J164)),IF($J164&gt;=1,$H164+1,""),"")</f>
        <v/>
      </c>
      <c r="AI164" s="32">
        <f>IF($AH164="","",(YEAR('設定'!$B$6)-YEAR($AH164))*12+MONTH('設定'!$B$6)-MONTH($AH164))</f>
        <v/>
      </c>
      <c r="AJ164" s="32">
        <f>IF($AH164="","",MAX(1,ROUNDUP($AI164/$J164,0)))</f>
        <v/>
      </c>
      <c r="AK164" s="71">
        <f>IF($AJ164="","",IF(DAY(EDATE($AH164,$AJ164*$J164))&lt;DAY($AH164),EDATE($AH164,$AJ164*$J164),EDATE($AH164,$AJ164*$J164)-1))</f>
        <v/>
      </c>
      <c r="AL164" s="71">
        <f>IF($AJ164="","",IF(DAY(EDATE($AH164,($AJ164+1)*$J164))&lt;DAY($AH164),EDATE($AH164,($AJ164+1)*$J164),EDATE($AH164,($AJ164+1)*$J164)-1))</f>
        <v/>
      </c>
      <c r="AM164" s="71">
        <f>IF($AJ164="","",IF($AJ164=1,$H164,IF(DAY(EDATE($AH164,($AJ164-1)*$J164))&lt;DAY($AH164),EDATE($AH164,($AJ164-1)*$J164),EDATE($AH164,($AJ164-1)*$J164)-1)))</f>
        <v/>
      </c>
      <c r="AN164" s="32">
        <f>IF(NOT(ISNUMBER($H164)),"",IF(OR($AH164="",$H164&gt;='設定'!$B$6),0,IF($AK164&gt;='設定'!$B$6,$AJ164,$AJ164+1)))</f>
        <v/>
      </c>
      <c r="AO164" s="71">
        <f>IF($AN164="","",IF($AN164=0,"",IF($AN164=$AJ164,$AM164,$AK164)))</f>
        <v/>
      </c>
      <c r="AP164" s="32">
        <f>IF(OR($AC164="要対応",$AC164="通知期限切れ",$AC164="確認済み",$AC164="有効",$AC164="終了予定"),1,0)</f>
        <v/>
      </c>
      <c r="AQ164" s="32">
        <f>IF(OR($AC164="要対応",$AC164="通知期限切れ"),1,0)</f>
        <v/>
      </c>
      <c r="AR164" s="72">
        <f>IF(AND(ISNUMBER($AB164),OR($AC164="要対応",$AC164="通知期限切れ",$AC164="確認済み",$AC164="有効")),$AB164+ROW()/100000,"")</f>
        <v/>
      </c>
      <c r="AS164" s="32">
        <f>IF($E164="","",IF(COUNTIF($E$5:$E164,$E164)=1,ROW(),""))</f>
        <v/>
      </c>
      <c r="AT164" s="32">
        <f>IF($S164="","",IF(COUNTIF($S$5:$S164,$S164)=1,ROW(),""))</f>
        <v/>
      </c>
    </row>
    <row r="165" ht="20" customHeight="1">
      <c r="A165" s="20" t="n">
        <v>161</v>
      </c>
      <c r="B165" s="21" t="n"/>
      <c r="C165" s="22" t="n"/>
      <c r="D165" s="22" t="n"/>
      <c r="E165" s="22" t="n"/>
      <c r="F165" s="66" t="n"/>
      <c r="G165" s="66" t="n"/>
      <c r="H165" s="66" t="n"/>
      <c r="I165" s="21" t="n"/>
      <c r="J165" s="24" t="n"/>
      <c r="K165" s="24" t="n"/>
      <c r="L165" s="21" t="n"/>
      <c r="M165" s="24" t="n"/>
      <c r="N165" s="21" t="n"/>
      <c r="O165" s="67" t="n"/>
      <c r="P165" s="21" t="n"/>
      <c r="Q165" s="21" t="n"/>
      <c r="R165" s="22" t="n"/>
      <c r="S165" s="22" t="n"/>
      <c r="T165" s="21" t="n"/>
      <c r="U165" s="66" t="n"/>
      <c r="V165" s="66" t="n"/>
      <c r="W165" s="66" t="n"/>
      <c r="X165" s="8" t="n"/>
      <c r="Y165" s="68">
        <f>IF($AN165="","",IF($AN165=0,$H165,IF($AN165=$AJ165,$AK165,$AL165)))</f>
        <v/>
      </c>
      <c r="Z165" s="68">
        <f>IF(OR($Y165="",NOT(ISNUMBER($K165))),"",IF($L165="日前",$Y165-$K165,EDATE($Y165,-$K165)))</f>
        <v/>
      </c>
      <c r="AA165" s="68">
        <f>IF(OR($Y165="",ISNUMBER($V165),N($Y165)&lt;'設定'!$B$6),"",IF($Z165&lt;&gt;"",$Z165,$Y165))</f>
        <v/>
      </c>
      <c r="AB165" s="69">
        <f>IF($AA165="","",$AA165-'設定'!$B$6)</f>
        <v/>
      </c>
      <c r="AC165" s="28">
        <f>IF(NOT(OR($B165&lt;&gt;"",$C165&lt;&gt;"")),"",IF(ISNUMBER($V165),IF($V165&lt;'設定'!$B$6,"終了","終了予定"),IF($Y165="","有効",IF($Y165&lt;'設定'!$B$6,"満了",IF(AND($T165="更新する",ISNUMBER($U165),N($U165)&lt;='設定'!$B$6,OR($AO165="",N($U165)&gt;N($AO165))),"確認済み",IF($AB165&lt;0,"通知期限切れ",IF($AB165&lt;=N('設定'!$B$7),"要対応","有効")))))))</f>
        <v/>
      </c>
      <c r="AD165" s="68">
        <f>IF(OR(NOT(ISNUMBER($M165)),$AC165="",$AC165="終了",$AC165="終了予定",$AC165="満了"),"",IF($N165="日前",'設定'!$B$6+$M165,EDATE('設定'!$B$6,$M165)))</f>
        <v/>
      </c>
      <c r="AE165" s="70">
        <f>IF(NOT(ISNUMBER($O165)),"",IF($P165="月額",$O165*12,IF($P165="年額",$O165,"")))</f>
        <v/>
      </c>
      <c r="AF165" s="30">
        <f>MID(IF(AND(ISNUMBER($G165),ISNUMBER($H165)),IF(N($H165)&lt;N($G165)," / 満了日が開始日より前",""),"")&amp;IF(AND($I165="あり",NOT(ISNUMBER($H165)))," / 自動更新ありなのに満了日が空","")&amp;IF(AND($I165="あり",ISNUMBER($H165),NOT(ISNUMBER($J165)))," / 更新期間が空（更新を計算できない）","")&amp;IF($AH165="","",IF(AND(DAY($AH165)&gt;=29,OR(MOD($J165,12)&lt;&gt;0,MONTH($AH165)=2))," / 更新の初日が29〜31日（更新を重ねると満了日が1日ずれることがある。満了日を今の期間の満了日に書き換えると直る）",""))&amp;IF(AND(ISNUMBER($K165),$L165="")," / 通知の単位が空（か月前で計算）","")&amp;IF(AND(ISNUMBER($M165),$N165="")," / 解約予告の単位が空（か月前で計算）","")&amp;IF(AND(ISNUMBER($O165),$P165="")," / 金額の区分が空","")&amp;IF(AND($T165&lt;&gt;"",NOT(ISNUMBER($U165)))," / 対応を決めた日が空","")&amp;IF(AND(ISNUMBER($U165),$T165="")," / 今期の対応が空","")&amp;IF(AND($T165="更新しない",NOT(ISNUMBER($V165)))," / 更新しないなら、解約・終了した日（契約が終わる日）を入れる",""),4,300)</f>
        <v/>
      </c>
      <c r="AG165" s="53" t="n"/>
      <c r="AH165" s="71">
        <f>IF(AND(ISNUMBER($H165),$I165="あり",ISNUMBER($J165)),IF($J165&gt;=1,$H165+1,""),"")</f>
        <v/>
      </c>
      <c r="AI165" s="32">
        <f>IF($AH165="","",(YEAR('設定'!$B$6)-YEAR($AH165))*12+MONTH('設定'!$B$6)-MONTH($AH165))</f>
        <v/>
      </c>
      <c r="AJ165" s="32">
        <f>IF($AH165="","",MAX(1,ROUNDUP($AI165/$J165,0)))</f>
        <v/>
      </c>
      <c r="AK165" s="71">
        <f>IF($AJ165="","",IF(DAY(EDATE($AH165,$AJ165*$J165))&lt;DAY($AH165),EDATE($AH165,$AJ165*$J165),EDATE($AH165,$AJ165*$J165)-1))</f>
        <v/>
      </c>
      <c r="AL165" s="71">
        <f>IF($AJ165="","",IF(DAY(EDATE($AH165,($AJ165+1)*$J165))&lt;DAY($AH165),EDATE($AH165,($AJ165+1)*$J165),EDATE($AH165,($AJ165+1)*$J165)-1))</f>
        <v/>
      </c>
      <c r="AM165" s="71">
        <f>IF($AJ165="","",IF($AJ165=1,$H165,IF(DAY(EDATE($AH165,($AJ165-1)*$J165))&lt;DAY($AH165),EDATE($AH165,($AJ165-1)*$J165),EDATE($AH165,($AJ165-1)*$J165)-1)))</f>
        <v/>
      </c>
      <c r="AN165" s="32">
        <f>IF(NOT(ISNUMBER($H165)),"",IF(OR($AH165="",$H165&gt;='設定'!$B$6),0,IF($AK165&gt;='設定'!$B$6,$AJ165,$AJ165+1)))</f>
        <v/>
      </c>
      <c r="AO165" s="71">
        <f>IF($AN165="","",IF($AN165=0,"",IF($AN165=$AJ165,$AM165,$AK165)))</f>
        <v/>
      </c>
      <c r="AP165" s="32">
        <f>IF(OR($AC165="要対応",$AC165="通知期限切れ",$AC165="確認済み",$AC165="有効",$AC165="終了予定"),1,0)</f>
        <v/>
      </c>
      <c r="AQ165" s="32">
        <f>IF(OR($AC165="要対応",$AC165="通知期限切れ"),1,0)</f>
        <v/>
      </c>
      <c r="AR165" s="72">
        <f>IF(AND(ISNUMBER($AB165),OR($AC165="要対応",$AC165="通知期限切れ",$AC165="確認済み",$AC165="有効")),$AB165+ROW()/100000,"")</f>
        <v/>
      </c>
      <c r="AS165" s="32">
        <f>IF($E165="","",IF(COUNTIF($E$5:$E165,$E165)=1,ROW(),""))</f>
        <v/>
      </c>
      <c r="AT165" s="32">
        <f>IF($S165="","",IF(COUNTIF($S$5:$S165,$S165)=1,ROW(),""))</f>
        <v/>
      </c>
    </row>
    <row r="166" ht="20" customHeight="1">
      <c r="A166" s="20" t="n">
        <v>162</v>
      </c>
      <c r="B166" s="21" t="n"/>
      <c r="C166" s="22" t="n"/>
      <c r="D166" s="22" t="n"/>
      <c r="E166" s="22" t="n"/>
      <c r="F166" s="66" t="n"/>
      <c r="G166" s="66" t="n"/>
      <c r="H166" s="66" t="n"/>
      <c r="I166" s="21" t="n"/>
      <c r="J166" s="24" t="n"/>
      <c r="K166" s="24" t="n"/>
      <c r="L166" s="21" t="n"/>
      <c r="M166" s="24" t="n"/>
      <c r="N166" s="21" t="n"/>
      <c r="O166" s="67" t="n"/>
      <c r="P166" s="21" t="n"/>
      <c r="Q166" s="21" t="n"/>
      <c r="R166" s="22" t="n"/>
      <c r="S166" s="22" t="n"/>
      <c r="T166" s="21" t="n"/>
      <c r="U166" s="66" t="n"/>
      <c r="V166" s="66" t="n"/>
      <c r="W166" s="66" t="n"/>
      <c r="X166" s="8" t="n"/>
      <c r="Y166" s="68">
        <f>IF($AN166="","",IF($AN166=0,$H166,IF($AN166=$AJ166,$AK166,$AL166)))</f>
        <v/>
      </c>
      <c r="Z166" s="68">
        <f>IF(OR($Y166="",NOT(ISNUMBER($K166))),"",IF($L166="日前",$Y166-$K166,EDATE($Y166,-$K166)))</f>
        <v/>
      </c>
      <c r="AA166" s="68">
        <f>IF(OR($Y166="",ISNUMBER($V166),N($Y166)&lt;'設定'!$B$6),"",IF($Z166&lt;&gt;"",$Z166,$Y166))</f>
        <v/>
      </c>
      <c r="AB166" s="69">
        <f>IF($AA166="","",$AA166-'設定'!$B$6)</f>
        <v/>
      </c>
      <c r="AC166" s="28">
        <f>IF(NOT(OR($B166&lt;&gt;"",$C166&lt;&gt;"")),"",IF(ISNUMBER($V166),IF($V166&lt;'設定'!$B$6,"終了","終了予定"),IF($Y166="","有効",IF($Y166&lt;'設定'!$B$6,"満了",IF(AND($T166="更新する",ISNUMBER($U166),N($U166)&lt;='設定'!$B$6,OR($AO166="",N($U166)&gt;N($AO166))),"確認済み",IF($AB166&lt;0,"通知期限切れ",IF($AB166&lt;=N('設定'!$B$7),"要対応","有効")))))))</f>
        <v/>
      </c>
      <c r="AD166" s="68">
        <f>IF(OR(NOT(ISNUMBER($M166)),$AC166="",$AC166="終了",$AC166="終了予定",$AC166="満了"),"",IF($N166="日前",'設定'!$B$6+$M166,EDATE('設定'!$B$6,$M166)))</f>
        <v/>
      </c>
      <c r="AE166" s="70">
        <f>IF(NOT(ISNUMBER($O166)),"",IF($P166="月額",$O166*12,IF($P166="年額",$O166,"")))</f>
        <v/>
      </c>
      <c r="AF166" s="30">
        <f>MID(IF(AND(ISNUMBER($G166),ISNUMBER($H166)),IF(N($H166)&lt;N($G166)," / 満了日が開始日より前",""),"")&amp;IF(AND($I166="あり",NOT(ISNUMBER($H166)))," / 自動更新ありなのに満了日が空","")&amp;IF(AND($I166="あり",ISNUMBER($H166),NOT(ISNUMBER($J166)))," / 更新期間が空（更新を計算できない）","")&amp;IF($AH166="","",IF(AND(DAY($AH166)&gt;=29,OR(MOD($J166,12)&lt;&gt;0,MONTH($AH166)=2))," / 更新の初日が29〜31日（更新を重ねると満了日が1日ずれることがある。満了日を今の期間の満了日に書き換えると直る）",""))&amp;IF(AND(ISNUMBER($K166),$L166="")," / 通知の単位が空（か月前で計算）","")&amp;IF(AND(ISNUMBER($M166),$N166="")," / 解約予告の単位が空（か月前で計算）","")&amp;IF(AND(ISNUMBER($O166),$P166="")," / 金額の区分が空","")&amp;IF(AND($T166&lt;&gt;"",NOT(ISNUMBER($U166)))," / 対応を決めた日が空","")&amp;IF(AND(ISNUMBER($U166),$T166="")," / 今期の対応が空","")&amp;IF(AND($T166="更新しない",NOT(ISNUMBER($V166)))," / 更新しないなら、解約・終了した日（契約が終わる日）を入れる",""),4,300)</f>
        <v/>
      </c>
      <c r="AG166" s="53" t="n"/>
      <c r="AH166" s="71">
        <f>IF(AND(ISNUMBER($H166),$I166="あり",ISNUMBER($J166)),IF($J166&gt;=1,$H166+1,""),"")</f>
        <v/>
      </c>
      <c r="AI166" s="32">
        <f>IF($AH166="","",(YEAR('設定'!$B$6)-YEAR($AH166))*12+MONTH('設定'!$B$6)-MONTH($AH166))</f>
        <v/>
      </c>
      <c r="AJ166" s="32">
        <f>IF($AH166="","",MAX(1,ROUNDUP($AI166/$J166,0)))</f>
        <v/>
      </c>
      <c r="AK166" s="71">
        <f>IF($AJ166="","",IF(DAY(EDATE($AH166,$AJ166*$J166))&lt;DAY($AH166),EDATE($AH166,$AJ166*$J166),EDATE($AH166,$AJ166*$J166)-1))</f>
        <v/>
      </c>
      <c r="AL166" s="71">
        <f>IF($AJ166="","",IF(DAY(EDATE($AH166,($AJ166+1)*$J166))&lt;DAY($AH166),EDATE($AH166,($AJ166+1)*$J166),EDATE($AH166,($AJ166+1)*$J166)-1))</f>
        <v/>
      </c>
      <c r="AM166" s="71">
        <f>IF($AJ166="","",IF($AJ166=1,$H166,IF(DAY(EDATE($AH166,($AJ166-1)*$J166))&lt;DAY($AH166),EDATE($AH166,($AJ166-1)*$J166),EDATE($AH166,($AJ166-1)*$J166)-1)))</f>
        <v/>
      </c>
      <c r="AN166" s="32">
        <f>IF(NOT(ISNUMBER($H166)),"",IF(OR($AH166="",$H166&gt;='設定'!$B$6),0,IF($AK166&gt;='設定'!$B$6,$AJ166,$AJ166+1)))</f>
        <v/>
      </c>
      <c r="AO166" s="71">
        <f>IF($AN166="","",IF($AN166=0,"",IF($AN166=$AJ166,$AM166,$AK166)))</f>
        <v/>
      </c>
      <c r="AP166" s="32">
        <f>IF(OR($AC166="要対応",$AC166="通知期限切れ",$AC166="確認済み",$AC166="有効",$AC166="終了予定"),1,0)</f>
        <v/>
      </c>
      <c r="AQ166" s="32">
        <f>IF(OR($AC166="要対応",$AC166="通知期限切れ"),1,0)</f>
        <v/>
      </c>
      <c r="AR166" s="72">
        <f>IF(AND(ISNUMBER($AB166),OR($AC166="要対応",$AC166="通知期限切れ",$AC166="確認済み",$AC166="有効")),$AB166+ROW()/100000,"")</f>
        <v/>
      </c>
      <c r="AS166" s="32">
        <f>IF($E166="","",IF(COUNTIF($E$5:$E166,$E166)=1,ROW(),""))</f>
        <v/>
      </c>
      <c r="AT166" s="32">
        <f>IF($S166="","",IF(COUNTIF($S$5:$S166,$S166)=1,ROW(),""))</f>
        <v/>
      </c>
    </row>
    <row r="167" ht="20" customHeight="1">
      <c r="A167" s="20" t="n">
        <v>163</v>
      </c>
      <c r="B167" s="21" t="n"/>
      <c r="C167" s="22" t="n"/>
      <c r="D167" s="22" t="n"/>
      <c r="E167" s="22" t="n"/>
      <c r="F167" s="66" t="n"/>
      <c r="G167" s="66" t="n"/>
      <c r="H167" s="66" t="n"/>
      <c r="I167" s="21" t="n"/>
      <c r="J167" s="24" t="n"/>
      <c r="K167" s="24" t="n"/>
      <c r="L167" s="21" t="n"/>
      <c r="M167" s="24" t="n"/>
      <c r="N167" s="21" t="n"/>
      <c r="O167" s="67" t="n"/>
      <c r="P167" s="21" t="n"/>
      <c r="Q167" s="21" t="n"/>
      <c r="R167" s="22" t="n"/>
      <c r="S167" s="22" t="n"/>
      <c r="T167" s="21" t="n"/>
      <c r="U167" s="66" t="n"/>
      <c r="V167" s="66" t="n"/>
      <c r="W167" s="66" t="n"/>
      <c r="X167" s="8" t="n"/>
      <c r="Y167" s="68">
        <f>IF($AN167="","",IF($AN167=0,$H167,IF($AN167=$AJ167,$AK167,$AL167)))</f>
        <v/>
      </c>
      <c r="Z167" s="68">
        <f>IF(OR($Y167="",NOT(ISNUMBER($K167))),"",IF($L167="日前",$Y167-$K167,EDATE($Y167,-$K167)))</f>
        <v/>
      </c>
      <c r="AA167" s="68">
        <f>IF(OR($Y167="",ISNUMBER($V167),N($Y167)&lt;'設定'!$B$6),"",IF($Z167&lt;&gt;"",$Z167,$Y167))</f>
        <v/>
      </c>
      <c r="AB167" s="69">
        <f>IF($AA167="","",$AA167-'設定'!$B$6)</f>
        <v/>
      </c>
      <c r="AC167" s="28">
        <f>IF(NOT(OR($B167&lt;&gt;"",$C167&lt;&gt;"")),"",IF(ISNUMBER($V167),IF($V167&lt;'設定'!$B$6,"終了","終了予定"),IF($Y167="","有効",IF($Y167&lt;'設定'!$B$6,"満了",IF(AND($T167="更新する",ISNUMBER($U167),N($U167)&lt;='設定'!$B$6,OR($AO167="",N($U167)&gt;N($AO167))),"確認済み",IF($AB167&lt;0,"通知期限切れ",IF($AB167&lt;=N('設定'!$B$7),"要対応","有効")))))))</f>
        <v/>
      </c>
      <c r="AD167" s="68">
        <f>IF(OR(NOT(ISNUMBER($M167)),$AC167="",$AC167="終了",$AC167="終了予定",$AC167="満了"),"",IF($N167="日前",'設定'!$B$6+$M167,EDATE('設定'!$B$6,$M167)))</f>
        <v/>
      </c>
      <c r="AE167" s="70">
        <f>IF(NOT(ISNUMBER($O167)),"",IF($P167="月額",$O167*12,IF($P167="年額",$O167,"")))</f>
        <v/>
      </c>
      <c r="AF167" s="30">
        <f>MID(IF(AND(ISNUMBER($G167),ISNUMBER($H167)),IF(N($H167)&lt;N($G167)," / 満了日が開始日より前",""),"")&amp;IF(AND($I167="あり",NOT(ISNUMBER($H167)))," / 自動更新ありなのに満了日が空","")&amp;IF(AND($I167="あり",ISNUMBER($H167),NOT(ISNUMBER($J167)))," / 更新期間が空（更新を計算できない）","")&amp;IF($AH167="","",IF(AND(DAY($AH167)&gt;=29,OR(MOD($J167,12)&lt;&gt;0,MONTH($AH167)=2))," / 更新の初日が29〜31日（更新を重ねると満了日が1日ずれることがある。満了日を今の期間の満了日に書き換えると直る）",""))&amp;IF(AND(ISNUMBER($K167),$L167="")," / 通知の単位が空（か月前で計算）","")&amp;IF(AND(ISNUMBER($M167),$N167="")," / 解約予告の単位が空（か月前で計算）","")&amp;IF(AND(ISNUMBER($O167),$P167="")," / 金額の区分が空","")&amp;IF(AND($T167&lt;&gt;"",NOT(ISNUMBER($U167)))," / 対応を決めた日が空","")&amp;IF(AND(ISNUMBER($U167),$T167="")," / 今期の対応が空","")&amp;IF(AND($T167="更新しない",NOT(ISNUMBER($V167)))," / 更新しないなら、解約・終了した日（契約が終わる日）を入れる",""),4,300)</f>
        <v/>
      </c>
      <c r="AG167" s="53" t="n"/>
      <c r="AH167" s="71">
        <f>IF(AND(ISNUMBER($H167),$I167="あり",ISNUMBER($J167)),IF($J167&gt;=1,$H167+1,""),"")</f>
        <v/>
      </c>
      <c r="AI167" s="32">
        <f>IF($AH167="","",(YEAR('設定'!$B$6)-YEAR($AH167))*12+MONTH('設定'!$B$6)-MONTH($AH167))</f>
        <v/>
      </c>
      <c r="AJ167" s="32">
        <f>IF($AH167="","",MAX(1,ROUNDUP($AI167/$J167,0)))</f>
        <v/>
      </c>
      <c r="AK167" s="71">
        <f>IF($AJ167="","",IF(DAY(EDATE($AH167,$AJ167*$J167))&lt;DAY($AH167),EDATE($AH167,$AJ167*$J167),EDATE($AH167,$AJ167*$J167)-1))</f>
        <v/>
      </c>
      <c r="AL167" s="71">
        <f>IF($AJ167="","",IF(DAY(EDATE($AH167,($AJ167+1)*$J167))&lt;DAY($AH167),EDATE($AH167,($AJ167+1)*$J167),EDATE($AH167,($AJ167+1)*$J167)-1))</f>
        <v/>
      </c>
      <c r="AM167" s="71">
        <f>IF($AJ167="","",IF($AJ167=1,$H167,IF(DAY(EDATE($AH167,($AJ167-1)*$J167))&lt;DAY($AH167),EDATE($AH167,($AJ167-1)*$J167),EDATE($AH167,($AJ167-1)*$J167)-1)))</f>
        <v/>
      </c>
      <c r="AN167" s="32">
        <f>IF(NOT(ISNUMBER($H167)),"",IF(OR($AH167="",$H167&gt;='設定'!$B$6),0,IF($AK167&gt;='設定'!$B$6,$AJ167,$AJ167+1)))</f>
        <v/>
      </c>
      <c r="AO167" s="71">
        <f>IF($AN167="","",IF($AN167=0,"",IF($AN167=$AJ167,$AM167,$AK167)))</f>
        <v/>
      </c>
      <c r="AP167" s="32">
        <f>IF(OR($AC167="要対応",$AC167="通知期限切れ",$AC167="確認済み",$AC167="有効",$AC167="終了予定"),1,0)</f>
        <v/>
      </c>
      <c r="AQ167" s="32">
        <f>IF(OR($AC167="要対応",$AC167="通知期限切れ"),1,0)</f>
        <v/>
      </c>
      <c r="AR167" s="72">
        <f>IF(AND(ISNUMBER($AB167),OR($AC167="要対応",$AC167="通知期限切れ",$AC167="確認済み",$AC167="有効")),$AB167+ROW()/100000,"")</f>
        <v/>
      </c>
      <c r="AS167" s="32">
        <f>IF($E167="","",IF(COUNTIF($E$5:$E167,$E167)=1,ROW(),""))</f>
        <v/>
      </c>
      <c r="AT167" s="32">
        <f>IF($S167="","",IF(COUNTIF($S$5:$S167,$S167)=1,ROW(),""))</f>
        <v/>
      </c>
    </row>
    <row r="168" ht="20" customHeight="1">
      <c r="A168" s="20" t="n">
        <v>164</v>
      </c>
      <c r="B168" s="21" t="n"/>
      <c r="C168" s="22" t="n"/>
      <c r="D168" s="22" t="n"/>
      <c r="E168" s="22" t="n"/>
      <c r="F168" s="66" t="n"/>
      <c r="G168" s="66" t="n"/>
      <c r="H168" s="66" t="n"/>
      <c r="I168" s="21" t="n"/>
      <c r="J168" s="24" t="n"/>
      <c r="K168" s="24" t="n"/>
      <c r="L168" s="21" t="n"/>
      <c r="M168" s="24" t="n"/>
      <c r="N168" s="21" t="n"/>
      <c r="O168" s="67" t="n"/>
      <c r="P168" s="21" t="n"/>
      <c r="Q168" s="21" t="n"/>
      <c r="R168" s="22" t="n"/>
      <c r="S168" s="22" t="n"/>
      <c r="T168" s="21" t="n"/>
      <c r="U168" s="66" t="n"/>
      <c r="V168" s="66" t="n"/>
      <c r="W168" s="66" t="n"/>
      <c r="X168" s="8" t="n"/>
      <c r="Y168" s="68">
        <f>IF($AN168="","",IF($AN168=0,$H168,IF($AN168=$AJ168,$AK168,$AL168)))</f>
        <v/>
      </c>
      <c r="Z168" s="68">
        <f>IF(OR($Y168="",NOT(ISNUMBER($K168))),"",IF($L168="日前",$Y168-$K168,EDATE($Y168,-$K168)))</f>
        <v/>
      </c>
      <c r="AA168" s="68">
        <f>IF(OR($Y168="",ISNUMBER($V168),N($Y168)&lt;'設定'!$B$6),"",IF($Z168&lt;&gt;"",$Z168,$Y168))</f>
        <v/>
      </c>
      <c r="AB168" s="69">
        <f>IF($AA168="","",$AA168-'設定'!$B$6)</f>
        <v/>
      </c>
      <c r="AC168" s="28">
        <f>IF(NOT(OR($B168&lt;&gt;"",$C168&lt;&gt;"")),"",IF(ISNUMBER($V168),IF($V168&lt;'設定'!$B$6,"終了","終了予定"),IF($Y168="","有効",IF($Y168&lt;'設定'!$B$6,"満了",IF(AND($T168="更新する",ISNUMBER($U168),N($U168)&lt;='設定'!$B$6,OR($AO168="",N($U168)&gt;N($AO168))),"確認済み",IF($AB168&lt;0,"通知期限切れ",IF($AB168&lt;=N('設定'!$B$7),"要対応","有効")))))))</f>
        <v/>
      </c>
      <c r="AD168" s="68">
        <f>IF(OR(NOT(ISNUMBER($M168)),$AC168="",$AC168="終了",$AC168="終了予定",$AC168="満了"),"",IF($N168="日前",'設定'!$B$6+$M168,EDATE('設定'!$B$6,$M168)))</f>
        <v/>
      </c>
      <c r="AE168" s="70">
        <f>IF(NOT(ISNUMBER($O168)),"",IF($P168="月額",$O168*12,IF($P168="年額",$O168,"")))</f>
        <v/>
      </c>
      <c r="AF168" s="30">
        <f>MID(IF(AND(ISNUMBER($G168),ISNUMBER($H168)),IF(N($H168)&lt;N($G168)," / 満了日が開始日より前",""),"")&amp;IF(AND($I168="あり",NOT(ISNUMBER($H168)))," / 自動更新ありなのに満了日が空","")&amp;IF(AND($I168="あり",ISNUMBER($H168),NOT(ISNUMBER($J168)))," / 更新期間が空（更新を計算できない）","")&amp;IF($AH168="","",IF(AND(DAY($AH168)&gt;=29,OR(MOD($J168,12)&lt;&gt;0,MONTH($AH168)=2))," / 更新の初日が29〜31日（更新を重ねると満了日が1日ずれることがある。満了日を今の期間の満了日に書き換えると直る）",""))&amp;IF(AND(ISNUMBER($K168),$L168="")," / 通知の単位が空（か月前で計算）","")&amp;IF(AND(ISNUMBER($M168),$N168="")," / 解約予告の単位が空（か月前で計算）","")&amp;IF(AND(ISNUMBER($O168),$P168="")," / 金額の区分が空","")&amp;IF(AND($T168&lt;&gt;"",NOT(ISNUMBER($U168)))," / 対応を決めた日が空","")&amp;IF(AND(ISNUMBER($U168),$T168="")," / 今期の対応が空","")&amp;IF(AND($T168="更新しない",NOT(ISNUMBER($V168)))," / 更新しないなら、解約・終了した日（契約が終わる日）を入れる",""),4,300)</f>
        <v/>
      </c>
      <c r="AG168" s="53" t="n"/>
      <c r="AH168" s="71">
        <f>IF(AND(ISNUMBER($H168),$I168="あり",ISNUMBER($J168)),IF($J168&gt;=1,$H168+1,""),"")</f>
        <v/>
      </c>
      <c r="AI168" s="32">
        <f>IF($AH168="","",(YEAR('設定'!$B$6)-YEAR($AH168))*12+MONTH('設定'!$B$6)-MONTH($AH168))</f>
        <v/>
      </c>
      <c r="AJ168" s="32">
        <f>IF($AH168="","",MAX(1,ROUNDUP($AI168/$J168,0)))</f>
        <v/>
      </c>
      <c r="AK168" s="71">
        <f>IF($AJ168="","",IF(DAY(EDATE($AH168,$AJ168*$J168))&lt;DAY($AH168),EDATE($AH168,$AJ168*$J168),EDATE($AH168,$AJ168*$J168)-1))</f>
        <v/>
      </c>
      <c r="AL168" s="71">
        <f>IF($AJ168="","",IF(DAY(EDATE($AH168,($AJ168+1)*$J168))&lt;DAY($AH168),EDATE($AH168,($AJ168+1)*$J168),EDATE($AH168,($AJ168+1)*$J168)-1))</f>
        <v/>
      </c>
      <c r="AM168" s="71">
        <f>IF($AJ168="","",IF($AJ168=1,$H168,IF(DAY(EDATE($AH168,($AJ168-1)*$J168))&lt;DAY($AH168),EDATE($AH168,($AJ168-1)*$J168),EDATE($AH168,($AJ168-1)*$J168)-1)))</f>
        <v/>
      </c>
      <c r="AN168" s="32">
        <f>IF(NOT(ISNUMBER($H168)),"",IF(OR($AH168="",$H168&gt;='設定'!$B$6),0,IF($AK168&gt;='設定'!$B$6,$AJ168,$AJ168+1)))</f>
        <v/>
      </c>
      <c r="AO168" s="71">
        <f>IF($AN168="","",IF($AN168=0,"",IF($AN168=$AJ168,$AM168,$AK168)))</f>
        <v/>
      </c>
      <c r="AP168" s="32">
        <f>IF(OR($AC168="要対応",$AC168="通知期限切れ",$AC168="確認済み",$AC168="有効",$AC168="終了予定"),1,0)</f>
        <v/>
      </c>
      <c r="AQ168" s="32">
        <f>IF(OR($AC168="要対応",$AC168="通知期限切れ"),1,0)</f>
        <v/>
      </c>
      <c r="AR168" s="72">
        <f>IF(AND(ISNUMBER($AB168),OR($AC168="要対応",$AC168="通知期限切れ",$AC168="確認済み",$AC168="有効")),$AB168+ROW()/100000,"")</f>
        <v/>
      </c>
      <c r="AS168" s="32">
        <f>IF($E168="","",IF(COUNTIF($E$5:$E168,$E168)=1,ROW(),""))</f>
        <v/>
      </c>
      <c r="AT168" s="32">
        <f>IF($S168="","",IF(COUNTIF($S$5:$S168,$S168)=1,ROW(),""))</f>
        <v/>
      </c>
    </row>
    <row r="169" ht="20" customHeight="1">
      <c r="A169" s="20" t="n">
        <v>165</v>
      </c>
      <c r="B169" s="21" t="n"/>
      <c r="C169" s="22" t="n"/>
      <c r="D169" s="22" t="n"/>
      <c r="E169" s="22" t="n"/>
      <c r="F169" s="66" t="n"/>
      <c r="G169" s="66" t="n"/>
      <c r="H169" s="66" t="n"/>
      <c r="I169" s="21" t="n"/>
      <c r="J169" s="24" t="n"/>
      <c r="K169" s="24" t="n"/>
      <c r="L169" s="21" t="n"/>
      <c r="M169" s="24" t="n"/>
      <c r="N169" s="21" t="n"/>
      <c r="O169" s="67" t="n"/>
      <c r="P169" s="21" t="n"/>
      <c r="Q169" s="21" t="n"/>
      <c r="R169" s="22" t="n"/>
      <c r="S169" s="22" t="n"/>
      <c r="T169" s="21" t="n"/>
      <c r="U169" s="66" t="n"/>
      <c r="V169" s="66" t="n"/>
      <c r="W169" s="66" t="n"/>
      <c r="X169" s="8" t="n"/>
      <c r="Y169" s="68">
        <f>IF($AN169="","",IF($AN169=0,$H169,IF($AN169=$AJ169,$AK169,$AL169)))</f>
        <v/>
      </c>
      <c r="Z169" s="68">
        <f>IF(OR($Y169="",NOT(ISNUMBER($K169))),"",IF($L169="日前",$Y169-$K169,EDATE($Y169,-$K169)))</f>
        <v/>
      </c>
      <c r="AA169" s="68">
        <f>IF(OR($Y169="",ISNUMBER($V169),N($Y169)&lt;'設定'!$B$6),"",IF($Z169&lt;&gt;"",$Z169,$Y169))</f>
        <v/>
      </c>
      <c r="AB169" s="69">
        <f>IF($AA169="","",$AA169-'設定'!$B$6)</f>
        <v/>
      </c>
      <c r="AC169" s="28">
        <f>IF(NOT(OR($B169&lt;&gt;"",$C169&lt;&gt;"")),"",IF(ISNUMBER($V169),IF($V169&lt;'設定'!$B$6,"終了","終了予定"),IF($Y169="","有効",IF($Y169&lt;'設定'!$B$6,"満了",IF(AND($T169="更新する",ISNUMBER($U169),N($U169)&lt;='設定'!$B$6,OR($AO169="",N($U169)&gt;N($AO169))),"確認済み",IF($AB169&lt;0,"通知期限切れ",IF($AB169&lt;=N('設定'!$B$7),"要対応","有効")))))))</f>
        <v/>
      </c>
      <c r="AD169" s="68">
        <f>IF(OR(NOT(ISNUMBER($M169)),$AC169="",$AC169="終了",$AC169="終了予定",$AC169="満了"),"",IF($N169="日前",'設定'!$B$6+$M169,EDATE('設定'!$B$6,$M169)))</f>
        <v/>
      </c>
      <c r="AE169" s="70">
        <f>IF(NOT(ISNUMBER($O169)),"",IF($P169="月額",$O169*12,IF($P169="年額",$O169,"")))</f>
        <v/>
      </c>
      <c r="AF169" s="30">
        <f>MID(IF(AND(ISNUMBER($G169),ISNUMBER($H169)),IF(N($H169)&lt;N($G169)," / 満了日が開始日より前",""),"")&amp;IF(AND($I169="あり",NOT(ISNUMBER($H169)))," / 自動更新ありなのに満了日が空","")&amp;IF(AND($I169="あり",ISNUMBER($H169),NOT(ISNUMBER($J169)))," / 更新期間が空（更新を計算できない）","")&amp;IF($AH169="","",IF(AND(DAY($AH169)&gt;=29,OR(MOD($J169,12)&lt;&gt;0,MONTH($AH169)=2))," / 更新の初日が29〜31日（更新を重ねると満了日が1日ずれることがある。満了日を今の期間の満了日に書き換えると直る）",""))&amp;IF(AND(ISNUMBER($K169),$L169="")," / 通知の単位が空（か月前で計算）","")&amp;IF(AND(ISNUMBER($M169),$N169="")," / 解約予告の単位が空（か月前で計算）","")&amp;IF(AND(ISNUMBER($O169),$P169="")," / 金額の区分が空","")&amp;IF(AND($T169&lt;&gt;"",NOT(ISNUMBER($U169)))," / 対応を決めた日が空","")&amp;IF(AND(ISNUMBER($U169),$T169="")," / 今期の対応が空","")&amp;IF(AND($T169="更新しない",NOT(ISNUMBER($V169)))," / 更新しないなら、解約・終了した日（契約が終わる日）を入れる",""),4,300)</f>
        <v/>
      </c>
      <c r="AG169" s="53" t="n"/>
      <c r="AH169" s="71">
        <f>IF(AND(ISNUMBER($H169),$I169="あり",ISNUMBER($J169)),IF($J169&gt;=1,$H169+1,""),"")</f>
        <v/>
      </c>
      <c r="AI169" s="32">
        <f>IF($AH169="","",(YEAR('設定'!$B$6)-YEAR($AH169))*12+MONTH('設定'!$B$6)-MONTH($AH169))</f>
        <v/>
      </c>
      <c r="AJ169" s="32">
        <f>IF($AH169="","",MAX(1,ROUNDUP($AI169/$J169,0)))</f>
        <v/>
      </c>
      <c r="AK169" s="71">
        <f>IF($AJ169="","",IF(DAY(EDATE($AH169,$AJ169*$J169))&lt;DAY($AH169),EDATE($AH169,$AJ169*$J169),EDATE($AH169,$AJ169*$J169)-1))</f>
        <v/>
      </c>
      <c r="AL169" s="71">
        <f>IF($AJ169="","",IF(DAY(EDATE($AH169,($AJ169+1)*$J169))&lt;DAY($AH169),EDATE($AH169,($AJ169+1)*$J169),EDATE($AH169,($AJ169+1)*$J169)-1))</f>
        <v/>
      </c>
      <c r="AM169" s="71">
        <f>IF($AJ169="","",IF($AJ169=1,$H169,IF(DAY(EDATE($AH169,($AJ169-1)*$J169))&lt;DAY($AH169),EDATE($AH169,($AJ169-1)*$J169),EDATE($AH169,($AJ169-1)*$J169)-1)))</f>
        <v/>
      </c>
      <c r="AN169" s="32">
        <f>IF(NOT(ISNUMBER($H169)),"",IF(OR($AH169="",$H169&gt;='設定'!$B$6),0,IF($AK169&gt;='設定'!$B$6,$AJ169,$AJ169+1)))</f>
        <v/>
      </c>
      <c r="AO169" s="71">
        <f>IF($AN169="","",IF($AN169=0,"",IF($AN169=$AJ169,$AM169,$AK169)))</f>
        <v/>
      </c>
      <c r="AP169" s="32">
        <f>IF(OR($AC169="要対応",$AC169="通知期限切れ",$AC169="確認済み",$AC169="有効",$AC169="終了予定"),1,0)</f>
        <v/>
      </c>
      <c r="AQ169" s="32">
        <f>IF(OR($AC169="要対応",$AC169="通知期限切れ"),1,0)</f>
        <v/>
      </c>
      <c r="AR169" s="72">
        <f>IF(AND(ISNUMBER($AB169),OR($AC169="要対応",$AC169="通知期限切れ",$AC169="確認済み",$AC169="有効")),$AB169+ROW()/100000,"")</f>
        <v/>
      </c>
      <c r="AS169" s="32">
        <f>IF($E169="","",IF(COUNTIF($E$5:$E169,$E169)=1,ROW(),""))</f>
        <v/>
      </c>
      <c r="AT169" s="32">
        <f>IF($S169="","",IF(COUNTIF($S$5:$S169,$S169)=1,ROW(),""))</f>
        <v/>
      </c>
    </row>
    <row r="170" ht="20" customHeight="1">
      <c r="A170" s="20" t="n">
        <v>166</v>
      </c>
      <c r="B170" s="21" t="n"/>
      <c r="C170" s="22" t="n"/>
      <c r="D170" s="22" t="n"/>
      <c r="E170" s="22" t="n"/>
      <c r="F170" s="66" t="n"/>
      <c r="G170" s="66" t="n"/>
      <c r="H170" s="66" t="n"/>
      <c r="I170" s="21" t="n"/>
      <c r="J170" s="24" t="n"/>
      <c r="K170" s="24" t="n"/>
      <c r="L170" s="21" t="n"/>
      <c r="M170" s="24" t="n"/>
      <c r="N170" s="21" t="n"/>
      <c r="O170" s="67" t="n"/>
      <c r="P170" s="21" t="n"/>
      <c r="Q170" s="21" t="n"/>
      <c r="R170" s="22" t="n"/>
      <c r="S170" s="22" t="n"/>
      <c r="T170" s="21" t="n"/>
      <c r="U170" s="66" t="n"/>
      <c r="V170" s="66" t="n"/>
      <c r="W170" s="66" t="n"/>
      <c r="X170" s="8" t="n"/>
      <c r="Y170" s="68">
        <f>IF($AN170="","",IF($AN170=0,$H170,IF($AN170=$AJ170,$AK170,$AL170)))</f>
        <v/>
      </c>
      <c r="Z170" s="68">
        <f>IF(OR($Y170="",NOT(ISNUMBER($K170))),"",IF($L170="日前",$Y170-$K170,EDATE($Y170,-$K170)))</f>
        <v/>
      </c>
      <c r="AA170" s="68">
        <f>IF(OR($Y170="",ISNUMBER($V170),N($Y170)&lt;'設定'!$B$6),"",IF($Z170&lt;&gt;"",$Z170,$Y170))</f>
        <v/>
      </c>
      <c r="AB170" s="69">
        <f>IF($AA170="","",$AA170-'設定'!$B$6)</f>
        <v/>
      </c>
      <c r="AC170" s="28">
        <f>IF(NOT(OR($B170&lt;&gt;"",$C170&lt;&gt;"")),"",IF(ISNUMBER($V170),IF($V170&lt;'設定'!$B$6,"終了","終了予定"),IF($Y170="","有効",IF($Y170&lt;'設定'!$B$6,"満了",IF(AND($T170="更新する",ISNUMBER($U170),N($U170)&lt;='設定'!$B$6,OR($AO170="",N($U170)&gt;N($AO170))),"確認済み",IF($AB170&lt;0,"通知期限切れ",IF($AB170&lt;=N('設定'!$B$7),"要対応","有効")))))))</f>
        <v/>
      </c>
      <c r="AD170" s="68">
        <f>IF(OR(NOT(ISNUMBER($M170)),$AC170="",$AC170="終了",$AC170="終了予定",$AC170="満了"),"",IF($N170="日前",'設定'!$B$6+$M170,EDATE('設定'!$B$6,$M170)))</f>
        <v/>
      </c>
      <c r="AE170" s="70">
        <f>IF(NOT(ISNUMBER($O170)),"",IF($P170="月額",$O170*12,IF($P170="年額",$O170,"")))</f>
        <v/>
      </c>
      <c r="AF170" s="30">
        <f>MID(IF(AND(ISNUMBER($G170),ISNUMBER($H170)),IF(N($H170)&lt;N($G170)," / 満了日が開始日より前",""),"")&amp;IF(AND($I170="あり",NOT(ISNUMBER($H170)))," / 自動更新ありなのに満了日が空","")&amp;IF(AND($I170="あり",ISNUMBER($H170),NOT(ISNUMBER($J170)))," / 更新期間が空（更新を計算できない）","")&amp;IF($AH170="","",IF(AND(DAY($AH170)&gt;=29,OR(MOD($J170,12)&lt;&gt;0,MONTH($AH170)=2))," / 更新の初日が29〜31日（更新を重ねると満了日が1日ずれることがある。満了日を今の期間の満了日に書き換えると直る）",""))&amp;IF(AND(ISNUMBER($K170),$L170="")," / 通知の単位が空（か月前で計算）","")&amp;IF(AND(ISNUMBER($M170),$N170="")," / 解約予告の単位が空（か月前で計算）","")&amp;IF(AND(ISNUMBER($O170),$P170="")," / 金額の区分が空","")&amp;IF(AND($T170&lt;&gt;"",NOT(ISNUMBER($U170)))," / 対応を決めた日が空","")&amp;IF(AND(ISNUMBER($U170),$T170="")," / 今期の対応が空","")&amp;IF(AND($T170="更新しない",NOT(ISNUMBER($V170)))," / 更新しないなら、解約・終了した日（契約が終わる日）を入れる",""),4,300)</f>
        <v/>
      </c>
      <c r="AG170" s="53" t="n"/>
      <c r="AH170" s="71">
        <f>IF(AND(ISNUMBER($H170),$I170="あり",ISNUMBER($J170)),IF($J170&gt;=1,$H170+1,""),"")</f>
        <v/>
      </c>
      <c r="AI170" s="32">
        <f>IF($AH170="","",(YEAR('設定'!$B$6)-YEAR($AH170))*12+MONTH('設定'!$B$6)-MONTH($AH170))</f>
        <v/>
      </c>
      <c r="AJ170" s="32">
        <f>IF($AH170="","",MAX(1,ROUNDUP($AI170/$J170,0)))</f>
        <v/>
      </c>
      <c r="AK170" s="71">
        <f>IF($AJ170="","",IF(DAY(EDATE($AH170,$AJ170*$J170))&lt;DAY($AH170),EDATE($AH170,$AJ170*$J170),EDATE($AH170,$AJ170*$J170)-1))</f>
        <v/>
      </c>
      <c r="AL170" s="71">
        <f>IF($AJ170="","",IF(DAY(EDATE($AH170,($AJ170+1)*$J170))&lt;DAY($AH170),EDATE($AH170,($AJ170+1)*$J170),EDATE($AH170,($AJ170+1)*$J170)-1))</f>
        <v/>
      </c>
      <c r="AM170" s="71">
        <f>IF($AJ170="","",IF($AJ170=1,$H170,IF(DAY(EDATE($AH170,($AJ170-1)*$J170))&lt;DAY($AH170),EDATE($AH170,($AJ170-1)*$J170),EDATE($AH170,($AJ170-1)*$J170)-1)))</f>
        <v/>
      </c>
      <c r="AN170" s="32">
        <f>IF(NOT(ISNUMBER($H170)),"",IF(OR($AH170="",$H170&gt;='設定'!$B$6),0,IF($AK170&gt;='設定'!$B$6,$AJ170,$AJ170+1)))</f>
        <v/>
      </c>
      <c r="AO170" s="71">
        <f>IF($AN170="","",IF($AN170=0,"",IF($AN170=$AJ170,$AM170,$AK170)))</f>
        <v/>
      </c>
      <c r="AP170" s="32">
        <f>IF(OR($AC170="要対応",$AC170="通知期限切れ",$AC170="確認済み",$AC170="有効",$AC170="終了予定"),1,0)</f>
        <v/>
      </c>
      <c r="AQ170" s="32">
        <f>IF(OR($AC170="要対応",$AC170="通知期限切れ"),1,0)</f>
        <v/>
      </c>
      <c r="AR170" s="72">
        <f>IF(AND(ISNUMBER($AB170),OR($AC170="要対応",$AC170="通知期限切れ",$AC170="確認済み",$AC170="有効")),$AB170+ROW()/100000,"")</f>
        <v/>
      </c>
      <c r="AS170" s="32">
        <f>IF($E170="","",IF(COUNTIF($E$5:$E170,$E170)=1,ROW(),""))</f>
        <v/>
      </c>
      <c r="AT170" s="32">
        <f>IF($S170="","",IF(COUNTIF($S$5:$S170,$S170)=1,ROW(),""))</f>
        <v/>
      </c>
    </row>
    <row r="171" ht="20" customHeight="1">
      <c r="A171" s="20" t="n">
        <v>167</v>
      </c>
      <c r="B171" s="21" t="n"/>
      <c r="C171" s="22" t="n"/>
      <c r="D171" s="22" t="n"/>
      <c r="E171" s="22" t="n"/>
      <c r="F171" s="66" t="n"/>
      <c r="G171" s="66" t="n"/>
      <c r="H171" s="66" t="n"/>
      <c r="I171" s="21" t="n"/>
      <c r="J171" s="24" t="n"/>
      <c r="K171" s="24" t="n"/>
      <c r="L171" s="21" t="n"/>
      <c r="M171" s="24" t="n"/>
      <c r="N171" s="21" t="n"/>
      <c r="O171" s="67" t="n"/>
      <c r="P171" s="21" t="n"/>
      <c r="Q171" s="21" t="n"/>
      <c r="R171" s="22" t="n"/>
      <c r="S171" s="22" t="n"/>
      <c r="T171" s="21" t="n"/>
      <c r="U171" s="66" t="n"/>
      <c r="V171" s="66" t="n"/>
      <c r="W171" s="66" t="n"/>
      <c r="X171" s="8" t="n"/>
      <c r="Y171" s="68">
        <f>IF($AN171="","",IF($AN171=0,$H171,IF($AN171=$AJ171,$AK171,$AL171)))</f>
        <v/>
      </c>
      <c r="Z171" s="68">
        <f>IF(OR($Y171="",NOT(ISNUMBER($K171))),"",IF($L171="日前",$Y171-$K171,EDATE($Y171,-$K171)))</f>
        <v/>
      </c>
      <c r="AA171" s="68">
        <f>IF(OR($Y171="",ISNUMBER($V171),N($Y171)&lt;'設定'!$B$6),"",IF($Z171&lt;&gt;"",$Z171,$Y171))</f>
        <v/>
      </c>
      <c r="AB171" s="69">
        <f>IF($AA171="","",$AA171-'設定'!$B$6)</f>
        <v/>
      </c>
      <c r="AC171" s="28">
        <f>IF(NOT(OR($B171&lt;&gt;"",$C171&lt;&gt;"")),"",IF(ISNUMBER($V171),IF($V171&lt;'設定'!$B$6,"終了","終了予定"),IF($Y171="","有効",IF($Y171&lt;'設定'!$B$6,"満了",IF(AND($T171="更新する",ISNUMBER($U171),N($U171)&lt;='設定'!$B$6,OR($AO171="",N($U171)&gt;N($AO171))),"確認済み",IF($AB171&lt;0,"通知期限切れ",IF($AB171&lt;=N('設定'!$B$7),"要対応","有効")))))))</f>
        <v/>
      </c>
      <c r="AD171" s="68">
        <f>IF(OR(NOT(ISNUMBER($M171)),$AC171="",$AC171="終了",$AC171="終了予定",$AC171="満了"),"",IF($N171="日前",'設定'!$B$6+$M171,EDATE('設定'!$B$6,$M171)))</f>
        <v/>
      </c>
      <c r="AE171" s="70">
        <f>IF(NOT(ISNUMBER($O171)),"",IF($P171="月額",$O171*12,IF($P171="年額",$O171,"")))</f>
        <v/>
      </c>
      <c r="AF171" s="30">
        <f>MID(IF(AND(ISNUMBER($G171),ISNUMBER($H171)),IF(N($H171)&lt;N($G171)," / 満了日が開始日より前",""),"")&amp;IF(AND($I171="あり",NOT(ISNUMBER($H171)))," / 自動更新ありなのに満了日が空","")&amp;IF(AND($I171="あり",ISNUMBER($H171),NOT(ISNUMBER($J171)))," / 更新期間が空（更新を計算できない）","")&amp;IF($AH171="","",IF(AND(DAY($AH171)&gt;=29,OR(MOD($J171,12)&lt;&gt;0,MONTH($AH171)=2))," / 更新の初日が29〜31日（更新を重ねると満了日が1日ずれることがある。満了日を今の期間の満了日に書き換えると直る）",""))&amp;IF(AND(ISNUMBER($K171),$L171="")," / 通知の単位が空（か月前で計算）","")&amp;IF(AND(ISNUMBER($M171),$N171="")," / 解約予告の単位が空（か月前で計算）","")&amp;IF(AND(ISNUMBER($O171),$P171="")," / 金額の区分が空","")&amp;IF(AND($T171&lt;&gt;"",NOT(ISNUMBER($U171)))," / 対応を決めた日が空","")&amp;IF(AND(ISNUMBER($U171),$T171="")," / 今期の対応が空","")&amp;IF(AND($T171="更新しない",NOT(ISNUMBER($V171)))," / 更新しないなら、解約・終了した日（契約が終わる日）を入れる",""),4,300)</f>
        <v/>
      </c>
      <c r="AG171" s="53" t="n"/>
      <c r="AH171" s="71">
        <f>IF(AND(ISNUMBER($H171),$I171="あり",ISNUMBER($J171)),IF($J171&gt;=1,$H171+1,""),"")</f>
        <v/>
      </c>
      <c r="AI171" s="32">
        <f>IF($AH171="","",(YEAR('設定'!$B$6)-YEAR($AH171))*12+MONTH('設定'!$B$6)-MONTH($AH171))</f>
        <v/>
      </c>
      <c r="AJ171" s="32">
        <f>IF($AH171="","",MAX(1,ROUNDUP($AI171/$J171,0)))</f>
        <v/>
      </c>
      <c r="AK171" s="71">
        <f>IF($AJ171="","",IF(DAY(EDATE($AH171,$AJ171*$J171))&lt;DAY($AH171),EDATE($AH171,$AJ171*$J171),EDATE($AH171,$AJ171*$J171)-1))</f>
        <v/>
      </c>
      <c r="AL171" s="71">
        <f>IF($AJ171="","",IF(DAY(EDATE($AH171,($AJ171+1)*$J171))&lt;DAY($AH171),EDATE($AH171,($AJ171+1)*$J171),EDATE($AH171,($AJ171+1)*$J171)-1))</f>
        <v/>
      </c>
      <c r="AM171" s="71">
        <f>IF($AJ171="","",IF($AJ171=1,$H171,IF(DAY(EDATE($AH171,($AJ171-1)*$J171))&lt;DAY($AH171),EDATE($AH171,($AJ171-1)*$J171),EDATE($AH171,($AJ171-1)*$J171)-1)))</f>
        <v/>
      </c>
      <c r="AN171" s="32">
        <f>IF(NOT(ISNUMBER($H171)),"",IF(OR($AH171="",$H171&gt;='設定'!$B$6),0,IF($AK171&gt;='設定'!$B$6,$AJ171,$AJ171+1)))</f>
        <v/>
      </c>
      <c r="AO171" s="71">
        <f>IF($AN171="","",IF($AN171=0,"",IF($AN171=$AJ171,$AM171,$AK171)))</f>
        <v/>
      </c>
      <c r="AP171" s="32">
        <f>IF(OR($AC171="要対応",$AC171="通知期限切れ",$AC171="確認済み",$AC171="有効",$AC171="終了予定"),1,0)</f>
        <v/>
      </c>
      <c r="AQ171" s="32">
        <f>IF(OR($AC171="要対応",$AC171="通知期限切れ"),1,0)</f>
        <v/>
      </c>
      <c r="AR171" s="72">
        <f>IF(AND(ISNUMBER($AB171),OR($AC171="要対応",$AC171="通知期限切れ",$AC171="確認済み",$AC171="有効")),$AB171+ROW()/100000,"")</f>
        <v/>
      </c>
      <c r="AS171" s="32">
        <f>IF($E171="","",IF(COUNTIF($E$5:$E171,$E171)=1,ROW(),""))</f>
        <v/>
      </c>
      <c r="AT171" s="32">
        <f>IF($S171="","",IF(COUNTIF($S$5:$S171,$S171)=1,ROW(),""))</f>
        <v/>
      </c>
    </row>
    <row r="172" ht="20" customHeight="1">
      <c r="A172" s="20" t="n">
        <v>168</v>
      </c>
      <c r="B172" s="21" t="n"/>
      <c r="C172" s="22" t="n"/>
      <c r="D172" s="22" t="n"/>
      <c r="E172" s="22" t="n"/>
      <c r="F172" s="66" t="n"/>
      <c r="G172" s="66" t="n"/>
      <c r="H172" s="66" t="n"/>
      <c r="I172" s="21" t="n"/>
      <c r="J172" s="24" t="n"/>
      <c r="K172" s="24" t="n"/>
      <c r="L172" s="21" t="n"/>
      <c r="M172" s="24" t="n"/>
      <c r="N172" s="21" t="n"/>
      <c r="O172" s="67" t="n"/>
      <c r="P172" s="21" t="n"/>
      <c r="Q172" s="21" t="n"/>
      <c r="R172" s="22" t="n"/>
      <c r="S172" s="22" t="n"/>
      <c r="T172" s="21" t="n"/>
      <c r="U172" s="66" t="n"/>
      <c r="V172" s="66" t="n"/>
      <c r="W172" s="66" t="n"/>
      <c r="X172" s="8" t="n"/>
      <c r="Y172" s="68">
        <f>IF($AN172="","",IF($AN172=0,$H172,IF($AN172=$AJ172,$AK172,$AL172)))</f>
        <v/>
      </c>
      <c r="Z172" s="68">
        <f>IF(OR($Y172="",NOT(ISNUMBER($K172))),"",IF($L172="日前",$Y172-$K172,EDATE($Y172,-$K172)))</f>
        <v/>
      </c>
      <c r="AA172" s="68">
        <f>IF(OR($Y172="",ISNUMBER($V172),N($Y172)&lt;'設定'!$B$6),"",IF($Z172&lt;&gt;"",$Z172,$Y172))</f>
        <v/>
      </c>
      <c r="AB172" s="69">
        <f>IF($AA172="","",$AA172-'設定'!$B$6)</f>
        <v/>
      </c>
      <c r="AC172" s="28">
        <f>IF(NOT(OR($B172&lt;&gt;"",$C172&lt;&gt;"")),"",IF(ISNUMBER($V172),IF($V172&lt;'設定'!$B$6,"終了","終了予定"),IF($Y172="","有効",IF($Y172&lt;'設定'!$B$6,"満了",IF(AND($T172="更新する",ISNUMBER($U172),N($U172)&lt;='設定'!$B$6,OR($AO172="",N($U172)&gt;N($AO172))),"確認済み",IF($AB172&lt;0,"通知期限切れ",IF($AB172&lt;=N('設定'!$B$7),"要対応","有効")))))))</f>
        <v/>
      </c>
      <c r="AD172" s="68">
        <f>IF(OR(NOT(ISNUMBER($M172)),$AC172="",$AC172="終了",$AC172="終了予定",$AC172="満了"),"",IF($N172="日前",'設定'!$B$6+$M172,EDATE('設定'!$B$6,$M172)))</f>
        <v/>
      </c>
      <c r="AE172" s="70">
        <f>IF(NOT(ISNUMBER($O172)),"",IF($P172="月額",$O172*12,IF($P172="年額",$O172,"")))</f>
        <v/>
      </c>
      <c r="AF172" s="30">
        <f>MID(IF(AND(ISNUMBER($G172),ISNUMBER($H172)),IF(N($H172)&lt;N($G172)," / 満了日が開始日より前",""),"")&amp;IF(AND($I172="あり",NOT(ISNUMBER($H172)))," / 自動更新ありなのに満了日が空","")&amp;IF(AND($I172="あり",ISNUMBER($H172),NOT(ISNUMBER($J172)))," / 更新期間が空（更新を計算できない）","")&amp;IF($AH172="","",IF(AND(DAY($AH172)&gt;=29,OR(MOD($J172,12)&lt;&gt;0,MONTH($AH172)=2))," / 更新の初日が29〜31日（更新を重ねると満了日が1日ずれることがある。満了日を今の期間の満了日に書き換えると直る）",""))&amp;IF(AND(ISNUMBER($K172),$L172="")," / 通知の単位が空（か月前で計算）","")&amp;IF(AND(ISNUMBER($M172),$N172="")," / 解約予告の単位が空（か月前で計算）","")&amp;IF(AND(ISNUMBER($O172),$P172="")," / 金額の区分が空","")&amp;IF(AND($T172&lt;&gt;"",NOT(ISNUMBER($U172)))," / 対応を決めた日が空","")&amp;IF(AND(ISNUMBER($U172),$T172="")," / 今期の対応が空","")&amp;IF(AND($T172="更新しない",NOT(ISNUMBER($V172)))," / 更新しないなら、解約・終了した日（契約が終わる日）を入れる",""),4,300)</f>
        <v/>
      </c>
      <c r="AG172" s="53" t="n"/>
      <c r="AH172" s="71">
        <f>IF(AND(ISNUMBER($H172),$I172="あり",ISNUMBER($J172)),IF($J172&gt;=1,$H172+1,""),"")</f>
        <v/>
      </c>
      <c r="AI172" s="32">
        <f>IF($AH172="","",(YEAR('設定'!$B$6)-YEAR($AH172))*12+MONTH('設定'!$B$6)-MONTH($AH172))</f>
        <v/>
      </c>
      <c r="AJ172" s="32">
        <f>IF($AH172="","",MAX(1,ROUNDUP($AI172/$J172,0)))</f>
        <v/>
      </c>
      <c r="AK172" s="71">
        <f>IF($AJ172="","",IF(DAY(EDATE($AH172,$AJ172*$J172))&lt;DAY($AH172),EDATE($AH172,$AJ172*$J172),EDATE($AH172,$AJ172*$J172)-1))</f>
        <v/>
      </c>
      <c r="AL172" s="71">
        <f>IF($AJ172="","",IF(DAY(EDATE($AH172,($AJ172+1)*$J172))&lt;DAY($AH172),EDATE($AH172,($AJ172+1)*$J172),EDATE($AH172,($AJ172+1)*$J172)-1))</f>
        <v/>
      </c>
      <c r="AM172" s="71">
        <f>IF($AJ172="","",IF($AJ172=1,$H172,IF(DAY(EDATE($AH172,($AJ172-1)*$J172))&lt;DAY($AH172),EDATE($AH172,($AJ172-1)*$J172),EDATE($AH172,($AJ172-1)*$J172)-1)))</f>
        <v/>
      </c>
      <c r="AN172" s="32">
        <f>IF(NOT(ISNUMBER($H172)),"",IF(OR($AH172="",$H172&gt;='設定'!$B$6),0,IF($AK172&gt;='設定'!$B$6,$AJ172,$AJ172+1)))</f>
        <v/>
      </c>
      <c r="AO172" s="71">
        <f>IF($AN172="","",IF($AN172=0,"",IF($AN172=$AJ172,$AM172,$AK172)))</f>
        <v/>
      </c>
      <c r="AP172" s="32">
        <f>IF(OR($AC172="要対応",$AC172="通知期限切れ",$AC172="確認済み",$AC172="有効",$AC172="終了予定"),1,0)</f>
        <v/>
      </c>
      <c r="AQ172" s="32">
        <f>IF(OR($AC172="要対応",$AC172="通知期限切れ"),1,0)</f>
        <v/>
      </c>
      <c r="AR172" s="72">
        <f>IF(AND(ISNUMBER($AB172),OR($AC172="要対応",$AC172="通知期限切れ",$AC172="確認済み",$AC172="有効")),$AB172+ROW()/100000,"")</f>
        <v/>
      </c>
      <c r="AS172" s="32">
        <f>IF($E172="","",IF(COUNTIF($E$5:$E172,$E172)=1,ROW(),""))</f>
        <v/>
      </c>
      <c r="AT172" s="32">
        <f>IF($S172="","",IF(COUNTIF($S$5:$S172,$S172)=1,ROW(),""))</f>
        <v/>
      </c>
    </row>
    <row r="173" ht="20" customHeight="1">
      <c r="A173" s="20" t="n">
        <v>169</v>
      </c>
      <c r="B173" s="21" t="n"/>
      <c r="C173" s="22" t="n"/>
      <c r="D173" s="22" t="n"/>
      <c r="E173" s="22" t="n"/>
      <c r="F173" s="66" t="n"/>
      <c r="G173" s="66" t="n"/>
      <c r="H173" s="66" t="n"/>
      <c r="I173" s="21" t="n"/>
      <c r="J173" s="24" t="n"/>
      <c r="K173" s="24" t="n"/>
      <c r="L173" s="21" t="n"/>
      <c r="M173" s="24" t="n"/>
      <c r="N173" s="21" t="n"/>
      <c r="O173" s="67" t="n"/>
      <c r="P173" s="21" t="n"/>
      <c r="Q173" s="21" t="n"/>
      <c r="R173" s="22" t="n"/>
      <c r="S173" s="22" t="n"/>
      <c r="T173" s="21" t="n"/>
      <c r="U173" s="66" t="n"/>
      <c r="V173" s="66" t="n"/>
      <c r="W173" s="66" t="n"/>
      <c r="X173" s="8" t="n"/>
      <c r="Y173" s="68">
        <f>IF($AN173="","",IF($AN173=0,$H173,IF($AN173=$AJ173,$AK173,$AL173)))</f>
        <v/>
      </c>
      <c r="Z173" s="68">
        <f>IF(OR($Y173="",NOT(ISNUMBER($K173))),"",IF($L173="日前",$Y173-$K173,EDATE($Y173,-$K173)))</f>
        <v/>
      </c>
      <c r="AA173" s="68">
        <f>IF(OR($Y173="",ISNUMBER($V173),N($Y173)&lt;'設定'!$B$6),"",IF($Z173&lt;&gt;"",$Z173,$Y173))</f>
        <v/>
      </c>
      <c r="AB173" s="69">
        <f>IF($AA173="","",$AA173-'設定'!$B$6)</f>
        <v/>
      </c>
      <c r="AC173" s="28">
        <f>IF(NOT(OR($B173&lt;&gt;"",$C173&lt;&gt;"")),"",IF(ISNUMBER($V173),IF($V173&lt;'設定'!$B$6,"終了","終了予定"),IF($Y173="","有効",IF($Y173&lt;'設定'!$B$6,"満了",IF(AND($T173="更新する",ISNUMBER($U173),N($U173)&lt;='設定'!$B$6,OR($AO173="",N($U173)&gt;N($AO173))),"確認済み",IF($AB173&lt;0,"通知期限切れ",IF($AB173&lt;=N('設定'!$B$7),"要対応","有効")))))))</f>
        <v/>
      </c>
      <c r="AD173" s="68">
        <f>IF(OR(NOT(ISNUMBER($M173)),$AC173="",$AC173="終了",$AC173="終了予定",$AC173="満了"),"",IF($N173="日前",'設定'!$B$6+$M173,EDATE('設定'!$B$6,$M173)))</f>
        <v/>
      </c>
      <c r="AE173" s="70">
        <f>IF(NOT(ISNUMBER($O173)),"",IF($P173="月額",$O173*12,IF($P173="年額",$O173,"")))</f>
        <v/>
      </c>
      <c r="AF173" s="30">
        <f>MID(IF(AND(ISNUMBER($G173),ISNUMBER($H173)),IF(N($H173)&lt;N($G173)," / 満了日が開始日より前",""),"")&amp;IF(AND($I173="あり",NOT(ISNUMBER($H173)))," / 自動更新ありなのに満了日が空","")&amp;IF(AND($I173="あり",ISNUMBER($H173),NOT(ISNUMBER($J173)))," / 更新期間が空（更新を計算できない）","")&amp;IF($AH173="","",IF(AND(DAY($AH173)&gt;=29,OR(MOD($J173,12)&lt;&gt;0,MONTH($AH173)=2))," / 更新の初日が29〜31日（更新を重ねると満了日が1日ずれることがある。満了日を今の期間の満了日に書き換えると直る）",""))&amp;IF(AND(ISNUMBER($K173),$L173="")," / 通知の単位が空（か月前で計算）","")&amp;IF(AND(ISNUMBER($M173),$N173="")," / 解約予告の単位が空（か月前で計算）","")&amp;IF(AND(ISNUMBER($O173),$P173="")," / 金額の区分が空","")&amp;IF(AND($T173&lt;&gt;"",NOT(ISNUMBER($U173)))," / 対応を決めた日が空","")&amp;IF(AND(ISNUMBER($U173),$T173="")," / 今期の対応が空","")&amp;IF(AND($T173="更新しない",NOT(ISNUMBER($V173)))," / 更新しないなら、解約・終了した日（契約が終わる日）を入れる",""),4,300)</f>
        <v/>
      </c>
      <c r="AG173" s="53" t="n"/>
      <c r="AH173" s="71">
        <f>IF(AND(ISNUMBER($H173),$I173="あり",ISNUMBER($J173)),IF($J173&gt;=1,$H173+1,""),"")</f>
        <v/>
      </c>
      <c r="AI173" s="32">
        <f>IF($AH173="","",(YEAR('設定'!$B$6)-YEAR($AH173))*12+MONTH('設定'!$B$6)-MONTH($AH173))</f>
        <v/>
      </c>
      <c r="AJ173" s="32">
        <f>IF($AH173="","",MAX(1,ROUNDUP($AI173/$J173,0)))</f>
        <v/>
      </c>
      <c r="AK173" s="71">
        <f>IF($AJ173="","",IF(DAY(EDATE($AH173,$AJ173*$J173))&lt;DAY($AH173),EDATE($AH173,$AJ173*$J173),EDATE($AH173,$AJ173*$J173)-1))</f>
        <v/>
      </c>
      <c r="AL173" s="71">
        <f>IF($AJ173="","",IF(DAY(EDATE($AH173,($AJ173+1)*$J173))&lt;DAY($AH173),EDATE($AH173,($AJ173+1)*$J173),EDATE($AH173,($AJ173+1)*$J173)-1))</f>
        <v/>
      </c>
      <c r="AM173" s="71">
        <f>IF($AJ173="","",IF($AJ173=1,$H173,IF(DAY(EDATE($AH173,($AJ173-1)*$J173))&lt;DAY($AH173),EDATE($AH173,($AJ173-1)*$J173),EDATE($AH173,($AJ173-1)*$J173)-1)))</f>
        <v/>
      </c>
      <c r="AN173" s="32">
        <f>IF(NOT(ISNUMBER($H173)),"",IF(OR($AH173="",$H173&gt;='設定'!$B$6),0,IF($AK173&gt;='設定'!$B$6,$AJ173,$AJ173+1)))</f>
        <v/>
      </c>
      <c r="AO173" s="71">
        <f>IF($AN173="","",IF($AN173=0,"",IF($AN173=$AJ173,$AM173,$AK173)))</f>
        <v/>
      </c>
      <c r="AP173" s="32">
        <f>IF(OR($AC173="要対応",$AC173="通知期限切れ",$AC173="確認済み",$AC173="有効",$AC173="終了予定"),1,0)</f>
        <v/>
      </c>
      <c r="AQ173" s="32">
        <f>IF(OR($AC173="要対応",$AC173="通知期限切れ"),1,0)</f>
        <v/>
      </c>
      <c r="AR173" s="72">
        <f>IF(AND(ISNUMBER($AB173),OR($AC173="要対応",$AC173="通知期限切れ",$AC173="確認済み",$AC173="有効")),$AB173+ROW()/100000,"")</f>
        <v/>
      </c>
      <c r="AS173" s="32">
        <f>IF($E173="","",IF(COUNTIF($E$5:$E173,$E173)=1,ROW(),""))</f>
        <v/>
      </c>
      <c r="AT173" s="32">
        <f>IF($S173="","",IF(COUNTIF($S$5:$S173,$S173)=1,ROW(),""))</f>
        <v/>
      </c>
    </row>
    <row r="174" ht="20" customHeight="1">
      <c r="A174" s="20" t="n">
        <v>170</v>
      </c>
      <c r="B174" s="21" t="n"/>
      <c r="C174" s="22" t="n"/>
      <c r="D174" s="22" t="n"/>
      <c r="E174" s="22" t="n"/>
      <c r="F174" s="66" t="n"/>
      <c r="G174" s="66" t="n"/>
      <c r="H174" s="66" t="n"/>
      <c r="I174" s="21" t="n"/>
      <c r="J174" s="24" t="n"/>
      <c r="K174" s="24" t="n"/>
      <c r="L174" s="21" t="n"/>
      <c r="M174" s="24" t="n"/>
      <c r="N174" s="21" t="n"/>
      <c r="O174" s="67" t="n"/>
      <c r="P174" s="21" t="n"/>
      <c r="Q174" s="21" t="n"/>
      <c r="R174" s="22" t="n"/>
      <c r="S174" s="22" t="n"/>
      <c r="T174" s="21" t="n"/>
      <c r="U174" s="66" t="n"/>
      <c r="V174" s="66" t="n"/>
      <c r="W174" s="66" t="n"/>
      <c r="X174" s="8" t="n"/>
      <c r="Y174" s="68">
        <f>IF($AN174="","",IF($AN174=0,$H174,IF($AN174=$AJ174,$AK174,$AL174)))</f>
        <v/>
      </c>
      <c r="Z174" s="68">
        <f>IF(OR($Y174="",NOT(ISNUMBER($K174))),"",IF($L174="日前",$Y174-$K174,EDATE($Y174,-$K174)))</f>
        <v/>
      </c>
      <c r="AA174" s="68">
        <f>IF(OR($Y174="",ISNUMBER($V174),N($Y174)&lt;'設定'!$B$6),"",IF($Z174&lt;&gt;"",$Z174,$Y174))</f>
        <v/>
      </c>
      <c r="AB174" s="69">
        <f>IF($AA174="","",$AA174-'設定'!$B$6)</f>
        <v/>
      </c>
      <c r="AC174" s="28">
        <f>IF(NOT(OR($B174&lt;&gt;"",$C174&lt;&gt;"")),"",IF(ISNUMBER($V174),IF($V174&lt;'設定'!$B$6,"終了","終了予定"),IF($Y174="","有効",IF($Y174&lt;'設定'!$B$6,"満了",IF(AND($T174="更新する",ISNUMBER($U174),N($U174)&lt;='設定'!$B$6,OR($AO174="",N($U174)&gt;N($AO174))),"確認済み",IF($AB174&lt;0,"通知期限切れ",IF($AB174&lt;=N('設定'!$B$7),"要対応","有効")))))))</f>
        <v/>
      </c>
      <c r="AD174" s="68">
        <f>IF(OR(NOT(ISNUMBER($M174)),$AC174="",$AC174="終了",$AC174="終了予定",$AC174="満了"),"",IF($N174="日前",'設定'!$B$6+$M174,EDATE('設定'!$B$6,$M174)))</f>
        <v/>
      </c>
      <c r="AE174" s="70">
        <f>IF(NOT(ISNUMBER($O174)),"",IF($P174="月額",$O174*12,IF($P174="年額",$O174,"")))</f>
        <v/>
      </c>
      <c r="AF174" s="30">
        <f>MID(IF(AND(ISNUMBER($G174),ISNUMBER($H174)),IF(N($H174)&lt;N($G174)," / 満了日が開始日より前",""),"")&amp;IF(AND($I174="あり",NOT(ISNUMBER($H174)))," / 自動更新ありなのに満了日が空","")&amp;IF(AND($I174="あり",ISNUMBER($H174),NOT(ISNUMBER($J174)))," / 更新期間が空（更新を計算できない）","")&amp;IF($AH174="","",IF(AND(DAY($AH174)&gt;=29,OR(MOD($J174,12)&lt;&gt;0,MONTH($AH174)=2))," / 更新の初日が29〜31日（更新を重ねると満了日が1日ずれることがある。満了日を今の期間の満了日に書き換えると直る）",""))&amp;IF(AND(ISNUMBER($K174),$L174="")," / 通知の単位が空（か月前で計算）","")&amp;IF(AND(ISNUMBER($M174),$N174="")," / 解約予告の単位が空（か月前で計算）","")&amp;IF(AND(ISNUMBER($O174),$P174="")," / 金額の区分が空","")&amp;IF(AND($T174&lt;&gt;"",NOT(ISNUMBER($U174)))," / 対応を決めた日が空","")&amp;IF(AND(ISNUMBER($U174),$T174="")," / 今期の対応が空","")&amp;IF(AND($T174="更新しない",NOT(ISNUMBER($V174)))," / 更新しないなら、解約・終了した日（契約が終わる日）を入れる",""),4,300)</f>
        <v/>
      </c>
      <c r="AG174" s="53" t="n"/>
      <c r="AH174" s="71">
        <f>IF(AND(ISNUMBER($H174),$I174="あり",ISNUMBER($J174)),IF($J174&gt;=1,$H174+1,""),"")</f>
        <v/>
      </c>
      <c r="AI174" s="32">
        <f>IF($AH174="","",(YEAR('設定'!$B$6)-YEAR($AH174))*12+MONTH('設定'!$B$6)-MONTH($AH174))</f>
        <v/>
      </c>
      <c r="AJ174" s="32">
        <f>IF($AH174="","",MAX(1,ROUNDUP($AI174/$J174,0)))</f>
        <v/>
      </c>
      <c r="AK174" s="71">
        <f>IF($AJ174="","",IF(DAY(EDATE($AH174,$AJ174*$J174))&lt;DAY($AH174),EDATE($AH174,$AJ174*$J174),EDATE($AH174,$AJ174*$J174)-1))</f>
        <v/>
      </c>
      <c r="AL174" s="71">
        <f>IF($AJ174="","",IF(DAY(EDATE($AH174,($AJ174+1)*$J174))&lt;DAY($AH174),EDATE($AH174,($AJ174+1)*$J174),EDATE($AH174,($AJ174+1)*$J174)-1))</f>
        <v/>
      </c>
      <c r="AM174" s="71">
        <f>IF($AJ174="","",IF($AJ174=1,$H174,IF(DAY(EDATE($AH174,($AJ174-1)*$J174))&lt;DAY($AH174),EDATE($AH174,($AJ174-1)*$J174),EDATE($AH174,($AJ174-1)*$J174)-1)))</f>
        <v/>
      </c>
      <c r="AN174" s="32">
        <f>IF(NOT(ISNUMBER($H174)),"",IF(OR($AH174="",$H174&gt;='設定'!$B$6),0,IF($AK174&gt;='設定'!$B$6,$AJ174,$AJ174+1)))</f>
        <v/>
      </c>
      <c r="AO174" s="71">
        <f>IF($AN174="","",IF($AN174=0,"",IF($AN174=$AJ174,$AM174,$AK174)))</f>
        <v/>
      </c>
      <c r="AP174" s="32">
        <f>IF(OR($AC174="要対応",$AC174="通知期限切れ",$AC174="確認済み",$AC174="有効",$AC174="終了予定"),1,0)</f>
        <v/>
      </c>
      <c r="AQ174" s="32">
        <f>IF(OR($AC174="要対応",$AC174="通知期限切れ"),1,0)</f>
        <v/>
      </c>
      <c r="AR174" s="72">
        <f>IF(AND(ISNUMBER($AB174),OR($AC174="要対応",$AC174="通知期限切れ",$AC174="確認済み",$AC174="有効")),$AB174+ROW()/100000,"")</f>
        <v/>
      </c>
      <c r="AS174" s="32">
        <f>IF($E174="","",IF(COUNTIF($E$5:$E174,$E174)=1,ROW(),""))</f>
        <v/>
      </c>
      <c r="AT174" s="32">
        <f>IF($S174="","",IF(COUNTIF($S$5:$S174,$S174)=1,ROW(),""))</f>
        <v/>
      </c>
    </row>
    <row r="175" ht="20" customHeight="1">
      <c r="A175" s="20" t="n">
        <v>171</v>
      </c>
      <c r="B175" s="21" t="n"/>
      <c r="C175" s="22" t="n"/>
      <c r="D175" s="22" t="n"/>
      <c r="E175" s="22" t="n"/>
      <c r="F175" s="66" t="n"/>
      <c r="G175" s="66" t="n"/>
      <c r="H175" s="66" t="n"/>
      <c r="I175" s="21" t="n"/>
      <c r="J175" s="24" t="n"/>
      <c r="K175" s="24" t="n"/>
      <c r="L175" s="21" t="n"/>
      <c r="M175" s="24" t="n"/>
      <c r="N175" s="21" t="n"/>
      <c r="O175" s="67" t="n"/>
      <c r="P175" s="21" t="n"/>
      <c r="Q175" s="21" t="n"/>
      <c r="R175" s="22" t="n"/>
      <c r="S175" s="22" t="n"/>
      <c r="T175" s="21" t="n"/>
      <c r="U175" s="66" t="n"/>
      <c r="V175" s="66" t="n"/>
      <c r="W175" s="66" t="n"/>
      <c r="X175" s="8" t="n"/>
      <c r="Y175" s="68">
        <f>IF($AN175="","",IF($AN175=0,$H175,IF($AN175=$AJ175,$AK175,$AL175)))</f>
        <v/>
      </c>
      <c r="Z175" s="68">
        <f>IF(OR($Y175="",NOT(ISNUMBER($K175))),"",IF($L175="日前",$Y175-$K175,EDATE($Y175,-$K175)))</f>
        <v/>
      </c>
      <c r="AA175" s="68">
        <f>IF(OR($Y175="",ISNUMBER($V175),N($Y175)&lt;'設定'!$B$6),"",IF($Z175&lt;&gt;"",$Z175,$Y175))</f>
        <v/>
      </c>
      <c r="AB175" s="69">
        <f>IF($AA175="","",$AA175-'設定'!$B$6)</f>
        <v/>
      </c>
      <c r="AC175" s="28">
        <f>IF(NOT(OR($B175&lt;&gt;"",$C175&lt;&gt;"")),"",IF(ISNUMBER($V175),IF($V175&lt;'設定'!$B$6,"終了","終了予定"),IF($Y175="","有効",IF($Y175&lt;'設定'!$B$6,"満了",IF(AND($T175="更新する",ISNUMBER($U175),N($U175)&lt;='設定'!$B$6,OR($AO175="",N($U175)&gt;N($AO175))),"確認済み",IF($AB175&lt;0,"通知期限切れ",IF($AB175&lt;=N('設定'!$B$7),"要対応","有効")))))))</f>
        <v/>
      </c>
      <c r="AD175" s="68">
        <f>IF(OR(NOT(ISNUMBER($M175)),$AC175="",$AC175="終了",$AC175="終了予定",$AC175="満了"),"",IF($N175="日前",'設定'!$B$6+$M175,EDATE('設定'!$B$6,$M175)))</f>
        <v/>
      </c>
      <c r="AE175" s="70">
        <f>IF(NOT(ISNUMBER($O175)),"",IF($P175="月額",$O175*12,IF($P175="年額",$O175,"")))</f>
        <v/>
      </c>
      <c r="AF175" s="30">
        <f>MID(IF(AND(ISNUMBER($G175),ISNUMBER($H175)),IF(N($H175)&lt;N($G175)," / 満了日が開始日より前",""),"")&amp;IF(AND($I175="あり",NOT(ISNUMBER($H175)))," / 自動更新ありなのに満了日が空","")&amp;IF(AND($I175="あり",ISNUMBER($H175),NOT(ISNUMBER($J175)))," / 更新期間が空（更新を計算できない）","")&amp;IF($AH175="","",IF(AND(DAY($AH175)&gt;=29,OR(MOD($J175,12)&lt;&gt;0,MONTH($AH175)=2))," / 更新の初日が29〜31日（更新を重ねると満了日が1日ずれることがある。満了日を今の期間の満了日に書き換えると直る）",""))&amp;IF(AND(ISNUMBER($K175),$L175="")," / 通知の単位が空（か月前で計算）","")&amp;IF(AND(ISNUMBER($M175),$N175="")," / 解約予告の単位が空（か月前で計算）","")&amp;IF(AND(ISNUMBER($O175),$P175="")," / 金額の区分が空","")&amp;IF(AND($T175&lt;&gt;"",NOT(ISNUMBER($U175)))," / 対応を決めた日が空","")&amp;IF(AND(ISNUMBER($U175),$T175="")," / 今期の対応が空","")&amp;IF(AND($T175="更新しない",NOT(ISNUMBER($V175)))," / 更新しないなら、解約・終了した日（契約が終わる日）を入れる",""),4,300)</f>
        <v/>
      </c>
      <c r="AG175" s="53" t="n"/>
      <c r="AH175" s="71">
        <f>IF(AND(ISNUMBER($H175),$I175="あり",ISNUMBER($J175)),IF($J175&gt;=1,$H175+1,""),"")</f>
        <v/>
      </c>
      <c r="AI175" s="32">
        <f>IF($AH175="","",(YEAR('設定'!$B$6)-YEAR($AH175))*12+MONTH('設定'!$B$6)-MONTH($AH175))</f>
        <v/>
      </c>
      <c r="AJ175" s="32">
        <f>IF($AH175="","",MAX(1,ROUNDUP($AI175/$J175,0)))</f>
        <v/>
      </c>
      <c r="AK175" s="71">
        <f>IF($AJ175="","",IF(DAY(EDATE($AH175,$AJ175*$J175))&lt;DAY($AH175),EDATE($AH175,$AJ175*$J175),EDATE($AH175,$AJ175*$J175)-1))</f>
        <v/>
      </c>
      <c r="AL175" s="71">
        <f>IF($AJ175="","",IF(DAY(EDATE($AH175,($AJ175+1)*$J175))&lt;DAY($AH175),EDATE($AH175,($AJ175+1)*$J175),EDATE($AH175,($AJ175+1)*$J175)-1))</f>
        <v/>
      </c>
      <c r="AM175" s="71">
        <f>IF($AJ175="","",IF($AJ175=1,$H175,IF(DAY(EDATE($AH175,($AJ175-1)*$J175))&lt;DAY($AH175),EDATE($AH175,($AJ175-1)*$J175),EDATE($AH175,($AJ175-1)*$J175)-1)))</f>
        <v/>
      </c>
      <c r="AN175" s="32">
        <f>IF(NOT(ISNUMBER($H175)),"",IF(OR($AH175="",$H175&gt;='設定'!$B$6),0,IF($AK175&gt;='設定'!$B$6,$AJ175,$AJ175+1)))</f>
        <v/>
      </c>
      <c r="AO175" s="71">
        <f>IF($AN175="","",IF($AN175=0,"",IF($AN175=$AJ175,$AM175,$AK175)))</f>
        <v/>
      </c>
      <c r="AP175" s="32">
        <f>IF(OR($AC175="要対応",$AC175="通知期限切れ",$AC175="確認済み",$AC175="有効",$AC175="終了予定"),1,0)</f>
        <v/>
      </c>
      <c r="AQ175" s="32">
        <f>IF(OR($AC175="要対応",$AC175="通知期限切れ"),1,0)</f>
        <v/>
      </c>
      <c r="AR175" s="72">
        <f>IF(AND(ISNUMBER($AB175),OR($AC175="要対応",$AC175="通知期限切れ",$AC175="確認済み",$AC175="有効")),$AB175+ROW()/100000,"")</f>
        <v/>
      </c>
      <c r="AS175" s="32">
        <f>IF($E175="","",IF(COUNTIF($E$5:$E175,$E175)=1,ROW(),""))</f>
        <v/>
      </c>
      <c r="AT175" s="32">
        <f>IF($S175="","",IF(COUNTIF($S$5:$S175,$S175)=1,ROW(),""))</f>
        <v/>
      </c>
    </row>
    <row r="176" ht="20" customHeight="1">
      <c r="A176" s="20" t="n">
        <v>172</v>
      </c>
      <c r="B176" s="21" t="n"/>
      <c r="C176" s="22" t="n"/>
      <c r="D176" s="22" t="n"/>
      <c r="E176" s="22" t="n"/>
      <c r="F176" s="66" t="n"/>
      <c r="G176" s="66" t="n"/>
      <c r="H176" s="66" t="n"/>
      <c r="I176" s="21" t="n"/>
      <c r="J176" s="24" t="n"/>
      <c r="K176" s="24" t="n"/>
      <c r="L176" s="21" t="n"/>
      <c r="M176" s="24" t="n"/>
      <c r="N176" s="21" t="n"/>
      <c r="O176" s="67" t="n"/>
      <c r="P176" s="21" t="n"/>
      <c r="Q176" s="21" t="n"/>
      <c r="R176" s="22" t="n"/>
      <c r="S176" s="22" t="n"/>
      <c r="T176" s="21" t="n"/>
      <c r="U176" s="66" t="n"/>
      <c r="V176" s="66" t="n"/>
      <c r="W176" s="66" t="n"/>
      <c r="X176" s="8" t="n"/>
      <c r="Y176" s="68">
        <f>IF($AN176="","",IF($AN176=0,$H176,IF($AN176=$AJ176,$AK176,$AL176)))</f>
        <v/>
      </c>
      <c r="Z176" s="68">
        <f>IF(OR($Y176="",NOT(ISNUMBER($K176))),"",IF($L176="日前",$Y176-$K176,EDATE($Y176,-$K176)))</f>
        <v/>
      </c>
      <c r="AA176" s="68">
        <f>IF(OR($Y176="",ISNUMBER($V176),N($Y176)&lt;'設定'!$B$6),"",IF($Z176&lt;&gt;"",$Z176,$Y176))</f>
        <v/>
      </c>
      <c r="AB176" s="69">
        <f>IF($AA176="","",$AA176-'設定'!$B$6)</f>
        <v/>
      </c>
      <c r="AC176" s="28">
        <f>IF(NOT(OR($B176&lt;&gt;"",$C176&lt;&gt;"")),"",IF(ISNUMBER($V176),IF($V176&lt;'設定'!$B$6,"終了","終了予定"),IF($Y176="","有効",IF($Y176&lt;'設定'!$B$6,"満了",IF(AND($T176="更新する",ISNUMBER($U176),N($U176)&lt;='設定'!$B$6,OR($AO176="",N($U176)&gt;N($AO176))),"確認済み",IF($AB176&lt;0,"通知期限切れ",IF($AB176&lt;=N('設定'!$B$7),"要対応","有効")))))))</f>
        <v/>
      </c>
      <c r="AD176" s="68">
        <f>IF(OR(NOT(ISNUMBER($M176)),$AC176="",$AC176="終了",$AC176="終了予定",$AC176="満了"),"",IF($N176="日前",'設定'!$B$6+$M176,EDATE('設定'!$B$6,$M176)))</f>
        <v/>
      </c>
      <c r="AE176" s="70">
        <f>IF(NOT(ISNUMBER($O176)),"",IF($P176="月額",$O176*12,IF($P176="年額",$O176,"")))</f>
        <v/>
      </c>
      <c r="AF176" s="30">
        <f>MID(IF(AND(ISNUMBER($G176),ISNUMBER($H176)),IF(N($H176)&lt;N($G176)," / 満了日が開始日より前",""),"")&amp;IF(AND($I176="あり",NOT(ISNUMBER($H176)))," / 自動更新ありなのに満了日が空","")&amp;IF(AND($I176="あり",ISNUMBER($H176),NOT(ISNUMBER($J176)))," / 更新期間が空（更新を計算できない）","")&amp;IF($AH176="","",IF(AND(DAY($AH176)&gt;=29,OR(MOD($J176,12)&lt;&gt;0,MONTH($AH176)=2))," / 更新の初日が29〜31日（更新を重ねると満了日が1日ずれることがある。満了日を今の期間の満了日に書き換えると直る）",""))&amp;IF(AND(ISNUMBER($K176),$L176="")," / 通知の単位が空（か月前で計算）","")&amp;IF(AND(ISNUMBER($M176),$N176="")," / 解約予告の単位が空（か月前で計算）","")&amp;IF(AND(ISNUMBER($O176),$P176="")," / 金額の区分が空","")&amp;IF(AND($T176&lt;&gt;"",NOT(ISNUMBER($U176)))," / 対応を決めた日が空","")&amp;IF(AND(ISNUMBER($U176),$T176="")," / 今期の対応が空","")&amp;IF(AND($T176="更新しない",NOT(ISNUMBER($V176)))," / 更新しないなら、解約・終了した日（契約が終わる日）を入れる",""),4,300)</f>
        <v/>
      </c>
      <c r="AG176" s="53" t="n"/>
      <c r="AH176" s="71">
        <f>IF(AND(ISNUMBER($H176),$I176="あり",ISNUMBER($J176)),IF($J176&gt;=1,$H176+1,""),"")</f>
        <v/>
      </c>
      <c r="AI176" s="32">
        <f>IF($AH176="","",(YEAR('設定'!$B$6)-YEAR($AH176))*12+MONTH('設定'!$B$6)-MONTH($AH176))</f>
        <v/>
      </c>
      <c r="AJ176" s="32">
        <f>IF($AH176="","",MAX(1,ROUNDUP($AI176/$J176,0)))</f>
        <v/>
      </c>
      <c r="AK176" s="71">
        <f>IF($AJ176="","",IF(DAY(EDATE($AH176,$AJ176*$J176))&lt;DAY($AH176),EDATE($AH176,$AJ176*$J176),EDATE($AH176,$AJ176*$J176)-1))</f>
        <v/>
      </c>
      <c r="AL176" s="71">
        <f>IF($AJ176="","",IF(DAY(EDATE($AH176,($AJ176+1)*$J176))&lt;DAY($AH176),EDATE($AH176,($AJ176+1)*$J176),EDATE($AH176,($AJ176+1)*$J176)-1))</f>
        <v/>
      </c>
      <c r="AM176" s="71">
        <f>IF($AJ176="","",IF($AJ176=1,$H176,IF(DAY(EDATE($AH176,($AJ176-1)*$J176))&lt;DAY($AH176),EDATE($AH176,($AJ176-1)*$J176),EDATE($AH176,($AJ176-1)*$J176)-1)))</f>
        <v/>
      </c>
      <c r="AN176" s="32">
        <f>IF(NOT(ISNUMBER($H176)),"",IF(OR($AH176="",$H176&gt;='設定'!$B$6),0,IF($AK176&gt;='設定'!$B$6,$AJ176,$AJ176+1)))</f>
        <v/>
      </c>
      <c r="AO176" s="71">
        <f>IF($AN176="","",IF($AN176=0,"",IF($AN176=$AJ176,$AM176,$AK176)))</f>
        <v/>
      </c>
      <c r="AP176" s="32">
        <f>IF(OR($AC176="要対応",$AC176="通知期限切れ",$AC176="確認済み",$AC176="有効",$AC176="終了予定"),1,0)</f>
        <v/>
      </c>
      <c r="AQ176" s="32">
        <f>IF(OR($AC176="要対応",$AC176="通知期限切れ"),1,0)</f>
        <v/>
      </c>
      <c r="AR176" s="72">
        <f>IF(AND(ISNUMBER($AB176),OR($AC176="要対応",$AC176="通知期限切れ",$AC176="確認済み",$AC176="有効")),$AB176+ROW()/100000,"")</f>
        <v/>
      </c>
      <c r="AS176" s="32">
        <f>IF($E176="","",IF(COUNTIF($E$5:$E176,$E176)=1,ROW(),""))</f>
        <v/>
      </c>
      <c r="AT176" s="32">
        <f>IF($S176="","",IF(COUNTIF($S$5:$S176,$S176)=1,ROW(),""))</f>
        <v/>
      </c>
    </row>
    <row r="177" ht="20" customHeight="1">
      <c r="A177" s="20" t="n">
        <v>173</v>
      </c>
      <c r="B177" s="21" t="n"/>
      <c r="C177" s="22" t="n"/>
      <c r="D177" s="22" t="n"/>
      <c r="E177" s="22" t="n"/>
      <c r="F177" s="66" t="n"/>
      <c r="G177" s="66" t="n"/>
      <c r="H177" s="66" t="n"/>
      <c r="I177" s="21" t="n"/>
      <c r="J177" s="24" t="n"/>
      <c r="K177" s="24" t="n"/>
      <c r="L177" s="21" t="n"/>
      <c r="M177" s="24" t="n"/>
      <c r="N177" s="21" t="n"/>
      <c r="O177" s="67" t="n"/>
      <c r="P177" s="21" t="n"/>
      <c r="Q177" s="21" t="n"/>
      <c r="R177" s="22" t="n"/>
      <c r="S177" s="22" t="n"/>
      <c r="T177" s="21" t="n"/>
      <c r="U177" s="66" t="n"/>
      <c r="V177" s="66" t="n"/>
      <c r="W177" s="66" t="n"/>
      <c r="X177" s="8" t="n"/>
      <c r="Y177" s="68">
        <f>IF($AN177="","",IF($AN177=0,$H177,IF($AN177=$AJ177,$AK177,$AL177)))</f>
        <v/>
      </c>
      <c r="Z177" s="68">
        <f>IF(OR($Y177="",NOT(ISNUMBER($K177))),"",IF($L177="日前",$Y177-$K177,EDATE($Y177,-$K177)))</f>
        <v/>
      </c>
      <c r="AA177" s="68">
        <f>IF(OR($Y177="",ISNUMBER($V177),N($Y177)&lt;'設定'!$B$6),"",IF($Z177&lt;&gt;"",$Z177,$Y177))</f>
        <v/>
      </c>
      <c r="AB177" s="69">
        <f>IF($AA177="","",$AA177-'設定'!$B$6)</f>
        <v/>
      </c>
      <c r="AC177" s="28">
        <f>IF(NOT(OR($B177&lt;&gt;"",$C177&lt;&gt;"")),"",IF(ISNUMBER($V177),IF($V177&lt;'設定'!$B$6,"終了","終了予定"),IF($Y177="","有効",IF($Y177&lt;'設定'!$B$6,"満了",IF(AND($T177="更新する",ISNUMBER($U177),N($U177)&lt;='設定'!$B$6,OR($AO177="",N($U177)&gt;N($AO177))),"確認済み",IF($AB177&lt;0,"通知期限切れ",IF($AB177&lt;=N('設定'!$B$7),"要対応","有効")))))))</f>
        <v/>
      </c>
      <c r="AD177" s="68">
        <f>IF(OR(NOT(ISNUMBER($M177)),$AC177="",$AC177="終了",$AC177="終了予定",$AC177="満了"),"",IF($N177="日前",'設定'!$B$6+$M177,EDATE('設定'!$B$6,$M177)))</f>
        <v/>
      </c>
      <c r="AE177" s="70">
        <f>IF(NOT(ISNUMBER($O177)),"",IF($P177="月額",$O177*12,IF($P177="年額",$O177,"")))</f>
        <v/>
      </c>
      <c r="AF177" s="30">
        <f>MID(IF(AND(ISNUMBER($G177),ISNUMBER($H177)),IF(N($H177)&lt;N($G177)," / 満了日が開始日より前",""),"")&amp;IF(AND($I177="あり",NOT(ISNUMBER($H177)))," / 自動更新ありなのに満了日が空","")&amp;IF(AND($I177="あり",ISNUMBER($H177),NOT(ISNUMBER($J177)))," / 更新期間が空（更新を計算できない）","")&amp;IF($AH177="","",IF(AND(DAY($AH177)&gt;=29,OR(MOD($J177,12)&lt;&gt;0,MONTH($AH177)=2))," / 更新の初日が29〜31日（更新を重ねると満了日が1日ずれることがある。満了日を今の期間の満了日に書き換えると直る）",""))&amp;IF(AND(ISNUMBER($K177),$L177="")," / 通知の単位が空（か月前で計算）","")&amp;IF(AND(ISNUMBER($M177),$N177="")," / 解約予告の単位が空（か月前で計算）","")&amp;IF(AND(ISNUMBER($O177),$P177="")," / 金額の区分が空","")&amp;IF(AND($T177&lt;&gt;"",NOT(ISNUMBER($U177)))," / 対応を決めた日が空","")&amp;IF(AND(ISNUMBER($U177),$T177="")," / 今期の対応が空","")&amp;IF(AND($T177="更新しない",NOT(ISNUMBER($V177)))," / 更新しないなら、解約・終了した日（契約が終わる日）を入れる",""),4,300)</f>
        <v/>
      </c>
      <c r="AG177" s="53" t="n"/>
      <c r="AH177" s="71">
        <f>IF(AND(ISNUMBER($H177),$I177="あり",ISNUMBER($J177)),IF($J177&gt;=1,$H177+1,""),"")</f>
        <v/>
      </c>
      <c r="AI177" s="32">
        <f>IF($AH177="","",(YEAR('設定'!$B$6)-YEAR($AH177))*12+MONTH('設定'!$B$6)-MONTH($AH177))</f>
        <v/>
      </c>
      <c r="AJ177" s="32">
        <f>IF($AH177="","",MAX(1,ROUNDUP($AI177/$J177,0)))</f>
        <v/>
      </c>
      <c r="AK177" s="71">
        <f>IF($AJ177="","",IF(DAY(EDATE($AH177,$AJ177*$J177))&lt;DAY($AH177),EDATE($AH177,$AJ177*$J177),EDATE($AH177,$AJ177*$J177)-1))</f>
        <v/>
      </c>
      <c r="AL177" s="71">
        <f>IF($AJ177="","",IF(DAY(EDATE($AH177,($AJ177+1)*$J177))&lt;DAY($AH177),EDATE($AH177,($AJ177+1)*$J177),EDATE($AH177,($AJ177+1)*$J177)-1))</f>
        <v/>
      </c>
      <c r="AM177" s="71">
        <f>IF($AJ177="","",IF($AJ177=1,$H177,IF(DAY(EDATE($AH177,($AJ177-1)*$J177))&lt;DAY($AH177),EDATE($AH177,($AJ177-1)*$J177),EDATE($AH177,($AJ177-1)*$J177)-1)))</f>
        <v/>
      </c>
      <c r="AN177" s="32">
        <f>IF(NOT(ISNUMBER($H177)),"",IF(OR($AH177="",$H177&gt;='設定'!$B$6),0,IF($AK177&gt;='設定'!$B$6,$AJ177,$AJ177+1)))</f>
        <v/>
      </c>
      <c r="AO177" s="71">
        <f>IF($AN177="","",IF($AN177=0,"",IF($AN177=$AJ177,$AM177,$AK177)))</f>
        <v/>
      </c>
      <c r="AP177" s="32">
        <f>IF(OR($AC177="要対応",$AC177="通知期限切れ",$AC177="確認済み",$AC177="有効",$AC177="終了予定"),1,0)</f>
        <v/>
      </c>
      <c r="AQ177" s="32">
        <f>IF(OR($AC177="要対応",$AC177="通知期限切れ"),1,0)</f>
        <v/>
      </c>
      <c r="AR177" s="72">
        <f>IF(AND(ISNUMBER($AB177),OR($AC177="要対応",$AC177="通知期限切れ",$AC177="確認済み",$AC177="有効")),$AB177+ROW()/100000,"")</f>
        <v/>
      </c>
      <c r="AS177" s="32">
        <f>IF($E177="","",IF(COUNTIF($E$5:$E177,$E177)=1,ROW(),""))</f>
        <v/>
      </c>
      <c r="AT177" s="32">
        <f>IF($S177="","",IF(COUNTIF($S$5:$S177,$S177)=1,ROW(),""))</f>
        <v/>
      </c>
    </row>
    <row r="178" ht="20" customHeight="1">
      <c r="A178" s="20" t="n">
        <v>174</v>
      </c>
      <c r="B178" s="21" t="n"/>
      <c r="C178" s="22" t="n"/>
      <c r="D178" s="22" t="n"/>
      <c r="E178" s="22" t="n"/>
      <c r="F178" s="66" t="n"/>
      <c r="G178" s="66" t="n"/>
      <c r="H178" s="66" t="n"/>
      <c r="I178" s="21" t="n"/>
      <c r="J178" s="24" t="n"/>
      <c r="K178" s="24" t="n"/>
      <c r="L178" s="21" t="n"/>
      <c r="M178" s="24" t="n"/>
      <c r="N178" s="21" t="n"/>
      <c r="O178" s="67" t="n"/>
      <c r="P178" s="21" t="n"/>
      <c r="Q178" s="21" t="n"/>
      <c r="R178" s="22" t="n"/>
      <c r="S178" s="22" t="n"/>
      <c r="T178" s="21" t="n"/>
      <c r="U178" s="66" t="n"/>
      <c r="V178" s="66" t="n"/>
      <c r="W178" s="66" t="n"/>
      <c r="X178" s="8" t="n"/>
      <c r="Y178" s="68">
        <f>IF($AN178="","",IF($AN178=0,$H178,IF($AN178=$AJ178,$AK178,$AL178)))</f>
        <v/>
      </c>
      <c r="Z178" s="68">
        <f>IF(OR($Y178="",NOT(ISNUMBER($K178))),"",IF($L178="日前",$Y178-$K178,EDATE($Y178,-$K178)))</f>
        <v/>
      </c>
      <c r="AA178" s="68">
        <f>IF(OR($Y178="",ISNUMBER($V178),N($Y178)&lt;'設定'!$B$6),"",IF($Z178&lt;&gt;"",$Z178,$Y178))</f>
        <v/>
      </c>
      <c r="AB178" s="69">
        <f>IF($AA178="","",$AA178-'設定'!$B$6)</f>
        <v/>
      </c>
      <c r="AC178" s="28">
        <f>IF(NOT(OR($B178&lt;&gt;"",$C178&lt;&gt;"")),"",IF(ISNUMBER($V178),IF($V178&lt;'設定'!$B$6,"終了","終了予定"),IF($Y178="","有効",IF($Y178&lt;'設定'!$B$6,"満了",IF(AND($T178="更新する",ISNUMBER($U178),N($U178)&lt;='設定'!$B$6,OR($AO178="",N($U178)&gt;N($AO178))),"確認済み",IF($AB178&lt;0,"通知期限切れ",IF($AB178&lt;=N('設定'!$B$7),"要対応","有効")))))))</f>
        <v/>
      </c>
      <c r="AD178" s="68">
        <f>IF(OR(NOT(ISNUMBER($M178)),$AC178="",$AC178="終了",$AC178="終了予定",$AC178="満了"),"",IF($N178="日前",'設定'!$B$6+$M178,EDATE('設定'!$B$6,$M178)))</f>
        <v/>
      </c>
      <c r="AE178" s="70">
        <f>IF(NOT(ISNUMBER($O178)),"",IF($P178="月額",$O178*12,IF($P178="年額",$O178,"")))</f>
        <v/>
      </c>
      <c r="AF178" s="30">
        <f>MID(IF(AND(ISNUMBER($G178),ISNUMBER($H178)),IF(N($H178)&lt;N($G178)," / 満了日が開始日より前",""),"")&amp;IF(AND($I178="あり",NOT(ISNUMBER($H178)))," / 自動更新ありなのに満了日が空","")&amp;IF(AND($I178="あり",ISNUMBER($H178),NOT(ISNUMBER($J178)))," / 更新期間が空（更新を計算できない）","")&amp;IF($AH178="","",IF(AND(DAY($AH178)&gt;=29,OR(MOD($J178,12)&lt;&gt;0,MONTH($AH178)=2))," / 更新の初日が29〜31日（更新を重ねると満了日が1日ずれることがある。満了日を今の期間の満了日に書き換えると直る）",""))&amp;IF(AND(ISNUMBER($K178),$L178="")," / 通知の単位が空（か月前で計算）","")&amp;IF(AND(ISNUMBER($M178),$N178="")," / 解約予告の単位が空（か月前で計算）","")&amp;IF(AND(ISNUMBER($O178),$P178="")," / 金額の区分が空","")&amp;IF(AND($T178&lt;&gt;"",NOT(ISNUMBER($U178)))," / 対応を決めた日が空","")&amp;IF(AND(ISNUMBER($U178),$T178="")," / 今期の対応が空","")&amp;IF(AND($T178="更新しない",NOT(ISNUMBER($V178)))," / 更新しないなら、解約・終了した日（契約が終わる日）を入れる",""),4,300)</f>
        <v/>
      </c>
      <c r="AG178" s="53" t="n"/>
      <c r="AH178" s="71">
        <f>IF(AND(ISNUMBER($H178),$I178="あり",ISNUMBER($J178)),IF($J178&gt;=1,$H178+1,""),"")</f>
        <v/>
      </c>
      <c r="AI178" s="32">
        <f>IF($AH178="","",(YEAR('設定'!$B$6)-YEAR($AH178))*12+MONTH('設定'!$B$6)-MONTH($AH178))</f>
        <v/>
      </c>
      <c r="AJ178" s="32">
        <f>IF($AH178="","",MAX(1,ROUNDUP($AI178/$J178,0)))</f>
        <v/>
      </c>
      <c r="AK178" s="71">
        <f>IF($AJ178="","",IF(DAY(EDATE($AH178,$AJ178*$J178))&lt;DAY($AH178),EDATE($AH178,$AJ178*$J178),EDATE($AH178,$AJ178*$J178)-1))</f>
        <v/>
      </c>
      <c r="AL178" s="71">
        <f>IF($AJ178="","",IF(DAY(EDATE($AH178,($AJ178+1)*$J178))&lt;DAY($AH178),EDATE($AH178,($AJ178+1)*$J178),EDATE($AH178,($AJ178+1)*$J178)-1))</f>
        <v/>
      </c>
      <c r="AM178" s="71">
        <f>IF($AJ178="","",IF($AJ178=1,$H178,IF(DAY(EDATE($AH178,($AJ178-1)*$J178))&lt;DAY($AH178),EDATE($AH178,($AJ178-1)*$J178),EDATE($AH178,($AJ178-1)*$J178)-1)))</f>
        <v/>
      </c>
      <c r="AN178" s="32">
        <f>IF(NOT(ISNUMBER($H178)),"",IF(OR($AH178="",$H178&gt;='設定'!$B$6),0,IF($AK178&gt;='設定'!$B$6,$AJ178,$AJ178+1)))</f>
        <v/>
      </c>
      <c r="AO178" s="71">
        <f>IF($AN178="","",IF($AN178=0,"",IF($AN178=$AJ178,$AM178,$AK178)))</f>
        <v/>
      </c>
      <c r="AP178" s="32">
        <f>IF(OR($AC178="要対応",$AC178="通知期限切れ",$AC178="確認済み",$AC178="有効",$AC178="終了予定"),1,0)</f>
        <v/>
      </c>
      <c r="AQ178" s="32">
        <f>IF(OR($AC178="要対応",$AC178="通知期限切れ"),1,0)</f>
        <v/>
      </c>
      <c r="AR178" s="72">
        <f>IF(AND(ISNUMBER($AB178),OR($AC178="要対応",$AC178="通知期限切れ",$AC178="確認済み",$AC178="有効")),$AB178+ROW()/100000,"")</f>
        <v/>
      </c>
      <c r="AS178" s="32">
        <f>IF($E178="","",IF(COUNTIF($E$5:$E178,$E178)=1,ROW(),""))</f>
        <v/>
      </c>
      <c r="AT178" s="32">
        <f>IF($S178="","",IF(COUNTIF($S$5:$S178,$S178)=1,ROW(),""))</f>
        <v/>
      </c>
    </row>
    <row r="179" ht="20" customHeight="1">
      <c r="A179" s="20" t="n">
        <v>175</v>
      </c>
      <c r="B179" s="21" t="n"/>
      <c r="C179" s="22" t="n"/>
      <c r="D179" s="22" t="n"/>
      <c r="E179" s="22" t="n"/>
      <c r="F179" s="66" t="n"/>
      <c r="G179" s="66" t="n"/>
      <c r="H179" s="66" t="n"/>
      <c r="I179" s="21" t="n"/>
      <c r="J179" s="24" t="n"/>
      <c r="K179" s="24" t="n"/>
      <c r="L179" s="21" t="n"/>
      <c r="M179" s="24" t="n"/>
      <c r="N179" s="21" t="n"/>
      <c r="O179" s="67" t="n"/>
      <c r="P179" s="21" t="n"/>
      <c r="Q179" s="21" t="n"/>
      <c r="R179" s="22" t="n"/>
      <c r="S179" s="22" t="n"/>
      <c r="T179" s="21" t="n"/>
      <c r="U179" s="66" t="n"/>
      <c r="V179" s="66" t="n"/>
      <c r="W179" s="66" t="n"/>
      <c r="X179" s="8" t="n"/>
      <c r="Y179" s="68">
        <f>IF($AN179="","",IF($AN179=0,$H179,IF($AN179=$AJ179,$AK179,$AL179)))</f>
        <v/>
      </c>
      <c r="Z179" s="68">
        <f>IF(OR($Y179="",NOT(ISNUMBER($K179))),"",IF($L179="日前",$Y179-$K179,EDATE($Y179,-$K179)))</f>
        <v/>
      </c>
      <c r="AA179" s="68">
        <f>IF(OR($Y179="",ISNUMBER($V179),N($Y179)&lt;'設定'!$B$6),"",IF($Z179&lt;&gt;"",$Z179,$Y179))</f>
        <v/>
      </c>
      <c r="AB179" s="69">
        <f>IF($AA179="","",$AA179-'設定'!$B$6)</f>
        <v/>
      </c>
      <c r="AC179" s="28">
        <f>IF(NOT(OR($B179&lt;&gt;"",$C179&lt;&gt;"")),"",IF(ISNUMBER($V179),IF($V179&lt;'設定'!$B$6,"終了","終了予定"),IF($Y179="","有効",IF($Y179&lt;'設定'!$B$6,"満了",IF(AND($T179="更新する",ISNUMBER($U179),N($U179)&lt;='設定'!$B$6,OR($AO179="",N($U179)&gt;N($AO179))),"確認済み",IF($AB179&lt;0,"通知期限切れ",IF($AB179&lt;=N('設定'!$B$7),"要対応","有効")))))))</f>
        <v/>
      </c>
      <c r="AD179" s="68">
        <f>IF(OR(NOT(ISNUMBER($M179)),$AC179="",$AC179="終了",$AC179="終了予定",$AC179="満了"),"",IF($N179="日前",'設定'!$B$6+$M179,EDATE('設定'!$B$6,$M179)))</f>
        <v/>
      </c>
      <c r="AE179" s="70">
        <f>IF(NOT(ISNUMBER($O179)),"",IF($P179="月額",$O179*12,IF($P179="年額",$O179,"")))</f>
        <v/>
      </c>
      <c r="AF179" s="30">
        <f>MID(IF(AND(ISNUMBER($G179),ISNUMBER($H179)),IF(N($H179)&lt;N($G179)," / 満了日が開始日より前",""),"")&amp;IF(AND($I179="あり",NOT(ISNUMBER($H179)))," / 自動更新ありなのに満了日が空","")&amp;IF(AND($I179="あり",ISNUMBER($H179),NOT(ISNUMBER($J179)))," / 更新期間が空（更新を計算できない）","")&amp;IF($AH179="","",IF(AND(DAY($AH179)&gt;=29,OR(MOD($J179,12)&lt;&gt;0,MONTH($AH179)=2))," / 更新の初日が29〜31日（更新を重ねると満了日が1日ずれることがある。満了日を今の期間の満了日に書き換えると直る）",""))&amp;IF(AND(ISNUMBER($K179),$L179="")," / 通知の単位が空（か月前で計算）","")&amp;IF(AND(ISNUMBER($M179),$N179="")," / 解約予告の単位が空（か月前で計算）","")&amp;IF(AND(ISNUMBER($O179),$P179="")," / 金額の区分が空","")&amp;IF(AND($T179&lt;&gt;"",NOT(ISNUMBER($U179)))," / 対応を決めた日が空","")&amp;IF(AND(ISNUMBER($U179),$T179="")," / 今期の対応が空","")&amp;IF(AND($T179="更新しない",NOT(ISNUMBER($V179)))," / 更新しないなら、解約・終了した日（契約が終わる日）を入れる",""),4,300)</f>
        <v/>
      </c>
      <c r="AG179" s="53" t="n"/>
      <c r="AH179" s="71">
        <f>IF(AND(ISNUMBER($H179),$I179="あり",ISNUMBER($J179)),IF($J179&gt;=1,$H179+1,""),"")</f>
        <v/>
      </c>
      <c r="AI179" s="32">
        <f>IF($AH179="","",(YEAR('設定'!$B$6)-YEAR($AH179))*12+MONTH('設定'!$B$6)-MONTH($AH179))</f>
        <v/>
      </c>
      <c r="AJ179" s="32">
        <f>IF($AH179="","",MAX(1,ROUNDUP($AI179/$J179,0)))</f>
        <v/>
      </c>
      <c r="AK179" s="71">
        <f>IF($AJ179="","",IF(DAY(EDATE($AH179,$AJ179*$J179))&lt;DAY($AH179),EDATE($AH179,$AJ179*$J179),EDATE($AH179,$AJ179*$J179)-1))</f>
        <v/>
      </c>
      <c r="AL179" s="71">
        <f>IF($AJ179="","",IF(DAY(EDATE($AH179,($AJ179+1)*$J179))&lt;DAY($AH179),EDATE($AH179,($AJ179+1)*$J179),EDATE($AH179,($AJ179+1)*$J179)-1))</f>
        <v/>
      </c>
      <c r="AM179" s="71">
        <f>IF($AJ179="","",IF($AJ179=1,$H179,IF(DAY(EDATE($AH179,($AJ179-1)*$J179))&lt;DAY($AH179),EDATE($AH179,($AJ179-1)*$J179),EDATE($AH179,($AJ179-1)*$J179)-1)))</f>
        <v/>
      </c>
      <c r="AN179" s="32">
        <f>IF(NOT(ISNUMBER($H179)),"",IF(OR($AH179="",$H179&gt;='設定'!$B$6),0,IF($AK179&gt;='設定'!$B$6,$AJ179,$AJ179+1)))</f>
        <v/>
      </c>
      <c r="AO179" s="71">
        <f>IF($AN179="","",IF($AN179=0,"",IF($AN179=$AJ179,$AM179,$AK179)))</f>
        <v/>
      </c>
      <c r="AP179" s="32">
        <f>IF(OR($AC179="要対応",$AC179="通知期限切れ",$AC179="確認済み",$AC179="有効",$AC179="終了予定"),1,0)</f>
        <v/>
      </c>
      <c r="AQ179" s="32">
        <f>IF(OR($AC179="要対応",$AC179="通知期限切れ"),1,0)</f>
        <v/>
      </c>
      <c r="AR179" s="72">
        <f>IF(AND(ISNUMBER($AB179),OR($AC179="要対応",$AC179="通知期限切れ",$AC179="確認済み",$AC179="有効")),$AB179+ROW()/100000,"")</f>
        <v/>
      </c>
      <c r="AS179" s="32">
        <f>IF($E179="","",IF(COUNTIF($E$5:$E179,$E179)=1,ROW(),""))</f>
        <v/>
      </c>
      <c r="AT179" s="32">
        <f>IF($S179="","",IF(COUNTIF($S$5:$S179,$S179)=1,ROW(),""))</f>
        <v/>
      </c>
    </row>
    <row r="180" ht="20" customHeight="1">
      <c r="A180" s="20" t="n">
        <v>176</v>
      </c>
      <c r="B180" s="21" t="n"/>
      <c r="C180" s="22" t="n"/>
      <c r="D180" s="22" t="n"/>
      <c r="E180" s="22" t="n"/>
      <c r="F180" s="66" t="n"/>
      <c r="G180" s="66" t="n"/>
      <c r="H180" s="66" t="n"/>
      <c r="I180" s="21" t="n"/>
      <c r="J180" s="24" t="n"/>
      <c r="K180" s="24" t="n"/>
      <c r="L180" s="21" t="n"/>
      <c r="M180" s="24" t="n"/>
      <c r="N180" s="21" t="n"/>
      <c r="O180" s="67" t="n"/>
      <c r="P180" s="21" t="n"/>
      <c r="Q180" s="21" t="n"/>
      <c r="R180" s="22" t="n"/>
      <c r="S180" s="22" t="n"/>
      <c r="T180" s="21" t="n"/>
      <c r="U180" s="66" t="n"/>
      <c r="V180" s="66" t="n"/>
      <c r="W180" s="66" t="n"/>
      <c r="X180" s="8" t="n"/>
      <c r="Y180" s="68">
        <f>IF($AN180="","",IF($AN180=0,$H180,IF($AN180=$AJ180,$AK180,$AL180)))</f>
        <v/>
      </c>
      <c r="Z180" s="68">
        <f>IF(OR($Y180="",NOT(ISNUMBER($K180))),"",IF($L180="日前",$Y180-$K180,EDATE($Y180,-$K180)))</f>
        <v/>
      </c>
      <c r="AA180" s="68">
        <f>IF(OR($Y180="",ISNUMBER($V180),N($Y180)&lt;'設定'!$B$6),"",IF($Z180&lt;&gt;"",$Z180,$Y180))</f>
        <v/>
      </c>
      <c r="AB180" s="69">
        <f>IF($AA180="","",$AA180-'設定'!$B$6)</f>
        <v/>
      </c>
      <c r="AC180" s="28">
        <f>IF(NOT(OR($B180&lt;&gt;"",$C180&lt;&gt;"")),"",IF(ISNUMBER($V180),IF($V180&lt;'設定'!$B$6,"終了","終了予定"),IF($Y180="","有効",IF($Y180&lt;'設定'!$B$6,"満了",IF(AND($T180="更新する",ISNUMBER($U180),N($U180)&lt;='設定'!$B$6,OR($AO180="",N($U180)&gt;N($AO180))),"確認済み",IF($AB180&lt;0,"通知期限切れ",IF($AB180&lt;=N('設定'!$B$7),"要対応","有効")))))))</f>
        <v/>
      </c>
      <c r="AD180" s="68">
        <f>IF(OR(NOT(ISNUMBER($M180)),$AC180="",$AC180="終了",$AC180="終了予定",$AC180="満了"),"",IF($N180="日前",'設定'!$B$6+$M180,EDATE('設定'!$B$6,$M180)))</f>
        <v/>
      </c>
      <c r="AE180" s="70">
        <f>IF(NOT(ISNUMBER($O180)),"",IF($P180="月額",$O180*12,IF($P180="年額",$O180,"")))</f>
        <v/>
      </c>
      <c r="AF180" s="30">
        <f>MID(IF(AND(ISNUMBER($G180),ISNUMBER($H180)),IF(N($H180)&lt;N($G180)," / 満了日が開始日より前",""),"")&amp;IF(AND($I180="あり",NOT(ISNUMBER($H180)))," / 自動更新ありなのに満了日が空","")&amp;IF(AND($I180="あり",ISNUMBER($H180),NOT(ISNUMBER($J180)))," / 更新期間が空（更新を計算できない）","")&amp;IF($AH180="","",IF(AND(DAY($AH180)&gt;=29,OR(MOD($J180,12)&lt;&gt;0,MONTH($AH180)=2))," / 更新の初日が29〜31日（更新を重ねると満了日が1日ずれることがある。満了日を今の期間の満了日に書き換えると直る）",""))&amp;IF(AND(ISNUMBER($K180),$L180="")," / 通知の単位が空（か月前で計算）","")&amp;IF(AND(ISNUMBER($M180),$N180="")," / 解約予告の単位が空（か月前で計算）","")&amp;IF(AND(ISNUMBER($O180),$P180="")," / 金額の区分が空","")&amp;IF(AND($T180&lt;&gt;"",NOT(ISNUMBER($U180)))," / 対応を決めた日が空","")&amp;IF(AND(ISNUMBER($U180),$T180="")," / 今期の対応が空","")&amp;IF(AND($T180="更新しない",NOT(ISNUMBER($V180)))," / 更新しないなら、解約・終了した日（契約が終わる日）を入れる",""),4,300)</f>
        <v/>
      </c>
      <c r="AG180" s="53" t="n"/>
      <c r="AH180" s="71">
        <f>IF(AND(ISNUMBER($H180),$I180="あり",ISNUMBER($J180)),IF($J180&gt;=1,$H180+1,""),"")</f>
        <v/>
      </c>
      <c r="AI180" s="32">
        <f>IF($AH180="","",(YEAR('設定'!$B$6)-YEAR($AH180))*12+MONTH('設定'!$B$6)-MONTH($AH180))</f>
        <v/>
      </c>
      <c r="AJ180" s="32">
        <f>IF($AH180="","",MAX(1,ROUNDUP($AI180/$J180,0)))</f>
        <v/>
      </c>
      <c r="AK180" s="71">
        <f>IF($AJ180="","",IF(DAY(EDATE($AH180,$AJ180*$J180))&lt;DAY($AH180),EDATE($AH180,$AJ180*$J180),EDATE($AH180,$AJ180*$J180)-1))</f>
        <v/>
      </c>
      <c r="AL180" s="71">
        <f>IF($AJ180="","",IF(DAY(EDATE($AH180,($AJ180+1)*$J180))&lt;DAY($AH180),EDATE($AH180,($AJ180+1)*$J180),EDATE($AH180,($AJ180+1)*$J180)-1))</f>
        <v/>
      </c>
      <c r="AM180" s="71">
        <f>IF($AJ180="","",IF($AJ180=1,$H180,IF(DAY(EDATE($AH180,($AJ180-1)*$J180))&lt;DAY($AH180),EDATE($AH180,($AJ180-1)*$J180),EDATE($AH180,($AJ180-1)*$J180)-1)))</f>
        <v/>
      </c>
      <c r="AN180" s="32">
        <f>IF(NOT(ISNUMBER($H180)),"",IF(OR($AH180="",$H180&gt;='設定'!$B$6),0,IF($AK180&gt;='設定'!$B$6,$AJ180,$AJ180+1)))</f>
        <v/>
      </c>
      <c r="AO180" s="71">
        <f>IF($AN180="","",IF($AN180=0,"",IF($AN180=$AJ180,$AM180,$AK180)))</f>
        <v/>
      </c>
      <c r="AP180" s="32">
        <f>IF(OR($AC180="要対応",$AC180="通知期限切れ",$AC180="確認済み",$AC180="有効",$AC180="終了予定"),1,0)</f>
        <v/>
      </c>
      <c r="AQ180" s="32">
        <f>IF(OR($AC180="要対応",$AC180="通知期限切れ"),1,0)</f>
        <v/>
      </c>
      <c r="AR180" s="72">
        <f>IF(AND(ISNUMBER($AB180),OR($AC180="要対応",$AC180="通知期限切れ",$AC180="確認済み",$AC180="有効")),$AB180+ROW()/100000,"")</f>
        <v/>
      </c>
      <c r="AS180" s="32">
        <f>IF($E180="","",IF(COUNTIF($E$5:$E180,$E180)=1,ROW(),""))</f>
        <v/>
      </c>
      <c r="AT180" s="32">
        <f>IF($S180="","",IF(COUNTIF($S$5:$S180,$S180)=1,ROW(),""))</f>
        <v/>
      </c>
    </row>
    <row r="181" ht="20" customHeight="1">
      <c r="A181" s="20" t="n">
        <v>177</v>
      </c>
      <c r="B181" s="21" t="n"/>
      <c r="C181" s="22" t="n"/>
      <c r="D181" s="22" t="n"/>
      <c r="E181" s="22" t="n"/>
      <c r="F181" s="66" t="n"/>
      <c r="G181" s="66" t="n"/>
      <c r="H181" s="66" t="n"/>
      <c r="I181" s="21" t="n"/>
      <c r="J181" s="24" t="n"/>
      <c r="K181" s="24" t="n"/>
      <c r="L181" s="21" t="n"/>
      <c r="M181" s="24" t="n"/>
      <c r="N181" s="21" t="n"/>
      <c r="O181" s="67" t="n"/>
      <c r="P181" s="21" t="n"/>
      <c r="Q181" s="21" t="n"/>
      <c r="R181" s="22" t="n"/>
      <c r="S181" s="22" t="n"/>
      <c r="T181" s="21" t="n"/>
      <c r="U181" s="66" t="n"/>
      <c r="V181" s="66" t="n"/>
      <c r="W181" s="66" t="n"/>
      <c r="X181" s="8" t="n"/>
      <c r="Y181" s="68">
        <f>IF($AN181="","",IF($AN181=0,$H181,IF($AN181=$AJ181,$AK181,$AL181)))</f>
        <v/>
      </c>
      <c r="Z181" s="68">
        <f>IF(OR($Y181="",NOT(ISNUMBER($K181))),"",IF($L181="日前",$Y181-$K181,EDATE($Y181,-$K181)))</f>
        <v/>
      </c>
      <c r="AA181" s="68">
        <f>IF(OR($Y181="",ISNUMBER($V181),N($Y181)&lt;'設定'!$B$6),"",IF($Z181&lt;&gt;"",$Z181,$Y181))</f>
        <v/>
      </c>
      <c r="AB181" s="69">
        <f>IF($AA181="","",$AA181-'設定'!$B$6)</f>
        <v/>
      </c>
      <c r="AC181" s="28">
        <f>IF(NOT(OR($B181&lt;&gt;"",$C181&lt;&gt;"")),"",IF(ISNUMBER($V181),IF($V181&lt;'設定'!$B$6,"終了","終了予定"),IF($Y181="","有効",IF($Y181&lt;'設定'!$B$6,"満了",IF(AND($T181="更新する",ISNUMBER($U181),N($U181)&lt;='設定'!$B$6,OR($AO181="",N($U181)&gt;N($AO181))),"確認済み",IF($AB181&lt;0,"通知期限切れ",IF($AB181&lt;=N('設定'!$B$7),"要対応","有効")))))))</f>
        <v/>
      </c>
      <c r="AD181" s="68">
        <f>IF(OR(NOT(ISNUMBER($M181)),$AC181="",$AC181="終了",$AC181="終了予定",$AC181="満了"),"",IF($N181="日前",'設定'!$B$6+$M181,EDATE('設定'!$B$6,$M181)))</f>
        <v/>
      </c>
      <c r="AE181" s="70">
        <f>IF(NOT(ISNUMBER($O181)),"",IF($P181="月額",$O181*12,IF($P181="年額",$O181,"")))</f>
        <v/>
      </c>
      <c r="AF181" s="30">
        <f>MID(IF(AND(ISNUMBER($G181),ISNUMBER($H181)),IF(N($H181)&lt;N($G181)," / 満了日が開始日より前",""),"")&amp;IF(AND($I181="あり",NOT(ISNUMBER($H181)))," / 自動更新ありなのに満了日が空","")&amp;IF(AND($I181="あり",ISNUMBER($H181),NOT(ISNUMBER($J181)))," / 更新期間が空（更新を計算できない）","")&amp;IF($AH181="","",IF(AND(DAY($AH181)&gt;=29,OR(MOD($J181,12)&lt;&gt;0,MONTH($AH181)=2))," / 更新の初日が29〜31日（更新を重ねると満了日が1日ずれることがある。満了日を今の期間の満了日に書き換えると直る）",""))&amp;IF(AND(ISNUMBER($K181),$L181="")," / 通知の単位が空（か月前で計算）","")&amp;IF(AND(ISNUMBER($M181),$N181="")," / 解約予告の単位が空（か月前で計算）","")&amp;IF(AND(ISNUMBER($O181),$P181="")," / 金額の区分が空","")&amp;IF(AND($T181&lt;&gt;"",NOT(ISNUMBER($U181)))," / 対応を決めた日が空","")&amp;IF(AND(ISNUMBER($U181),$T181="")," / 今期の対応が空","")&amp;IF(AND($T181="更新しない",NOT(ISNUMBER($V181)))," / 更新しないなら、解約・終了した日（契約が終わる日）を入れる",""),4,300)</f>
        <v/>
      </c>
      <c r="AG181" s="53" t="n"/>
      <c r="AH181" s="71">
        <f>IF(AND(ISNUMBER($H181),$I181="あり",ISNUMBER($J181)),IF($J181&gt;=1,$H181+1,""),"")</f>
        <v/>
      </c>
      <c r="AI181" s="32">
        <f>IF($AH181="","",(YEAR('設定'!$B$6)-YEAR($AH181))*12+MONTH('設定'!$B$6)-MONTH($AH181))</f>
        <v/>
      </c>
      <c r="AJ181" s="32">
        <f>IF($AH181="","",MAX(1,ROUNDUP($AI181/$J181,0)))</f>
        <v/>
      </c>
      <c r="AK181" s="71">
        <f>IF($AJ181="","",IF(DAY(EDATE($AH181,$AJ181*$J181))&lt;DAY($AH181),EDATE($AH181,$AJ181*$J181),EDATE($AH181,$AJ181*$J181)-1))</f>
        <v/>
      </c>
      <c r="AL181" s="71">
        <f>IF($AJ181="","",IF(DAY(EDATE($AH181,($AJ181+1)*$J181))&lt;DAY($AH181),EDATE($AH181,($AJ181+1)*$J181),EDATE($AH181,($AJ181+1)*$J181)-1))</f>
        <v/>
      </c>
      <c r="AM181" s="71">
        <f>IF($AJ181="","",IF($AJ181=1,$H181,IF(DAY(EDATE($AH181,($AJ181-1)*$J181))&lt;DAY($AH181),EDATE($AH181,($AJ181-1)*$J181),EDATE($AH181,($AJ181-1)*$J181)-1)))</f>
        <v/>
      </c>
      <c r="AN181" s="32">
        <f>IF(NOT(ISNUMBER($H181)),"",IF(OR($AH181="",$H181&gt;='設定'!$B$6),0,IF($AK181&gt;='設定'!$B$6,$AJ181,$AJ181+1)))</f>
        <v/>
      </c>
      <c r="AO181" s="71">
        <f>IF($AN181="","",IF($AN181=0,"",IF($AN181=$AJ181,$AM181,$AK181)))</f>
        <v/>
      </c>
      <c r="AP181" s="32">
        <f>IF(OR($AC181="要対応",$AC181="通知期限切れ",$AC181="確認済み",$AC181="有効",$AC181="終了予定"),1,0)</f>
        <v/>
      </c>
      <c r="AQ181" s="32">
        <f>IF(OR($AC181="要対応",$AC181="通知期限切れ"),1,0)</f>
        <v/>
      </c>
      <c r="AR181" s="72">
        <f>IF(AND(ISNUMBER($AB181),OR($AC181="要対応",$AC181="通知期限切れ",$AC181="確認済み",$AC181="有効")),$AB181+ROW()/100000,"")</f>
        <v/>
      </c>
      <c r="AS181" s="32">
        <f>IF($E181="","",IF(COUNTIF($E$5:$E181,$E181)=1,ROW(),""))</f>
        <v/>
      </c>
      <c r="AT181" s="32">
        <f>IF($S181="","",IF(COUNTIF($S$5:$S181,$S181)=1,ROW(),""))</f>
        <v/>
      </c>
    </row>
    <row r="182" ht="20" customHeight="1">
      <c r="A182" s="20" t="n">
        <v>178</v>
      </c>
      <c r="B182" s="21" t="n"/>
      <c r="C182" s="22" t="n"/>
      <c r="D182" s="22" t="n"/>
      <c r="E182" s="22" t="n"/>
      <c r="F182" s="66" t="n"/>
      <c r="G182" s="66" t="n"/>
      <c r="H182" s="66" t="n"/>
      <c r="I182" s="21" t="n"/>
      <c r="J182" s="24" t="n"/>
      <c r="K182" s="24" t="n"/>
      <c r="L182" s="21" t="n"/>
      <c r="M182" s="24" t="n"/>
      <c r="N182" s="21" t="n"/>
      <c r="O182" s="67" t="n"/>
      <c r="P182" s="21" t="n"/>
      <c r="Q182" s="21" t="n"/>
      <c r="R182" s="22" t="n"/>
      <c r="S182" s="22" t="n"/>
      <c r="T182" s="21" t="n"/>
      <c r="U182" s="66" t="n"/>
      <c r="V182" s="66" t="n"/>
      <c r="W182" s="66" t="n"/>
      <c r="X182" s="8" t="n"/>
      <c r="Y182" s="68">
        <f>IF($AN182="","",IF($AN182=0,$H182,IF($AN182=$AJ182,$AK182,$AL182)))</f>
        <v/>
      </c>
      <c r="Z182" s="68">
        <f>IF(OR($Y182="",NOT(ISNUMBER($K182))),"",IF($L182="日前",$Y182-$K182,EDATE($Y182,-$K182)))</f>
        <v/>
      </c>
      <c r="AA182" s="68">
        <f>IF(OR($Y182="",ISNUMBER($V182),N($Y182)&lt;'設定'!$B$6),"",IF($Z182&lt;&gt;"",$Z182,$Y182))</f>
        <v/>
      </c>
      <c r="AB182" s="69">
        <f>IF($AA182="","",$AA182-'設定'!$B$6)</f>
        <v/>
      </c>
      <c r="AC182" s="28">
        <f>IF(NOT(OR($B182&lt;&gt;"",$C182&lt;&gt;"")),"",IF(ISNUMBER($V182),IF($V182&lt;'設定'!$B$6,"終了","終了予定"),IF($Y182="","有効",IF($Y182&lt;'設定'!$B$6,"満了",IF(AND($T182="更新する",ISNUMBER($U182),N($U182)&lt;='設定'!$B$6,OR($AO182="",N($U182)&gt;N($AO182))),"確認済み",IF($AB182&lt;0,"通知期限切れ",IF($AB182&lt;=N('設定'!$B$7),"要対応","有効")))))))</f>
        <v/>
      </c>
      <c r="AD182" s="68">
        <f>IF(OR(NOT(ISNUMBER($M182)),$AC182="",$AC182="終了",$AC182="終了予定",$AC182="満了"),"",IF($N182="日前",'設定'!$B$6+$M182,EDATE('設定'!$B$6,$M182)))</f>
        <v/>
      </c>
      <c r="AE182" s="70">
        <f>IF(NOT(ISNUMBER($O182)),"",IF($P182="月額",$O182*12,IF($P182="年額",$O182,"")))</f>
        <v/>
      </c>
      <c r="AF182" s="30">
        <f>MID(IF(AND(ISNUMBER($G182),ISNUMBER($H182)),IF(N($H182)&lt;N($G182)," / 満了日が開始日より前",""),"")&amp;IF(AND($I182="あり",NOT(ISNUMBER($H182)))," / 自動更新ありなのに満了日が空","")&amp;IF(AND($I182="あり",ISNUMBER($H182),NOT(ISNUMBER($J182)))," / 更新期間が空（更新を計算できない）","")&amp;IF($AH182="","",IF(AND(DAY($AH182)&gt;=29,OR(MOD($J182,12)&lt;&gt;0,MONTH($AH182)=2))," / 更新の初日が29〜31日（更新を重ねると満了日が1日ずれることがある。満了日を今の期間の満了日に書き換えると直る）",""))&amp;IF(AND(ISNUMBER($K182),$L182="")," / 通知の単位が空（か月前で計算）","")&amp;IF(AND(ISNUMBER($M182),$N182="")," / 解約予告の単位が空（か月前で計算）","")&amp;IF(AND(ISNUMBER($O182),$P182="")," / 金額の区分が空","")&amp;IF(AND($T182&lt;&gt;"",NOT(ISNUMBER($U182)))," / 対応を決めた日が空","")&amp;IF(AND(ISNUMBER($U182),$T182="")," / 今期の対応が空","")&amp;IF(AND($T182="更新しない",NOT(ISNUMBER($V182)))," / 更新しないなら、解約・終了した日（契約が終わる日）を入れる",""),4,300)</f>
        <v/>
      </c>
      <c r="AG182" s="53" t="n"/>
      <c r="AH182" s="71">
        <f>IF(AND(ISNUMBER($H182),$I182="あり",ISNUMBER($J182)),IF($J182&gt;=1,$H182+1,""),"")</f>
        <v/>
      </c>
      <c r="AI182" s="32">
        <f>IF($AH182="","",(YEAR('設定'!$B$6)-YEAR($AH182))*12+MONTH('設定'!$B$6)-MONTH($AH182))</f>
        <v/>
      </c>
      <c r="AJ182" s="32">
        <f>IF($AH182="","",MAX(1,ROUNDUP($AI182/$J182,0)))</f>
        <v/>
      </c>
      <c r="AK182" s="71">
        <f>IF($AJ182="","",IF(DAY(EDATE($AH182,$AJ182*$J182))&lt;DAY($AH182),EDATE($AH182,$AJ182*$J182),EDATE($AH182,$AJ182*$J182)-1))</f>
        <v/>
      </c>
      <c r="AL182" s="71">
        <f>IF($AJ182="","",IF(DAY(EDATE($AH182,($AJ182+1)*$J182))&lt;DAY($AH182),EDATE($AH182,($AJ182+1)*$J182),EDATE($AH182,($AJ182+1)*$J182)-1))</f>
        <v/>
      </c>
      <c r="AM182" s="71">
        <f>IF($AJ182="","",IF($AJ182=1,$H182,IF(DAY(EDATE($AH182,($AJ182-1)*$J182))&lt;DAY($AH182),EDATE($AH182,($AJ182-1)*$J182),EDATE($AH182,($AJ182-1)*$J182)-1)))</f>
        <v/>
      </c>
      <c r="AN182" s="32">
        <f>IF(NOT(ISNUMBER($H182)),"",IF(OR($AH182="",$H182&gt;='設定'!$B$6),0,IF($AK182&gt;='設定'!$B$6,$AJ182,$AJ182+1)))</f>
        <v/>
      </c>
      <c r="AO182" s="71">
        <f>IF($AN182="","",IF($AN182=0,"",IF($AN182=$AJ182,$AM182,$AK182)))</f>
        <v/>
      </c>
      <c r="AP182" s="32">
        <f>IF(OR($AC182="要対応",$AC182="通知期限切れ",$AC182="確認済み",$AC182="有効",$AC182="終了予定"),1,0)</f>
        <v/>
      </c>
      <c r="AQ182" s="32">
        <f>IF(OR($AC182="要対応",$AC182="通知期限切れ"),1,0)</f>
        <v/>
      </c>
      <c r="AR182" s="72">
        <f>IF(AND(ISNUMBER($AB182),OR($AC182="要対応",$AC182="通知期限切れ",$AC182="確認済み",$AC182="有効")),$AB182+ROW()/100000,"")</f>
        <v/>
      </c>
      <c r="AS182" s="32">
        <f>IF($E182="","",IF(COUNTIF($E$5:$E182,$E182)=1,ROW(),""))</f>
        <v/>
      </c>
      <c r="AT182" s="32">
        <f>IF($S182="","",IF(COUNTIF($S$5:$S182,$S182)=1,ROW(),""))</f>
        <v/>
      </c>
    </row>
    <row r="183" ht="20" customHeight="1">
      <c r="A183" s="20" t="n">
        <v>179</v>
      </c>
      <c r="B183" s="21" t="n"/>
      <c r="C183" s="22" t="n"/>
      <c r="D183" s="22" t="n"/>
      <c r="E183" s="22" t="n"/>
      <c r="F183" s="66" t="n"/>
      <c r="G183" s="66" t="n"/>
      <c r="H183" s="66" t="n"/>
      <c r="I183" s="21" t="n"/>
      <c r="J183" s="24" t="n"/>
      <c r="K183" s="24" t="n"/>
      <c r="L183" s="21" t="n"/>
      <c r="M183" s="24" t="n"/>
      <c r="N183" s="21" t="n"/>
      <c r="O183" s="67" t="n"/>
      <c r="P183" s="21" t="n"/>
      <c r="Q183" s="21" t="n"/>
      <c r="R183" s="22" t="n"/>
      <c r="S183" s="22" t="n"/>
      <c r="T183" s="21" t="n"/>
      <c r="U183" s="66" t="n"/>
      <c r="V183" s="66" t="n"/>
      <c r="W183" s="66" t="n"/>
      <c r="X183" s="8" t="n"/>
      <c r="Y183" s="68">
        <f>IF($AN183="","",IF($AN183=0,$H183,IF($AN183=$AJ183,$AK183,$AL183)))</f>
        <v/>
      </c>
      <c r="Z183" s="68">
        <f>IF(OR($Y183="",NOT(ISNUMBER($K183))),"",IF($L183="日前",$Y183-$K183,EDATE($Y183,-$K183)))</f>
        <v/>
      </c>
      <c r="AA183" s="68">
        <f>IF(OR($Y183="",ISNUMBER($V183),N($Y183)&lt;'設定'!$B$6),"",IF($Z183&lt;&gt;"",$Z183,$Y183))</f>
        <v/>
      </c>
      <c r="AB183" s="69">
        <f>IF($AA183="","",$AA183-'設定'!$B$6)</f>
        <v/>
      </c>
      <c r="AC183" s="28">
        <f>IF(NOT(OR($B183&lt;&gt;"",$C183&lt;&gt;"")),"",IF(ISNUMBER($V183),IF($V183&lt;'設定'!$B$6,"終了","終了予定"),IF($Y183="","有効",IF($Y183&lt;'設定'!$B$6,"満了",IF(AND($T183="更新する",ISNUMBER($U183),N($U183)&lt;='設定'!$B$6,OR($AO183="",N($U183)&gt;N($AO183))),"確認済み",IF($AB183&lt;0,"通知期限切れ",IF($AB183&lt;=N('設定'!$B$7),"要対応","有効")))))))</f>
        <v/>
      </c>
      <c r="AD183" s="68">
        <f>IF(OR(NOT(ISNUMBER($M183)),$AC183="",$AC183="終了",$AC183="終了予定",$AC183="満了"),"",IF($N183="日前",'設定'!$B$6+$M183,EDATE('設定'!$B$6,$M183)))</f>
        <v/>
      </c>
      <c r="AE183" s="70">
        <f>IF(NOT(ISNUMBER($O183)),"",IF($P183="月額",$O183*12,IF($P183="年額",$O183,"")))</f>
        <v/>
      </c>
      <c r="AF183" s="30">
        <f>MID(IF(AND(ISNUMBER($G183),ISNUMBER($H183)),IF(N($H183)&lt;N($G183)," / 満了日が開始日より前",""),"")&amp;IF(AND($I183="あり",NOT(ISNUMBER($H183)))," / 自動更新ありなのに満了日が空","")&amp;IF(AND($I183="あり",ISNUMBER($H183),NOT(ISNUMBER($J183)))," / 更新期間が空（更新を計算できない）","")&amp;IF($AH183="","",IF(AND(DAY($AH183)&gt;=29,OR(MOD($J183,12)&lt;&gt;0,MONTH($AH183)=2))," / 更新の初日が29〜31日（更新を重ねると満了日が1日ずれることがある。満了日を今の期間の満了日に書き換えると直る）",""))&amp;IF(AND(ISNUMBER($K183),$L183="")," / 通知の単位が空（か月前で計算）","")&amp;IF(AND(ISNUMBER($M183),$N183="")," / 解約予告の単位が空（か月前で計算）","")&amp;IF(AND(ISNUMBER($O183),$P183="")," / 金額の区分が空","")&amp;IF(AND($T183&lt;&gt;"",NOT(ISNUMBER($U183)))," / 対応を決めた日が空","")&amp;IF(AND(ISNUMBER($U183),$T183="")," / 今期の対応が空","")&amp;IF(AND($T183="更新しない",NOT(ISNUMBER($V183)))," / 更新しないなら、解約・終了した日（契約が終わる日）を入れる",""),4,300)</f>
        <v/>
      </c>
      <c r="AG183" s="53" t="n"/>
      <c r="AH183" s="71">
        <f>IF(AND(ISNUMBER($H183),$I183="あり",ISNUMBER($J183)),IF($J183&gt;=1,$H183+1,""),"")</f>
        <v/>
      </c>
      <c r="AI183" s="32">
        <f>IF($AH183="","",(YEAR('設定'!$B$6)-YEAR($AH183))*12+MONTH('設定'!$B$6)-MONTH($AH183))</f>
        <v/>
      </c>
      <c r="AJ183" s="32">
        <f>IF($AH183="","",MAX(1,ROUNDUP($AI183/$J183,0)))</f>
        <v/>
      </c>
      <c r="AK183" s="71">
        <f>IF($AJ183="","",IF(DAY(EDATE($AH183,$AJ183*$J183))&lt;DAY($AH183),EDATE($AH183,$AJ183*$J183),EDATE($AH183,$AJ183*$J183)-1))</f>
        <v/>
      </c>
      <c r="AL183" s="71">
        <f>IF($AJ183="","",IF(DAY(EDATE($AH183,($AJ183+1)*$J183))&lt;DAY($AH183),EDATE($AH183,($AJ183+1)*$J183),EDATE($AH183,($AJ183+1)*$J183)-1))</f>
        <v/>
      </c>
      <c r="AM183" s="71">
        <f>IF($AJ183="","",IF($AJ183=1,$H183,IF(DAY(EDATE($AH183,($AJ183-1)*$J183))&lt;DAY($AH183),EDATE($AH183,($AJ183-1)*$J183),EDATE($AH183,($AJ183-1)*$J183)-1)))</f>
        <v/>
      </c>
      <c r="AN183" s="32">
        <f>IF(NOT(ISNUMBER($H183)),"",IF(OR($AH183="",$H183&gt;='設定'!$B$6),0,IF($AK183&gt;='設定'!$B$6,$AJ183,$AJ183+1)))</f>
        <v/>
      </c>
      <c r="AO183" s="71">
        <f>IF($AN183="","",IF($AN183=0,"",IF($AN183=$AJ183,$AM183,$AK183)))</f>
        <v/>
      </c>
      <c r="AP183" s="32">
        <f>IF(OR($AC183="要対応",$AC183="通知期限切れ",$AC183="確認済み",$AC183="有効",$AC183="終了予定"),1,0)</f>
        <v/>
      </c>
      <c r="AQ183" s="32">
        <f>IF(OR($AC183="要対応",$AC183="通知期限切れ"),1,0)</f>
        <v/>
      </c>
      <c r="AR183" s="72">
        <f>IF(AND(ISNUMBER($AB183),OR($AC183="要対応",$AC183="通知期限切れ",$AC183="確認済み",$AC183="有効")),$AB183+ROW()/100000,"")</f>
        <v/>
      </c>
      <c r="AS183" s="32">
        <f>IF($E183="","",IF(COUNTIF($E$5:$E183,$E183)=1,ROW(),""))</f>
        <v/>
      </c>
      <c r="AT183" s="32">
        <f>IF($S183="","",IF(COUNTIF($S$5:$S183,$S183)=1,ROW(),""))</f>
        <v/>
      </c>
    </row>
    <row r="184" ht="20" customHeight="1">
      <c r="A184" s="20" t="n">
        <v>180</v>
      </c>
      <c r="B184" s="21" t="n"/>
      <c r="C184" s="22" t="n"/>
      <c r="D184" s="22" t="n"/>
      <c r="E184" s="22" t="n"/>
      <c r="F184" s="66" t="n"/>
      <c r="G184" s="66" t="n"/>
      <c r="H184" s="66" t="n"/>
      <c r="I184" s="21" t="n"/>
      <c r="J184" s="24" t="n"/>
      <c r="K184" s="24" t="n"/>
      <c r="L184" s="21" t="n"/>
      <c r="M184" s="24" t="n"/>
      <c r="N184" s="21" t="n"/>
      <c r="O184" s="67" t="n"/>
      <c r="P184" s="21" t="n"/>
      <c r="Q184" s="21" t="n"/>
      <c r="R184" s="22" t="n"/>
      <c r="S184" s="22" t="n"/>
      <c r="T184" s="21" t="n"/>
      <c r="U184" s="66" t="n"/>
      <c r="V184" s="66" t="n"/>
      <c r="W184" s="66" t="n"/>
      <c r="X184" s="8" t="n"/>
      <c r="Y184" s="68">
        <f>IF($AN184="","",IF($AN184=0,$H184,IF($AN184=$AJ184,$AK184,$AL184)))</f>
        <v/>
      </c>
      <c r="Z184" s="68">
        <f>IF(OR($Y184="",NOT(ISNUMBER($K184))),"",IF($L184="日前",$Y184-$K184,EDATE($Y184,-$K184)))</f>
        <v/>
      </c>
      <c r="AA184" s="68">
        <f>IF(OR($Y184="",ISNUMBER($V184),N($Y184)&lt;'設定'!$B$6),"",IF($Z184&lt;&gt;"",$Z184,$Y184))</f>
        <v/>
      </c>
      <c r="AB184" s="69">
        <f>IF($AA184="","",$AA184-'設定'!$B$6)</f>
        <v/>
      </c>
      <c r="AC184" s="28">
        <f>IF(NOT(OR($B184&lt;&gt;"",$C184&lt;&gt;"")),"",IF(ISNUMBER($V184),IF($V184&lt;'設定'!$B$6,"終了","終了予定"),IF($Y184="","有効",IF($Y184&lt;'設定'!$B$6,"満了",IF(AND($T184="更新する",ISNUMBER($U184),N($U184)&lt;='設定'!$B$6,OR($AO184="",N($U184)&gt;N($AO184))),"確認済み",IF($AB184&lt;0,"通知期限切れ",IF($AB184&lt;=N('設定'!$B$7),"要対応","有効")))))))</f>
        <v/>
      </c>
      <c r="AD184" s="68">
        <f>IF(OR(NOT(ISNUMBER($M184)),$AC184="",$AC184="終了",$AC184="終了予定",$AC184="満了"),"",IF($N184="日前",'設定'!$B$6+$M184,EDATE('設定'!$B$6,$M184)))</f>
        <v/>
      </c>
      <c r="AE184" s="70">
        <f>IF(NOT(ISNUMBER($O184)),"",IF($P184="月額",$O184*12,IF($P184="年額",$O184,"")))</f>
        <v/>
      </c>
      <c r="AF184" s="30">
        <f>MID(IF(AND(ISNUMBER($G184),ISNUMBER($H184)),IF(N($H184)&lt;N($G184)," / 満了日が開始日より前",""),"")&amp;IF(AND($I184="あり",NOT(ISNUMBER($H184)))," / 自動更新ありなのに満了日が空","")&amp;IF(AND($I184="あり",ISNUMBER($H184),NOT(ISNUMBER($J184)))," / 更新期間が空（更新を計算できない）","")&amp;IF($AH184="","",IF(AND(DAY($AH184)&gt;=29,OR(MOD($J184,12)&lt;&gt;0,MONTH($AH184)=2))," / 更新の初日が29〜31日（更新を重ねると満了日が1日ずれることがある。満了日を今の期間の満了日に書き換えると直る）",""))&amp;IF(AND(ISNUMBER($K184),$L184="")," / 通知の単位が空（か月前で計算）","")&amp;IF(AND(ISNUMBER($M184),$N184="")," / 解約予告の単位が空（か月前で計算）","")&amp;IF(AND(ISNUMBER($O184),$P184="")," / 金額の区分が空","")&amp;IF(AND($T184&lt;&gt;"",NOT(ISNUMBER($U184)))," / 対応を決めた日が空","")&amp;IF(AND(ISNUMBER($U184),$T184="")," / 今期の対応が空","")&amp;IF(AND($T184="更新しない",NOT(ISNUMBER($V184)))," / 更新しないなら、解約・終了した日（契約が終わる日）を入れる",""),4,300)</f>
        <v/>
      </c>
      <c r="AG184" s="53" t="n"/>
      <c r="AH184" s="71">
        <f>IF(AND(ISNUMBER($H184),$I184="あり",ISNUMBER($J184)),IF($J184&gt;=1,$H184+1,""),"")</f>
        <v/>
      </c>
      <c r="AI184" s="32">
        <f>IF($AH184="","",(YEAR('設定'!$B$6)-YEAR($AH184))*12+MONTH('設定'!$B$6)-MONTH($AH184))</f>
        <v/>
      </c>
      <c r="AJ184" s="32">
        <f>IF($AH184="","",MAX(1,ROUNDUP($AI184/$J184,0)))</f>
        <v/>
      </c>
      <c r="AK184" s="71">
        <f>IF($AJ184="","",IF(DAY(EDATE($AH184,$AJ184*$J184))&lt;DAY($AH184),EDATE($AH184,$AJ184*$J184),EDATE($AH184,$AJ184*$J184)-1))</f>
        <v/>
      </c>
      <c r="AL184" s="71">
        <f>IF($AJ184="","",IF(DAY(EDATE($AH184,($AJ184+1)*$J184))&lt;DAY($AH184),EDATE($AH184,($AJ184+1)*$J184),EDATE($AH184,($AJ184+1)*$J184)-1))</f>
        <v/>
      </c>
      <c r="AM184" s="71">
        <f>IF($AJ184="","",IF($AJ184=1,$H184,IF(DAY(EDATE($AH184,($AJ184-1)*$J184))&lt;DAY($AH184),EDATE($AH184,($AJ184-1)*$J184),EDATE($AH184,($AJ184-1)*$J184)-1)))</f>
        <v/>
      </c>
      <c r="AN184" s="32">
        <f>IF(NOT(ISNUMBER($H184)),"",IF(OR($AH184="",$H184&gt;='設定'!$B$6),0,IF($AK184&gt;='設定'!$B$6,$AJ184,$AJ184+1)))</f>
        <v/>
      </c>
      <c r="AO184" s="71">
        <f>IF($AN184="","",IF($AN184=0,"",IF($AN184=$AJ184,$AM184,$AK184)))</f>
        <v/>
      </c>
      <c r="AP184" s="32">
        <f>IF(OR($AC184="要対応",$AC184="通知期限切れ",$AC184="確認済み",$AC184="有効",$AC184="終了予定"),1,0)</f>
        <v/>
      </c>
      <c r="AQ184" s="32">
        <f>IF(OR($AC184="要対応",$AC184="通知期限切れ"),1,0)</f>
        <v/>
      </c>
      <c r="AR184" s="72">
        <f>IF(AND(ISNUMBER($AB184),OR($AC184="要対応",$AC184="通知期限切れ",$AC184="確認済み",$AC184="有効")),$AB184+ROW()/100000,"")</f>
        <v/>
      </c>
      <c r="AS184" s="32">
        <f>IF($E184="","",IF(COUNTIF($E$5:$E184,$E184)=1,ROW(),""))</f>
        <v/>
      </c>
      <c r="AT184" s="32">
        <f>IF($S184="","",IF(COUNTIF($S$5:$S184,$S184)=1,ROW(),""))</f>
        <v/>
      </c>
    </row>
    <row r="185" ht="20" customHeight="1">
      <c r="A185" s="20" t="n">
        <v>181</v>
      </c>
      <c r="B185" s="21" t="n"/>
      <c r="C185" s="22" t="n"/>
      <c r="D185" s="22" t="n"/>
      <c r="E185" s="22" t="n"/>
      <c r="F185" s="66" t="n"/>
      <c r="G185" s="66" t="n"/>
      <c r="H185" s="66" t="n"/>
      <c r="I185" s="21" t="n"/>
      <c r="J185" s="24" t="n"/>
      <c r="K185" s="24" t="n"/>
      <c r="L185" s="21" t="n"/>
      <c r="M185" s="24" t="n"/>
      <c r="N185" s="21" t="n"/>
      <c r="O185" s="67" t="n"/>
      <c r="P185" s="21" t="n"/>
      <c r="Q185" s="21" t="n"/>
      <c r="R185" s="22" t="n"/>
      <c r="S185" s="22" t="n"/>
      <c r="T185" s="21" t="n"/>
      <c r="U185" s="66" t="n"/>
      <c r="V185" s="66" t="n"/>
      <c r="W185" s="66" t="n"/>
      <c r="X185" s="8" t="n"/>
      <c r="Y185" s="68">
        <f>IF($AN185="","",IF($AN185=0,$H185,IF($AN185=$AJ185,$AK185,$AL185)))</f>
        <v/>
      </c>
      <c r="Z185" s="68">
        <f>IF(OR($Y185="",NOT(ISNUMBER($K185))),"",IF($L185="日前",$Y185-$K185,EDATE($Y185,-$K185)))</f>
        <v/>
      </c>
      <c r="AA185" s="68">
        <f>IF(OR($Y185="",ISNUMBER($V185),N($Y185)&lt;'設定'!$B$6),"",IF($Z185&lt;&gt;"",$Z185,$Y185))</f>
        <v/>
      </c>
      <c r="AB185" s="69">
        <f>IF($AA185="","",$AA185-'設定'!$B$6)</f>
        <v/>
      </c>
      <c r="AC185" s="28">
        <f>IF(NOT(OR($B185&lt;&gt;"",$C185&lt;&gt;"")),"",IF(ISNUMBER($V185),IF($V185&lt;'設定'!$B$6,"終了","終了予定"),IF($Y185="","有効",IF($Y185&lt;'設定'!$B$6,"満了",IF(AND($T185="更新する",ISNUMBER($U185),N($U185)&lt;='設定'!$B$6,OR($AO185="",N($U185)&gt;N($AO185))),"確認済み",IF($AB185&lt;0,"通知期限切れ",IF($AB185&lt;=N('設定'!$B$7),"要対応","有効")))))))</f>
        <v/>
      </c>
      <c r="AD185" s="68">
        <f>IF(OR(NOT(ISNUMBER($M185)),$AC185="",$AC185="終了",$AC185="終了予定",$AC185="満了"),"",IF($N185="日前",'設定'!$B$6+$M185,EDATE('設定'!$B$6,$M185)))</f>
        <v/>
      </c>
      <c r="AE185" s="70">
        <f>IF(NOT(ISNUMBER($O185)),"",IF($P185="月額",$O185*12,IF($P185="年額",$O185,"")))</f>
        <v/>
      </c>
      <c r="AF185" s="30">
        <f>MID(IF(AND(ISNUMBER($G185),ISNUMBER($H185)),IF(N($H185)&lt;N($G185)," / 満了日が開始日より前",""),"")&amp;IF(AND($I185="あり",NOT(ISNUMBER($H185)))," / 自動更新ありなのに満了日が空","")&amp;IF(AND($I185="あり",ISNUMBER($H185),NOT(ISNUMBER($J185)))," / 更新期間が空（更新を計算できない）","")&amp;IF($AH185="","",IF(AND(DAY($AH185)&gt;=29,OR(MOD($J185,12)&lt;&gt;0,MONTH($AH185)=2))," / 更新の初日が29〜31日（更新を重ねると満了日が1日ずれることがある。満了日を今の期間の満了日に書き換えると直る）",""))&amp;IF(AND(ISNUMBER($K185),$L185="")," / 通知の単位が空（か月前で計算）","")&amp;IF(AND(ISNUMBER($M185),$N185="")," / 解約予告の単位が空（か月前で計算）","")&amp;IF(AND(ISNUMBER($O185),$P185="")," / 金額の区分が空","")&amp;IF(AND($T185&lt;&gt;"",NOT(ISNUMBER($U185)))," / 対応を決めた日が空","")&amp;IF(AND(ISNUMBER($U185),$T185="")," / 今期の対応が空","")&amp;IF(AND($T185="更新しない",NOT(ISNUMBER($V185)))," / 更新しないなら、解約・終了した日（契約が終わる日）を入れる",""),4,300)</f>
        <v/>
      </c>
      <c r="AG185" s="53" t="n"/>
      <c r="AH185" s="71">
        <f>IF(AND(ISNUMBER($H185),$I185="あり",ISNUMBER($J185)),IF($J185&gt;=1,$H185+1,""),"")</f>
        <v/>
      </c>
      <c r="AI185" s="32">
        <f>IF($AH185="","",(YEAR('設定'!$B$6)-YEAR($AH185))*12+MONTH('設定'!$B$6)-MONTH($AH185))</f>
        <v/>
      </c>
      <c r="AJ185" s="32">
        <f>IF($AH185="","",MAX(1,ROUNDUP($AI185/$J185,0)))</f>
        <v/>
      </c>
      <c r="AK185" s="71">
        <f>IF($AJ185="","",IF(DAY(EDATE($AH185,$AJ185*$J185))&lt;DAY($AH185),EDATE($AH185,$AJ185*$J185),EDATE($AH185,$AJ185*$J185)-1))</f>
        <v/>
      </c>
      <c r="AL185" s="71">
        <f>IF($AJ185="","",IF(DAY(EDATE($AH185,($AJ185+1)*$J185))&lt;DAY($AH185),EDATE($AH185,($AJ185+1)*$J185),EDATE($AH185,($AJ185+1)*$J185)-1))</f>
        <v/>
      </c>
      <c r="AM185" s="71">
        <f>IF($AJ185="","",IF($AJ185=1,$H185,IF(DAY(EDATE($AH185,($AJ185-1)*$J185))&lt;DAY($AH185),EDATE($AH185,($AJ185-1)*$J185),EDATE($AH185,($AJ185-1)*$J185)-1)))</f>
        <v/>
      </c>
      <c r="AN185" s="32">
        <f>IF(NOT(ISNUMBER($H185)),"",IF(OR($AH185="",$H185&gt;='設定'!$B$6),0,IF($AK185&gt;='設定'!$B$6,$AJ185,$AJ185+1)))</f>
        <v/>
      </c>
      <c r="AO185" s="71">
        <f>IF($AN185="","",IF($AN185=0,"",IF($AN185=$AJ185,$AM185,$AK185)))</f>
        <v/>
      </c>
      <c r="AP185" s="32">
        <f>IF(OR($AC185="要対応",$AC185="通知期限切れ",$AC185="確認済み",$AC185="有効",$AC185="終了予定"),1,0)</f>
        <v/>
      </c>
      <c r="AQ185" s="32">
        <f>IF(OR($AC185="要対応",$AC185="通知期限切れ"),1,0)</f>
        <v/>
      </c>
      <c r="AR185" s="72">
        <f>IF(AND(ISNUMBER($AB185),OR($AC185="要対応",$AC185="通知期限切れ",$AC185="確認済み",$AC185="有効")),$AB185+ROW()/100000,"")</f>
        <v/>
      </c>
      <c r="AS185" s="32">
        <f>IF($E185="","",IF(COUNTIF($E$5:$E185,$E185)=1,ROW(),""))</f>
        <v/>
      </c>
      <c r="AT185" s="32">
        <f>IF($S185="","",IF(COUNTIF($S$5:$S185,$S185)=1,ROW(),""))</f>
        <v/>
      </c>
    </row>
    <row r="186" ht="20" customHeight="1">
      <c r="A186" s="20" t="n">
        <v>182</v>
      </c>
      <c r="B186" s="21" t="n"/>
      <c r="C186" s="22" t="n"/>
      <c r="D186" s="22" t="n"/>
      <c r="E186" s="22" t="n"/>
      <c r="F186" s="66" t="n"/>
      <c r="G186" s="66" t="n"/>
      <c r="H186" s="66" t="n"/>
      <c r="I186" s="21" t="n"/>
      <c r="J186" s="24" t="n"/>
      <c r="K186" s="24" t="n"/>
      <c r="L186" s="21" t="n"/>
      <c r="M186" s="24" t="n"/>
      <c r="N186" s="21" t="n"/>
      <c r="O186" s="67" t="n"/>
      <c r="P186" s="21" t="n"/>
      <c r="Q186" s="21" t="n"/>
      <c r="R186" s="22" t="n"/>
      <c r="S186" s="22" t="n"/>
      <c r="T186" s="21" t="n"/>
      <c r="U186" s="66" t="n"/>
      <c r="V186" s="66" t="n"/>
      <c r="W186" s="66" t="n"/>
      <c r="X186" s="8" t="n"/>
      <c r="Y186" s="68">
        <f>IF($AN186="","",IF($AN186=0,$H186,IF($AN186=$AJ186,$AK186,$AL186)))</f>
        <v/>
      </c>
      <c r="Z186" s="68">
        <f>IF(OR($Y186="",NOT(ISNUMBER($K186))),"",IF($L186="日前",$Y186-$K186,EDATE($Y186,-$K186)))</f>
        <v/>
      </c>
      <c r="AA186" s="68">
        <f>IF(OR($Y186="",ISNUMBER($V186),N($Y186)&lt;'設定'!$B$6),"",IF($Z186&lt;&gt;"",$Z186,$Y186))</f>
        <v/>
      </c>
      <c r="AB186" s="69">
        <f>IF($AA186="","",$AA186-'設定'!$B$6)</f>
        <v/>
      </c>
      <c r="AC186" s="28">
        <f>IF(NOT(OR($B186&lt;&gt;"",$C186&lt;&gt;"")),"",IF(ISNUMBER($V186),IF($V186&lt;'設定'!$B$6,"終了","終了予定"),IF($Y186="","有効",IF($Y186&lt;'設定'!$B$6,"満了",IF(AND($T186="更新する",ISNUMBER($U186),N($U186)&lt;='設定'!$B$6,OR($AO186="",N($U186)&gt;N($AO186))),"確認済み",IF($AB186&lt;0,"通知期限切れ",IF($AB186&lt;=N('設定'!$B$7),"要対応","有効")))))))</f>
        <v/>
      </c>
      <c r="AD186" s="68">
        <f>IF(OR(NOT(ISNUMBER($M186)),$AC186="",$AC186="終了",$AC186="終了予定",$AC186="満了"),"",IF($N186="日前",'設定'!$B$6+$M186,EDATE('設定'!$B$6,$M186)))</f>
        <v/>
      </c>
      <c r="AE186" s="70">
        <f>IF(NOT(ISNUMBER($O186)),"",IF($P186="月額",$O186*12,IF($P186="年額",$O186,"")))</f>
        <v/>
      </c>
      <c r="AF186" s="30">
        <f>MID(IF(AND(ISNUMBER($G186),ISNUMBER($H186)),IF(N($H186)&lt;N($G186)," / 満了日が開始日より前",""),"")&amp;IF(AND($I186="あり",NOT(ISNUMBER($H186)))," / 自動更新ありなのに満了日が空","")&amp;IF(AND($I186="あり",ISNUMBER($H186),NOT(ISNUMBER($J186)))," / 更新期間が空（更新を計算できない）","")&amp;IF($AH186="","",IF(AND(DAY($AH186)&gt;=29,OR(MOD($J186,12)&lt;&gt;0,MONTH($AH186)=2))," / 更新の初日が29〜31日（更新を重ねると満了日が1日ずれることがある。満了日を今の期間の満了日に書き換えると直る）",""))&amp;IF(AND(ISNUMBER($K186),$L186="")," / 通知の単位が空（か月前で計算）","")&amp;IF(AND(ISNUMBER($M186),$N186="")," / 解約予告の単位が空（か月前で計算）","")&amp;IF(AND(ISNUMBER($O186),$P186="")," / 金額の区分が空","")&amp;IF(AND($T186&lt;&gt;"",NOT(ISNUMBER($U186)))," / 対応を決めた日が空","")&amp;IF(AND(ISNUMBER($U186),$T186="")," / 今期の対応が空","")&amp;IF(AND($T186="更新しない",NOT(ISNUMBER($V186)))," / 更新しないなら、解約・終了した日（契約が終わる日）を入れる",""),4,300)</f>
        <v/>
      </c>
      <c r="AG186" s="53" t="n"/>
      <c r="AH186" s="71">
        <f>IF(AND(ISNUMBER($H186),$I186="あり",ISNUMBER($J186)),IF($J186&gt;=1,$H186+1,""),"")</f>
        <v/>
      </c>
      <c r="AI186" s="32">
        <f>IF($AH186="","",(YEAR('設定'!$B$6)-YEAR($AH186))*12+MONTH('設定'!$B$6)-MONTH($AH186))</f>
        <v/>
      </c>
      <c r="AJ186" s="32">
        <f>IF($AH186="","",MAX(1,ROUNDUP($AI186/$J186,0)))</f>
        <v/>
      </c>
      <c r="AK186" s="71">
        <f>IF($AJ186="","",IF(DAY(EDATE($AH186,$AJ186*$J186))&lt;DAY($AH186),EDATE($AH186,$AJ186*$J186),EDATE($AH186,$AJ186*$J186)-1))</f>
        <v/>
      </c>
      <c r="AL186" s="71">
        <f>IF($AJ186="","",IF(DAY(EDATE($AH186,($AJ186+1)*$J186))&lt;DAY($AH186),EDATE($AH186,($AJ186+1)*$J186),EDATE($AH186,($AJ186+1)*$J186)-1))</f>
        <v/>
      </c>
      <c r="AM186" s="71">
        <f>IF($AJ186="","",IF($AJ186=1,$H186,IF(DAY(EDATE($AH186,($AJ186-1)*$J186))&lt;DAY($AH186),EDATE($AH186,($AJ186-1)*$J186),EDATE($AH186,($AJ186-1)*$J186)-1)))</f>
        <v/>
      </c>
      <c r="AN186" s="32">
        <f>IF(NOT(ISNUMBER($H186)),"",IF(OR($AH186="",$H186&gt;='設定'!$B$6),0,IF($AK186&gt;='設定'!$B$6,$AJ186,$AJ186+1)))</f>
        <v/>
      </c>
      <c r="AO186" s="71">
        <f>IF($AN186="","",IF($AN186=0,"",IF($AN186=$AJ186,$AM186,$AK186)))</f>
        <v/>
      </c>
      <c r="AP186" s="32">
        <f>IF(OR($AC186="要対応",$AC186="通知期限切れ",$AC186="確認済み",$AC186="有効",$AC186="終了予定"),1,0)</f>
        <v/>
      </c>
      <c r="AQ186" s="32">
        <f>IF(OR($AC186="要対応",$AC186="通知期限切れ"),1,0)</f>
        <v/>
      </c>
      <c r="AR186" s="72">
        <f>IF(AND(ISNUMBER($AB186),OR($AC186="要対応",$AC186="通知期限切れ",$AC186="確認済み",$AC186="有効")),$AB186+ROW()/100000,"")</f>
        <v/>
      </c>
      <c r="AS186" s="32">
        <f>IF($E186="","",IF(COUNTIF($E$5:$E186,$E186)=1,ROW(),""))</f>
        <v/>
      </c>
      <c r="AT186" s="32">
        <f>IF($S186="","",IF(COUNTIF($S$5:$S186,$S186)=1,ROW(),""))</f>
        <v/>
      </c>
    </row>
    <row r="187" ht="20" customHeight="1">
      <c r="A187" s="20" t="n">
        <v>183</v>
      </c>
      <c r="B187" s="21" t="n"/>
      <c r="C187" s="22" t="n"/>
      <c r="D187" s="22" t="n"/>
      <c r="E187" s="22" t="n"/>
      <c r="F187" s="66" t="n"/>
      <c r="G187" s="66" t="n"/>
      <c r="H187" s="66" t="n"/>
      <c r="I187" s="21" t="n"/>
      <c r="J187" s="24" t="n"/>
      <c r="K187" s="24" t="n"/>
      <c r="L187" s="21" t="n"/>
      <c r="M187" s="24" t="n"/>
      <c r="N187" s="21" t="n"/>
      <c r="O187" s="67" t="n"/>
      <c r="P187" s="21" t="n"/>
      <c r="Q187" s="21" t="n"/>
      <c r="R187" s="22" t="n"/>
      <c r="S187" s="22" t="n"/>
      <c r="T187" s="21" t="n"/>
      <c r="U187" s="66" t="n"/>
      <c r="V187" s="66" t="n"/>
      <c r="W187" s="66" t="n"/>
      <c r="X187" s="8" t="n"/>
      <c r="Y187" s="68">
        <f>IF($AN187="","",IF($AN187=0,$H187,IF($AN187=$AJ187,$AK187,$AL187)))</f>
        <v/>
      </c>
      <c r="Z187" s="68">
        <f>IF(OR($Y187="",NOT(ISNUMBER($K187))),"",IF($L187="日前",$Y187-$K187,EDATE($Y187,-$K187)))</f>
        <v/>
      </c>
      <c r="AA187" s="68">
        <f>IF(OR($Y187="",ISNUMBER($V187),N($Y187)&lt;'設定'!$B$6),"",IF($Z187&lt;&gt;"",$Z187,$Y187))</f>
        <v/>
      </c>
      <c r="AB187" s="69">
        <f>IF($AA187="","",$AA187-'設定'!$B$6)</f>
        <v/>
      </c>
      <c r="AC187" s="28">
        <f>IF(NOT(OR($B187&lt;&gt;"",$C187&lt;&gt;"")),"",IF(ISNUMBER($V187),IF($V187&lt;'設定'!$B$6,"終了","終了予定"),IF($Y187="","有効",IF($Y187&lt;'設定'!$B$6,"満了",IF(AND($T187="更新する",ISNUMBER($U187),N($U187)&lt;='設定'!$B$6,OR($AO187="",N($U187)&gt;N($AO187))),"確認済み",IF($AB187&lt;0,"通知期限切れ",IF($AB187&lt;=N('設定'!$B$7),"要対応","有効")))))))</f>
        <v/>
      </c>
      <c r="AD187" s="68">
        <f>IF(OR(NOT(ISNUMBER($M187)),$AC187="",$AC187="終了",$AC187="終了予定",$AC187="満了"),"",IF($N187="日前",'設定'!$B$6+$M187,EDATE('設定'!$B$6,$M187)))</f>
        <v/>
      </c>
      <c r="AE187" s="70">
        <f>IF(NOT(ISNUMBER($O187)),"",IF($P187="月額",$O187*12,IF($P187="年額",$O187,"")))</f>
        <v/>
      </c>
      <c r="AF187" s="30">
        <f>MID(IF(AND(ISNUMBER($G187),ISNUMBER($H187)),IF(N($H187)&lt;N($G187)," / 満了日が開始日より前",""),"")&amp;IF(AND($I187="あり",NOT(ISNUMBER($H187)))," / 自動更新ありなのに満了日が空","")&amp;IF(AND($I187="あり",ISNUMBER($H187),NOT(ISNUMBER($J187)))," / 更新期間が空（更新を計算できない）","")&amp;IF($AH187="","",IF(AND(DAY($AH187)&gt;=29,OR(MOD($J187,12)&lt;&gt;0,MONTH($AH187)=2))," / 更新の初日が29〜31日（更新を重ねると満了日が1日ずれることがある。満了日を今の期間の満了日に書き換えると直る）",""))&amp;IF(AND(ISNUMBER($K187),$L187="")," / 通知の単位が空（か月前で計算）","")&amp;IF(AND(ISNUMBER($M187),$N187="")," / 解約予告の単位が空（か月前で計算）","")&amp;IF(AND(ISNUMBER($O187),$P187="")," / 金額の区分が空","")&amp;IF(AND($T187&lt;&gt;"",NOT(ISNUMBER($U187)))," / 対応を決めた日が空","")&amp;IF(AND(ISNUMBER($U187),$T187="")," / 今期の対応が空","")&amp;IF(AND($T187="更新しない",NOT(ISNUMBER($V187)))," / 更新しないなら、解約・終了した日（契約が終わる日）を入れる",""),4,300)</f>
        <v/>
      </c>
      <c r="AG187" s="53" t="n"/>
      <c r="AH187" s="71">
        <f>IF(AND(ISNUMBER($H187),$I187="あり",ISNUMBER($J187)),IF($J187&gt;=1,$H187+1,""),"")</f>
        <v/>
      </c>
      <c r="AI187" s="32">
        <f>IF($AH187="","",(YEAR('設定'!$B$6)-YEAR($AH187))*12+MONTH('設定'!$B$6)-MONTH($AH187))</f>
        <v/>
      </c>
      <c r="AJ187" s="32">
        <f>IF($AH187="","",MAX(1,ROUNDUP($AI187/$J187,0)))</f>
        <v/>
      </c>
      <c r="AK187" s="71">
        <f>IF($AJ187="","",IF(DAY(EDATE($AH187,$AJ187*$J187))&lt;DAY($AH187),EDATE($AH187,$AJ187*$J187),EDATE($AH187,$AJ187*$J187)-1))</f>
        <v/>
      </c>
      <c r="AL187" s="71">
        <f>IF($AJ187="","",IF(DAY(EDATE($AH187,($AJ187+1)*$J187))&lt;DAY($AH187),EDATE($AH187,($AJ187+1)*$J187),EDATE($AH187,($AJ187+1)*$J187)-1))</f>
        <v/>
      </c>
      <c r="AM187" s="71">
        <f>IF($AJ187="","",IF($AJ187=1,$H187,IF(DAY(EDATE($AH187,($AJ187-1)*$J187))&lt;DAY($AH187),EDATE($AH187,($AJ187-1)*$J187),EDATE($AH187,($AJ187-1)*$J187)-1)))</f>
        <v/>
      </c>
      <c r="AN187" s="32">
        <f>IF(NOT(ISNUMBER($H187)),"",IF(OR($AH187="",$H187&gt;='設定'!$B$6),0,IF($AK187&gt;='設定'!$B$6,$AJ187,$AJ187+1)))</f>
        <v/>
      </c>
      <c r="AO187" s="71">
        <f>IF($AN187="","",IF($AN187=0,"",IF($AN187=$AJ187,$AM187,$AK187)))</f>
        <v/>
      </c>
      <c r="AP187" s="32">
        <f>IF(OR($AC187="要対応",$AC187="通知期限切れ",$AC187="確認済み",$AC187="有効",$AC187="終了予定"),1,0)</f>
        <v/>
      </c>
      <c r="AQ187" s="32">
        <f>IF(OR($AC187="要対応",$AC187="通知期限切れ"),1,0)</f>
        <v/>
      </c>
      <c r="AR187" s="72">
        <f>IF(AND(ISNUMBER($AB187),OR($AC187="要対応",$AC187="通知期限切れ",$AC187="確認済み",$AC187="有効")),$AB187+ROW()/100000,"")</f>
        <v/>
      </c>
      <c r="AS187" s="32">
        <f>IF($E187="","",IF(COUNTIF($E$5:$E187,$E187)=1,ROW(),""))</f>
        <v/>
      </c>
      <c r="AT187" s="32">
        <f>IF($S187="","",IF(COUNTIF($S$5:$S187,$S187)=1,ROW(),""))</f>
        <v/>
      </c>
    </row>
    <row r="188" ht="20" customHeight="1">
      <c r="A188" s="20" t="n">
        <v>184</v>
      </c>
      <c r="B188" s="21" t="n"/>
      <c r="C188" s="22" t="n"/>
      <c r="D188" s="22" t="n"/>
      <c r="E188" s="22" t="n"/>
      <c r="F188" s="66" t="n"/>
      <c r="G188" s="66" t="n"/>
      <c r="H188" s="66" t="n"/>
      <c r="I188" s="21" t="n"/>
      <c r="J188" s="24" t="n"/>
      <c r="K188" s="24" t="n"/>
      <c r="L188" s="21" t="n"/>
      <c r="M188" s="24" t="n"/>
      <c r="N188" s="21" t="n"/>
      <c r="O188" s="67" t="n"/>
      <c r="P188" s="21" t="n"/>
      <c r="Q188" s="21" t="n"/>
      <c r="R188" s="22" t="n"/>
      <c r="S188" s="22" t="n"/>
      <c r="T188" s="21" t="n"/>
      <c r="U188" s="66" t="n"/>
      <c r="V188" s="66" t="n"/>
      <c r="W188" s="66" t="n"/>
      <c r="X188" s="8" t="n"/>
      <c r="Y188" s="68">
        <f>IF($AN188="","",IF($AN188=0,$H188,IF($AN188=$AJ188,$AK188,$AL188)))</f>
        <v/>
      </c>
      <c r="Z188" s="68">
        <f>IF(OR($Y188="",NOT(ISNUMBER($K188))),"",IF($L188="日前",$Y188-$K188,EDATE($Y188,-$K188)))</f>
        <v/>
      </c>
      <c r="AA188" s="68">
        <f>IF(OR($Y188="",ISNUMBER($V188),N($Y188)&lt;'設定'!$B$6),"",IF($Z188&lt;&gt;"",$Z188,$Y188))</f>
        <v/>
      </c>
      <c r="AB188" s="69">
        <f>IF($AA188="","",$AA188-'設定'!$B$6)</f>
        <v/>
      </c>
      <c r="AC188" s="28">
        <f>IF(NOT(OR($B188&lt;&gt;"",$C188&lt;&gt;"")),"",IF(ISNUMBER($V188),IF($V188&lt;'設定'!$B$6,"終了","終了予定"),IF($Y188="","有効",IF($Y188&lt;'設定'!$B$6,"満了",IF(AND($T188="更新する",ISNUMBER($U188),N($U188)&lt;='設定'!$B$6,OR($AO188="",N($U188)&gt;N($AO188))),"確認済み",IF($AB188&lt;0,"通知期限切れ",IF($AB188&lt;=N('設定'!$B$7),"要対応","有効")))))))</f>
        <v/>
      </c>
      <c r="AD188" s="68">
        <f>IF(OR(NOT(ISNUMBER($M188)),$AC188="",$AC188="終了",$AC188="終了予定",$AC188="満了"),"",IF($N188="日前",'設定'!$B$6+$M188,EDATE('設定'!$B$6,$M188)))</f>
        <v/>
      </c>
      <c r="AE188" s="70">
        <f>IF(NOT(ISNUMBER($O188)),"",IF($P188="月額",$O188*12,IF($P188="年額",$O188,"")))</f>
        <v/>
      </c>
      <c r="AF188" s="30">
        <f>MID(IF(AND(ISNUMBER($G188),ISNUMBER($H188)),IF(N($H188)&lt;N($G188)," / 満了日が開始日より前",""),"")&amp;IF(AND($I188="あり",NOT(ISNUMBER($H188)))," / 自動更新ありなのに満了日が空","")&amp;IF(AND($I188="あり",ISNUMBER($H188),NOT(ISNUMBER($J188)))," / 更新期間が空（更新を計算できない）","")&amp;IF($AH188="","",IF(AND(DAY($AH188)&gt;=29,OR(MOD($J188,12)&lt;&gt;0,MONTH($AH188)=2))," / 更新の初日が29〜31日（更新を重ねると満了日が1日ずれることがある。満了日を今の期間の満了日に書き換えると直る）",""))&amp;IF(AND(ISNUMBER($K188),$L188="")," / 通知の単位が空（か月前で計算）","")&amp;IF(AND(ISNUMBER($M188),$N188="")," / 解約予告の単位が空（か月前で計算）","")&amp;IF(AND(ISNUMBER($O188),$P188="")," / 金額の区分が空","")&amp;IF(AND($T188&lt;&gt;"",NOT(ISNUMBER($U188)))," / 対応を決めた日が空","")&amp;IF(AND(ISNUMBER($U188),$T188="")," / 今期の対応が空","")&amp;IF(AND($T188="更新しない",NOT(ISNUMBER($V188)))," / 更新しないなら、解約・終了した日（契約が終わる日）を入れる",""),4,300)</f>
        <v/>
      </c>
      <c r="AG188" s="53" t="n"/>
      <c r="AH188" s="71">
        <f>IF(AND(ISNUMBER($H188),$I188="あり",ISNUMBER($J188)),IF($J188&gt;=1,$H188+1,""),"")</f>
        <v/>
      </c>
      <c r="AI188" s="32">
        <f>IF($AH188="","",(YEAR('設定'!$B$6)-YEAR($AH188))*12+MONTH('設定'!$B$6)-MONTH($AH188))</f>
        <v/>
      </c>
      <c r="AJ188" s="32">
        <f>IF($AH188="","",MAX(1,ROUNDUP($AI188/$J188,0)))</f>
        <v/>
      </c>
      <c r="AK188" s="71">
        <f>IF($AJ188="","",IF(DAY(EDATE($AH188,$AJ188*$J188))&lt;DAY($AH188),EDATE($AH188,$AJ188*$J188),EDATE($AH188,$AJ188*$J188)-1))</f>
        <v/>
      </c>
      <c r="AL188" s="71">
        <f>IF($AJ188="","",IF(DAY(EDATE($AH188,($AJ188+1)*$J188))&lt;DAY($AH188),EDATE($AH188,($AJ188+1)*$J188),EDATE($AH188,($AJ188+1)*$J188)-1))</f>
        <v/>
      </c>
      <c r="AM188" s="71">
        <f>IF($AJ188="","",IF($AJ188=1,$H188,IF(DAY(EDATE($AH188,($AJ188-1)*$J188))&lt;DAY($AH188),EDATE($AH188,($AJ188-1)*$J188),EDATE($AH188,($AJ188-1)*$J188)-1)))</f>
        <v/>
      </c>
      <c r="AN188" s="32">
        <f>IF(NOT(ISNUMBER($H188)),"",IF(OR($AH188="",$H188&gt;='設定'!$B$6),0,IF($AK188&gt;='設定'!$B$6,$AJ188,$AJ188+1)))</f>
        <v/>
      </c>
      <c r="AO188" s="71">
        <f>IF($AN188="","",IF($AN188=0,"",IF($AN188=$AJ188,$AM188,$AK188)))</f>
        <v/>
      </c>
      <c r="AP188" s="32">
        <f>IF(OR($AC188="要対応",$AC188="通知期限切れ",$AC188="確認済み",$AC188="有効",$AC188="終了予定"),1,0)</f>
        <v/>
      </c>
      <c r="AQ188" s="32">
        <f>IF(OR($AC188="要対応",$AC188="通知期限切れ"),1,0)</f>
        <v/>
      </c>
      <c r="AR188" s="72">
        <f>IF(AND(ISNUMBER($AB188),OR($AC188="要対応",$AC188="通知期限切れ",$AC188="確認済み",$AC188="有効")),$AB188+ROW()/100000,"")</f>
        <v/>
      </c>
      <c r="AS188" s="32">
        <f>IF($E188="","",IF(COUNTIF($E$5:$E188,$E188)=1,ROW(),""))</f>
        <v/>
      </c>
      <c r="AT188" s="32">
        <f>IF($S188="","",IF(COUNTIF($S$5:$S188,$S188)=1,ROW(),""))</f>
        <v/>
      </c>
    </row>
    <row r="189" ht="20" customHeight="1">
      <c r="A189" s="20" t="n">
        <v>185</v>
      </c>
      <c r="B189" s="21" t="n"/>
      <c r="C189" s="22" t="n"/>
      <c r="D189" s="22" t="n"/>
      <c r="E189" s="22" t="n"/>
      <c r="F189" s="66" t="n"/>
      <c r="G189" s="66" t="n"/>
      <c r="H189" s="66" t="n"/>
      <c r="I189" s="21" t="n"/>
      <c r="J189" s="24" t="n"/>
      <c r="K189" s="24" t="n"/>
      <c r="L189" s="21" t="n"/>
      <c r="M189" s="24" t="n"/>
      <c r="N189" s="21" t="n"/>
      <c r="O189" s="67" t="n"/>
      <c r="P189" s="21" t="n"/>
      <c r="Q189" s="21" t="n"/>
      <c r="R189" s="22" t="n"/>
      <c r="S189" s="22" t="n"/>
      <c r="T189" s="21" t="n"/>
      <c r="U189" s="66" t="n"/>
      <c r="V189" s="66" t="n"/>
      <c r="W189" s="66" t="n"/>
      <c r="X189" s="8" t="n"/>
      <c r="Y189" s="68">
        <f>IF($AN189="","",IF($AN189=0,$H189,IF($AN189=$AJ189,$AK189,$AL189)))</f>
        <v/>
      </c>
      <c r="Z189" s="68">
        <f>IF(OR($Y189="",NOT(ISNUMBER($K189))),"",IF($L189="日前",$Y189-$K189,EDATE($Y189,-$K189)))</f>
        <v/>
      </c>
      <c r="AA189" s="68">
        <f>IF(OR($Y189="",ISNUMBER($V189),N($Y189)&lt;'設定'!$B$6),"",IF($Z189&lt;&gt;"",$Z189,$Y189))</f>
        <v/>
      </c>
      <c r="AB189" s="69">
        <f>IF($AA189="","",$AA189-'設定'!$B$6)</f>
        <v/>
      </c>
      <c r="AC189" s="28">
        <f>IF(NOT(OR($B189&lt;&gt;"",$C189&lt;&gt;"")),"",IF(ISNUMBER($V189),IF($V189&lt;'設定'!$B$6,"終了","終了予定"),IF($Y189="","有効",IF($Y189&lt;'設定'!$B$6,"満了",IF(AND($T189="更新する",ISNUMBER($U189),N($U189)&lt;='設定'!$B$6,OR($AO189="",N($U189)&gt;N($AO189))),"確認済み",IF($AB189&lt;0,"通知期限切れ",IF($AB189&lt;=N('設定'!$B$7),"要対応","有効")))))))</f>
        <v/>
      </c>
      <c r="AD189" s="68">
        <f>IF(OR(NOT(ISNUMBER($M189)),$AC189="",$AC189="終了",$AC189="終了予定",$AC189="満了"),"",IF($N189="日前",'設定'!$B$6+$M189,EDATE('設定'!$B$6,$M189)))</f>
        <v/>
      </c>
      <c r="AE189" s="70">
        <f>IF(NOT(ISNUMBER($O189)),"",IF($P189="月額",$O189*12,IF($P189="年額",$O189,"")))</f>
        <v/>
      </c>
      <c r="AF189" s="30">
        <f>MID(IF(AND(ISNUMBER($G189),ISNUMBER($H189)),IF(N($H189)&lt;N($G189)," / 満了日が開始日より前",""),"")&amp;IF(AND($I189="あり",NOT(ISNUMBER($H189)))," / 自動更新ありなのに満了日が空","")&amp;IF(AND($I189="あり",ISNUMBER($H189),NOT(ISNUMBER($J189)))," / 更新期間が空（更新を計算できない）","")&amp;IF($AH189="","",IF(AND(DAY($AH189)&gt;=29,OR(MOD($J189,12)&lt;&gt;0,MONTH($AH189)=2))," / 更新の初日が29〜31日（更新を重ねると満了日が1日ずれることがある。満了日を今の期間の満了日に書き換えると直る）",""))&amp;IF(AND(ISNUMBER($K189),$L189="")," / 通知の単位が空（か月前で計算）","")&amp;IF(AND(ISNUMBER($M189),$N189="")," / 解約予告の単位が空（か月前で計算）","")&amp;IF(AND(ISNUMBER($O189),$P189="")," / 金額の区分が空","")&amp;IF(AND($T189&lt;&gt;"",NOT(ISNUMBER($U189)))," / 対応を決めた日が空","")&amp;IF(AND(ISNUMBER($U189),$T189="")," / 今期の対応が空","")&amp;IF(AND($T189="更新しない",NOT(ISNUMBER($V189)))," / 更新しないなら、解約・終了した日（契約が終わる日）を入れる",""),4,300)</f>
        <v/>
      </c>
      <c r="AG189" s="53" t="n"/>
      <c r="AH189" s="71">
        <f>IF(AND(ISNUMBER($H189),$I189="あり",ISNUMBER($J189)),IF($J189&gt;=1,$H189+1,""),"")</f>
        <v/>
      </c>
      <c r="AI189" s="32">
        <f>IF($AH189="","",(YEAR('設定'!$B$6)-YEAR($AH189))*12+MONTH('設定'!$B$6)-MONTH($AH189))</f>
        <v/>
      </c>
      <c r="AJ189" s="32">
        <f>IF($AH189="","",MAX(1,ROUNDUP($AI189/$J189,0)))</f>
        <v/>
      </c>
      <c r="AK189" s="71">
        <f>IF($AJ189="","",IF(DAY(EDATE($AH189,$AJ189*$J189))&lt;DAY($AH189),EDATE($AH189,$AJ189*$J189),EDATE($AH189,$AJ189*$J189)-1))</f>
        <v/>
      </c>
      <c r="AL189" s="71">
        <f>IF($AJ189="","",IF(DAY(EDATE($AH189,($AJ189+1)*$J189))&lt;DAY($AH189),EDATE($AH189,($AJ189+1)*$J189),EDATE($AH189,($AJ189+1)*$J189)-1))</f>
        <v/>
      </c>
      <c r="AM189" s="71">
        <f>IF($AJ189="","",IF($AJ189=1,$H189,IF(DAY(EDATE($AH189,($AJ189-1)*$J189))&lt;DAY($AH189),EDATE($AH189,($AJ189-1)*$J189),EDATE($AH189,($AJ189-1)*$J189)-1)))</f>
        <v/>
      </c>
      <c r="AN189" s="32">
        <f>IF(NOT(ISNUMBER($H189)),"",IF(OR($AH189="",$H189&gt;='設定'!$B$6),0,IF($AK189&gt;='設定'!$B$6,$AJ189,$AJ189+1)))</f>
        <v/>
      </c>
      <c r="AO189" s="71">
        <f>IF($AN189="","",IF($AN189=0,"",IF($AN189=$AJ189,$AM189,$AK189)))</f>
        <v/>
      </c>
      <c r="AP189" s="32">
        <f>IF(OR($AC189="要対応",$AC189="通知期限切れ",$AC189="確認済み",$AC189="有効",$AC189="終了予定"),1,0)</f>
        <v/>
      </c>
      <c r="AQ189" s="32">
        <f>IF(OR($AC189="要対応",$AC189="通知期限切れ"),1,0)</f>
        <v/>
      </c>
      <c r="AR189" s="72">
        <f>IF(AND(ISNUMBER($AB189),OR($AC189="要対応",$AC189="通知期限切れ",$AC189="確認済み",$AC189="有効")),$AB189+ROW()/100000,"")</f>
        <v/>
      </c>
      <c r="AS189" s="32">
        <f>IF($E189="","",IF(COUNTIF($E$5:$E189,$E189)=1,ROW(),""))</f>
        <v/>
      </c>
      <c r="AT189" s="32">
        <f>IF($S189="","",IF(COUNTIF($S$5:$S189,$S189)=1,ROW(),""))</f>
        <v/>
      </c>
    </row>
    <row r="190" ht="20" customHeight="1">
      <c r="A190" s="20" t="n">
        <v>186</v>
      </c>
      <c r="B190" s="21" t="n"/>
      <c r="C190" s="22" t="n"/>
      <c r="D190" s="22" t="n"/>
      <c r="E190" s="22" t="n"/>
      <c r="F190" s="66" t="n"/>
      <c r="G190" s="66" t="n"/>
      <c r="H190" s="66" t="n"/>
      <c r="I190" s="21" t="n"/>
      <c r="J190" s="24" t="n"/>
      <c r="K190" s="24" t="n"/>
      <c r="L190" s="21" t="n"/>
      <c r="M190" s="24" t="n"/>
      <c r="N190" s="21" t="n"/>
      <c r="O190" s="67" t="n"/>
      <c r="P190" s="21" t="n"/>
      <c r="Q190" s="21" t="n"/>
      <c r="R190" s="22" t="n"/>
      <c r="S190" s="22" t="n"/>
      <c r="T190" s="21" t="n"/>
      <c r="U190" s="66" t="n"/>
      <c r="V190" s="66" t="n"/>
      <c r="W190" s="66" t="n"/>
      <c r="X190" s="8" t="n"/>
      <c r="Y190" s="68">
        <f>IF($AN190="","",IF($AN190=0,$H190,IF($AN190=$AJ190,$AK190,$AL190)))</f>
        <v/>
      </c>
      <c r="Z190" s="68">
        <f>IF(OR($Y190="",NOT(ISNUMBER($K190))),"",IF($L190="日前",$Y190-$K190,EDATE($Y190,-$K190)))</f>
        <v/>
      </c>
      <c r="AA190" s="68">
        <f>IF(OR($Y190="",ISNUMBER($V190),N($Y190)&lt;'設定'!$B$6),"",IF($Z190&lt;&gt;"",$Z190,$Y190))</f>
        <v/>
      </c>
      <c r="AB190" s="69">
        <f>IF($AA190="","",$AA190-'設定'!$B$6)</f>
        <v/>
      </c>
      <c r="AC190" s="28">
        <f>IF(NOT(OR($B190&lt;&gt;"",$C190&lt;&gt;"")),"",IF(ISNUMBER($V190),IF($V190&lt;'設定'!$B$6,"終了","終了予定"),IF($Y190="","有効",IF($Y190&lt;'設定'!$B$6,"満了",IF(AND($T190="更新する",ISNUMBER($U190),N($U190)&lt;='設定'!$B$6,OR($AO190="",N($U190)&gt;N($AO190))),"確認済み",IF($AB190&lt;0,"通知期限切れ",IF($AB190&lt;=N('設定'!$B$7),"要対応","有効")))))))</f>
        <v/>
      </c>
      <c r="AD190" s="68">
        <f>IF(OR(NOT(ISNUMBER($M190)),$AC190="",$AC190="終了",$AC190="終了予定",$AC190="満了"),"",IF($N190="日前",'設定'!$B$6+$M190,EDATE('設定'!$B$6,$M190)))</f>
        <v/>
      </c>
      <c r="AE190" s="70">
        <f>IF(NOT(ISNUMBER($O190)),"",IF($P190="月額",$O190*12,IF($P190="年額",$O190,"")))</f>
        <v/>
      </c>
      <c r="AF190" s="30">
        <f>MID(IF(AND(ISNUMBER($G190),ISNUMBER($H190)),IF(N($H190)&lt;N($G190)," / 満了日が開始日より前",""),"")&amp;IF(AND($I190="あり",NOT(ISNUMBER($H190)))," / 自動更新ありなのに満了日が空","")&amp;IF(AND($I190="あり",ISNUMBER($H190),NOT(ISNUMBER($J190)))," / 更新期間が空（更新を計算できない）","")&amp;IF($AH190="","",IF(AND(DAY($AH190)&gt;=29,OR(MOD($J190,12)&lt;&gt;0,MONTH($AH190)=2))," / 更新の初日が29〜31日（更新を重ねると満了日が1日ずれることがある。満了日を今の期間の満了日に書き換えると直る）",""))&amp;IF(AND(ISNUMBER($K190),$L190="")," / 通知の単位が空（か月前で計算）","")&amp;IF(AND(ISNUMBER($M190),$N190="")," / 解約予告の単位が空（か月前で計算）","")&amp;IF(AND(ISNUMBER($O190),$P190="")," / 金額の区分が空","")&amp;IF(AND($T190&lt;&gt;"",NOT(ISNUMBER($U190)))," / 対応を決めた日が空","")&amp;IF(AND(ISNUMBER($U190),$T190="")," / 今期の対応が空","")&amp;IF(AND($T190="更新しない",NOT(ISNUMBER($V190)))," / 更新しないなら、解約・終了した日（契約が終わる日）を入れる",""),4,300)</f>
        <v/>
      </c>
      <c r="AG190" s="53" t="n"/>
      <c r="AH190" s="71">
        <f>IF(AND(ISNUMBER($H190),$I190="あり",ISNUMBER($J190)),IF($J190&gt;=1,$H190+1,""),"")</f>
        <v/>
      </c>
      <c r="AI190" s="32">
        <f>IF($AH190="","",(YEAR('設定'!$B$6)-YEAR($AH190))*12+MONTH('設定'!$B$6)-MONTH($AH190))</f>
        <v/>
      </c>
      <c r="AJ190" s="32">
        <f>IF($AH190="","",MAX(1,ROUNDUP($AI190/$J190,0)))</f>
        <v/>
      </c>
      <c r="AK190" s="71">
        <f>IF($AJ190="","",IF(DAY(EDATE($AH190,$AJ190*$J190))&lt;DAY($AH190),EDATE($AH190,$AJ190*$J190),EDATE($AH190,$AJ190*$J190)-1))</f>
        <v/>
      </c>
      <c r="AL190" s="71">
        <f>IF($AJ190="","",IF(DAY(EDATE($AH190,($AJ190+1)*$J190))&lt;DAY($AH190),EDATE($AH190,($AJ190+1)*$J190),EDATE($AH190,($AJ190+1)*$J190)-1))</f>
        <v/>
      </c>
      <c r="AM190" s="71">
        <f>IF($AJ190="","",IF($AJ190=1,$H190,IF(DAY(EDATE($AH190,($AJ190-1)*$J190))&lt;DAY($AH190),EDATE($AH190,($AJ190-1)*$J190),EDATE($AH190,($AJ190-1)*$J190)-1)))</f>
        <v/>
      </c>
      <c r="AN190" s="32">
        <f>IF(NOT(ISNUMBER($H190)),"",IF(OR($AH190="",$H190&gt;='設定'!$B$6),0,IF($AK190&gt;='設定'!$B$6,$AJ190,$AJ190+1)))</f>
        <v/>
      </c>
      <c r="AO190" s="71">
        <f>IF($AN190="","",IF($AN190=0,"",IF($AN190=$AJ190,$AM190,$AK190)))</f>
        <v/>
      </c>
      <c r="AP190" s="32">
        <f>IF(OR($AC190="要対応",$AC190="通知期限切れ",$AC190="確認済み",$AC190="有効",$AC190="終了予定"),1,0)</f>
        <v/>
      </c>
      <c r="AQ190" s="32">
        <f>IF(OR($AC190="要対応",$AC190="通知期限切れ"),1,0)</f>
        <v/>
      </c>
      <c r="AR190" s="72">
        <f>IF(AND(ISNUMBER($AB190),OR($AC190="要対応",$AC190="通知期限切れ",$AC190="確認済み",$AC190="有効")),$AB190+ROW()/100000,"")</f>
        <v/>
      </c>
      <c r="AS190" s="32">
        <f>IF($E190="","",IF(COUNTIF($E$5:$E190,$E190)=1,ROW(),""))</f>
        <v/>
      </c>
      <c r="AT190" s="32">
        <f>IF($S190="","",IF(COUNTIF($S$5:$S190,$S190)=1,ROW(),""))</f>
        <v/>
      </c>
    </row>
    <row r="191" ht="20" customHeight="1">
      <c r="A191" s="20" t="n">
        <v>187</v>
      </c>
      <c r="B191" s="21" t="n"/>
      <c r="C191" s="22" t="n"/>
      <c r="D191" s="22" t="n"/>
      <c r="E191" s="22" t="n"/>
      <c r="F191" s="66" t="n"/>
      <c r="G191" s="66" t="n"/>
      <c r="H191" s="66" t="n"/>
      <c r="I191" s="21" t="n"/>
      <c r="J191" s="24" t="n"/>
      <c r="K191" s="24" t="n"/>
      <c r="L191" s="21" t="n"/>
      <c r="M191" s="24" t="n"/>
      <c r="N191" s="21" t="n"/>
      <c r="O191" s="67" t="n"/>
      <c r="P191" s="21" t="n"/>
      <c r="Q191" s="21" t="n"/>
      <c r="R191" s="22" t="n"/>
      <c r="S191" s="22" t="n"/>
      <c r="T191" s="21" t="n"/>
      <c r="U191" s="66" t="n"/>
      <c r="V191" s="66" t="n"/>
      <c r="W191" s="66" t="n"/>
      <c r="X191" s="8" t="n"/>
      <c r="Y191" s="68">
        <f>IF($AN191="","",IF($AN191=0,$H191,IF($AN191=$AJ191,$AK191,$AL191)))</f>
        <v/>
      </c>
      <c r="Z191" s="68">
        <f>IF(OR($Y191="",NOT(ISNUMBER($K191))),"",IF($L191="日前",$Y191-$K191,EDATE($Y191,-$K191)))</f>
        <v/>
      </c>
      <c r="AA191" s="68">
        <f>IF(OR($Y191="",ISNUMBER($V191),N($Y191)&lt;'設定'!$B$6),"",IF($Z191&lt;&gt;"",$Z191,$Y191))</f>
        <v/>
      </c>
      <c r="AB191" s="69">
        <f>IF($AA191="","",$AA191-'設定'!$B$6)</f>
        <v/>
      </c>
      <c r="AC191" s="28">
        <f>IF(NOT(OR($B191&lt;&gt;"",$C191&lt;&gt;"")),"",IF(ISNUMBER($V191),IF($V191&lt;'設定'!$B$6,"終了","終了予定"),IF($Y191="","有効",IF($Y191&lt;'設定'!$B$6,"満了",IF(AND($T191="更新する",ISNUMBER($U191),N($U191)&lt;='設定'!$B$6,OR($AO191="",N($U191)&gt;N($AO191))),"確認済み",IF($AB191&lt;0,"通知期限切れ",IF($AB191&lt;=N('設定'!$B$7),"要対応","有効")))))))</f>
        <v/>
      </c>
      <c r="AD191" s="68">
        <f>IF(OR(NOT(ISNUMBER($M191)),$AC191="",$AC191="終了",$AC191="終了予定",$AC191="満了"),"",IF($N191="日前",'設定'!$B$6+$M191,EDATE('設定'!$B$6,$M191)))</f>
        <v/>
      </c>
      <c r="AE191" s="70">
        <f>IF(NOT(ISNUMBER($O191)),"",IF($P191="月額",$O191*12,IF($P191="年額",$O191,"")))</f>
        <v/>
      </c>
      <c r="AF191" s="30">
        <f>MID(IF(AND(ISNUMBER($G191),ISNUMBER($H191)),IF(N($H191)&lt;N($G191)," / 満了日が開始日より前",""),"")&amp;IF(AND($I191="あり",NOT(ISNUMBER($H191)))," / 自動更新ありなのに満了日が空","")&amp;IF(AND($I191="あり",ISNUMBER($H191),NOT(ISNUMBER($J191)))," / 更新期間が空（更新を計算できない）","")&amp;IF($AH191="","",IF(AND(DAY($AH191)&gt;=29,OR(MOD($J191,12)&lt;&gt;0,MONTH($AH191)=2))," / 更新の初日が29〜31日（更新を重ねると満了日が1日ずれることがある。満了日を今の期間の満了日に書き換えると直る）",""))&amp;IF(AND(ISNUMBER($K191),$L191="")," / 通知の単位が空（か月前で計算）","")&amp;IF(AND(ISNUMBER($M191),$N191="")," / 解約予告の単位が空（か月前で計算）","")&amp;IF(AND(ISNUMBER($O191),$P191="")," / 金額の区分が空","")&amp;IF(AND($T191&lt;&gt;"",NOT(ISNUMBER($U191)))," / 対応を決めた日が空","")&amp;IF(AND(ISNUMBER($U191),$T191="")," / 今期の対応が空","")&amp;IF(AND($T191="更新しない",NOT(ISNUMBER($V191)))," / 更新しないなら、解約・終了した日（契約が終わる日）を入れる",""),4,300)</f>
        <v/>
      </c>
      <c r="AG191" s="53" t="n"/>
      <c r="AH191" s="71">
        <f>IF(AND(ISNUMBER($H191),$I191="あり",ISNUMBER($J191)),IF($J191&gt;=1,$H191+1,""),"")</f>
        <v/>
      </c>
      <c r="AI191" s="32">
        <f>IF($AH191="","",(YEAR('設定'!$B$6)-YEAR($AH191))*12+MONTH('設定'!$B$6)-MONTH($AH191))</f>
        <v/>
      </c>
      <c r="AJ191" s="32">
        <f>IF($AH191="","",MAX(1,ROUNDUP($AI191/$J191,0)))</f>
        <v/>
      </c>
      <c r="AK191" s="71">
        <f>IF($AJ191="","",IF(DAY(EDATE($AH191,$AJ191*$J191))&lt;DAY($AH191),EDATE($AH191,$AJ191*$J191),EDATE($AH191,$AJ191*$J191)-1))</f>
        <v/>
      </c>
      <c r="AL191" s="71">
        <f>IF($AJ191="","",IF(DAY(EDATE($AH191,($AJ191+1)*$J191))&lt;DAY($AH191),EDATE($AH191,($AJ191+1)*$J191),EDATE($AH191,($AJ191+1)*$J191)-1))</f>
        <v/>
      </c>
      <c r="AM191" s="71">
        <f>IF($AJ191="","",IF($AJ191=1,$H191,IF(DAY(EDATE($AH191,($AJ191-1)*$J191))&lt;DAY($AH191),EDATE($AH191,($AJ191-1)*$J191),EDATE($AH191,($AJ191-1)*$J191)-1)))</f>
        <v/>
      </c>
      <c r="AN191" s="32">
        <f>IF(NOT(ISNUMBER($H191)),"",IF(OR($AH191="",$H191&gt;='設定'!$B$6),0,IF($AK191&gt;='設定'!$B$6,$AJ191,$AJ191+1)))</f>
        <v/>
      </c>
      <c r="AO191" s="71">
        <f>IF($AN191="","",IF($AN191=0,"",IF($AN191=$AJ191,$AM191,$AK191)))</f>
        <v/>
      </c>
      <c r="AP191" s="32">
        <f>IF(OR($AC191="要対応",$AC191="通知期限切れ",$AC191="確認済み",$AC191="有効",$AC191="終了予定"),1,0)</f>
        <v/>
      </c>
      <c r="AQ191" s="32">
        <f>IF(OR($AC191="要対応",$AC191="通知期限切れ"),1,0)</f>
        <v/>
      </c>
      <c r="AR191" s="72">
        <f>IF(AND(ISNUMBER($AB191),OR($AC191="要対応",$AC191="通知期限切れ",$AC191="確認済み",$AC191="有効")),$AB191+ROW()/100000,"")</f>
        <v/>
      </c>
      <c r="AS191" s="32">
        <f>IF($E191="","",IF(COUNTIF($E$5:$E191,$E191)=1,ROW(),""))</f>
        <v/>
      </c>
      <c r="AT191" s="32">
        <f>IF($S191="","",IF(COUNTIF($S$5:$S191,$S191)=1,ROW(),""))</f>
        <v/>
      </c>
    </row>
    <row r="192" ht="20" customHeight="1">
      <c r="A192" s="20" t="n">
        <v>188</v>
      </c>
      <c r="B192" s="21" t="n"/>
      <c r="C192" s="22" t="n"/>
      <c r="D192" s="22" t="n"/>
      <c r="E192" s="22" t="n"/>
      <c r="F192" s="66" t="n"/>
      <c r="G192" s="66" t="n"/>
      <c r="H192" s="66" t="n"/>
      <c r="I192" s="21" t="n"/>
      <c r="J192" s="24" t="n"/>
      <c r="K192" s="24" t="n"/>
      <c r="L192" s="21" t="n"/>
      <c r="M192" s="24" t="n"/>
      <c r="N192" s="21" t="n"/>
      <c r="O192" s="67" t="n"/>
      <c r="P192" s="21" t="n"/>
      <c r="Q192" s="21" t="n"/>
      <c r="R192" s="22" t="n"/>
      <c r="S192" s="22" t="n"/>
      <c r="T192" s="21" t="n"/>
      <c r="U192" s="66" t="n"/>
      <c r="V192" s="66" t="n"/>
      <c r="W192" s="66" t="n"/>
      <c r="X192" s="8" t="n"/>
      <c r="Y192" s="68">
        <f>IF($AN192="","",IF($AN192=0,$H192,IF($AN192=$AJ192,$AK192,$AL192)))</f>
        <v/>
      </c>
      <c r="Z192" s="68">
        <f>IF(OR($Y192="",NOT(ISNUMBER($K192))),"",IF($L192="日前",$Y192-$K192,EDATE($Y192,-$K192)))</f>
        <v/>
      </c>
      <c r="AA192" s="68">
        <f>IF(OR($Y192="",ISNUMBER($V192),N($Y192)&lt;'設定'!$B$6),"",IF($Z192&lt;&gt;"",$Z192,$Y192))</f>
        <v/>
      </c>
      <c r="AB192" s="69">
        <f>IF($AA192="","",$AA192-'設定'!$B$6)</f>
        <v/>
      </c>
      <c r="AC192" s="28">
        <f>IF(NOT(OR($B192&lt;&gt;"",$C192&lt;&gt;"")),"",IF(ISNUMBER($V192),IF($V192&lt;'設定'!$B$6,"終了","終了予定"),IF($Y192="","有効",IF($Y192&lt;'設定'!$B$6,"満了",IF(AND($T192="更新する",ISNUMBER($U192),N($U192)&lt;='設定'!$B$6,OR($AO192="",N($U192)&gt;N($AO192))),"確認済み",IF($AB192&lt;0,"通知期限切れ",IF($AB192&lt;=N('設定'!$B$7),"要対応","有効")))))))</f>
        <v/>
      </c>
      <c r="AD192" s="68">
        <f>IF(OR(NOT(ISNUMBER($M192)),$AC192="",$AC192="終了",$AC192="終了予定",$AC192="満了"),"",IF($N192="日前",'設定'!$B$6+$M192,EDATE('設定'!$B$6,$M192)))</f>
        <v/>
      </c>
      <c r="AE192" s="70">
        <f>IF(NOT(ISNUMBER($O192)),"",IF($P192="月額",$O192*12,IF($P192="年額",$O192,"")))</f>
        <v/>
      </c>
      <c r="AF192" s="30">
        <f>MID(IF(AND(ISNUMBER($G192),ISNUMBER($H192)),IF(N($H192)&lt;N($G192)," / 満了日が開始日より前",""),"")&amp;IF(AND($I192="あり",NOT(ISNUMBER($H192)))," / 自動更新ありなのに満了日が空","")&amp;IF(AND($I192="あり",ISNUMBER($H192),NOT(ISNUMBER($J192)))," / 更新期間が空（更新を計算できない）","")&amp;IF($AH192="","",IF(AND(DAY($AH192)&gt;=29,OR(MOD($J192,12)&lt;&gt;0,MONTH($AH192)=2))," / 更新の初日が29〜31日（更新を重ねると満了日が1日ずれることがある。満了日を今の期間の満了日に書き換えると直る）",""))&amp;IF(AND(ISNUMBER($K192),$L192="")," / 通知の単位が空（か月前で計算）","")&amp;IF(AND(ISNUMBER($M192),$N192="")," / 解約予告の単位が空（か月前で計算）","")&amp;IF(AND(ISNUMBER($O192),$P192="")," / 金額の区分が空","")&amp;IF(AND($T192&lt;&gt;"",NOT(ISNUMBER($U192)))," / 対応を決めた日が空","")&amp;IF(AND(ISNUMBER($U192),$T192="")," / 今期の対応が空","")&amp;IF(AND($T192="更新しない",NOT(ISNUMBER($V192)))," / 更新しないなら、解約・終了した日（契約が終わる日）を入れる",""),4,300)</f>
        <v/>
      </c>
      <c r="AG192" s="53" t="n"/>
      <c r="AH192" s="71">
        <f>IF(AND(ISNUMBER($H192),$I192="あり",ISNUMBER($J192)),IF($J192&gt;=1,$H192+1,""),"")</f>
        <v/>
      </c>
      <c r="AI192" s="32">
        <f>IF($AH192="","",(YEAR('設定'!$B$6)-YEAR($AH192))*12+MONTH('設定'!$B$6)-MONTH($AH192))</f>
        <v/>
      </c>
      <c r="AJ192" s="32">
        <f>IF($AH192="","",MAX(1,ROUNDUP($AI192/$J192,0)))</f>
        <v/>
      </c>
      <c r="AK192" s="71">
        <f>IF($AJ192="","",IF(DAY(EDATE($AH192,$AJ192*$J192))&lt;DAY($AH192),EDATE($AH192,$AJ192*$J192),EDATE($AH192,$AJ192*$J192)-1))</f>
        <v/>
      </c>
      <c r="AL192" s="71">
        <f>IF($AJ192="","",IF(DAY(EDATE($AH192,($AJ192+1)*$J192))&lt;DAY($AH192),EDATE($AH192,($AJ192+1)*$J192),EDATE($AH192,($AJ192+1)*$J192)-1))</f>
        <v/>
      </c>
      <c r="AM192" s="71">
        <f>IF($AJ192="","",IF($AJ192=1,$H192,IF(DAY(EDATE($AH192,($AJ192-1)*$J192))&lt;DAY($AH192),EDATE($AH192,($AJ192-1)*$J192),EDATE($AH192,($AJ192-1)*$J192)-1)))</f>
        <v/>
      </c>
      <c r="AN192" s="32">
        <f>IF(NOT(ISNUMBER($H192)),"",IF(OR($AH192="",$H192&gt;='設定'!$B$6),0,IF($AK192&gt;='設定'!$B$6,$AJ192,$AJ192+1)))</f>
        <v/>
      </c>
      <c r="AO192" s="71">
        <f>IF($AN192="","",IF($AN192=0,"",IF($AN192=$AJ192,$AM192,$AK192)))</f>
        <v/>
      </c>
      <c r="AP192" s="32">
        <f>IF(OR($AC192="要対応",$AC192="通知期限切れ",$AC192="確認済み",$AC192="有効",$AC192="終了予定"),1,0)</f>
        <v/>
      </c>
      <c r="AQ192" s="32">
        <f>IF(OR($AC192="要対応",$AC192="通知期限切れ"),1,0)</f>
        <v/>
      </c>
      <c r="AR192" s="72">
        <f>IF(AND(ISNUMBER($AB192),OR($AC192="要対応",$AC192="通知期限切れ",$AC192="確認済み",$AC192="有効")),$AB192+ROW()/100000,"")</f>
        <v/>
      </c>
      <c r="AS192" s="32">
        <f>IF($E192="","",IF(COUNTIF($E$5:$E192,$E192)=1,ROW(),""))</f>
        <v/>
      </c>
      <c r="AT192" s="32">
        <f>IF($S192="","",IF(COUNTIF($S$5:$S192,$S192)=1,ROW(),""))</f>
        <v/>
      </c>
    </row>
    <row r="193" ht="20" customHeight="1">
      <c r="A193" s="20" t="n">
        <v>189</v>
      </c>
      <c r="B193" s="21" t="n"/>
      <c r="C193" s="22" t="n"/>
      <c r="D193" s="22" t="n"/>
      <c r="E193" s="22" t="n"/>
      <c r="F193" s="66" t="n"/>
      <c r="G193" s="66" t="n"/>
      <c r="H193" s="66" t="n"/>
      <c r="I193" s="21" t="n"/>
      <c r="J193" s="24" t="n"/>
      <c r="K193" s="24" t="n"/>
      <c r="L193" s="21" t="n"/>
      <c r="M193" s="24" t="n"/>
      <c r="N193" s="21" t="n"/>
      <c r="O193" s="67" t="n"/>
      <c r="P193" s="21" t="n"/>
      <c r="Q193" s="21" t="n"/>
      <c r="R193" s="22" t="n"/>
      <c r="S193" s="22" t="n"/>
      <c r="T193" s="21" t="n"/>
      <c r="U193" s="66" t="n"/>
      <c r="V193" s="66" t="n"/>
      <c r="W193" s="66" t="n"/>
      <c r="X193" s="8" t="n"/>
      <c r="Y193" s="68">
        <f>IF($AN193="","",IF($AN193=0,$H193,IF($AN193=$AJ193,$AK193,$AL193)))</f>
        <v/>
      </c>
      <c r="Z193" s="68">
        <f>IF(OR($Y193="",NOT(ISNUMBER($K193))),"",IF($L193="日前",$Y193-$K193,EDATE($Y193,-$K193)))</f>
        <v/>
      </c>
      <c r="AA193" s="68">
        <f>IF(OR($Y193="",ISNUMBER($V193),N($Y193)&lt;'設定'!$B$6),"",IF($Z193&lt;&gt;"",$Z193,$Y193))</f>
        <v/>
      </c>
      <c r="AB193" s="69">
        <f>IF($AA193="","",$AA193-'設定'!$B$6)</f>
        <v/>
      </c>
      <c r="AC193" s="28">
        <f>IF(NOT(OR($B193&lt;&gt;"",$C193&lt;&gt;"")),"",IF(ISNUMBER($V193),IF($V193&lt;'設定'!$B$6,"終了","終了予定"),IF($Y193="","有効",IF($Y193&lt;'設定'!$B$6,"満了",IF(AND($T193="更新する",ISNUMBER($U193),N($U193)&lt;='設定'!$B$6,OR($AO193="",N($U193)&gt;N($AO193))),"確認済み",IF($AB193&lt;0,"通知期限切れ",IF($AB193&lt;=N('設定'!$B$7),"要対応","有効")))))))</f>
        <v/>
      </c>
      <c r="AD193" s="68">
        <f>IF(OR(NOT(ISNUMBER($M193)),$AC193="",$AC193="終了",$AC193="終了予定",$AC193="満了"),"",IF($N193="日前",'設定'!$B$6+$M193,EDATE('設定'!$B$6,$M193)))</f>
        <v/>
      </c>
      <c r="AE193" s="70">
        <f>IF(NOT(ISNUMBER($O193)),"",IF($P193="月額",$O193*12,IF($P193="年額",$O193,"")))</f>
        <v/>
      </c>
      <c r="AF193" s="30">
        <f>MID(IF(AND(ISNUMBER($G193),ISNUMBER($H193)),IF(N($H193)&lt;N($G193)," / 満了日が開始日より前",""),"")&amp;IF(AND($I193="あり",NOT(ISNUMBER($H193)))," / 自動更新ありなのに満了日が空","")&amp;IF(AND($I193="あり",ISNUMBER($H193),NOT(ISNUMBER($J193)))," / 更新期間が空（更新を計算できない）","")&amp;IF($AH193="","",IF(AND(DAY($AH193)&gt;=29,OR(MOD($J193,12)&lt;&gt;0,MONTH($AH193)=2))," / 更新の初日が29〜31日（更新を重ねると満了日が1日ずれることがある。満了日を今の期間の満了日に書き換えると直る）",""))&amp;IF(AND(ISNUMBER($K193),$L193="")," / 通知の単位が空（か月前で計算）","")&amp;IF(AND(ISNUMBER($M193),$N193="")," / 解約予告の単位が空（か月前で計算）","")&amp;IF(AND(ISNUMBER($O193),$P193="")," / 金額の区分が空","")&amp;IF(AND($T193&lt;&gt;"",NOT(ISNUMBER($U193)))," / 対応を決めた日が空","")&amp;IF(AND(ISNUMBER($U193),$T193="")," / 今期の対応が空","")&amp;IF(AND($T193="更新しない",NOT(ISNUMBER($V193)))," / 更新しないなら、解約・終了した日（契約が終わる日）を入れる",""),4,300)</f>
        <v/>
      </c>
      <c r="AG193" s="53" t="n"/>
      <c r="AH193" s="71">
        <f>IF(AND(ISNUMBER($H193),$I193="あり",ISNUMBER($J193)),IF($J193&gt;=1,$H193+1,""),"")</f>
        <v/>
      </c>
      <c r="AI193" s="32">
        <f>IF($AH193="","",(YEAR('設定'!$B$6)-YEAR($AH193))*12+MONTH('設定'!$B$6)-MONTH($AH193))</f>
        <v/>
      </c>
      <c r="AJ193" s="32">
        <f>IF($AH193="","",MAX(1,ROUNDUP($AI193/$J193,0)))</f>
        <v/>
      </c>
      <c r="AK193" s="71">
        <f>IF($AJ193="","",IF(DAY(EDATE($AH193,$AJ193*$J193))&lt;DAY($AH193),EDATE($AH193,$AJ193*$J193),EDATE($AH193,$AJ193*$J193)-1))</f>
        <v/>
      </c>
      <c r="AL193" s="71">
        <f>IF($AJ193="","",IF(DAY(EDATE($AH193,($AJ193+1)*$J193))&lt;DAY($AH193),EDATE($AH193,($AJ193+1)*$J193),EDATE($AH193,($AJ193+1)*$J193)-1))</f>
        <v/>
      </c>
      <c r="AM193" s="71">
        <f>IF($AJ193="","",IF($AJ193=1,$H193,IF(DAY(EDATE($AH193,($AJ193-1)*$J193))&lt;DAY($AH193),EDATE($AH193,($AJ193-1)*$J193),EDATE($AH193,($AJ193-1)*$J193)-1)))</f>
        <v/>
      </c>
      <c r="AN193" s="32">
        <f>IF(NOT(ISNUMBER($H193)),"",IF(OR($AH193="",$H193&gt;='設定'!$B$6),0,IF($AK193&gt;='設定'!$B$6,$AJ193,$AJ193+1)))</f>
        <v/>
      </c>
      <c r="AO193" s="71">
        <f>IF($AN193="","",IF($AN193=0,"",IF($AN193=$AJ193,$AM193,$AK193)))</f>
        <v/>
      </c>
      <c r="AP193" s="32">
        <f>IF(OR($AC193="要対応",$AC193="通知期限切れ",$AC193="確認済み",$AC193="有効",$AC193="終了予定"),1,0)</f>
        <v/>
      </c>
      <c r="AQ193" s="32">
        <f>IF(OR($AC193="要対応",$AC193="通知期限切れ"),1,0)</f>
        <v/>
      </c>
      <c r="AR193" s="72">
        <f>IF(AND(ISNUMBER($AB193),OR($AC193="要対応",$AC193="通知期限切れ",$AC193="確認済み",$AC193="有効")),$AB193+ROW()/100000,"")</f>
        <v/>
      </c>
      <c r="AS193" s="32">
        <f>IF($E193="","",IF(COUNTIF($E$5:$E193,$E193)=1,ROW(),""))</f>
        <v/>
      </c>
      <c r="AT193" s="32">
        <f>IF($S193="","",IF(COUNTIF($S$5:$S193,$S193)=1,ROW(),""))</f>
        <v/>
      </c>
    </row>
    <row r="194" ht="20" customHeight="1">
      <c r="A194" s="20" t="n">
        <v>190</v>
      </c>
      <c r="B194" s="21" t="n"/>
      <c r="C194" s="22" t="n"/>
      <c r="D194" s="22" t="n"/>
      <c r="E194" s="22" t="n"/>
      <c r="F194" s="66" t="n"/>
      <c r="G194" s="66" t="n"/>
      <c r="H194" s="66" t="n"/>
      <c r="I194" s="21" t="n"/>
      <c r="J194" s="24" t="n"/>
      <c r="K194" s="24" t="n"/>
      <c r="L194" s="21" t="n"/>
      <c r="M194" s="24" t="n"/>
      <c r="N194" s="21" t="n"/>
      <c r="O194" s="67" t="n"/>
      <c r="P194" s="21" t="n"/>
      <c r="Q194" s="21" t="n"/>
      <c r="R194" s="22" t="n"/>
      <c r="S194" s="22" t="n"/>
      <c r="T194" s="21" t="n"/>
      <c r="U194" s="66" t="n"/>
      <c r="V194" s="66" t="n"/>
      <c r="W194" s="66" t="n"/>
      <c r="X194" s="8" t="n"/>
      <c r="Y194" s="68">
        <f>IF($AN194="","",IF($AN194=0,$H194,IF($AN194=$AJ194,$AK194,$AL194)))</f>
        <v/>
      </c>
      <c r="Z194" s="68">
        <f>IF(OR($Y194="",NOT(ISNUMBER($K194))),"",IF($L194="日前",$Y194-$K194,EDATE($Y194,-$K194)))</f>
        <v/>
      </c>
      <c r="AA194" s="68">
        <f>IF(OR($Y194="",ISNUMBER($V194),N($Y194)&lt;'設定'!$B$6),"",IF($Z194&lt;&gt;"",$Z194,$Y194))</f>
        <v/>
      </c>
      <c r="AB194" s="69">
        <f>IF($AA194="","",$AA194-'設定'!$B$6)</f>
        <v/>
      </c>
      <c r="AC194" s="28">
        <f>IF(NOT(OR($B194&lt;&gt;"",$C194&lt;&gt;"")),"",IF(ISNUMBER($V194),IF($V194&lt;'設定'!$B$6,"終了","終了予定"),IF($Y194="","有効",IF($Y194&lt;'設定'!$B$6,"満了",IF(AND($T194="更新する",ISNUMBER($U194),N($U194)&lt;='設定'!$B$6,OR($AO194="",N($U194)&gt;N($AO194))),"確認済み",IF($AB194&lt;0,"通知期限切れ",IF($AB194&lt;=N('設定'!$B$7),"要対応","有効")))))))</f>
        <v/>
      </c>
      <c r="AD194" s="68">
        <f>IF(OR(NOT(ISNUMBER($M194)),$AC194="",$AC194="終了",$AC194="終了予定",$AC194="満了"),"",IF($N194="日前",'設定'!$B$6+$M194,EDATE('設定'!$B$6,$M194)))</f>
        <v/>
      </c>
      <c r="AE194" s="70">
        <f>IF(NOT(ISNUMBER($O194)),"",IF($P194="月額",$O194*12,IF($P194="年額",$O194,"")))</f>
        <v/>
      </c>
      <c r="AF194" s="30">
        <f>MID(IF(AND(ISNUMBER($G194),ISNUMBER($H194)),IF(N($H194)&lt;N($G194)," / 満了日が開始日より前",""),"")&amp;IF(AND($I194="あり",NOT(ISNUMBER($H194)))," / 自動更新ありなのに満了日が空","")&amp;IF(AND($I194="あり",ISNUMBER($H194),NOT(ISNUMBER($J194)))," / 更新期間が空（更新を計算できない）","")&amp;IF($AH194="","",IF(AND(DAY($AH194)&gt;=29,OR(MOD($J194,12)&lt;&gt;0,MONTH($AH194)=2))," / 更新の初日が29〜31日（更新を重ねると満了日が1日ずれることがある。満了日を今の期間の満了日に書き換えると直る）",""))&amp;IF(AND(ISNUMBER($K194),$L194="")," / 通知の単位が空（か月前で計算）","")&amp;IF(AND(ISNUMBER($M194),$N194="")," / 解約予告の単位が空（か月前で計算）","")&amp;IF(AND(ISNUMBER($O194),$P194="")," / 金額の区分が空","")&amp;IF(AND($T194&lt;&gt;"",NOT(ISNUMBER($U194)))," / 対応を決めた日が空","")&amp;IF(AND(ISNUMBER($U194),$T194="")," / 今期の対応が空","")&amp;IF(AND($T194="更新しない",NOT(ISNUMBER($V194)))," / 更新しないなら、解約・終了した日（契約が終わる日）を入れる",""),4,300)</f>
        <v/>
      </c>
      <c r="AG194" s="53" t="n"/>
      <c r="AH194" s="71">
        <f>IF(AND(ISNUMBER($H194),$I194="あり",ISNUMBER($J194)),IF($J194&gt;=1,$H194+1,""),"")</f>
        <v/>
      </c>
      <c r="AI194" s="32">
        <f>IF($AH194="","",(YEAR('設定'!$B$6)-YEAR($AH194))*12+MONTH('設定'!$B$6)-MONTH($AH194))</f>
        <v/>
      </c>
      <c r="AJ194" s="32">
        <f>IF($AH194="","",MAX(1,ROUNDUP($AI194/$J194,0)))</f>
        <v/>
      </c>
      <c r="AK194" s="71">
        <f>IF($AJ194="","",IF(DAY(EDATE($AH194,$AJ194*$J194))&lt;DAY($AH194),EDATE($AH194,$AJ194*$J194),EDATE($AH194,$AJ194*$J194)-1))</f>
        <v/>
      </c>
      <c r="AL194" s="71">
        <f>IF($AJ194="","",IF(DAY(EDATE($AH194,($AJ194+1)*$J194))&lt;DAY($AH194),EDATE($AH194,($AJ194+1)*$J194),EDATE($AH194,($AJ194+1)*$J194)-1))</f>
        <v/>
      </c>
      <c r="AM194" s="71">
        <f>IF($AJ194="","",IF($AJ194=1,$H194,IF(DAY(EDATE($AH194,($AJ194-1)*$J194))&lt;DAY($AH194),EDATE($AH194,($AJ194-1)*$J194),EDATE($AH194,($AJ194-1)*$J194)-1)))</f>
        <v/>
      </c>
      <c r="AN194" s="32">
        <f>IF(NOT(ISNUMBER($H194)),"",IF(OR($AH194="",$H194&gt;='設定'!$B$6),0,IF($AK194&gt;='設定'!$B$6,$AJ194,$AJ194+1)))</f>
        <v/>
      </c>
      <c r="AO194" s="71">
        <f>IF($AN194="","",IF($AN194=0,"",IF($AN194=$AJ194,$AM194,$AK194)))</f>
        <v/>
      </c>
      <c r="AP194" s="32">
        <f>IF(OR($AC194="要対応",$AC194="通知期限切れ",$AC194="確認済み",$AC194="有効",$AC194="終了予定"),1,0)</f>
        <v/>
      </c>
      <c r="AQ194" s="32">
        <f>IF(OR($AC194="要対応",$AC194="通知期限切れ"),1,0)</f>
        <v/>
      </c>
      <c r="AR194" s="72">
        <f>IF(AND(ISNUMBER($AB194),OR($AC194="要対応",$AC194="通知期限切れ",$AC194="確認済み",$AC194="有効")),$AB194+ROW()/100000,"")</f>
        <v/>
      </c>
      <c r="AS194" s="32">
        <f>IF($E194="","",IF(COUNTIF($E$5:$E194,$E194)=1,ROW(),""))</f>
        <v/>
      </c>
      <c r="AT194" s="32">
        <f>IF($S194="","",IF(COUNTIF($S$5:$S194,$S194)=1,ROW(),""))</f>
        <v/>
      </c>
    </row>
    <row r="195" ht="20" customHeight="1">
      <c r="A195" s="20" t="n">
        <v>191</v>
      </c>
      <c r="B195" s="21" t="n"/>
      <c r="C195" s="22" t="n"/>
      <c r="D195" s="22" t="n"/>
      <c r="E195" s="22" t="n"/>
      <c r="F195" s="66" t="n"/>
      <c r="G195" s="66" t="n"/>
      <c r="H195" s="66" t="n"/>
      <c r="I195" s="21" t="n"/>
      <c r="J195" s="24" t="n"/>
      <c r="K195" s="24" t="n"/>
      <c r="L195" s="21" t="n"/>
      <c r="M195" s="24" t="n"/>
      <c r="N195" s="21" t="n"/>
      <c r="O195" s="67" t="n"/>
      <c r="P195" s="21" t="n"/>
      <c r="Q195" s="21" t="n"/>
      <c r="R195" s="22" t="n"/>
      <c r="S195" s="22" t="n"/>
      <c r="T195" s="21" t="n"/>
      <c r="U195" s="66" t="n"/>
      <c r="V195" s="66" t="n"/>
      <c r="W195" s="66" t="n"/>
      <c r="X195" s="8" t="n"/>
      <c r="Y195" s="68">
        <f>IF($AN195="","",IF($AN195=0,$H195,IF($AN195=$AJ195,$AK195,$AL195)))</f>
        <v/>
      </c>
      <c r="Z195" s="68">
        <f>IF(OR($Y195="",NOT(ISNUMBER($K195))),"",IF($L195="日前",$Y195-$K195,EDATE($Y195,-$K195)))</f>
        <v/>
      </c>
      <c r="AA195" s="68">
        <f>IF(OR($Y195="",ISNUMBER($V195),N($Y195)&lt;'設定'!$B$6),"",IF($Z195&lt;&gt;"",$Z195,$Y195))</f>
        <v/>
      </c>
      <c r="AB195" s="69">
        <f>IF($AA195="","",$AA195-'設定'!$B$6)</f>
        <v/>
      </c>
      <c r="AC195" s="28">
        <f>IF(NOT(OR($B195&lt;&gt;"",$C195&lt;&gt;"")),"",IF(ISNUMBER($V195),IF($V195&lt;'設定'!$B$6,"終了","終了予定"),IF($Y195="","有効",IF($Y195&lt;'設定'!$B$6,"満了",IF(AND($T195="更新する",ISNUMBER($U195),N($U195)&lt;='設定'!$B$6,OR($AO195="",N($U195)&gt;N($AO195))),"確認済み",IF($AB195&lt;0,"通知期限切れ",IF($AB195&lt;=N('設定'!$B$7),"要対応","有効")))))))</f>
        <v/>
      </c>
      <c r="AD195" s="68">
        <f>IF(OR(NOT(ISNUMBER($M195)),$AC195="",$AC195="終了",$AC195="終了予定",$AC195="満了"),"",IF($N195="日前",'設定'!$B$6+$M195,EDATE('設定'!$B$6,$M195)))</f>
        <v/>
      </c>
      <c r="AE195" s="70">
        <f>IF(NOT(ISNUMBER($O195)),"",IF($P195="月額",$O195*12,IF($P195="年額",$O195,"")))</f>
        <v/>
      </c>
      <c r="AF195" s="30">
        <f>MID(IF(AND(ISNUMBER($G195),ISNUMBER($H195)),IF(N($H195)&lt;N($G195)," / 満了日が開始日より前",""),"")&amp;IF(AND($I195="あり",NOT(ISNUMBER($H195)))," / 自動更新ありなのに満了日が空","")&amp;IF(AND($I195="あり",ISNUMBER($H195),NOT(ISNUMBER($J195)))," / 更新期間が空（更新を計算できない）","")&amp;IF($AH195="","",IF(AND(DAY($AH195)&gt;=29,OR(MOD($J195,12)&lt;&gt;0,MONTH($AH195)=2))," / 更新の初日が29〜31日（更新を重ねると満了日が1日ずれることがある。満了日を今の期間の満了日に書き換えると直る）",""))&amp;IF(AND(ISNUMBER($K195),$L195="")," / 通知の単位が空（か月前で計算）","")&amp;IF(AND(ISNUMBER($M195),$N195="")," / 解約予告の単位が空（か月前で計算）","")&amp;IF(AND(ISNUMBER($O195),$P195="")," / 金額の区分が空","")&amp;IF(AND($T195&lt;&gt;"",NOT(ISNUMBER($U195)))," / 対応を決めた日が空","")&amp;IF(AND(ISNUMBER($U195),$T195="")," / 今期の対応が空","")&amp;IF(AND($T195="更新しない",NOT(ISNUMBER($V195)))," / 更新しないなら、解約・終了した日（契約が終わる日）を入れる",""),4,300)</f>
        <v/>
      </c>
      <c r="AG195" s="53" t="n"/>
      <c r="AH195" s="71">
        <f>IF(AND(ISNUMBER($H195),$I195="あり",ISNUMBER($J195)),IF($J195&gt;=1,$H195+1,""),"")</f>
        <v/>
      </c>
      <c r="AI195" s="32">
        <f>IF($AH195="","",(YEAR('設定'!$B$6)-YEAR($AH195))*12+MONTH('設定'!$B$6)-MONTH($AH195))</f>
        <v/>
      </c>
      <c r="AJ195" s="32">
        <f>IF($AH195="","",MAX(1,ROUNDUP($AI195/$J195,0)))</f>
        <v/>
      </c>
      <c r="AK195" s="71">
        <f>IF($AJ195="","",IF(DAY(EDATE($AH195,$AJ195*$J195))&lt;DAY($AH195),EDATE($AH195,$AJ195*$J195),EDATE($AH195,$AJ195*$J195)-1))</f>
        <v/>
      </c>
      <c r="AL195" s="71">
        <f>IF($AJ195="","",IF(DAY(EDATE($AH195,($AJ195+1)*$J195))&lt;DAY($AH195),EDATE($AH195,($AJ195+1)*$J195),EDATE($AH195,($AJ195+1)*$J195)-1))</f>
        <v/>
      </c>
      <c r="AM195" s="71">
        <f>IF($AJ195="","",IF($AJ195=1,$H195,IF(DAY(EDATE($AH195,($AJ195-1)*$J195))&lt;DAY($AH195),EDATE($AH195,($AJ195-1)*$J195),EDATE($AH195,($AJ195-1)*$J195)-1)))</f>
        <v/>
      </c>
      <c r="AN195" s="32">
        <f>IF(NOT(ISNUMBER($H195)),"",IF(OR($AH195="",$H195&gt;='設定'!$B$6),0,IF($AK195&gt;='設定'!$B$6,$AJ195,$AJ195+1)))</f>
        <v/>
      </c>
      <c r="AO195" s="71">
        <f>IF($AN195="","",IF($AN195=0,"",IF($AN195=$AJ195,$AM195,$AK195)))</f>
        <v/>
      </c>
      <c r="AP195" s="32">
        <f>IF(OR($AC195="要対応",$AC195="通知期限切れ",$AC195="確認済み",$AC195="有効",$AC195="終了予定"),1,0)</f>
        <v/>
      </c>
      <c r="AQ195" s="32">
        <f>IF(OR($AC195="要対応",$AC195="通知期限切れ"),1,0)</f>
        <v/>
      </c>
      <c r="AR195" s="72">
        <f>IF(AND(ISNUMBER($AB195),OR($AC195="要対応",$AC195="通知期限切れ",$AC195="確認済み",$AC195="有効")),$AB195+ROW()/100000,"")</f>
        <v/>
      </c>
      <c r="AS195" s="32">
        <f>IF($E195="","",IF(COUNTIF($E$5:$E195,$E195)=1,ROW(),""))</f>
        <v/>
      </c>
      <c r="AT195" s="32">
        <f>IF($S195="","",IF(COUNTIF($S$5:$S195,$S195)=1,ROW(),""))</f>
        <v/>
      </c>
    </row>
    <row r="196" ht="20" customHeight="1">
      <c r="A196" s="20" t="n">
        <v>192</v>
      </c>
      <c r="B196" s="21" t="n"/>
      <c r="C196" s="22" t="n"/>
      <c r="D196" s="22" t="n"/>
      <c r="E196" s="22" t="n"/>
      <c r="F196" s="66" t="n"/>
      <c r="G196" s="66" t="n"/>
      <c r="H196" s="66" t="n"/>
      <c r="I196" s="21" t="n"/>
      <c r="J196" s="24" t="n"/>
      <c r="K196" s="24" t="n"/>
      <c r="L196" s="21" t="n"/>
      <c r="M196" s="24" t="n"/>
      <c r="N196" s="21" t="n"/>
      <c r="O196" s="67" t="n"/>
      <c r="P196" s="21" t="n"/>
      <c r="Q196" s="21" t="n"/>
      <c r="R196" s="22" t="n"/>
      <c r="S196" s="22" t="n"/>
      <c r="T196" s="21" t="n"/>
      <c r="U196" s="66" t="n"/>
      <c r="V196" s="66" t="n"/>
      <c r="W196" s="66" t="n"/>
      <c r="X196" s="8" t="n"/>
      <c r="Y196" s="68">
        <f>IF($AN196="","",IF($AN196=0,$H196,IF($AN196=$AJ196,$AK196,$AL196)))</f>
        <v/>
      </c>
      <c r="Z196" s="68">
        <f>IF(OR($Y196="",NOT(ISNUMBER($K196))),"",IF($L196="日前",$Y196-$K196,EDATE($Y196,-$K196)))</f>
        <v/>
      </c>
      <c r="AA196" s="68">
        <f>IF(OR($Y196="",ISNUMBER($V196),N($Y196)&lt;'設定'!$B$6),"",IF($Z196&lt;&gt;"",$Z196,$Y196))</f>
        <v/>
      </c>
      <c r="AB196" s="69">
        <f>IF($AA196="","",$AA196-'設定'!$B$6)</f>
        <v/>
      </c>
      <c r="AC196" s="28">
        <f>IF(NOT(OR($B196&lt;&gt;"",$C196&lt;&gt;"")),"",IF(ISNUMBER($V196),IF($V196&lt;'設定'!$B$6,"終了","終了予定"),IF($Y196="","有効",IF($Y196&lt;'設定'!$B$6,"満了",IF(AND($T196="更新する",ISNUMBER($U196),N($U196)&lt;='設定'!$B$6,OR($AO196="",N($U196)&gt;N($AO196))),"確認済み",IF($AB196&lt;0,"通知期限切れ",IF($AB196&lt;=N('設定'!$B$7),"要対応","有効")))))))</f>
        <v/>
      </c>
      <c r="AD196" s="68">
        <f>IF(OR(NOT(ISNUMBER($M196)),$AC196="",$AC196="終了",$AC196="終了予定",$AC196="満了"),"",IF($N196="日前",'設定'!$B$6+$M196,EDATE('設定'!$B$6,$M196)))</f>
        <v/>
      </c>
      <c r="AE196" s="70">
        <f>IF(NOT(ISNUMBER($O196)),"",IF($P196="月額",$O196*12,IF($P196="年額",$O196,"")))</f>
        <v/>
      </c>
      <c r="AF196" s="30">
        <f>MID(IF(AND(ISNUMBER($G196),ISNUMBER($H196)),IF(N($H196)&lt;N($G196)," / 満了日が開始日より前",""),"")&amp;IF(AND($I196="あり",NOT(ISNUMBER($H196)))," / 自動更新ありなのに満了日が空","")&amp;IF(AND($I196="あり",ISNUMBER($H196),NOT(ISNUMBER($J196)))," / 更新期間が空（更新を計算できない）","")&amp;IF($AH196="","",IF(AND(DAY($AH196)&gt;=29,OR(MOD($J196,12)&lt;&gt;0,MONTH($AH196)=2))," / 更新の初日が29〜31日（更新を重ねると満了日が1日ずれることがある。満了日を今の期間の満了日に書き換えると直る）",""))&amp;IF(AND(ISNUMBER($K196),$L196="")," / 通知の単位が空（か月前で計算）","")&amp;IF(AND(ISNUMBER($M196),$N196="")," / 解約予告の単位が空（か月前で計算）","")&amp;IF(AND(ISNUMBER($O196),$P196="")," / 金額の区分が空","")&amp;IF(AND($T196&lt;&gt;"",NOT(ISNUMBER($U196)))," / 対応を決めた日が空","")&amp;IF(AND(ISNUMBER($U196),$T196="")," / 今期の対応が空","")&amp;IF(AND($T196="更新しない",NOT(ISNUMBER($V196)))," / 更新しないなら、解約・終了した日（契約が終わる日）を入れる",""),4,300)</f>
        <v/>
      </c>
      <c r="AG196" s="53" t="n"/>
      <c r="AH196" s="71">
        <f>IF(AND(ISNUMBER($H196),$I196="あり",ISNUMBER($J196)),IF($J196&gt;=1,$H196+1,""),"")</f>
        <v/>
      </c>
      <c r="AI196" s="32">
        <f>IF($AH196="","",(YEAR('設定'!$B$6)-YEAR($AH196))*12+MONTH('設定'!$B$6)-MONTH($AH196))</f>
        <v/>
      </c>
      <c r="AJ196" s="32">
        <f>IF($AH196="","",MAX(1,ROUNDUP($AI196/$J196,0)))</f>
        <v/>
      </c>
      <c r="AK196" s="71">
        <f>IF($AJ196="","",IF(DAY(EDATE($AH196,$AJ196*$J196))&lt;DAY($AH196),EDATE($AH196,$AJ196*$J196),EDATE($AH196,$AJ196*$J196)-1))</f>
        <v/>
      </c>
      <c r="AL196" s="71">
        <f>IF($AJ196="","",IF(DAY(EDATE($AH196,($AJ196+1)*$J196))&lt;DAY($AH196),EDATE($AH196,($AJ196+1)*$J196),EDATE($AH196,($AJ196+1)*$J196)-1))</f>
        <v/>
      </c>
      <c r="AM196" s="71">
        <f>IF($AJ196="","",IF($AJ196=1,$H196,IF(DAY(EDATE($AH196,($AJ196-1)*$J196))&lt;DAY($AH196),EDATE($AH196,($AJ196-1)*$J196),EDATE($AH196,($AJ196-1)*$J196)-1)))</f>
        <v/>
      </c>
      <c r="AN196" s="32">
        <f>IF(NOT(ISNUMBER($H196)),"",IF(OR($AH196="",$H196&gt;='設定'!$B$6),0,IF($AK196&gt;='設定'!$B$6,$AJ196,$AJ196+1)))</f>
        <v/>
      </c>
      <c r="AO196" s="71">
        <f>IF($AN196="","",IF($AN196=0,"",IF($AN196=$AJ196,$AM196,$AK196)))</f>
        <v/>
      </c>
      <c r="AP196" s="32">
        <f>IF(OR($AC196="要対応",$AC196="通知期限切れ",$AC196="確認済み",$AC196="有効",$AC196="終了予定"),1,0)</f>
        <v/>
      </c>
      <c r="AQ196" s="32">
        <f>IF(OR($AC196="要対応",$AC196="通知期限切れ"),1,0)</f>
        <v/>
      </c>
      <c r="AR196" s="72">
        <f>IF(AND(ISNUMBER($AB196),OR($AC196="要対応",$AC196="通知期限切れ",$AC196="確認済み",$AC196="有効")),$AB196+ROW()/100000,"")</f>
        <v/>
      </c>
      <c r="AS196" s="32">
        <f>IF($E196="","",IF(COUNTIF($E$5:$E196,$E196)=1,ROW(),""))</f>
        <v/>
      </c>
      <c r="AT196" s="32">
        <f>IF($S196="","",IF(COUNTIF($S$5:$S196,$S196)=1,ROW(),""))</f>
        <v/>
      </c>
    </row>
    <row r="197" ht="20" customHeight="1">
      <c r="A197" s="20" t="n">
        <v>193</v>
      </c>
      <c r="B197" s="21" t="n"/>
      <c r="C197" s="22" t="n"/>
      <c r="D197" s="22" t="n"/>
      <c r="E197" s="22" t="n"/>
      <c r="F197" s="66" t="n"/>
      <c r="G197" s="66" t="n"/>
      <c r="H197" s="66" t="n"/>
      <c r="I197" s="21" t="n"/>
      <c r="J197" s="24" t="n"/>
      <c r="K197" s="24" t="n"/>
      <c r="L197" s="21" t="n"/>
      <c r="M197" s="24" t="n"/>
      <c r="N197" s="21" t="n"/>
      <c r="O197" s="67" t="n"/>
      <c r="P197" s="21" t="n"/>
      <c r="Q197" s="21" t="n"/>
      <c r="R197" s="22" t="n"/>
      <c r="S197" s="22" t="n"/>
      <c r="T197" s="21" t="n"/>
      <c r="U197" s="66" t="n"/>
      <c r="V197" s="66" t="n"/>
      <c r="W197" s="66" t="n"/>
      <c r="X197" s="8" t="n"/>
      <c r="Y197" s="68">
        <f>IF($AN197="","",IF($AN197=0,$H197,IF($AN197=$AJ197,$AK197,$AL197)))</f>
        <v/>
      </c>
      <c r="Z197" s="68">
        <f>IF(OR($Y197="",NOT(ISNUMBER($K197))),"",IF($L197="日前",$Y197-$K197,EDATE($Y197,-$K197)))</f>
        <v/>
      </c>
      <c r="AA197" s="68">
        <f>IF(OR($Y197="",ISNUMBER($V197),N($Y197)&lt;'設定'!$B$6),"",IF($Z197&lt;&gt;"",$Z197,$Y197))</f>
        <v/>
      </c>
      <c r="AB197" s="69">
        <f>IF($AA197="","",$AA197-'設定'!$B$6)</f>
        <v/>
      </c>
      <c r="AC197" s="28">
        <f>IF(NOT(OR($B197&lt;&gt;"",$C197&lt;&gt;"")),"",IF(ISNUMBER($V197),IF($V197&lt;'設定'!$B$6,"終了","終了予定"),IF($Y197="","有効",IF($Y197&lt;'設定'!$B$6,"満了",IF(AND($T197="更新する",ISNUMBER($U197),N($U197)&lt;='設定'!$B$6,OR($AO197="",N($U197)&gt;N($AO197))),"確認済み",IF($AB197&lt;0,"通知期限切れ",IF($AB197&lt;=N('設定'!$B$7),"要対応","有効")))))))</f>
        <v/>
      </c>
      <c r="AD197" s="68">
        <f>IF(OR(NOT(ISNUMBER($M197)),$AC197="",$AC197="終了",$AC197="終了予定",$AC197="満了"),"",IF($N197="日前",'設定'!$B$6+$M197,EDATE('設定'!$B$6,$M197)))</f>
        <v/>
      </c>
      <c r="AE197" s="70">
        <f>IF(NOT(ISNUMBER($O197)),"",IF($P197="月額",$O197*12,IF($P197="年額",$O197,"")))</f>
        <v/>
      </c>
      <c r="AF197" s="30">
        <f>MID(IF(AND(ISNUMBER($G197),ISNUMBER($H197)),IF(N($H197)&lt;N($G197)," / 満了日が開始日より前",""),"")&amp;IF(AND($I197="あり",NOT(ISNUMBER($H197)))," / 自動更新ありなのに満了日が空","")&amp;IF(AND($I197="あり",ISNUMBER($H197),NOT(ISNUMBER($J197)))," / 更新期間が空（更新を計算できない）","")&amp;IF($AH197="","",IF(AND(DAY($AH197)&gt;=29,OR(MOD($J197,12)&lt;&gt;0,MONTH($AH197)=2))," / 更新の初日が29〜31日（更新を重ねると満了日が1日ずれることがある。満了日を今の期間の満了日に書き換えると直る）",""))&amp;IF(AND(ISNUMBER($K197),$L197="")," / 通知の単位が空（か月前で計算）","")&amp;IF(AND(ISNUMBER($M197),$N197="")," / 解約予告の単位が空（か月前で計算）","")&amp;IF(AND(ISNUMBER($O197),$P197="")," / 金額の区分が空","")&amp;IF(AND($T197&lt;&gt;"",NOT(ISNUMBER($U197)))," / 対応を決めた日が空","")&amp;IF(AND(ISNUMBER($U197),$T197="")," / 今期の対応が空","")&amp;IF(AND($T197="更新しない",NOT(ISNUMBER($V197)))," / 更新しないなら、解約・終了した日（契約が終わる日）を入れる",""),4,300)</f>
        <v/>
      </c>
      <c r="AG197" s="53" t="n"/>
      <c r="AH197" s="71">
        <f>IF(AND(ISNUMBER($H197),$I197="あり",ISNUMBER($J197)),IF($J197&gt;=1,$H197+1,""),"")</f>
        <v/>
      </c>
      <c r="AI197" s="32">
        <f>IF($AH197="","",(YEAR('設定'!$B$6)-YEAR($AH197))*12+MONTH('設定'!$B$6)-MONTH($AH197))</f>
        <v/>
      </c>
      <c r="AJ197" s="32">
        <f>IF($AH197="","",MAX(1,ROUNDUP($AI197/$J197,0)))</f>
        <v/>
      </c>
      <c r="AK197" s="71">
        <f>IF($AJ197="","",IF(DAY(EDATE($AH197,$AJ197*$J197))&lt;DAY($AH197),EDATE($AH197,$AJ197*$J197),EDATE($AH197,$AJ197*$J197)-1))</f>
        <v/>
      </c>
      <c r="AL197" s="71">
        <f>IF($AJ197="","",IF(DAY(EDATE($AH197,($AJ197+1)*$J197))&lt;DAY($AH197),EDATE($AH197,($AJ197+1)*$J197),EDATE($AH197,($AJ197+1)*$J197)-1))</f>
        <v/>
      </c>
      <c r="AM197" s="71">
        <f>IF($AJ197="","",IF($AJ197=1,$H197,IF(DAY(EDATE($AH197,($AJ197-1)*$J197))&lt;DAY($AH197),EDATE($AH197,($AJ197-1)*$J197),EDATE($AH197,($AJ197-1)*$J197)-1)))</f>
        <v/>
      </c>
      <c r="AN197" s="32">
        <f>IF(NOT(ISNUMBER($H197)),"",IF(OR($AH197="",$H197&gt;='設定'!$B$6),0,IF($AK197&gt;='設定'!$B$6,$AJ197,$AJ197+1)))</f>
        <v/>
      </c>
      <c r="AO197" s="71">
        <f>IF($AN197="","",IF($AN197=0,"",IF($AN197=$AJ197,$AM197,$AK197)))</f>
        <v/>
      </c>
      <c r="AP197" s="32">
        <f>IF(OR($AC197="要対応",$AC197="通知期限切れ",$AC197="確認済み",$AC197="有効",$AC197="終了予定"),1,0)</f>
        <v/>
      </c>
      <c r="AQ197" s="32">
        <f>IF(OR($AC197="要対応",$AC197="通知期限切れ"),1,0)</f>
        <v/>
      </c>
      <c r="AR197" s="72">
        <f>IF(AND(ISNUMBER($AB197),OR($AC197="要対応",$AC197="通知期限切れ",$AC197="確認済み",$AC197="有効")),$AB197+ROW()/100000,"")</f>
        <v/>
      </c>
      <c r="AS197" s="32">
        <f>IF($E197="","",IF(COUNTIF($E$5:$E197,$E197)=1,ROW(),""))</f>
        <v/>
      </c>
      <c r="AT197" s="32">
        <f>IF($S197="","",IF(COUNTIF($S$5:$S197,$S197)=1,ROW(),""))</f>
        <v/>
      </c>
    </row>
    <row r="198" ht="20" customHeight="1">
      <c r="A198" s="20" t="n">
        <v>194</v>
      </c>
      <c r="B198" s="21" t="n"/>
      <c r="C198" s="22" t="n"/>
      <c r="D198" s="22" t="n"/>
      <c r="E198" s="22" t="n"/>
      <c r="F198" s="66" t="n"/>
      <c r="G198" s="66" t="n"/>
      <c r="H198" s="66" t="n"/>
      <c r="I198" s="21" t="n"/>
      <c r="J198" s="24" t="n"/>
      <c r="K198" s="24" t="n"/>
      <c r="L198" s="21" t="n"/>
      <c r="M198" s="24" t="n"/>
      <c r="N198" s="21" t="n"/>
      <c r="O198" s="67" t="n"/>
      <c r="P198" s="21" t="n"/>
      <c r="Q198" s="21" t="n"/>
      <c r="R198" s="22" t="n"/>
      <c r="S198" s="22" t="n"/>
      <c r="T198" s="21" t="n"/>
      <c r="U198" s="66" t="n"/>
      <c r="V198" s="66" t="n"/>
      <c r="W198" s="66" t="n"/>
      <c r="X198" s="8" t="n"/>
      <c r="Y198" s="68">
        <f>IF($AN198="","",IF($AN198=0,$H198,IF($AN198=$AJ198,$AK198,$AL198)))</f>
        <v/>
      </c>
      <c r="Z198" s="68">
        <f>IF(OR($Y198="",NOT(ISNUMBER($K198))),"",IF($L198="日前",$Y198-$K198,EDATE($Y198,-$K198)))</f>
        <v/>
      </c>
      <c r="AA198" s="68">
        <f>IF(OR($Y198="",ISNUMBER($V198),N($Y198)&lt;'設定'!$B$6),"",IF($Z198&lt;&gt;"",$Z198,$Y198))</f>
        <v/>
      </c>
      <c r="AB198" s="69">
        <f>IF($AA198="","",$AA198-'設定'!$B$6)</f>
        <v/>
      </c>
      <c r="AC198" s="28">
        <f>IF(NOT(OR($B198&lt;&gt;"",$C198&lt;&gt;"")),"",IF(ISNUMBER($V198),IF($V198&lt;'設定'!$B$6,"終了","終了予定"),IF($Y198="","有効",IF($Y198&lt;'設定'!$B$6,"満了",IF(AND($T198="更新する",ISNUMBER($U198),N($U198)&lt;='設定'!$B$6,OR($AO198="",N($U198)&gt;N($AO198))),"確認済み",IF($AB198&lt;0,"通知期限切れ",IF($AB198&lt;=N('設定'!$B$7),"要対応","有効")))))))</f>
        <v/>
      </c>
      <c r="AD198" s="68">
        <f>IF(OR(NOT(ISNUMBER($M198)),$AC198="",$AC198="終了",$AC198="終了予定",$AC198="満了"),"",IF($N198="日前",'設定'!$B$6+$M198,EDATE('設定'!$B$6,$M198)))</f>
        <v/>
      </c>
      <c r="AE198" s="70">
        <f>IF(NOT(ISNUMBER($O198)),"",IF($P198="月額",$O198*12,IF($P198="年額",$O198,"")))</f>
        <v/>
      </c>
      <c r="AF198" s="30">
        <f>MID(IF(AND(ISNUMBER($G198),ISNUMBER($H198)),IF(N($H198)&lt;N($G198)," / 満了日が開始日より前",""),"")&amp;IF(AND($I198="あり",NOT(ISNUMBER($H198)))," / 自動更新ありなのに満了日が空","")&amp;IF(AND($I198="あり",ISNUMBER($H198),NOT(ISNUMBER($J198)))," / 更新期間が空（更新を計算できない）","")&amp;IF($AH198="","",IF(AND(DAY($AH198)&gt;=29,OR(MOD($J198,12)&lt;&gt;0,MONTH($AH198)=2))," / 更新の初日が29〜31日（更新を重ねると満了日が1日ずれることがある。満了日を今の期間の満了日に書き換えると直る）",""))&amp;IF(AND(ISNUMBER($K198),$L198="")," / 通知の単位が空（か月前で計算）","")&amp;IF(AND(ISNUMBER($M198),$N198="")," / 解約予告の単位が空（か月前で計算）","")&amp;IF(AND(ISNUMBER($O198),$P198="")," / 金額の区分が空","")&amp;IF(AND($T198&lt;&gt;"",NOT(ISNUMBER($U198)))," / 対応を決めた日が空","")&amp;IF(AND(ISNUMBER($U198),$T198="")," / 今期の対応が空","")&amp;IF(AND($T198="更新しない",NOT(ISNUMBER($V198)))," / 更新しないなら、解約・終了した日（契約が終わる日）を入れる",""),4,300)</f>
        <v/>
      </c>
      <c r="AG198" s="53" t="n"/>
      <c r="AH198" s="71">
        <f>IF(AND(ISNUMBER($H198),$I198="あり",ISNUMBER($J198)),IF($J198&gt;=1,$H198+1,""),"")</f>
        <v/>
      </c>
      <c r="AI198" s="32">
        <f>IF($AH198="","",(YEAR('設定'!$B$6)-YEAR($AH198))*12+MONTH('設定'!$B$6)-MONTH($AH198))</f>
        <v/>
      </c>
      <c r="AJ198" s="32">
        <f>IF($AH198="","",MAX(1,ROUNDUP($AI198/$J198,0)))</f>
        <v/>
      </c>
      <c r="AK198" s="71">
        <f>IF($AJ198="","",IF(DAY(EDATE($AH198,$AJ198*$J198))&lt;DAY($AH198),EDATE($AH198,$AJ198*$J198),EDATE($AH198,$AJ198*$J198)-1))</f>
        <v/>
      </c>
      <c r="AL198" s="71">
        <f>IF($AJ198="","",IF(DAY(EDATE($AH198,($AJ198+1)*$J198))&lt;DAY($AH198),EDATE($AH198,($AJ198+1)*$J198),EDATE($AH198,($AJ198+1)*$J198)-1))</f>
        <v/>
      </c>
      <c r="AM198" s="71">
        <f>IF($AJ198="","",IF($AJ198=1,$H198,IF(DAY(EDATE($AH198,($AJ198-1)*$J198))&lt;DAY($AH198),EDATE($AH198,($AJ198-1)*$J198),EDATE($AH198,($AJ198-1)*$J198)-1)))</f>
        <v/>
      </c>
      <c r="AN198" s="32">
        <f>IF(NOT(ISNUMBER($H198)),"",IF(OR($AH198="",$H198&gt;='設定'!$B$6),0,IF($AK198&gt;='設定'!$B$6,$AJ198,$AJ198+1)))</f>
        <v/>
      </c>
      <c r="AO198" s="71">
        <f>IF($AN198="","",IF($AN198=0,"",IF($AN198=$AJ198,$AM198,$AK198)))</f>
        <v/>
      </c>
      <c r="AP198" s="32">
        <f>IF(OR($AC198="要対応",$AC198="通知期限切れ",$AC198="確認済み",$AC198="有効",$AC198="終了予定"),1,0)</f>
        <v/>
      </c>
      <c r="AQ198" s="32">
        <f>IF(OR($AC198="要対応",$AC198="通知期限切れ"),1,0)</f>
        <v/>
      </c>
      <c r="AR198" s="72">
        <f>IF(AND(ISNUMBER($AB198),OR($AC198="要対応",$AC198="通知期限切れ",$AC198="確認済み",$AC198="有効")),$AB198+ROW()/100000,"")</f>
        <v/>
      </c>
      <c r="AS198" s="32">
        <f>IF($E198="","",IF(COUNTIF($E$5:$E198,$E198)=1,ROW(),""))</f>
        <v/>
      </c>
      <c r="AT198" s="32">
        <f>IF($S198="","",IF(COUNTIF($S$5:$S198,$S198)=1,ROW(),""))</f>
        <v/>
      </c>
    </row>
    <row r="199" ht="20" customHeight="1">
      <c r="A199" s="20" t="n">
        <v>195</v>
      </c>
      <c r="B199" s="21" t="n"/>
      <c r="C199" s="22" t="n"/>
      <c r="D199" s="22" t="n"/>
      <c r="E199" s="22" t="n"/>
      <c r="F199" s="66" t="n"/>
      <c r="G199" s="66" t="n"/>
      <c r="H199" s="66" t="n"/>
      <c r="I199" s="21" t="n"/>
      <c r="J199" s="24" t="n"/>
      <c r="K199" s="24" t="n"/>
      <c r="L199" s="21" t="n"/>
      <c r="M199" s="24" t="n"/>
      <c r="N199" s="21" t="n"/>
      <c r="O199" s="67" t="n"/>
      <c r="P199" s="21" t="n"/>
      <c r="Q199" s="21" t="n"/>
      <c r="R199" s="22" t="n"/>
      <c r="S199" s="22" t="n"/>
      <c r="T199" s="21" t="n"/>
      <c r="U199" s="66" t="n"/>
      <c r="V199" s="66" t="n"/>
      <c r="W199" s="66" t="n"/>
      <c r="X199" s="8" t="n"/>
      <c r="Y199" s="68">
        <f>IF($AN199="","",IF($AN199=0,$H199,IF($AN199=$AJ199,$AK199,$AL199)))</f>
        <v/>
      </c>
      <c r="Z199" s="68">
        <f>IF(OR($Y199="",NOT(ISNUMBER($K199))),"",IF($L199="日前",$Y199-$K199,EDATE($Y199,-$K199)))</f>
        <v/>
      </c>
      <c r="AA199" s="68">
        <f>IF(OR($Y199="",ISNUMBER($V199),N($Y199)&lt;'設定'!$B$6),"",IF($Z199&lt;&gt;"",$Z199,$Y199))</f>
        <v/>
      </c>
      <c r="AB199" s="69">
        <f>IF($AA199="","",$AA199-'設定'!$B$6)</f>
        <v/>
      </c>
      <c r="AC199" s="28">
        <f>IF(NOT(OR($B199&lt;&gt;"",$C199&lt;&gt;"")),"",IF(ISNUMBER($V199),IF($V199&lt;'設定'!$B$6,"終了","終了予定"),IF($Y199="","有効",IF($Y199&lt;'設定'!$B$6,"満了",IF(AND($T199="更新する",ISNUMBER($U199),N($U199)&lt;='設定'!$B$6,OR($AO199="",N($U199)&gt;N($AO199))),"確認済み",IF($AB199&lt;0,"通知期限切れ",IF($AB199&lt;=N('設定'!$B$7),"要対応","有効")))))))</f>
        <v/>
      </c>
      <c r="AD199" s="68">
        <f>IF(OR(NOT(ISNUMBER($M199)),$AC199="",$AC199="終了",$AC199="終了予定",$AC199="満了"),"",IF($N199="日前",'設定'!$B$6+$M199,EDATE('設定'!$B$6,$M199)))</f>
        <v/>
      </c>
      <c r="AE199" s="70">
        <f>IF(NOT(ISNUMBER($O199)),"",IF($P199="月額",$O199*12,IF($P199="年額",$O199,"")))</f>
        <v/>
      </c>
      <c r="AF199" s="30">
        <f>MID(IF(AND(ISNUMBER($G199),ISNUMBER($H199)),IF(N($H199)&lt;N($G199)," / 満了日が開始日より前",""),"")&amp;IF(AND($I199="あり",NOT(ISNUMBER($H199)))," / 自動更新ありなのに満了日が空","")&amp;IF(AND($I199="あり",ISNUMBER($H199),NOT(ISNUMBER($J199)))," / 更新期間が空（更新を計算できない）","")&amp;IF($AH199="","",IF(AND(DAY($AH199)&gt;=29,OR(MOD($J199,12)&lt;&gt;0,MONTH($AH199)=2))," / 更新の初日が29〜31日（更新を重ねると満了日が1日ずれることがある。満了日を今の期間の満了日に書き換えると直る）",""))&amp;IF(AND(ISNUMBER($K199),$L199="")," / 通知の単位が空（か月前で計算）","")&amp;IF(AND(ISNUMBER($M199),$N199="")," / 解約予告の単位が空（か月前で計算）","")&amp;IF(AND(ISNUMBER($O199),$P199="")," / 金額の区分が空","")&amp;IF(AND($T199&lt;&gt;"",NOT(ISNUMBER($U199)))," / 対応を決めた日が空","")&amp;IF(AND(ISNUMBER($U199),$T199="")," / 今期の対応が空","")&amp;IF(AND($T199="更新しない",NOT(ISNUMBER($V199)))," / 更新しないなら、解約・終了した日（契約が終わる日）を入れる",""),4,300)</f>
        <v/>
      </c>
      <c r="AG199" s="53" t="n"/>
      <c r="AH199" s="71">
        <f>IF(AND(ISNUMBER($H199),$I199="あり",ISNUMBER($J199)),IF($J199&gt;=1,$H199+1,""),"")</f>
        <v/>
      </c>
      <c r="AI199" s="32">
        <f>IF($AH199="","",(YEAR('設定'!$B$6)-YEAR($AH199))*12+MONTH('設定'!$B$6)-MONTH($AH199))</f>
        <v/>
      </c>
      <c r="AJ199" s="32">
        <f>IF($AH199="","",MAX(1,ROUNDUP($AI199/$J199,0)))</f>
        <v/>
      </c>
      <c r="AK199" s="71">
        <f>IF($AJ199="","",IF(DAY(EDATE($AH199,$AJ199*$J199))&lt;DAY($AH199),EDATE($AH199,$AJ199*$J199),EDATE($AH199,$AJ199*$J199)-1))</f>
        <v/>
      </c>
      <c r="AL199" s="71">
        <f>IF($AJ199="","",IF(DAY(EDATE($AH199,($AJ199+1)*$J199))&lt;DAY($AH199),EDATE($AH199,($AJ199+1)*$J199),EDATE($AH199,($AJ199+1)*$J199)-1))</f>
        <v/>
      </c>
      <c r="AM199" s="71">
        <f>IF($AJ199="","",IF($AJ199=1,$H199,IF(DAY(EDATE($AH199,($AJ199-1)*$J199))&lt;DAY($AH199),EDATE($AH199,($AJ199-1)*$J199),EDATE($AH199,($AJ199-1)*$J199)-1)))</f>
        <v/>
      </c>
      <c r="AN199" s="32">
        <f>IF(NOT(ISNUMBER($H199)),"",IF(OR($AH199="",$H199&gt;='設定'!$B$6),0,IF($AK199&gt;='設定'!$B$6,$AJ199,$AJ199+1)))</f>
        <v/>
      </c>
      <c r="AO199" s="71">
        <f>IF($AN199="","",IF($AN199=0,"",IF($AN199=$AJ199,$AM199,$AK199)))</f>
        <v/>
      </c>
      <c r="AP199" s="32">
        <f>IF(OR($AC199="要対応",$AC199="通知期限切れ",$AC199="確認済み",$AC199="有効",$AC199="終了予定"),1,0)</f>
        <v/>
      </c>
      <c r="AQ199" s="32">
        <f>IF(OR($AC199="要対応",$AC199="通知期限切れ"),1,0)</f>
        <v/>
      </c>
      <c r="AR199" s="72">
        <f>IF(AND(ISNUMBER($AB199),OR($AC199="要対応",$AC199="通知期限切れ",$AC199="確認済み",$AC199="有効")),$AB199+ROW()/100000,"")</f>
        <v/>
      </c>
      <c r="AS199" s="32">
        <f>IF($E199="","",IF(COUNTIF($E$5:$E199,$E199)=1,ROW(),""))</f>
        <v/>
      </c>
      <c r="AT199" s="32">
        <f>IF($S199="","",IF(COUNTIF($S$5:$S199,$S199)=1,ROW(),""))</f>
        <v/>
      </c>
    </row>
    <row r="200" ht="20" customHeight="1">
      <c r="A200" s="20" t="n">
        <v>196</v>
      </c>
      <c r="B200" s="21" t="n"/>
      <c r="C200" s="22" t="n"/>
      <c r="D200" s="22" t="n"/>
      <c r="E200" s="22" t="n"/>
      <c r="F200" s="66" t="n"/>
      <c r="G200" s="66" t="n"/>
      <c r="H200" s="66" t="n"/>
      <c r="I200" s="21" t="n"/>
      <c r="J200" s="24" t="n"/>
      <c r="K200" s="24" t="n"/>
      <c r="L200" s="21" t="n"/>
      <c r="M200" s="24" t="n"/>
      <c r="N200" s="21" t="n"/>
      <c r="O200" s="67" t="n"/>
      <c r="P200" s="21" t="n"/>
      <c r="Q200" s="21" t="n"/>
      <c r="R200" s="22" t="n"/>
      <c r="S200" s="22" t="n"/>
      <c r="T200" s="21" t="n"/>
      <c r="U200" s="66" t="n"/>
      <c r="V200" s="66" t="n"/>
      <c r="W200" s="66" t="n"/>
      <c r="X200" s="8" t="n"/>
      <c r="Y200" s="68">
        <f>IF($AN200="","",IF($AN200=0,$H200,IF($AN200=$AJ200,$AK200,$AL200)))</f>
        <v/>
      </c>
      <c r="Z200" s="68">
        <f>IF(OR($Y200="",NOT(ISNUMBER($K200))),"",IF($L200="日前",$Y200-$K200,EDATE($Y200,-$K200)))</f>
        <v/>
      </c>
      <c r="AA200" s="68">
        <f>IF(OR($Y200="",ISNUMBER($V200),N($Y200)&lt;'設定'!$B$6),"",IF($Z200&lt;&gt;"",$Z200,$Y200))</f>
        <v/>
      </c>
      <c r="AB200" s="69">
        <f>IF($AA200="","",$AA200-'設定'!$B$6)</f>
        <v/>
      </c>
      <c r="AC200" s="28">
        <f>IF(NOT(OR($B200&lt;&gt;"",$C200&lt;&gt;"")),"",IF(ISNUMBER($V200),IF($V200&lt;'設定'!$B$6,"終了","終了予定"),IF($Y200="","有効",IF($Y200&lt;'設定'!$B$6,"満了",IF(AND($T200="更新する",ISNUMBER($U200),N($U200)&lt;='設定'!$B$6,OR($AO200="",N($U200)&gt;N($AO200))),"確認済み",IF($AB200&lt;0,"通知期限切れ",IF($AB200&lt;=N('設定'!$B$7),"要対応","有効")))))))</f>
        <v/>
      </c>
      <c r="AD200" s="68">
        <f>IF(OR(NOT(ISNUMBER($M200)),$AC200="",$AC200="終了",$AC200="終了予定",$AC200="満了"),"",IF($N200="日前",'設定'!$B$6+$M200,EDATE('設定'!$B$6,$M200)))</f>
        <v/>
      </c>
      <c r="AE200" s="70">
        <f>IF(NOT(ISNUMBER($O200)),"",IF($P200="月額",$O200*12,IF($P200="年額",$O200,"")))</f>
        <v/>
      </c>
      <c r="AF200" s="30">
        <f>MID(IF(AND(ISNUMBER($G200),ISNUMBER($H200)),IF(N($H200)&lt;N($G200)," / 満了日が開始日より前",""),"")&amp;IF(AND($I200="あり",NOT(ISNUMBER($H200)))," / 自動更新ありなのに満了日が空","")&amp;IF(AND($I200="あり",ISNUMBER($H200),NOT(ISNUMBER($J200)))," / 更新期間が空（更新を計算できない）","")&amp;IF($AH200="","",IF(AND(DAY($AH200)&gt;=29,OR(MOD($J200,12)&lt;&gt;0,MONTH($AH200)=2))," / 更新の初日が29〜31日（更新を重ねると満了日が1日ずれることがある。満了日を今の期間の満了日に書き換えると直る）",""))&amp;IF(AND(ISNUMBER($K200),$L200="")," / 通知の単位が空（か月前で計算）","")&amp;IF(AND(ISNUMBER($M200),$N200="")," / 解約予告の単位が空（か月前で計算）","")&amp;IF(AND(ISNUMBER($O200),$P200="")," / 金額の区分が空","")&amp;IF(AND($T200&lt;&gt;"",NOT(ISNUMBER($U200)))," / 対応を決めた日が空","")&amp;IF(AND(ISNUMBER($U200),$T200="")," / 今期の対応が空","")&amp;IF(AND($T200="更新しない",NOT(ISNUMBER($V200)))," / 更新しないなら、解約・終了した日（契約が終わる日）を入れる",""),4,300)</f>
        <v/>
      </c>
      <c r="AG200" s="53" t="n"/>
      <c r="AH200" s="71">
        <f>IF(AND(ISNUMBER($H200),$I200="あり",ISNUMBER($J200)),IF($J200&gt;=1,$H200+1,""),"")</f>
        <v/>
      </c>
      <c r="AI200" s="32">
        <f>IF($AH200="","",(YEAR('設定'!$B$6)-YEAR($AH200))*12+MONTH('設定'!$B$6)-MONTH($AH200))</f>
        <v/>
      </c>
      <c r="AJ200" s="32">
        <f>IF($AH200="","",MAX(1,ROUNDUP($AI200/$J200,0)))</f>
        <v/>
      </c>
      <c r="AK200" s="71">
        <f>IF($AJ200="","",IF(DAY(EDATE($AH200,$AJ200*$J200))&lt;DAY($AH200),EDATE($AH200,$AJ200*$J200),EDATE($AH200,$AJ200*$J200)-1))</f>
        <v/>
      </c>
      <c r="AL200" s="71">
        <f>IF($AJ200="","",IF(DAY(EDATE($AH200,($AJ200+1)*$J200))&lt;DAY($AH200),EDATE($AH200,($AJ200+1)*$J200),EDATE($AH200,($AJ200+1)*$J200)-1))</f>
        <v/>
      </c>
      <c r="AM200" s="71">
        <f>IF($AJ200="","",IF($AJ200=1,$H200,IF(DAY(EDATE($AH200,($AJ200-1)*$J200))&lt;DAY($AH200),EDATE($AH200,($AJ200-1)*$J200),EDATE($AH200,($AJ200-1)*$J200)-1)))</f>
        <v/>
      </c>
      <c r="AN200" s="32">
        <f>IF(NOT(ISNUMBER($H200)),"",IF(OR($AH200="",$H200&gt;='設定'!$B$6),0,IF($AK200&gt;='設定'!$B$6,$AJ200,$AJ200+1)))</f>
        <v/>
      </c>
      <c r="AO200" s="71">
        <f>IF($AN200="","",IF($AN200=0,"",IF($AN200=$AJ200,$AM200,$AK200)))</f>
        <v/>
      </c>
      <c r="AP200" s="32">
        <f>IF(OR($AC200="要対応",$AC200="通知期限切れ",$AC200="確認済み",$AC200="有効",$AC200="終了予定"),1,0)</f>
        <v/>
      </c>
      <c r="AQ200" s="32">
        <f>IF(OR($AC200="要対応",$AC200="通知期限切れ"),1,0)</f>
        <v/>
      </c>
      <c r="AR200" s="72">
        <f>IF(AND(ISNUMBER($AB200),OR($AC200="要対応",$AC200="通知期限切れ",$AC200="確認済み",$AC200="有効")),$AB200+ROW()/100000,"")</f>
        <v/>
      </c>
      <c r="AS200" s="32">
        <f>IF($E200="","",IF(COUNTIF($E$5:$E200,$E200)=1,ROW(),""))</f>
        <v/>
      </c>
      <c r="AT200" s="32">
        <f>IF($S200="","",IF(COUNTIF($S$5:$S200,$S200)=1,ROW(),""))</f>
        <v/>
      </c>
    </row>
    <row r="201" ht="20" customHeight="1">
      <c r="A201" s="20" t="n">
        <v>197</v>
      </c>
      <c r="B201" s="21" t="n"/>
      <c r="C201" s="22" t="n"/>
      <c r="D201" s="22" t="n"/>
      <c r="E201" s="22" t="n"/>
      <c r="F201" s="66" t="n"/>
      <c r="G201" s="66" t="n"/>
      <c r="H201" s="66" t="n"/>
      <c r="I201" s="21" t="n"/>
      <c r="J201" s="24" t="n"/>
      <c r="K201" s="24" t="n"/>
      <c r="L201" s="21" t="n"/>
      <c r="M201" s="24" t="n"/>
      <c r="N201" s="21" t="n"/>
      <c r="O201" s="67" t="n"/>
      <c r="P201" s="21" t="n"/>
      <c r="Q201" s="21" t="n"/>
      <c r="R201" s="22" t="n"/>
      <c r="S201" s="22" t="n"/>
      <c r="T201" s="21" t="n"/>
      <c r="U201" s="66" t="n"/>
      <c r="V201" s="66" t="n"/>
      <c r="W201" s="66" t="n"/>
      <c r="X201" s="8" t="n"/>
      <c r="Y201" s="68">
        <f>IF($AN201="","",IF($AN201=0,$H201,IF($AN201=$AJ201,$AK201,$AL201)))</f>
        <v/>
      </c>
      <c r="Z201" s="68">
        <f>IF(OR($Y201="",NOT(ISNUMBER($K201))),"",IF($L201="日前",$Y201-$K201,EDATE($Y201,-$K201)))</f>
        <v/>
      </c>
      <c r="AA201" s="68">
        <f>IF(OR($Y201="",ISNUMBER($V201),N($Y201)&lt;'設定'!$B$6),"",IF($Z201&lt;&gt;"",$Z201,$Y201))</f>
        <v/>
      </c>
      <c r="AB201" s="69">
        <f>IF($AA201="","",$AA201-'設定'!$B$6)</f>
        <v/>
      </c>
      <c r="AC201" s="28">
        <f>IF(NOT(OR($B201&lt;&gt;"",$C201&lt;&gt;"")),"",IF(ISNUMBER($V201),IF($V201&lt;'設定'!$B$6,"終了","終了予定"),IF($Y201="","有効",IF($Y201&lt;'設定'!$B$6,"満了",IF(AND($T201="更新する",ISNUMBER($U201),N($U201)&lt;='設定'!$B$6,OR($AO201="",N($U201)&gt;N($AO201))),"確認済み",IF($AB201&lt;0,"通知期限切れ",IF($AB201&lt;=N('設定'!$B$7),"要対応","有効")))))))</f>
        <v/>
      </c>
      <c r="AD201" s="68">
        <f>IF(OR(NOT(ISNUMBER($M201)),$AC201="",$AC201="終了",$AC201="終了予定",$AC201="満了"),"",IF($N201="日前",'設定'!$B$6+$M201,EDATE('設定'!$B$6,$M201)))</f>
        <v/>
      </c>
      <c r="AE201" s="70">
        <f>IF(NOT(ISNUMBER($O201)),"",IF($P201="月額",$O201*12,IF($P201="年額",$O201,"")))</f>
        <v/>
      </c>
      <c r="AF201" s="30">
        <f>MID(IF(AND(ISNUMBER($G201),ISNUMBER($H201)),IF(N($H201)&lt;N($G201)," / 満了日が開始日より前",""),"")&amp;IF(AND($I201="あり",NOT(ISNUMBER($H201)))," / 自動更新ありなのに満了日が空","")&amp;IF(AND($I201="あり",ISNUMBER($H201),NOT(ISNUMBER($J201)))," / 更新期間が空（更新を計算できない）","")&amp;IF($AH201="","",IF(AND(DAY($AH201)&gt;=29,OR(MOD($J201,12)&lt;&gt;0,MONTH($AH201)=2))," / 更新の初日が29〜31日（更新を重ねると満了日が1日ずれることがある。満了日を今の期間の満了日に書き換えると直る）",""))&amp;IF(AND(ISNUMBER($K201),$L201="")," / 通知の単位が空（か月前で計算）","")&amp;IF(AND(ISNUMBER($M201),$N201="")," / 解約予告の単位が空（か月前で計算）","")&amp;IF(AND(ISNUMBER($O201),$P201="")," / 金額の区分が空","")&amp;IF(AND($T201&lt;&gt;"",NOT(ISNUMBER($U201)))," / 対応を決めた日が空","")&amp;IF(AND(ISNUMBER($U201),$T201="")," / 今期の対応が空","")&amp;IF(AND($T201="更新しない",NOT(ISNUMBER($V201)))," / 更新しないなら、解約・終了した日（契約が終わる日）を入れる",""),4,300)</f>
        <v/>
      </c>
      <c r="AG201" s="53" t="n"/>
      <c r="AH201" s="71">
        <f>IF(AND(ISNUMBER($H201),$I201="あり",ISNUMBER($J201)),IF($J201&gt;=1,$H201+1,""),"")</f>
        <v/>
      </c>
      <c r="AI201" s="32">
        <f>IF($AH201="","",(YEAR('設定'!$B$6)-YEAR($AH201))*12+MONTH('設定'!$B$6)-MONTH($AH201))</f>
        <v/>
      </c>
      <c r="AJ201" s="32">
        <f>IF($AH201="","",MAX(1,ROUNDUP($AI201/$J201,0)))</f>
        <v/>
      </c>
      <c r="AK201" s="71">
        <f>IF($AJ201="","",IF(DAY(EDATE($AH201,$AJ201*$J201))&lt;DAY($AH201),EDATE($AH201,$AJ201*$J201),EDATE($AH201,$AJ201*$J201)-1))</f>
        <v/>
      </c>
      <c r="AL201" s="71">
        <f>IF($AJ201="","",IF(DAY(EDATE($AH201,($AJ201+1)*$J201))&lt;DAY($AH201),EDATE($AH201,($AJ201+1)*$J201),EDATE($AH201,($AJ201+1)*$J201)-1))</f>
        <v/>
      </c>
      <c r="AM201" s="71">
        <f>IF($AJ201="","",IF($AJ201=1,$H201,IF(DAY(EDATE($AH201,($AJ201-1)*$J201))&lt;DAY($AH201),EDATE($AH201,($AJ201-1)*$J201),EDATE($AH201,($AJ201-1)*$J201)-1)))</f>
        <v/>
      </c>
      <c r="AN201" s="32">
        <f>IF(NOT(ISNUMBER($H201)),"",IF(OR($AH201="",$H201&gt;='設定'!$B$6),0,IF($AK201&gt;='設定'!$B$6,$AJ201,$AJ201+1)))</f>
        <v/>
      </c>
      <c r="AO201" s="71">
        <f>IF($AN201="","",IF($AN201=0,"",IF($AN201=$AJ201,$AM201,$AK201)))</f>
        <v/>
      </c>
      <c r="AP201" s="32">
        <f>IF(OR($AC201="要対応",$AC201="通知期限切れ",$AC201="確認済み",$AC201="有効",$AC201="終了予定"),1,0)</f>
        <v/>
      </c>
      <c r="AQ201" s="32">
        <f>IF(OR($AC201="要対応",$AC201="通知期限切れ"),1,0)</f>
        <v/>
      </c>
      <c r="AR201" s="72">
        <f>IF(AND(ISNUMBER($AB201),OR($AC201="要対応",$AC201="通知期限切れ",$AC201="確認済み",$AC201="有効")),$AB201+ROW()/100000,"")</f>
        <v/>
      </c>
      <c r="AS201" s="32">
        <f>IF($E201="","",IF(COUNTIF($E$5:$E201,$E201)=1,ROW(),""))</f>
        <v/>
      </c>
      <c r="AT201" s="32">
        <f>IF($S201="","",IF(COUNTIF($S$5:$S201,$S201)=1,ROW(),""))</f>
        <v/>
      </c>
    </row>
    <row r="202" ht="20" customHeight="1">
      <c r="A202" s="20" t="n">
        <v>198</v>
      </c>
      <c r="B202" s="21" t="n"/>
      <c r="C202" s="22" t="n"/>
      <c r="D202" s="22" t="n"/>
      <c r="E202" s="22" t="n"/>
      <c r="F202" s="66" t="n"/>
      <c r="G202" s="66" t="n"/>
      <c r="H202" s="66" t="n"/>
      <c r="I202" s="21" t="n"/>
      <c r="J202" s="24" t="n"/>
      <c r="K202" s="24" t="n"/>
      <c r="L202" s="21" t="n"/>
      <c r="M202" s="24" t="n"/>
      <c r="N202" s="21" t="n"/>
      <c r="O202" s="67" t="n"/>
      <c r="P202" s="21" t="n"/>
      <c r="Q202" s="21" t="n"/>
      <c r="R202" s="22" t="n"/>
      <c r="S202" s="22" t="n"/>
      <c r="T202" s="21" t="n"/>
      <c r="U202" s="66" t="n"/>
      <c r="V202" s="66" t="n"/>
      <c r="W202" s="66" t="n"/>
      <c r="X202" s="8" t="n"/>
      <c r="Y202" s="68">
        <f>IF($AN202="","",IF($AN202=0,$H202,IF($AN202=$AJ202,$AK202,$AL202)))</f>
        <v/>
      </c>
      <c r="Z202" s="68">
        <f>IF(OR($Y202="",NOT(ISNUMBER($K202))),"",IF($L202="日前",$Y202-$K202,EDATE($Y202,-$K202)))</f>
        <v/>
      </c>
      <c r="AA202" s="68">
        <f>IF(OR($Y202="",ISNUMBER($V202),N($Y202)&lt;'設定'!$B$6),"",IF($Z202&lt;&gt;"",$Z202,$Y202))</f>
        <v/>
      </c>
      <c r="AB202" s="69">
        <f>IF($AA202="","",$AA202-'設定'!$B$6)</f>
        <v/>
      </c>
      <c r="AC202" s="28">
        <f>IF(NOT(OR($B202&lt;&gt;"",$C202&lt;&gt;"")),"",IF(ISNUMBER($V202),IF($V202&lt;'設定'!$B$6,"終了","終了予定"),IF($Y202="","有効",IF($Y202&lt;'設定'!$B$6,"満了",IF(AND($T202="更新する",ISNUMBER($U202),N($U202)&lt;='設定'!$B$6,OR($AO202="",N($U202)&gt;N($AO202))),"確認済み",IF($AB202&lt;0,"通知期限切れ",IF($AB202&lt;=N('設定'!$B$7),"要対応","有効")))))))</f>
        <v/>
      </c>
      <c r="AD202" s="68">
        <f>IF(OR(NOT(ISNUMBER($M202)),$AC202="",$AC202="終了",$AC202="終了予定",$AC202="満了"),"",IF($N202="日前",'設定'!$B$6+$M202,EDATE('設定'!$B$6,$M202)))</f>
        <v/>
      </c>
      <c r="AE202" s="70">
        <f>IF(NOT(ISNUMBER($O202)),"",IF($P202="月額",$O202*12,IF($P202="年額",$O202,"")))</f>
        <v/>
      </c>
      <c r="AF202" s="30">
        <f>MID(IF(AND(ISNUMBER($G202),ISNUMBER($H202)),IF(N($H202)&lt;N($G202)," / 満了日が開始日より前",""),"")&amp;IF(AND($I202="あり",NOT(ISNUMBER($H202)))," / 自動更新ありなのに満了日が空","")&amp;IF(AND($I202="あり",ISNUMBER($H202),NOT(ISNUMBER($J202)))," / 更新期間が空（更新を計算できない）","")&amp;IF($AH202="","",IF(AND(DAY($AH202)&gt;=29,OR(MOD($J202,12)&lt;&gt;0,MONTH($AH202)=2))," / 更新の初日が29〜31日（更新を重ねると満了日が1日ずれることがある。満了日を今の期間の満了日に書き換えると直る）",""))&amp;IF(AND(ISNUMBER($K202),$L202="")," / 通知の単位が空（か月前で計算）","")&amp;IF(AND(ISNUMBER($M202),$N202="")," / 解約予告の単位が空（か月前で計算）","")&amp;IF(AND(ISNUMBER($O202),$P202="")," / 金額の区分が空","")&amp;IF(AND($T202&lt;&gt;"",NOT(ISNUMBER($U202)))," / 対応を決めた日が空","")&amp;IF(AND(ISNUMBER($U202),$T202="")," / 今期の対応が空","")&amp;IF(AND($T202="更新しない",NOT(ISNUMBER($V202)))," / 更新しないなら、解約・終了した日（契約が終わる日）を入れる",""),4,300)</f>
        <v/>
      </c>
      <c r="AG202" s="53" t="n"/>
      <c r="AH202" s="71">
        <f>IF(AND(ISNUMBER($H202),$I202="あり",ISNUMBER($J202)),IF($J202&gt;=1,$H202+1,""),"")</f>
        <v/>
      </c>
      <c r="AI202" s="32">
        <f>IF($AH202="","",(YEAR('設定'!$B$6)-YEAR($AH202))*12+MONTH('設定'!$B$6)-MONTH($AH202))</f>
        <v/>
      </c>
      <c r="AJ202" s="32">
        <f>IF($AH202="","",MAX(1,ROUNDUP($AI202/$J202,0)))</f>
        <v/>
      </c>
      <c r="AK202" s="71">
        <f>IF($AJ202="","",IF(DAY(EDATE($AH202,$AJ202*$J202))&lt;DAY($AH202),EDATE($AH202,$AJ202*$J202),EDATE($AH202,$AJ202*$J202)-1))</f>
        <v/>
      </c>
      <c r="AL202" s="71">
        <f>IF($AJ202="","",IF(DAY(EDATE($AH202,($AJ202+1)*$J202))&lt;DAY($AH202),EDATE($AH202,($AJ202+1)*$J202),EDATE($AH202,($AJ202+1)*$J202)-1))</f>
        <v/>
      </c>
      <c r="AM202" s="71">
        <f>IF($AJ202="","",IF($AJ202=1,$H202,IF(DAY(EDATE($AH202,($AJ202-1)*$J202))&lt;DAY($AH202),EDATE($AH202,($AJ202-1)*$J202),EDATE($AH202,($AJ202-1)*$J202)-1)))</f>
        <v/>
      </c>
      <c r="AN202" s="32">
        <f>IF(NOT(ISNUMBER($H202)),"",IF(OR($AH202="",$H202&gt;='設定'!$B$6),0,IF($AK202&gt;='設定'!$B$6,$AJ202,$AJ202+1)))</f>
        <v/>
      </c>
      <c r="AO202" s="71">
        <f>IF($AN202="","",IF($AN202=0,"",IF($AN202=$AJ202,$AM202,$AK202)))</f>
        <v/>
      </c>
      <c r="AP202" s="32">
        <f>IF(OR($AC202="要対応",$AC202="通知期限切れ",$AC202="確認済み",$AC202="有効",$AC202="終了予定"),1,0)</f>
        <v/>
      </c>
      <c r="AQ202" s="32">
        <f>IF(OR($AC202="要対応",$AC202="通知期限切れ"),1,0)</f>
        <v/>
      </c>
      <c r="AR202" s="72">
        <f>IF(AND(ISNUMBER($AB202),OR($AC202="要対応",$AC202="通知期限切れ",$AC202="確認済み",$AC202="有効")),$AB202+ROW()/100000,"")</f>
        <v/>
      </c>
      <c r="AS202" s="32">
        <f>IF($E202="","",IF(COUNTIF($E$5:$E202,$E202)=1,ROW(),""))</f>
        <v/>
      </c>
      <c r="AT202" s="32">
        <f>IF($S202="","",IF(COUNTIF($S$5:$S202,$S202)=1,ROW(),""))</f>
        <v/>
      </c>
    </row>
    <row r="203" ht="20" customHeight="1">
      <c r="A203" s="20" t="n">
        <v>199</v>
      </c>
      <c r="B203" s="21" t="n"/>
      <c r="C203" s="22" t="n"/>
      <c r="D203" s="22" t="n"/>
      <c r="E203" s="22" t="n"/>
      <c r="F203" s="66" t="n"/>
      <c r="G203" s="66" t="n"/>
      <c r="H203" s="66" t="n"/>
      <c r="I203" s="21" t="n"/>
      <c r="J203" s="24" t="n"/>
      <c r="K203" s="24" t="n"/>
      <c r="L203" s="21" t="n"/>
      <c r="M203" s="24" t="n"/>
      <c r="N203" s="21" t="n"/>
      <c r="O203" s="67" t="n"/>
      <c r="P203" s="21" t="n"/>
      <c r="Q203" s="21" t="n"/>
      <c r="R203" s="22" t="n"/>
      <c r="S203" s="22" t="n"/>
      <c r="T203" s="21" t="n"/>
      <c r="U203" s="66" t="n"/>
      <c r="V203" s="66" t="n"/>
      <c r="W203" s="66" t="n"/>
      <c r="X203" s="8" t="n"/>
      <c r="Y203" s="68">
        <f>IF($AN203="","",IF($AN203=0,$H203,IF($AN203=$AJ203,$AK203,$AL203)))</f>
        <v/>
      </c>
      <c r="Z203" s="68">
        <f>IF(OR($Y203="",NOT(ISNUMBER($K203))),"",IF($L203="日前",$Y203-$K203,EDATE($Y203,-$K203)))</f>
        <v/>
      </c>
      <c r="AA203" s="68">
        <f>IF(OR($Y203="",ISNUMBER($V203),N($Y203)&lt;'設定'!$B$6),"",IF($Z203&lt;&gt;"",$Z203,$Y203))</f>
        <v/>
      </c>
      <c r="AB203" s="69">
        <f>IF($AA203="","",$AA203-'設定'!$B$6)</f>
        <v/>
      </c>
      <c r="AC203" s="28">
        <f>IF(NOT(OR($B203&lt;&gt;"",$C203&lt;&gt;"")),"",IF(ISNUMBER($V203),IF($V203&lt;'設定'!$B$6,"終了","終了予定"),IF($Y203="","有効",IF($Y203&lt;'設定'!$B$6,"満了",IF(AND($T203="更新する",ISNUMBER($U203),N($U203)&lt;='設定'!$B$6,OR($AO203="",N($U203)&gt;N($AO203))),"確認済み",IF($AB203&lt;0,"通知期限切れ",IF($AB203&lt;=N('設定'!$B$7),"要対応","有効")))))))</f>
        <v/>
      </c>
      <c r="AD203" s="68">
        <f>IF(OR(NOT(ISNUMBER($M203)),$AC203="",$AC203="終了",$AC203="終了予定",$AC203="満了"),"",IF($N203="日前",'設定'!$B$6+$M203,EDATE('設定'!$B$6,$M203)))</f>
        <v/>
      </c>
      <c r="AE203" s="70">
        <f>IF(NOT(ISNUMBER($O203)),"",IF($P203="月額",$O203*12,IF($P203="年額",$O203,"")))</f>
        <v/>
      </c>
      <c r="AF203" s="30">
        <f>MID(IF(AND(ISNUMBER($G203),ISNUMBER($H203)),IF(N($H203)&lt;N($G203)," / 満了日が開始日より前",""),"")&amp;IF(AND($I203="あり",NOT(ISNUMBER($H203)))," / 自動更新ありなのに満了日が空","")&amp;IF(AND($I203="あり",ISNUMBER($H203),NOT(ISNUMBER($J203)))," / 更新期間が空（更新を計算できない）","")&amp;IF($AH203="","",IF(AND(DAY($AH203)&gt;=29,OR(MOD($J203,12)&lt;&gt;0,MONTH($AH203)=2))," / 更新の初日が29〜31日（更新を重ねると満了日が1日ずれることがある。満了日を今の期間の満了日に書き換えると直る）",""))&amp;IF(AND(ISNUMBER($K203),$L203="")," / 通知の単位が空（か月前で計算）","")&amp;IF(AND(ISNUMBER($M203),$N203="")," / 解約予告の単位が空（か月前で計算）","")&amp;IF(AND(ISNUMBER($O203),$P203="")," / 金額の区分が空","")&amp;IF(AND($T203&lt;&gt;"",NOT(ISNUMBER($U203)))," / 対応を決めた日が空","")&amp;IF(AND(ISNUMBER($U203),$T203="")," / 今期の対応が空","")&amp;IF(AND($T203="更新しない",NOT(ISNUMBER($V203)))," / 更新しないなら、解約・終了した日（契約が終わる日）を入れる",""),4,300)</f>
        <v/>
      </c>
      <c r="AG203" s="53" t="n"/>
      <c r="AH203" s="71">
        <f>IF(AND(ISNUMBER($H203),$I203="あり",ISNUMBER($J203)),IF($J203&gt;=1,$H203+1,""),"")</f>
        <v/>
      </c>
      <c r="AI203" s="32">
        <f>IF($AH203="","",(YEAR('設定'!$B$6)-YEAR($AH203))*12+MONTH('設定'!$B$6)-MONTH($AH203))</f>
        <v/>
      </c>
      <c r="AJ203" s="32">
        <f>IF($AH203="","",MAX(1,ROUNDUP($AI203/$J203,0)))</f>
        <v/>
      </c>
      <c r="AK203" s="71">
        <f>IF($AJ203="","",IF(DAY(EDATE($AH203,$AJ203*$J203))&lt;DAY($AH203),EDATE($AH203,$AJ203*$J203),EDATE($AH203,$AJ203*$J203)-1))</f>
        <v/>
      </c>
      <c r="AL203" s="71">
        <f>IF($AJ203="","",IF(DAY(EDATE($AH203,($AJ203+1)*$J203))&lt;DAY($AH203),EDATE($AH203,($AJ203+1)*$J203),EDATE($AH203,($AJ203+1)*$J203)-1))</f>
        <v/>
      </c>
      <c r="AM203" s="71">
        <f>IF($AJ203="","",IF($AJ203=1,$H203,IF(DAY(EDATE($AH203,($AJ203-1)*$J203))&lt;DAY($AH203),EDATE($AH203,($AJ203-1)*$J203),EDATE($AH203,($AJ203-1)*$J203)-1)))</f>
        <v/>
      </c>
      <c r="AN203" s="32">
        <f>IF(NOT(ISNUMBER($H203)),"",IF(OR($AH203="",$H203&gt;='設定'!$B$6),0,IF($AK203&gt;='設定'!$B$6,$AJ203,$AJ203+1)))</f>
        <v/>
      </c>
      <c r="AO203" s="71">
        <f>IF($AN203="","",IF($AN203=0,"",IF($AN203=$AJ203,$AM203,$AK203)))</f>
        <v/>
      </c>
      <c r="AP203" s="32">
        <f>IF(OR($AC203="要対応",$AC203="通知期限切れ",$AC203="確認済み",$AC203="有効",$AC203="終了予定"),1,0)</f>
        <v/>
      </c>
      <c r="AQ203" s="32">
        <f>IF(OR($AC203="要対応",$AC203="通知期限切れ"),1,0)</f>
        <v/>
      </c>
      <c r="AR203" s="72">
        <f>IF(AND(ISNUMBER($AB203),OR($AC203="要対応",$AC203="通知期限切れ",$AC203="確認済み",$AC203="有効")),$AB203+ROW()/100000,"")</f>
        <v/>
      </c>
      <c r="AS203" s="32">
        <f>IF($E203="","",IF(COUNTIF($E$5:$E203,$E203)=1,ROW(),""))</f>
        <v/>
      </c>
      <c r="AT203" s="32">
        <f>IF($S203="","",IF(COUNTIF($S$5:$S203,$S203)=1,ROW(),""))</f>
        <v/>
      </c>
    </row>
    <row r="204" ht="20" customHeight="1">
      <c r="A204" s="20" t="n">
        <v>200</v>
      </c>
      <c r="B204" s="21" t="n"/>
      <c r="C204" s="22" t="n"/>
      <c r="D204" s="22" t="n"/>
      <c r="E204" s="22" t="n"/>
      <c r="F204" s="66" t="n"/>
      <c r="G204" s="66" t="n"/>
      <c r="H204" s="66" t="n"/>
      <c r="I204" s="21" t="n"/>
      <c r="J204" s="24" t="n"/>
      <c r="K204" s="24" t="n"/>
      <c r="L204" s="21" t="n"/>
      <c r="M204" s="24" t="n"/>
      <c r="N204" s="21" t="n"/>
      <c r="O204" s="67" t="n"/>
      <c r="P204" s="21" t="n"/>
      <c r="Q204" s="21" t="n"/>
      <c r="R204" s="22" t="n"/>
      <c r="S204" s="22" t="n"/>
      <c r="T204" s="21" t="n"/>
      <c r="U204" s="66" t="n"/>
      <c r="V204" s="66" t="n"/>
      <c r="W204" s="66" t="n"/>
      <c r="X204" s="8" t="n"/>
      <c r="Y204" s="68">
        <f>IF($AN204="","",IF($AN204=0,$H204,IF($AN204=$AJ204,$AK204,$AL204)))</f>
        <v/>
      </c>
      <c r="Z204" s="68">
        <f>IF(OR($Y204="",NOT(ISNUMBER($K204))),"",IF($L204="日前",$Y204-$K204,EDATE($Y204,-$K204)))</f>
        <v/>
      </c>
      <c r="AA204" s="68">
        <f>IF(OR($Y204="",ISNUMBER($V204),N($Y204)&lt;'設定'!$B$6),"",IF($Z204&lt;&gt;"",$Z204,$Y204))</f>
        <v/>
      </c>
      <c r="AB204" s="69">
        <f>IF($AA204="","",$AA204-'設定'!$B$6)</f>
        <v/>
      </c>
      <c r="AC204" s="28">
        <f>IF(NOT(OR($B204&lt;&gt;"",$C204&lt;&gt;"")),"",IF(ISNUMBER($V204),IF($V204&lt;'設定'!$B$6,"終了","終了予定"),IF($Y204="","有効",IF($Y204&lt;'設定'!$B$6,"満了",IF(AND($T204="更新する",ISNUMBER($U204),N($U204)&lt;='設定'!$B$6,OR($AO204="",N($U204)&gt;N($AO204))),"確認済み",IF($AB204&lt;0,"通知期限切れ",IF($AB204&lt;=N('設定'!$B$7),"要対応","有効")))))))</f>
        <v/>
      </c>
      <c r="AD204" s="68">
        <f>IF(OR(NOT(ISNUMBER($M204)),$AC204="",$AC204="終了",$AC204="終了予定",$AC204="満了"),"",IF($N204="日前",'設定'!$B$6+$M204,EDATE('設定'!$B$6,$M204)))</f>
        <v/>
      </c>
      <c r="AE204" s="70">
        <f>IF(NOT(ISNUMBER($O204)),"",IF($P204="月額",$O204*12,IF($P204="年額",$O204,"")))</f>
        <v/>
      </c>
      <c r="AF204" s="30">
        <f>MID(IF(AND(ISNUMBER($G204),ISNUMBER($H204)),IF(N($H204)&lt;N($G204)," / 満了日が開始日より前",""),"")&amp;IF(AND($I204="あり",NOT(ISNUMBER($H204)))," / 自動更新ありなのに満了日が空","")&amp;IF(AND($I204="あり",ISNUMBER($H204),NOT(ISNUMBER($J204)))," / 更新期間が空（更新を計算できない）","")&amp;IF($AH204="","",IF(AND(DAY($AH204)&gt;=29,OR(MOD($J204,12)&lt;&gt;0,MONTH($AH204)=2))," / 更新の初日が29〜31日（更新を重ねると満了日が1日ずれることがある。満了日を今の期間の満了日に書き換えると直る）",""))&amp;IF(AND(ISNUMBER($K204),$L204="")," / 通知の単位が空（か月前で計算）","")&amp;IF(AND(ISNUMBER($M204),$N204="")," / 解約予告の単位が空（か月前で計算）","")&amp;IF(AND(ISNUMBER($O204),$P204="")," / 金額の区分が空","")&amp;IF(AND($T204&lt;&gt;"",NOT(ISNUMBER($U204)))," / 対応を決めた日が空","")&amp;IF(AND(ISNUMBER($U204),$T204="")," / 今期の対応が空","")&amp;IF(AND($T204="更新しない",NOT(ISNUMBER($V204)))," / 更新しないなら、解約・終了した日（契約が終わる日）を入れる",""),4,300)</f>
        <v/>
      </c>
      <c r="AG204" s="53" t="n"/>
      <c r="AH204" s="71">
        <f>IF(AND(ISNUMBER($H204),$I204="あり",ISNUMBER($J204)),IF($J204&gt;=1,$H204+1,""),"")</f>
        <v/>
      </c>
      <c r="AI204" s="32">
        <f>IF($AH204="","",(YEAR('設定'!$B$6)-YEAR($AH204))*12+MONTH('設定'!$B$6)-MONTH($AH204))</f>
        <v/>
      </c>
      <c r="AJ204" s="32">
        <f>IF($AH204="","",MAX(1,ROUNDUP($AI204/$J204,0)))</f>
        <v/>
      </c>
      <c r="AK204" s="71">
        <f>IF($AJ204="","",IF(DAY(EDATE($AH204,$AJ204*$J204))&lt;DAY($AH204),EDATE($AH204,$AJ204*$J204),EDATE($AH204,$AJ204*$J204)-1))</f>
        <v/>
      </c>
      <c r="AL204" s="71">
        <f>IF($AJ204="","",IF(DAY(EDATE($AH204,($AJ204+1)*$J204))&lt;DAY($AH204),EDATE($AH204,($AJ204+1)*$J204),EDATE($AH204,($AJ204+1)*$J204)-1))</f>
        <v/>
      </c>
      <c r="AM204" s="71">
        <f>IF($AJ204="","",IF($AJ204=1,$H204,IF(DAY(EDATE($AH204,($AJ204-1)*$J204))&lt;DAY($AH204),EDATE($AH204,($AJ204-1)*$J204),EDATE($AH204,($AJ204-1)*$J204)-1)))</f>
        <v/>
      </c>
      <c r="AN204" s="32">
        <f>IF(NOT(ISNUMBER($H204)),"",IF(OR($AH204="",$H204&gt;='設定'!$B$6),0,IF($AK204&gt;='設定'!$B$6,$AJ204,$AJ204+1)))</f>
        <v/>
      </c>
      <c r="AO204" s="71">
        <f>IF($AN204="","",IF($AN204=0,"",IF($AN204=$AJ204,$AM204,$AK204)))</f>
        <v/>
      </c>
      <c r="AP204" s="32">
        <f>IF(OR($AC204="要対応",$AC204="通知期限切れ",$AC204="確認済み",$AC204="有効",$AC204="終了予定"),1,0)</f>
        <v/>
      </c>
      <c r="AQ204" s="32">
        <f>IF(OR($AC204="要対応",$AC204="通知期限切れ"),1,0)</f>
        <v/>
      </c>
      <c r="AR204" s="72">
        <f>IF(AND(ISNUMBER($AB204),OR($AC204="要対応",$AC204="通知期限切れ",$AC204="確認済み",$AC204="有効")),$AB204+ROW()/100000,"")</f>
        <v/>
      </c>
      <c r="AS204" s="32">
        <f>IF($E204="","",IF(COUNTIF($E$5:$E204,$E204)=1,ROW(),""))</f>
        <v/>
      </c>
      <c r="AT204" s="32">
        <f>IF($S204="","",IF(COUNTIF($S$5:$S204,$S204)=1,ROW(),""))</f>
        <v/>
      </c>
    </row>
    <row r="205" ht="20" customHeight="1">
      <c r="A205" s="20" t="n">
        <v>201</v>
      </c>
      <c r="B205" s="21" t="n"/>
      <c r="C205" s="22" t="n"/>
      <c r="D205" s="22" t="n"/>
      <c r="E205" s="22" t="n"/>
      <c r="F205" s="66" t="n"/>
      <c r="G205" s="66" t="n"/>
      <c r="H205" s="66" t="n"/>
      <c r="I205" s="21" t="n"/>
      <c r="J205" s="24" t="n"/>
      <c r="K205" s="24" t="n"/>
      <c r="L205" s="21" t="n"/>
      <c r="M205" s="24" t="n"/>
      <c r="N205" s="21" t="n"/>
      <c r="O205" s="67" t="n"/>
      <c r="P205" s="21" t="n"/>
      <c r="Q205" s="21" t="n"/>
      <c r="R205" s="22" t="n"/>
      <c r="S205" s="22" t="n"/>
      <c r="T205" s="21" t="n"/>
      <c r="U205" s="66" t="n"/>
      <c r="V205" s="66" t="n"/>
      <c r="W205" s="66" t="n"/>
      <c r="X205" s="8" t="n"/>
      <c r="Y205" s="68">
        <f>IF($AN205="","",IF($AN205=0,$H205,IF($AN205=$AJ205,$AK205,$AL205)))</f>
        <v/>
      </c>
      <c r="Z205" s="68">
        <f>IF(OR($Y205="",NOT(ISNUMBER($K205))),"",IF($L205="日前",$Y205-$K205,EDATE($Y205,-$K205)))</f>
        <v/>
      </c>
      <c r="AA205" s="68">
        <f>IF(OR($Y205="",ISNUMBER($V205),N($Y205)&lt;'設定'!$B$6),"",IF($Z205&lt;&gt;"",$Z205,$Y205))</f>
        <v/>
      </c>
      <c r="AB205" s="69">
        <f>IF($AA205="","",$AA205-'設定'!$B$6)</f>
        <v/>
      </c>
      <c r="AC205" s="28">
        <f>IF(NOT(OR($B205&lt;&gt;"",$C205&lt;&gt;"")),"",IF(ISNUMBER($V205),IF($V205&lt;'設定'!$B$6,"終了","終了予定"),IF($Y205="","有効",IF($Y205&lt;'設定'!$B$6,"満了",IF(AND($T205="更新する",ISNUMBER($U205),N($U205)&lt;='設定'!$B$6,OR($AO205="",N($U205)&gt;N($AO205))),"確認済み",IF($AB205&lt;0,"通知期限切れ",IF($AB205&lt;=N('設定'!$B$7),"要対応","有効")))))))</f>
        <v/>
      </c>
      <c r="AD205" s="68">
        <f>IF(OR(NOT(ISNUMBER($M205)),$AC205="",$AC205="終了",$AC205="終了予定",$AC205="満了"),"",IF($N205="日前",'設定'!$B$6+$M205,EDATE('設定'!$B$6,$M205)))</f>
        <v/>
      </c>
      <c r="AE205" s="70">
        <f>IF(NOT(ISNUMBER($O205)),"",IF($P205="月額",$O205*12,IF($P205="年額",$O205,"")))</f>
        <v/>
      </c>
      <c r="AF205" s="30">
        <f>MID(IF(AND(ISNUMBER($G205),ISNUMBER($H205)),IF(N($H205)&lt;N($G205)," / 満了日が開始日より前",""),"")&amp;IF(AND($I205="あり",NOT(ISNUMBER($H205)))," / 自動更新ありなのに満了日が空","")&amp;IF(AND($I205="あり",ISNUMBER($H205),NOT(ISNUMBER($J205)))," / 更新期間が空（更新を計算できない）","")&amp;IF($AH205="","",IF(AND(DAY($AH205)&gt;=29,OR(MOD($J205,12)&lt;&gt;0,MONTH($AH205)=2))," / 更新の初日が29〜31日（更新を重ねると満了日が1日ずれることがある。満了日を今の期間の満了日に書き換えると直る）",""))&amp;IF(AND(ISNUMBER($K205),$L205="")," / 通知の単位が空（か月前で計算）","")&amp;IF(AND(ISNUMBER($M205),$N205="")," / 解約予告の単位が空（か月前で計算）","")&amp;IF(AND(ISNUMBER($O205),$P205="")," / 金額の区分が空","")&amp;IF(AND($T205&lt;&gt;"",NOT(ISNUMBER($U205)))," / 対応を決めた日が空","")&amp;IF(AND(ISNUMBER($U205),$T205="")," / 今期の対応が空","")&amp;IF(AND($T205="更新しない",NOT(ISNUMBER($V205)))," / 更新しないなら、解約・終了した日（契約が終わる日）を入れる",""),4,300)</f>
        <v/>
      </c>
      <c r="AG205" s="53" t="n"/>
      <c r="AH205" s="71">
        <f>IF(AND(ISNUMBER($H205),$I205="あり",ISNUMBER($J205)),IF($J205&gt;=1,$H205+1,""),"")</f>
        <v/>
      </c>
      <c r="AI205" s="32">
        <f>IF($AH205="","",(YEAR('設定'!$B$6)-YEAR($AH205))*12+MONTH('設定'!$B$6)-MONTH($AH205))</f>
        <v/>
      </c>
      <c r="AJ205" s="32">
        <f>IF($AH205="","",MAX(1,ROUNDUP($AI205/$J205,0)))</f>
        <v/>
      </c>
      <c r="AK205" s="71">
        <f>IF($AJ205="","",IF(DAY(EDATE($AH205,$AJ205*$J205))&lt;DAY($AH205),EDATE($AH205,$AJ205*$J205),EDATE($AH205,$AJ205*$J205)-1))</f>
        <v/>
      </c>
      <c r="AL205" s="71">
        <f>IF($AJ205="","",IF(DAY(EDATE($AH205,($AJ205+1)*$J205))&lt;DAY($AH205),EDATE($AH205,($AJ205+1)*$J205),EDATE($AH205,($AJ205+1)*$J205)-1))</f>
        <v/>
      </c>
      <c r="AM205" s="71">
        <f>IF($AJ205="","",IF($AJ205=1,$H205,IF(DAY(EDATE($AH205,($AJ205-1)*$J205))&lt;DAY($AH205),EDATE($AH205,($AJ205-1)*$J205),EDATE($AH205,($AJ205-1)*$J205)-1)))</f>
        <v/>
      </c>
      <c r="AN205" s="32">
        <f>IF(NOT(ISNUMBER($H205)),"",IF(OR($AH205="",$H205&gt;='設定'!$B$6),0,IF($AK205&gt;='設定'!$B$6,$AJ205,$AJ205+1)))</f>
        <v/>
      </c>
      <c r="AO205" s="71">
        <f>IF($AN205="","",IF($AN205=0,"",IF($AN205=$AJ205,$AM205,$AK205)))</f>
        <v/>
      </c>
      <c r="AP205" s="32">
        <f>IF(OR($AC205="要対応",$AC205="通知期限切れ",$AC205="確認済み",$AC205="有効",$AC205="終了予定"),1,0)</f>
        <v/>
      </c>
      <c r="AQ205" s="32">
        <f>IF(OR($AC205="要対応",$AC205="通知期限切れ"),1,0)</f>
        <v/>
      </c>
      <c r="AR205" s="72">
        <f>IF(AND(ISNUMBER($AB205),OR($AC205="要対応",$AC205="通知期限切れ",$AC205="確認済み",$AC205="有効")),$AB205+ROW()/100000,"")</f>
        <v/>
      </c>
      <c r="AS205" s="32">
        <f>IF($E205="","",IF(COUNTIF($E$5:$E205,$E205)=1,ROW(),""))</f>
        <v/>
      </c>
      <c r="AT205" s="32">
        <f>IF($S205="","",IF(COUNTIF($S$5:$S205,$S205)=1,ROW(),""))</f>
        <v/>
      </c>
    </row>
    <row r="206" ht="20" customHeight="1">
      <c r="A206" s="20" t="n">
        <v>202</v>
      </c>
      <c r="B206" s="21" t="n"/>
      <c r="C206" s="22" t="n"/>
      <c r="D206" s="22" t="n"/>
      <c r="E206" s="22" t="n"/>
      <c r="F206" s="66" t="n"/>
      <c r="G206" s="66" t="n"/>
      <c r="H206" s="66" t="n"/>
      <c r="I206" s="21" t="n"/>
      <c r="J206" s="24" t="n"/>
      <c r="K206" s="24" t="n"/>
      <c r="L206" s="21" t="n"/>
      <c r="M206" s="24" t="n"/>
      <c r="N206" s="21" t="n"/>
      <c r="O206" s="67" t="n"/>
      <c r="P206" s="21" t="n"/>
      <c r="Q206" s="21" t="n"/>
      <c r="R206" s="22" t="n"/>
      <c r="S206" s="22" t="n"/>
      <c r="T206" s="21" t="n"/>
      <c r="U206" s="66" t="n"/>
      <c r="V206" s="66" t="n"/>
      <c r="W206" s="66" t="n"/>
      <c r="X206" s="8" t="n"/>
      <c r="Y206" s="68">
        <f>IF($AN206="","",IF($AN206=0,$H206,IF($AN206=$AJ206,$AK206,$AL206)))</f>
        <v/>
      </c>
      <c r="Z206" s="68">
        <f>IF(OR($Y206="",NOT(ISNUMBER($K206))),"",IF($L206="日前",$Y206-$K206,EDATE($Y206,-$K206)))</f>
        <v/>
      </c>
      <c r="AA206" s="68">
        <f>IF(OR($Y206="",ISNUMBER($V206),N($Y206)&lt;'設定'!$B$6),"",IF($Z206&lt;&gt;"",$Z206,$Y206))</f>
        <v/>
      </c>
      <c r="AB206" s="69">
        <f>IF($AA206="","",$AA206-'設定'!$B$6)</f>
        <v/>
      </c>
      <c r="AC206" s="28">
        <f>IF(NOT(OR($B206&lt;&gt;"",$C206&lt;&gt;"")),"",IF(ISNUMBER($V206),IF($V206&lt;'設定'!$B$6,"終了","終了予定"),IF($Y206="","有効",IF($Y206&lt;'設定'!$B$6,"満了",IF(AND($T206="更新する",ISNUMBER($U206),N($U206)&lt;='設定'!$B$6,OR($AO206="",N($U206)&gt;N($AO206))),"確認済み",IF($AB206&lt;0,"通知期限切れ",IF($AB206&lt;=N('設定'!$B$7),"要対応","有効")))))))</f>
        <v/>
      </c>
      <c r="AD206" s="68">
        <f>IF(OR(NOT(ISNUMBER($M206)),$AC206="",$AC206="終了",$AC206="終了予定",$AC206="満了"),"",IF($N206="日前",'設定'!$B$6+$M206,EDATE('設定'!$B$6,$M206)))</f>
        <v/>
      </c>
      <c r="AE206" s="70">
        <f>IF(NOT(ISNUMBER($O206)),"",IF($P206="月額",$O206*12,IF($P206="年額",$O206,"")))</f>
        <v/>
      </c>
      <c r="AF206" s="30">
        <f>MID(IF(AND(ISNUMBER($G206),ISNUMBER($H206)),IF(N($H206)&lt;N($G206)," / 満了日が開始日より前",""),"")&amp;IF(AND($I206="あり",NOT(ISNUMBER($H206)))," / 自動更新ありなのに満了日が空","")&amp;IF(AND($I206="あり",ISNUMBER($H206),NOT(ISNUMBER($J206)))," / 更新期間が空（更新を計算できない）","")&amp;IF($AH206="","",IF(AND(DAY($AH206)&gt;=29,OR(MOD($J206,12)&lt;&gt;0,MONTH($AH206)=2))," / 更新の初日が29〜31日（更新を重ねると満了日が1日ずれることがある。満了日を今の期間の満了日に書き換えると直る）",""))&amp;IF(AND(ISNUMBER($K206),$L206="")," / 通知の単位が空（か月前で計算）","")&amp;IF(AND(ISNUMBER($M206),$N206="")," / 解約予告の単位が空（か月前で計算）","")&amp;IF(AND(ISNUMBER($O206),$P206="")," / 金額の区分が空","")&amp;IF(AND($T206&lt;&gt;"",NOT(ISNUMBER($U206)))," / 対応を決めた日が空","")&amp;IF(AND(ISNUMBER($U206),$T206="")," / 今期の対応が空","")&amp;IF(AND($T206="更新しない",NOT(ISNUMBER($V206)))," / 更新しないなら、解約・終了した日（契約が終わる日）を入れる",""),4,300)</f>
        <v/>
      </c>
      <c r="AG206" s="53" t="n"/>
      <c r="AH206" s="71">
        <f>IF(AND(ISNUMBER($H206),$I206="あり",ISNUMBER($J206)),IF($J206&gt;=1,$H206+1,""),"")</f>
        <v/>
      </c>
      <c r="AI206" s="32">
        <f>IF($AH206="","",(YEAR('設定'!$B$6)-YEAR($AH206))*12+MONTH('設定'!$B$6)-MONTH($AH206))</f>
        <v/>
      </c>
      <c r="AJ206" s="32">
        <f>IF($AH206="","",MAX(1,ROUNDUP($AI206/$J206,0)))</f>
        <v/>
      </c>
      <c r="AK206" s="71">
        <f>IF($AJ206="","",IF(DAY(EDATE($AH206,$AJ206*$J206))&lt;DAY($AH206),EDATE($AH206,$AJ206*$J206),EDATE($AH206,$AJ206*$J206)-1))</f>
        <v/>
      </c>
      <c r="AL206" s="71">
        <f>IF($AJ206="","",IF(DAY(EDATE($AH206,($AJ206+1)*$J206))&lt;DAY($AH206),EDATE($AH206,($AJ206+1)*$J206),EDATE($AH206,($AJ206+1)*$J206)-1))</f>
        <v/>
      </c>
      <c r="AM206" s="71">
        <f>IF($AJ206="","",IF($AJ206=1,$H206,IF(DAY(EDATE($AH206,($AJ206-1)*$J206))&lt;DAY($AH206),EDATE($AH206,($AJ206-1)*$J206),EDATE($AH206,($AJ206-1)*$J206)-1)))</f>
        <v/>
      </c>
      <c r="AN206" s="32">
        <f>IF(NOT(ISNUMBER($H206)),"",IF(OR($AH206="",$H206&gt;='設定'!$B$6),0,IF($AK206&gt;='設定'!$B$6,$AJ206,$AJ206+1)))</f>
        <v/>
      </c>
      <c r="AO206" s="71">
        <f>IF($AN206="","",IF($AN206=0,"",IF($AN206=$AJ206,$AM206,$AK206)))</f>
        <v/>
      </c>
      <c r="AP206" s="32">
        <f>IF(OR($AC206="要対応",$AC206="通知期限切れ",$AC206="確認済み",$AC206="有効",$AC206="終了予定"),1,0)</f>
        <v/>
      </c>
      <c r="AQ206" s="32">
        <f>IF(OR($AC206="要対応",$AC206="通知期限切れ"),1,0)</f>
        <v/>
      </c>
      <c r="AR206" s="72">
        <f>IF(AND(ISNUMBER($AB206),OR($AC206="要対応",$AC206="通知期限切れ",$AC206="確認済み",$AC206="有効")),$AB206+ROW()/100000,"")</f>
        <v/>
      </c>
      <c r="AS206" s="32">
        <f>IF($E206="","",IF(COUNTIF($E$5:$E206,$E206)=1,ROW(),""))</f>
        <v/>
      </c>
      <c r="AT206" s="32">
        <f>IF($S206="","",IF(COUNTIF($S$5:$S206,$S206)=1,ROW(),""))</f>
        <v/>
      </c>
    </row>
    <row r="207" ht="20" customHeight="1">
      <c r="A207" s="20" t="n">
        <v>203</v>
      </c>
      <c r="B207" s="21" t="n"/>
      <c r="C207" s="22" t="n"/>
      <c r="D207" s="22" t="n"/>
      <c r="E207" s="22" t="n"/>
      <c r="F207" s="66" t="n"/>
      <c r="G207" s="66" t="n"/>
      <c r="H207" s="66" t="n"/>
      <c r="I207" s="21" t="n"/>
      <c r="J207" s="24" t="n"/>
      <c r="K207" s="24" t="n"/>
      <c r="L207" s="21" t="n"/>
      <c r="M207" s="24" t="n"/>
      <c r="N207" s="21" t="n"/>
      <c r="O207" s="67" t="n"/>
      <c r="P207" s="21" t="n"/>
      <c r="Q207" s="21" t="n"/>
      <c r="R207" s="22" t="n"/>
      <c r="S207" s="22" t="n"/>
      <c r="T207" s="21" t="n"/>
      <c r="U207" s="66" t="n"/>
      <c r="V207" s="66" t="n"/>
      <c r="W207" s="66" t="n"/>
      <c r="X207" s="8" t="n"/>
      <c r="Y207" s="68">
        <f>IF($AN207="","",IF($AN207=0,$H207,IF($AN207=$AJ207,$AK207,$AL207)))</f>
        <v/>
      </c>
      <c r="Z207" s="68">
        <f>IF(OR($Y207="",NOT(ISNUMBER($K207))),"",IF($L207="日前",$Y207-$K207,EDATE($Y207,-$K207)))</f>
        <v/>
      </c>
      <c r="AA207" s="68">
        <f>IF(OR($Y207="",ISNUMBER($V207),N($Y207)&lt;'設定'!$B$6),"",IF($Z207&lt;&gt;"",$Z207,$Y207))</f>
        <v/>
      </c>
      <c r="AB207" s="69">
        <f>IF($AA207="","",$AA207-'設定'!$B$6)</f>
        <v/>
      </c>
      <c r="AC207" s="28">
        <f>IF(NOT(OR($B207&lt;&gt;"",$C207&lt;&gt;"")),"",IF(ISNUMBER($V207),IF($V207&lt;'設定'!$B$6,"終了","終了予定"),IF($Y207="","有効",IF($Y207&lt;'設定'!$B$6,"満了",IF(AND($T207="更新する",ISNUMBER($U207),N($U207)&lt;='設定'!$B$6,OR($AO207="",N($U207)&gt;N($AO207))),"確認済み",IF($AB207&lt;0,"通知期限切れ",IF($AB207&lt;=N('設定'!$B$7),"要対応","有効")))))))</f>
        <v/>
      </c>
      <c r="AD207" s="68">
        <f>IF(OR(NOT(ISNUMBER($M207)),$AC207="",$AC207="終了",$AC207="終了予定",$AC207="満了"),"",IF($N207="日前",'設定'!$B$6+$M207,EDATE('設定'!$B$6,$M207)))</f>
        <v/>
      </c>
      <c r="AE207" s="70">
        <f>IF(NOT(ISNUMBER($O207)),"",IF($P207="月額",$O207*12,IF($P207="年額",$O207,"")))</f>
        <v/>
      </c>
      <c r="AF207" s="30">
        <f>MID(IF(AND(ISNUMBER($G207),ISNUMBER($H207)),IF(N($H207)&lt;N($G207)," / 満了日が開始日より前",""),"")&amp;IF(AND($I207="あり",NOT(ISNUMBER($H207)))," / 自動更新ありなのに満了日が空","")&amp;IF(AND($I207="あり",ISNUMBER($H207),NOT(ISNUMBER($J207)))," / 更新期間が空（更新を計算できない）","")&amp;IF($AH207="","",IF(AND(DAY($AH207)&gt;=29,OR(MOD($J207,12)&lt;&gt;0,MONTH($AH207)=2))," / 更新の初日が29〜31日（更新を重ねると満了日が1日ずれることがある。満了日を今の期間の満了日に書き換えると直る）",""))&amp;IF(AND(ISNUMBER($K207),$L207="")," / 通知の単位が空（か月前で計算）","")&amp;IF(AND(ISNUMBER($M207),$N207="")," / 解約予告の単位が空（か月前で計算）","")&amp;IF(AND(ISNUMBER($O207),$P207="")," / 金額の区分が空","")&amp;IF(AND($T207&lt;&gt;"",NOT(ISNUMBER($U207)))," / 対応を決めた日が空","")&amp;IF(AND(ISNUMBER($U207),$T207="")," / 今期の対応が空","")&amp;IF(AND($T207="更新しない",NOT(ISNUMBER($V207)))," / 更新しないなら、解約・終了した日（契約が終わる日）を入れる",""),4,300)</f>
        <v/>
      </c>
      <c r="AG207" s="53" t="n"/>
      <c r="AH207" s="71">
        <f>IF(AND(ISNUMBER($H207),$I207="あり",ISNUMBER($J207)),IF($J207&gt;=1,$H207+1,""),"")</f>
        <v/>
      </c>
      <c r="AI207" s="32">
        <f>IF($AH207="","",(YEAR('設定'!$B$6)-YEAR($AH207))*12+MONTH('設定'!$B$6)-MONTH($AH207))</f>
        <v/>
      </c>
      <c r="AJ207" s="32">
        <f>IF($AH207="","",MAX(1,ROUNDUP($AI207/$J207,0)))</f>
        <v/>
      </c>
      <c r="AK207" s="71">
        <f>IF($AJ207="","",IF(DAY(EDATE($AH207,$AJ207*$J207))&lt;DAY($AH207),EDATE($AH207,$AJ207*$J207),EDATE($AH207,$AJ207*$J207)-1))</f>
        <v/>
      </c>
      <c r="AL207" s="71">
        <f>IF($AJ207="","",IF(DAY(EDATE($AH207,($AJ207+1)*$J207))&lt;DAY($AH207),EDATE($AH207,($AJ207+1)*$J207),EDATE($AH207,($AJ207+1)*$J207)-1))</f>
        <v/>
      </c>
      <c r="AM207" s="71">
        <f>IF($AJ207="","",IF($AJ207=1,$H207,IF(DAY(EDATE($AH207,($AJ207-1)*$J207))&lt;DAY($AH207),EDATE($AH207,($AJ207-1)*$J207),EDATE($AH207,($AJ207-1)*$J207)-1)))</f>
        <v/>
      </c>
      <c r="AN207" s="32">
        <f>IF(NOT(ISNUMBER($H207)),"",IF(OR($AH207="",$H207&gt;='設定'!$B$6),0,IF($AK207&gt;='設定'!$B$6,$AJ207,$AJ207+1)))</f>
        <v/>
      </c>
      <c r="AO207" s="71">
        <f>IF($AN207="","",IF($AN207=0,"",IF($AN207=$AJ207,$AM207,$AK207)))</f>
        <v/>
      </c>
      <c r="AP207" s="32">
        <f>IF(OR($AC207="要対応",$AC207="通知期限切れ",$AC207="確認済み",$AC207="有効",$AC207="終了予定"),1,0)</f>
        <v/>
      </c>
      <c r="AQ207" s="32">
        <f>IF(OR($AC207="要対応",$AC207="通知期限切れ"),1,0)</f>
        <v/>
      </c>
      <c r="AR207" s="72">
        <f>IF(AND(ISNUMBER($AB207),OR($AC207="要対応",$AC207="通知期限切れ",$AC207="確認済み",$AC207="有効")),$AB207+ROW()/100000,"")</f>
        <v/>
      </c>
      <c r="AS207" s="32">
        <f>IF($E207="","",IF(COUNTIF($E$5:$E207,$E207)=1,ROW(),""))</f>
        <v/>
      </c>
      <c r="AT207" s="32">
        <f>IF($S207="","",IF(COUNTIF($S$5:$S207,$S207)=1,ROW(),""))</f>
        <v/>
      </c>
    </row>
    <row r="208" ht="20" customHeight="1">
      <c r="A208" s="20" t="n">
        <v>204</v>
      </c>
      <c r="B208" s="21" t="n"/>
      <c r="C208" s="22" t="n"/>
      <c r="D208" s="22" t="n"/>
      <c r="E208" s="22" t="n"/>
      <c r="F208" s="66" t="n"/>
      <c r="G208" s="66" t="n"/>
      <c r="H208" s="66" t="n"/>
      <c r="I208" s="21" t="n"/>
      <c r="J208" s="24" t="n"/>
      <c r="K208" s="24" t="n"/>
      <c r="L208" s="21" t="n"/>
      <c r="M208" s="24" t="n"/>
      <c r="N208" s="21" t="n"/>
      <c r="O208" s="67" t="n"/>
      <c r="P208" s="21" t="n"/>
      <c r="Q208" s="21" t="n"/>
      <c r="R208" s="22" t="n"/>
      <c r="S208" s="22" t="n"/>
      <c r="T208" s="21" t="n"/>
      <c r="U208" s="66" t="n"/>
      <c r="V208" s="66" t="n"/>
      <c r="W208" s="66" t="n"/>
      <c r="X208" s="8" t="n"/>
      <c r="Y208" s="68">
        <f>IF($AN208="","",IF($AN208=0,$H208,IF($AN208=$AJ208,$AK208,$AL208)))</f>
        <v/>
      </c>
      <c r="Z208" s="68">
        <f>IF(OR($Y208="",NOT(ISNUMBER($K208))),"",IF($L208="日前",$Y208-$K208,EDATE($Y208,-$K208)))</f>
        <v/>
      </c>
      <c r="AA208" s="68">
        <f>IF(OR($Y208="",ISNUMBER($V208),N($Y208)&lt;'設定'!$B$6),"",IF($Z208&lt;&gt;"",$Z208,$Y208))</f>
        <v/>
      </c>
      <c r="AB208" s="69">
        <f>IF($AA208="","",$AA208-'設定'!$B$6)</f>
        <v/>
      </c>
      <c r="AC208" s="28">
        <f>IF(NOT(OR($B208&lt;&gt;"",$C208&lt;&gt;"")),"",IF(ISNUMBER($V208),IF($V208&lt;'設定'!$B$6,"終了","終了予定"),IF($Y208="","有効",IF($Y208&lt;'設定'!$B$6,"満了",IF(AND($T208="更新する",ISNUMBER($U208),N($U208)&lt;='設定'!$B$6,OR($AO208="",N($U208)&gt;N($AO208))),"確認済み",IF($AB208&lt;0,"通知期限切れ",IF($AB208&lt;=N('設定'!$B$7),"要対応","有効")))))))</f>
        <v/>
      </c>
      <c r="AD208" s="68">
        <f>IF(OR(NOT(ISNUMBER($M208)),$AC208="",$AC208="終了",$AC208="終了予定",$AC208="満了"),"",IF($N208="日前",'設定'!$B$6+$M208,EDATE('設定'!$B$6,$M208)))</f>
        <v/>
      </c>
      <c r="AE208" s="70">
        <f>IF(NOT(ISNUMBER($O208)),"",IF($P208="月額",$O208*12,IF($P208="年額",$O208,"")))</f>
        <v/>
      </c>
      <c r="AF208" s="30">
        <f>MID(IF(AND(ISNUMBER($G208),ISNUMBER($H208)),IF(N($H208)&lt;N($G208)," / 満了日が開始日より前",""),"")&amp;IF(AND($I208="あり",NOT(ISNUMBER($H208)))," / 自動更新ありなのに満了日が空","")&amp;IF(AND($I208="あり",ISNUMBER($H208),NOT(ISNUMBER($J208)))," / 更新期間が空（更新を計算できない）","")&amp;IF($AH208="","",IF(AND(DAY($AH208)&gt;=29,OR(MOD($J208,12)&lt;&gt;0,MONTH($AH208)=2))," / 更新の初日が29〜31日（更新を重ねると満了日が1日ずれることがある。満了日を今の期間の満了日に書き換えると直る）",""))&amp;IF(AND(ISNUMBER($K208),$L208="")," / 通知の単位が空（か月前で計算）","")&amp;IF(AND(ISNUMBER($M208),$N208="")," / 解約予告の単位が空（か月前で計算）","")&amp;IF(AND(ISNUMBER($O208),$P208="")," / 金額の区分が空","")&amp;IF(AND($T208&lt;&gt;"",NOT(ISNUMBER($U208)))," / 対応を決めた日が空","")&amp;IF(AND(ISNUMBER($U208),$T208="")," / 今期の対応が空","")&amp;IF(AND($T208="更新しない",NOT(ISNUMBER($V208)))," / 更新しないなら、解約・終了した日（契約が終わる日）を入れる",""),4,300)</f>
        <v/>
      </c>
      <c r="AG208" s="53" t="n"/>
      <c r="AH208" s="71">
        <f>IF(AND(ISNUMBER($H208),$I208="あり",ISNUMBER($J208)),IF($J208&gt;=1,$H208+1,""),"")</f>
        <v/>
      </c>
      <c r="AI208" s="32">
        <f>IF($AH208="","",(YEAR('設定'!$B$6)-YEAR($AH208))*12+MONTH('設定'!$B$6)-MONTH($AH208))</f>
        <v/>
      </c>
      <c r="AJ208" s="32">
        <f>IF($AH208="","",MAX(1,ROUNDUP($AI208/$J208,0)))</f>
        <v/>
      </c>
      <c r="AK208" s="71">
        <f>IF($AJ208="","",IF(DAY(EDATE($AH208,$AJ208*$J208))&lt;DAY($AH208),EDATE($AH208,$AJ208*$J208),EDATE($AH208,$AJ208*$J208)-1))</f>
        <v/>
      </c>
      <c r="AL208" s="71">
        <f>IF($AJ208="","",IF(DAY(EDATE($AH208,($AJ208+1)*$J208))&lt;DAY($AH208),EDATE($AH208,($AJ208+1)*$J208),EDATE($AH208,($AJ208+1)*$J208)-1))</f>
        <v/>
      </c>
      <c r="AM208" s="71">
        <f>IF($AJ208="","",IF($AJ208=1,$H208,IF(DAY(EDATE($AH208,($AJ208-1)*$J208))&lt;DAY($AH208),EDATE($AH208,($AJ208-1)*$J208),EDATE($AH208,($AJ208-1)*$J208)-1)))</f>
        <v/>
      </c>
      <c r="AN208" s="32">
        <f>IF(NOT(ISNUMBER($H208)),"",IF(OR($AH208="",$H208&gt;='設定'!$B$6),0,IF($AK208&gt;='設定'!$B$6,$AJ208,$AJ208+1)))</f>
        <v/>
      </c>
      <c r="AO208" s="71">
        <f>IF($AN208="","",IF($AN208=0,"",IF($AN208=$AJ208,$AM208,$AK208)))</f>
        <v/>
      </c>
      <c r="AP208" s="32">
        <f>IF(OR($AC208="要対応",$AC208="通知期限切れ",$AC208="確認済み",$AC208="有効",$AC208="終了予定"),1,0)</f>
        <v/>
      </c>
      <c r="AQ208" s="32">
        <f>IF(OR($AC208="要対応",$AC208="通知期限切れ"),1,0)</f>
        <v/>
      </c>
      <c r="AR208" s="72">
        <f>IF(AND(ISNUMBER($AB208),OR($AC208="要対応",$AC208="通知期限切れ",$AC208="確認済み",$AC208="有効")),$AB208+ROW()/100000,"")</f>
        <v/>
      </c>
      <c r="AS208" s="32">
        <f>IF($E208="","",IF(COUNTIF($E$5:$E208,$E208)=1,ROW(),""))</f>
        <v/>
      </c>
      <c r="AT208" s="32">
        <f>IF($S208="","",IF(COUNTIF($S$5:$S208,$S208)=1,ROW(),""))</f>
        <v/>
      </c>
    </row>
    <row r="209" ht="20" customHeight="1">
      <c r="A209" s="20" t="n">
        <v>205</v>
      </c>
      <c r="B209" s="21" t="n"/>
      <c r="C209" s="22" t="n"/>
      <c r="D209" s="22" t="n"/>
      <c r="E209" s="22" t="n"/>
      <c r="F209" s="66" t="n"/>
      <c r="G209" s="66" t="n"/>
      <c r="H209" s="66" t="n"/>
      <c r="I209" s="21" t="n"/>
      <c r="J209" s="24" t="n"/>
      <c r="K209" s="24" t="n"/>
      <c r="L209" s="21" t="n"/>
      <c r="M209" s="24" t="n"/>
      <c r="N209" s="21" t="n"/>
      <c r="O209" s="67" t="n"/>
      <c r="P209" s="21" t="n"/>
      <c r="Q209" s="21" t="n"/>
      <c r="R209" s="22" t="n"/>
      <c r="S209" s="22" t="n"/>
      <c r="T209" s="21" t="n"/>
      <c r="U209" s="66" t="n"/>
      <c r="V209" s="66" t="n"/>
      <c r="W209" s="66" t="n"/>
      <c r="X209" s="8" t="n"/>
      <c r="Y209" s="68">
        <f>IF($AN209="","",IF($AN209=0,$H209,IF($AN209=$AJ209,$AK209,$AL209)))</f>
        <v/>
      </c>
      <c r="Z209" s="68">
        <f>IF(OR($Y209="",NOT(ISNUMBER($K209))),"",IF($L209="日前",$Y209-$K209,EDATE($Y209,-$K209)))</f>
        <v/>
      </c>
      <c r="AA209" s="68">
        <f>IF(OR($Y209="",ISNUMBER($V209),N($Y209)&lt;'設定'!$B$6),"",IF($Z209&lt;&gt;"",$Z209,$Y209))</f>
        <v/>
      </c>
      <c r="AB209" s="69">
        <f>IF($AA209="","",$AA209-'設定'!$B$6)</f>
        <v/>
      </c>
      <c r="AC209" s="28">
        <f>IF(NOT(OR($B209&lt;&gt;"",$C209&lt;&gt;"")),"",IF(ISNUMBER($V209),IF($V209&lt;'設定'!$B$6,"終了","終了予定"),IF($Y209="","有効",IF($Y209&lt;'設定'!$B$6,"満了",IF(AND($T209="更新する",ISNUMBER($U209),N($U209)&lt;='設定'!$B$6,OR($AO209="",N($U209)&gt;N($AO209))),"確認済み",IF($AB209&lt;0,"通知期限切れ",IF($AB209&lt;=N('設定'!$B$7),"要対応","有効")))))))</f>
        <v/>
      </c>
      <c r="AD209" s="68">
        <f>IF(OR(NOT(ISNUMBER($M209)),$AC209="",$AC209="終了",$AC209="終了予定",$AC209="満了"),"",IF($N209="日前",'設定'!$B$6+$M209,EDATE('設定'!$B$6,$M209)))</f>
        <v/>
      </c>
      <c r="AE209" s="70">
        <f>IF(NOT(ISNUMBER($O209)),"",IF($P209="月額",$O209*12,IF($P209="年額",$O209,"")))</f>
        <v/>
      </c>
      <c r="AF209" s="30">
        <f>MID(IF(AND(ISNUMBER($G209),ISNUMBER($H209)),IF(N($H209)&lt;N($G209)," / 満了日が開始日より前",""),"")&amp;IF(AND($I209="あり",NOT(ISNUMBER($H209)))," / 自動更新ありなのに満了日が空","")&amp;IF(AND($I209="あり",ISNUMBER($H209),NOT(ISNUMBER($J209)))," / 更新期間が空（更新を計算できない）","")&amp;IF($AH209="","",IF(AND(DAY($AH209)&gt;=29,OR(MOD($J209,12)&lt;&gt;0,MONTH($AH209)=2))," / 更新の初日が29〜31日（更新を重ねると満了日が1日ずれることがある。満了日を今の期間の満了日に書き換えると直る）",""))&amp;IF(AND(ISNUMBER($K209),$L209="")," / 通知の単位が空（か月前で計算）","")&amp;IF(AND(ISNUMBER($M209),$N209="")," / 解約予告の単位が空（か月前で計算）","")&amp;IF(AND(ISNUMBER($O209),$P209="")," / 金額の区分が空","")&amp;IF(AND($T209&lt;&gt;"",NOT(ISNUMBER($U209)))," / 対応を決めた日が空","")&amp;IF(AND(ISNUMBER($U209),$T209="")," / 今期の対応が空","")&amp;IF(AND($T209="更新しない",NOT(ISNUMBER($V209)))," / 更新しないなら、解約・終了した日（契約が終わる日）を入れる",""),4,300)</f>
        <v/>
      </c>
      <c r="AG209" s="53" t="n"/>
      <c r="AH209" s="71">
        <f>IF(AND(ISNUMBER($H209),$I209="あり",ISNUMBER($J209)),IF($J209&gt;=1,$H209+1,""),"")</f>
        <v/>
      </c>
      <c r="AI209" s="32">
        <f>IF($AH209="","",(YEAR('設定'!$B$6)-YEAR($AH209))*12+MONTH('設定'!$B$6)-MONTH($AH209))</f>
        <v/>
      </c>
      <c r="AJ209" s="32">
        <f>IF($AH209="","",MAX(1,ROUNDUP($AI209/$J209,0)))</f>
        <v/>
      </c>
      <c r="AK209" s="71">
        <f>IF($AJ209="","",IF(DAY(EDATE($AH209,$AJ209*$J209))&lt;DAY($AH209),EDATE($AH209,$AJ209*$J209),EDATE($AH209,$AJ209*$J209)-1))</f>
        <v/>
      </c>
      <c r="AL209" s="71">
        <f>IF($AJ209="","",IF(DAY(EDATE($AH209,($AJ209+1)*$J209))&lt;DAY($AH209),EDATE($AH209,($AJ209+1)*$J209),EDATE($AH209,($AJ209+1)*$J209)-1))</f>
        <v/>
      </c>
      <c r="AM209" s="71">
        <f>IF($AJ209="","",IF($AJ209=1,$H209,IF(DAY(EDATE($AH209,($AJ209-1)*$J209))&lt;DAY($AH209),EDATE($AH209,($AJ209-1)*$J209),EDATE($AH209,($AJ209-1)*$J209)-1)))</f>
        <v/>
      </c>
      <c r="AN209" s="32">
        <f>IF(NOT(ISNUMBER($H209)),"",IF(OR($AH209="",$H209&gt;='設定'!$B$6),0,IF($AK209&gt;='設定'!$B$6,$AJ209,$AJ209+1)))</f>
        <v/>
      </c>
      <c r="AO209" s="71">
        <f>IF($AN209="","",IF($AN209=0,"",IF($AN209=$AJ209,$AM209,$AK209)))</f>
        <v/>
      </c>
      <c r="AP209" s="32">
        <f>IF(OR($AC209="要対応",$AC209="通知期限切れ",$AC209="確認済み",$AC209="有効",$AC209="終了予定"),1,0)</f>
        <v/>
      </c>
      <c r="AQ209" s="32">
        <f>IF(OR($AC209="要対応",$AC209="通知期限切れ"),1,0)</f>
        <v/>
      </c>
      <c r="AR209" s="72">
        <f>IF(AND(ISNUMBER($AB209),OR($AC209="要対応",$AC209="通知期限切れ",$AC209="確認済み",$AC209="有効")),$AB209+ROW()/100000,"")</f>
        <v/>
      </c>
      <c r="AS209" s="32">
        <f>IF($E209="","",IF(COUNTIF($E$5:$E209,$E209)=1,ROW(),""))</f>
        <v/>
      </c>
      <c r="AT209" s="32">
        <f>IF($S209="","",IF(COUNTIF($S$5:$S209,$S209)=1,ROW(),""))</f>
        <v/>
      </c>
    </row>
    <row r="210" ht="20" customHeight="1">
      <c r="A210" s="20" t="n">
        <v>206</v>
      </c>
      <c r="B210" s="21" t="n"/>
      <c r="C210" s="22" t="n"/>
      <c r="D210" s="22" t="n"/>
      <c r="E210" s="22" t="n"/>
      <c r="F210" s="66" t="n"/>
      <c r="G210" s="66" t="n"/>
      <c r="H210" s="66" t="n"/>
      <c r="I210" s="21" t="n"/>
      <c r="J210" s="24" t="n"/>
      <c r="K210" s="24" t="n"/>
      <c r="L210" s="21" t="n"/>
      <c r="M210" s="24" t="n"/>
      <c r="N210" s="21" t="n"/>
      <c r="O210" s="67" t="n"/>
      <c r="P210" s="21" t="n"/>
      <c r="Q210" s="21" t="n"/>
      <c r="R210" s="22" t="n"/>
      <c r="S210" s="22" t="n"/>
      <c r="T210" s="21" t="n"/>
      <c r="U210" s="66" t="n"/>
      <c r="V210" s="66" t="n"/>
      <c r="W210" s="66" t="n"/>
      <c r="X210" s="8" t="n"/>
      <c r="Y210" s="68">
        <f>IF($AN210="","",IF($AN210=0,$H210,IF($AN210=$AJ210,$AK210,$AL210)))</f>
        <v/>
      </c>
      <c r="Z210" s="68">
        <f>IF(OR($Y210="",NOT(ISNUMBER($K210))),"",IF($L210="日前",$Y210-$K210,EDATE($Y210,-$K210)))</f>
        <v/>
      </c>
      <c r="AA210" s="68">
        <f>IF(OR($Y210="",ISNUMBER($V210),N($Y210)&lt;'設定'!$B$6),"",IF($Z210&lt;&gt;"",$Z210,$Y210))</f>
        <v/>
      </c>
      <c r="AB210" s="69">
        <f>IF($AA210="","",$AA210-'設定'!$B$6)</f>
        <v/>
      </c>
      <c r="AC210" s="28">
        <f>IF(NOT(OR($B210&lt;&gt;"",$C210&lt;&gt;"")),"",IF(ISNUMBER($V210),IF($V210&lt;'設定'!$B$6,"終了","終了予定"),IF($Y210="","有効",IF($Y210&lt;'設定'!$B$6,"満了",IF(AND($T210="更新する",ISNUMBER($U210),N($U210)&lt;='設定'!$B$6,OR($AO210="",N($U210)&gt;N($AO210))),"確認済み",IF($AB210&lt;0,"通知期限切れ",IF($AB210&lt;=N('設定'!$B$7),"要対応","有効")))))))</f>
        <v/>
      </c>
      <c r="AD210" s="68">
        <f>IF(OR(NOT(ISNUMBER($M210)),$AC210="",$AC210="終了",$AC210="終了予定",$AC210="満了"),"",IF($N210="日前",'設定'!$B$6+$M210,EDATE('設定'!$B$6,$M210)))</f>
        <v/>
      </c>
      <c r="AE210" s="70">
        <f>IF(NOT(ISNUMBER($O210)),"",IF($P210="月額",$O210*12,IF($P210="年額",$O210,"")))</f>
        <v/>
      </c>
      <c r="AF210" s="30">
        <f>MID(IF(AND(ISNUMBER($G210),ISNUMBER($H210)),IF(N($H210)&lt;N($G210)," / 満了日が開始日より前",""),"")&amp;IF(AND($I210="あり",NOT(ISNUMBER($H210)))," / 自動更新ありなのに満了日が空","")&amp;IF(AND($I210="あり",ISNUMBER($H210),NOT(ISNUMBER($J210)))," / 更新期間が空（更新を計算できない）","")&amp;IF($AH210="","",IF(AND(DAY($AH210)&gt;=29,OR(MOD($J210,12)&lt;&gt;0,MONTH($AH210)=2))," / 更新の初日が29〜31日（更新を重ねると満了日が1日ずれることがある。満了日を今の期間の満了日に書き換えると直る）",""))&amp;IF(AND(ISNUMBER($K210),$L210="")," / 通知の単位が空（か月前で計算）","")&amp;IF(AND(ISNUMBER($M210),$N210="")," / 解約予告の単位が空（か月前で計算）","")&amp;IF(AND(ISNUMBER($O210),$P210="")," / 金額の区分が空","")&amp;IF(AND($T210&lt;&gt;"",NOT(ISNUMBER($U210)))," / 対応を決めた日が空","")&amp;IF(AND(ISNUMBER($U210),$T210="")," / 今期の対応が空","")&amp;IF(AND($T210="更新しない",NOT(ISNUMBER($V210)))," / 更新しないなら、解約・終了した日（契約が終わる日）を入れる",""),4,300)</f>
        <v/>
      </c>
      <c r="AG210" s="53" t="n"/>
      <c r="AH210" s="71">
        <f>IF(AND(ISNUMBER($H210),$I210="あり",ISNUMBER($J210)),IF($J210&gt;=1,$H210+1,""),"")</f>
        <v/>
      </c>
      <c r="AI210" s="32">
        <f>IF($AH210="","",(YEAR('設定'!$B$6)-YEAR($AH210))*12+MONTH('設定'!$B$6)-MONTH($AH210))</f>
        <v/>
      </c>
      <c r="AJ210" s="32">
        <f>IF($AH210="","",MAX(1,ROUNDUP($AI210/$J210,0)))</f>
        <v/>
      </c>
      <c r="AK210" s="71">
        <f>IF($AJ210="","",IF(DAY(EDATE($AH210,$AJ210*$J210))&lt;DAY($AH210),EDATE($AH210,$AJ210*$J210),EDATE($AH210,$AJ210*$J210)-1))</f>
        <v/>
      </c>
      <c r="AL210" s="71">
        <f>IF($AJ210="","",IF(DAY(EDATE($AH210,($AJ210+1)*$J210))&lt;DAY($AH210),EDATE($AH210,($AJ210+1)*$J210),EDATE($AH210,($AJ210+1)*$J210)-1))</f>
        <v/>
      </c>
      <c r="AM210" s="71">
        <f>IF($AJ210="","",IF($AJ210=1,$H210,IF(DAY(EDATE($AH210,($AJ210-1)*$J210))&lt;DAY($AH210),EDATE($AH210,($AJ210-1)*$J210),EDATE($AH210,($AJ210-1)*$J210)-1)))</f>
        <v/>
      </c>
      <c r="AN210" s="32">
        <f>IF(NOT(ISNUMBER($H210)),"",IF(OR($AH210="",$H210&gt;='設定'!$B$6),0,IF($AK210&gt;='設定'!$B$6,$AJ210,$AJ210+1)))</f>
        <v/>
      </c>
      <c r="AO210" s="71">
        <f>IF($AN210="","",IF($AN210=0,"",IF($AN210=$AJ210,$AM210,$AK210)))</f>
        <v/>
      </c>
      <c r="AP210" s="32">
        <f>IF(OR($AC210="要対応",$AC210="通知期限切れ",$AC210="確認済み",$AC210="有効",$AC210="終了予定"),1,0)</f>
        <v/>
      </c>
      <c r="AQ210" s="32">
        <f>IF(OR($AC210="要対応",$AC210="通知期限切れ"),1,0)</f>
        <v/>
      </c>
      <c r="AR210" s="72">
        <f>IF(AND(ISNUMBER($AB210),OR($AC210="要対応",$AC210="通知期限切れ",$AC210="確認済み",$AC210="有効")),$AB210+ROW()/100000,"")</f>
        <v/>
      </c>
      <c r="AS210" s="32">
        <f>IF($E210="","",IF(COUNTIF($E$5:$E210,$E210)=1,ROW(),""))</f>
        <v/>
      </c>
      <c r="AT210" s="32">
        <f>IF($S210="","",IF(COUNTIF($S$5:$S210,$S210)=1,ROW(),""))</f>
        <v/>
      </c>
    </row>
    <row r="211" ht="20" customHeight="1">
      <c r="A211" s="20" t="n">
        <v>207</v>
      </c>
      <c r="B211" s="21" t="n"/>
      <c r="C211" s="22" t="n"/>
      <c r="D211" s="22" t="n"/>
      <c r="E211" s="22" t="n"/>
      <c r="F211" s="66" t="n"/>
      <c r="G211" s="66" t="n"/>
      <c r="H211" s="66" t="n"/>
      <c r="I211" s="21" t="n"/>
      <c r="J211" s="24" t="n"/>
      <c r="K211" s="24" t="n"/>
      <c r="L211" s="21" t="n"/>
      <c r="M211" s="24" t="n"/>
      <c r="N211" s="21" t="n"/>
      <c r="O211" s="67" t="n"/>
      <c r="P211" s="21" t="n"/>
      <c r="Q211" s="21" t="n"/>
      <c r="R211" s="22" t="n"/>
      <c r="S211" s="22" t="n"/>
      <c r="T211" s="21" t="n"/>
      <c r="U211" s="66" t="n"/>
      <c r="V211" s="66" t="n"/>
      <c r="W211" s="66" t="n"/>
      <c r="X211" s="8" t="n"/>
      <c r="Y211" s="68">
        <f>IF($AN211="","",IF($AN211=0,$H211,IF($AN211=$AJ211,$AK211,$AL211)))</f>
        <v/>
      </c>
      <c r="Z211" s="68">
        <f>IF(OR($Y211="",NOT(ISNUMBER($K211))),"",IF($L211="日前",$Y211-$K211,EDATE($Y211,-$K211)))</f>
        <v/>
      </c>
      <c r="AA211" s="68">
        <f>IF(OR($Y211="",ISNUMBER($V211),N($Y211)&lt;'設定'!$B$6),"",IF($Z211&lt;&gt;"",$Z211,$Y211))</f>
        <v/>
      </c>
      <c r="AB211" s="69">
        <f>IF($AA211="","",$AA211-'設定'!$B$6)</f>
        <v/>
      </c>
      <c r="AC211" s="28">
        <f>IF(NOT(OR($B211&lt;&gt;"",$C211&lt;&gt;"")),"",IF(ISNUMBER($V211),IF($V211&lt;'設定'!$B$6,"終了","終了予定"),IF($Y211="","有効",IF($Y211&lt;'設定'!$B$6,"満了",IF(AND($T211="更新する",ISNUMBER($U211),N($U211)&lt;='設定'!$B$6,OR($AO211="",N($U211)&gt;N($AO211))),"確認済み",IF($AB211&lt;0,"通知期限切れ",IF($AB211&lt;=N('設定'!$B$7),"要対応","有効")))))))</f>
        <v/>
      </c>
      <c r="AD211" s="68">
        <f>IF(OR(NOT(ISNUMBER($M211)),$AC211="",$AC211="終了",$AC211="終了予定",$AC211="満了"),"",IF($N211="日前",'設定'!$B$6+$M211,EDATE('設定'!$B$6,$M211)))</f>
        <v/>
      </c>
      <c r="AE211" s="70">
        <f>IF(NOT(ISNUMBER($O211)),"",IF($P211="月額",$O211*12,IF($P211="年額",$O211,"")))</f>
        <v/>
      </c>
      <c r="AF211" s="30">
        <f>MID(IF(AND(ISNUMBER($G211),ISNUMBER($H211)),IF(N($H211)&lt;N($G211)," / 満了日が開始日より前",""),"")&amp;IF(AND($I211="あり",NOT(ISNUMBER($H211)))," / 自動更新ありなのに満了日が空","")&amp;IF(AND($I211="あり",ISNUMBER($H211),NOT(ISNUMBER($J211)))," / 更新期間が空（更新を計算できない）","")&amp;IF($AH211="","",IF(AND(DAY($AH211)&gt;=29,OR(MOD($J211,12)&lt;&gt;0,MONTH($AH211)=2))," / 更新の初日が29〜31日（更新を重ねると満了日が1日ずれることがある。満了日を今の期間の満了日に書き換えると直る）",""))&amp;IF(AND(ISNUMBER($K211),$L211="")," / 通知の単位が空（か月前で計算）","")&amp;IF(AND(ISNUMBER($M211),$N211="")," / 解約予告の単位が空（か月前で計算）","")&amp;IF(AND(ISNUMBER($O211),$P211="")," / 金額の区分が空","")&amp;IF(AND($T211&lt;&gt;"",NOT(ISNUMBER($U211)))," / 対応を決めた日が空","")&amp;IF(AND(ISNUMBER($U211),$T211="")," / 今期の対応が空","")&amp;IF(AND($T211="更新しない",NOT(ISNUMBER($V211)))," / 更新しないなら、解約・終了した日（契約が終わる日）を入れる",""),4,300)</f>
        <v/>
      </c>
      <c r="AG211" s="53" t="n"/>
      <c r="AH211" s="71">
        <f>IF(AND(ISNUMBER($H211),$I211="あり",ISNUMBER($J211)),IF($J211&gt;=1,$H211+1,""),"")</f>
        <v/>
      </c>
      <c r="AI211" s="32">
        <f>IF($AH211="","",(YEAR('設定'!$B$6)-YEAR($AH211))*12+MONTH('設定'!$B$6)-MONTH($AH211))</f>
        <v/>
      </c>
      <c r="AJ211" s="32">
        <f>IF($AH211="","",MAX(1,ROUNDUP($AI211/$J211,0)))</f>
        <v/>
      </c>
      <c r="AK211" s="71">
        <f>IF($AJ211="","",IF(DAY(EDATE($AH211,$AJ211*$J211))&lt;DAY($AH211),EDATE($AH211,$AJ211*$J211),EDATE($AH211,$AJ211*$J211)-1))</f>
        <v/>
      </c>
      <c r="AL211" s="71">
        <f>IF($AJ211="","",IF(DAY(EDATE($AH211,($AJ211+1)*$J211))&lt;DAY($AH211),EDATE($AH211,($AJ211+1)*$J211),EDATE($AH211,($AJ211+1)*$J211)-1))</f>
        <v/>
      </c>
      <c r="AM211" s="71">
        <f>IF($AJ211="","",IF($AJ211=1,$H211,IF(DAY(EDATE($AH211,($AJ211-1)*$J211))&lt;DAY($AH211),EDATE($AH211,($AJ211-1)*$J211),EDATE($AH211,($AJ211-1)*$J211)-1)))</f>
        <v/>
      </c>
      <c r="AN211" s="32">
        <f>IF(NOT(ISNUMBER($H211)),"",IF(OR($AH211="",$H211&gt;='設定'!$B$6),0,IF($AK211&gt;='設定'!$B$6,$AJ211,$AJ211+1)))</f>
        <v/>
      </c>
      <c r="AO211" s="71">
        <f>IF($AN211="","",IF($AN211=0,"",IF($AN211=$AJ211,$AM211,$AK211)))</f>
        <v/>
      </c>
      <c r="AP211" s="32">
        <f>IF(OR($AC211="要対応",$AC211="通知期限切れ",$AC211="確認済み",$AC211="有効",$AC211="終了予定"),1,0)</f>
        <v/>
      </c>
      <c r="AQ211" s="32">
        <f>IF(OR($AC211="要対応",$AC211="通知期限切れ"),1,0)</f>
        <v/>
      </c>
      <c r="AR211" s="72">
        <f>IF(AND(ISNUMBER($AB211),OR($AC211="要対応",$AC211="通知期限切れ",$AC211="確認済み",$AC211="有効")),$AB211+ROW()/100000,"")</f>
        <v/>
      </c>
      <c r="AS211" s="32">
        <f>IF($E211="","",IF(COUNTIF($E$5:$E211,$E211)=1,ROW(),""))</f>
        <v/>
      </c>
      <c r="AT211" s="32">
        <f>IF($S211="","",IF(COUNTIF($S$5:$S211,$S211)=1,ROW(),""))</f>
        <v/>
      </c>
    </row>
    <row r="212" ht="20" customHeight="1">
      <c r="A212" s="20" t="n">
        <v>208</v>
      </c>
      <c r="B212" s="21" t="n"/>
      <c r="C212" s="22" t="n"/>
      <c r="D212" s="22" t="n"/>
      <c r="E212" s="22" t="n"/>
      <c r="F212" s="66" t="n"/>
      <c r="G212" s="66" t="n"/>
      <c r="H212" s="66" t="n"/>
      <c r="I212" s="21" t="n"/>
      <c r="J212" s="24" t="n"/>
      <c r="K212" s="24" t="n"/>
      <c r="L212" s="21" t="n"/>
      <c r="M212" s="24" t="n"/>
      <c r="N212" s="21" t="n"/>
      <c r="O212" s="67" t="n"/>
      <c r="P212" s="21" t="n"/>
      <c r="Q212" s="21" t="n"/>
      <c r="R212" s="22" t="n"/>
      <c r="S212" s="22" t="n"/>
      <c r="T212" s="21" t="n"/>
      <c r="U212" s="66" t="n"/>
      <c r="V212" s="66" t="n"/>
      <c r="W212" s="66" t="n"/>
      <c r="X212" s="8" t="n"/>
      <c r="Y212" s="68">
        <f>IF($AN212="","",IF($AN212=0,$H212,IF($AN212=$AJ212,$AK212,$AL212)))</f>
        <v/>
      </c>
      <c r="Z212" s="68">
        <f>IF(OR($Y212="",NOT(ISNUMBER($K212))),"",IF($L212="日前",$Y212-$K212,EDATE($Y212,-$K212)))</f>
        <v/>
      </c>
      <c r="AA212" s="68">
        <f>IF(OR($Y212="",ISNUMBER($V212),N($Y212)&lt;'設定'!$B$6),"",IF($Z212&lt;&gt;"",$Z212,$Y212))</f>
        <v/>
      </c>
      <c r="AB212" s="69">
        <f>IF($AA212="","",$AA212-'設定'!$B$6)</f>
        <v/>
      </c>
      <c r="AC212" s="28">
        <f>IF(NOT(OR($B212&lt;&gt;"",$C212&lt;&gt;"")),"",IF(ISNUMBER($V212),IF($V212&lt;'設定'!$B$6,"終了","終了予定"),IF($Y212="","有効",IF($Y212&lt;'設定'!$B$6,"満了",IF(AND($T212="更新する",ISNUMBER($U212),N($U212)&lt;='設定'!$B$6,OR($AO212="",N($U212)&gt;N($AO212))),"確認済み",IF($AB212&lt;0,"通知期限切れ",IF($AB212&lt;=N('設定'!$B$7),"要対応","有効")))))))</f>
        <v/>
      </c>
      <c r="AD212" s="68">
        <f>IF(OR(NOT(ISNUMBER($M212)),$AC212="",$AC212="終了",$AC212="終了予定",$AC212="満了"),"",IF($N212="日前",'設定'!$B$6+$M212,EDATE('設定'!$B$6,$M212)))</f>
        <v/>
      </c>
      <c r="AE212" s="70">
        <f>IF(NOT(ISNUMBER($O212)),"",IF($P212="月額",$O212*12,IF($P212="年額",$O212,"")))</f>
        <v/>
      </c>
      <c r="AF212" s="30">
        <f>MID(IF(AND(ISNUMBER($G212),ISNUMBER($H212)),IF(N($H212)&lt;N($G212)," / 満了日が開始日より前",""),"")&amp;IF(AND($I212="あり",NOT(ISNUMBER($H212)))," / 自動更新ありなのに満了日が空","")&amp;IF(AND($I212="あり",ISNUMBER($H212),NOT(ISNUMBER($J212)))," / 更新期間が空（更新を計算できない）","")&amp;IF($AH212="","",IF(AND(DAY($AH212)&gt;=29,OR(MOD($J212,12)&lt;&gt;0,MONTH($AH212)=2))," / 更新の初日が29〜31日（更新を重ねると満了日が1日ずれることがある。満了日を今の期間の満了日に書き換えると直る）",""))&amp;IF(AND(ISNUMBER($K212),$L212="")," / 通知の単位が空（か月前で計算）","")&amp;IF(AND(ISNUMBER($M212),$N212="")," / 解約予告の単位が空（か月前で計算）","")&amp;IF(AND(ISNUMBER($O212),$P212="")," / 金額の区分が空","")&amp;IF(AND($T212&lt;&gt;"",NOT(ISNUMBER($U212)))," / 対応を決めた日が空","")&amp;IF(AND(ISNUMBER($U212),$T212="")," / 今期の対応が空","")&amp;IF(AND($T212="更新しない",NOT(ISNUMBER($V212)))," / 更新しないなら、解約・終了した日（契約が終わる日）を入れる",""),4,300)</f>
        <v/>
      </c>
      <c r="AG212" s="53" t="n"/>
      <c r="AH212" s="71">
        <f>IF(AND(ISNUMBER($H212),$I212="あり",ISNUMBER($J212)),IF($J212&gt;=1,$H212+1,""),"")</f>
        <v/>
      </c>
      <c r="AI212" s="32">
        <f>IF($AH212="","",(YEAR('設定'!$B$6)-YEAR($AH212))*12+MONTH('設定'!$B$6)-MONTH($AH212))</f>
        <v/>
      </c>
      <c r="AJ212" s="32">
        <f>IF($AH212="","",MAX(1,ROUNDUP($AI212/$J212,0)))</f>
        <v/>
      </c>
      <c r="AK212" s="71">
        <f>IF($AJ212="","",IF(DAY(EDATE($AH212,$AJ212*$J212))&lt;DAY($AH212),EDATE($AH212,$AJ212*$J212),EDATE($AH212,$AJ212*$J212)-1))</f>
        <v/>
      </c>
      <c r="AL212" s="71">
        <f>IF($AJ212="","",IF(DAY(EDATE($AH212,($AJ212+1)*$J212))&lt;DAY($AH212),EDATE($AH212,($AJ212+1)*$J212),EDATE($AH212,($AJ212+1)*$J212)-1))</f>
        <v/>
      </c>
      <c r="AM212" s="71">
        <f>IF($AJ212="","",IF($AJ212=1,$H212,IF(DAY(EDATE($AH212,($AJ212-1)*$J212))&lt;DAY($AH212),EDATE($AH212,($AJ212-1)*$J212),EDATE($AH212,($AJ212-1)*$J212)-1)))</f>
        <v/>
      </c>
      <c r="AN212" s="32">
        <f>IF(NOT(ISNUMBER($H212)),"",IF(OR($AH212="",$H212&gt;='設定'!$B$6),0,IF($AK212&gt;='設定'!$B$6,$AJ212,$AJ212+1)))</f>
        <v/>
      </c>
      <c r="AO212" s="71">
        <f>IF($AN212="","",IF($AN212=0,"",IF($AN212=$AJ212,$AM212,$AK212)))</f>
        <v/>
      </c>
      <c r="AP212" s="32">
        <f>IF(OR($AC212="要対応",$AC212="通知期限切れ",$AC212="確認済み",$AC212="有効",$AC212="終了予定"),1,0)</f>
        <v/>
      </c>
      <c r="AQ212" s="32">
        <f>IF(OR($AC212="要対応",$AC212="通知期限切れ"),1,0)</f>
        <v/>
      </c>
      <c r="AR212" s="72">
        <f>IF(AND(ISNUMBER($AB212),OR($AC212="要対応",$AC212="通知期限切れ",$AC212="確認済み",$AC212="有効")),$AB212+ROW()/100000,"")</f>
        <v/>
      </c>
      <c r="AS212" s="32">
        <f>IF($E212="","",IF(COUNTIF($E$5:$E212,$E212)=1,ROW(),""))</f>
        <v/>
      </c>
      <c r="AT212" s="32">
        <f>IF($S212="","",IF(COUNTIF($S$5:$S212,$S212)=1,ROW(),""))</f>
        <v/>
      </c>
    </row>
    <row r="213" ht="20" customHeight="1">
      <c r="A213" s="20" t="n">
        <v>209</v>
      </c>
      <c r="B213" s="21" t="n"/>
      <c r="C213" s="22" t="n"/>
      <c r="D213" s="22" t="n"/>
      <c r="E213" s="22" t="n"/>
      <c r="F213" s="66" t="n"/>
      <c r="G213" s="66" t="n"/>
      <c r="H213" s="66" t="n"/>
      <c r="I213" s="21" t="n"/>
      <c r="J213" s="24" t="n"/>
      <c r="K213" s="24" t="n"/>
      <c r="L213" s="21" t="n"/>
      <c r="M213" s="24" t="n"/>
      <c r="N213" s="21" t="n"/>
      <c r="O213" s="67" t="n"/>
      <c r="P213" s="21" t="n"/>
      <c r="Q213" s="21" t="n"/>
      <c r="R213" s="22" t="n"/>
      <c r="S213" s="22" t="n"/>
      <c r="T213" s="21" t="n"/>
      <c r="U213" s="66" t="n"/>
      <c r="V213" s="66" t="n"/>
      <c r="W213" s="66" t="n"/>
      <c r="X213" s="8" t="n"/>
      <c r="Y213" s="68">
        <f>IF($AN213="","",IF($AN213=0,$H213,IF($AN213=$AJ213,$AK213,$AL213)))</f>
        <v/>
      </c>
      <c r="Z213" s="68">
        <f>IF(OR($Y213="",NOT(ISNUMBER($K213))),"",IF($L213="日前",$Y213-$K213,EDATE($Y213,-$K213)))</f>
        <v/>
      </c>
      <c r="AA213" s="68">
        <f>IF(OR($Y213="",ISNUMBER($V213),N($Y213)&lt;'設定'!$B$6),"",IF($Z213&lt;&gt;"",$Z213,$Y213))</f>
        <v/>
      </c>
      <c r="AB213" s="69">
        <f>IF($AA213="","",$AA213-'設定'!$B$6)</f>
        <v/>
      </c>
      <c r="AC213" s="28">
        <f>IF(NOT(OR($B213&lt;&gt;"",$C213&lt;&gt;"")),"",IF(ISNUMBER($V213),IF($V213&lt;'設定'!$B$6,"終了","終了予定"),IF($Y213="","有効",IF($Y213&lt;'設定'!$B$6,"満了",IF(AND($T213="更新する",ISNUMBER($U213),N($U213)&lt;='設定'!$B$6,OR($AO213="",N($U213)&gt;N($AO213))),"確認済み",IF($AB213&lt;0,"通知期限切れ",IF($AB213&lt;=N('設定'!$B$7),"要対応","有効")))))))</f>
        <v/>
      </c>
      <c r="AD213" s="68">
        <f>IF(OR(NOT(ISNUMBER($M213)),$AC213="",$AC213="終了",$AC213="終了予定",$AC213="満了"),"",IF($N213="日前",'設定'!$B$6+$M213,EDATE('設定'!$B$6,$M213)))</f>
        <v/>
      </c>
      <c r="AE213" s="70">
        <f>IF(NOT(ISNUMBER($O213)),"",IF($P213="月額",$O213*12,IF($P213="年額",$O213,"")))</f>
        <v/>
      </c>
      <c r="AF213" s="30">
        <f>MID(IF(AND(ISNUMBER($G213),ISNUMBER($H213)),IF(N($H213)&lt;N($G213)," / 満了日が開始日より前",""),"")&amp;IF(AND($I213="あり",NOT(ISNUMBER($H213)))," / 自動更新ありなのに満了日が空","")&amp;IF(AND($I213="あり",ISNUMBER($H213),NOT(ISNUMBER($J213)))," / 更新期間が空（更新を計算できない）","")&amp;IF($AH213="","",IF(AND(DAY($AH213)&gt;=29,OR(MOD($J213,12)&lt;&gt;0,MONTH($AH213)=2))," / 更新の初日が29〜31日（更新を重ねると満了日が1日ずれることがある。満了日を今の期間の満了日に書き換えると直る）",""))&amp;IF(AND(ISNUMBER($K213),$L213="")," / 通知の単位が空（か月前で計算）","")&amp;IF(AND(ISNUMBER($M213),$N213="")," / 解約予告の単位が空（か月前で計算）","")&amp;IF(AND(ISNUMBER($O213),$P213="")," / 金額の区分が空","")&amp;IF(AND($T213&lt;&gt;"",NOT(ISNUMBER($U213)))," / 対応を決めた日が空","")&amp;IF(AND(ISNUMBER($U213),$T213="")," / 今期の対応が空","")&amp;IF(AND($T213="更新しない",NOT(ISNUMBER($V213)))," / 更新しないなら、解約・終了した日（契約が終わる日）を入れる",""),4,300)</f>
        <v/>
      </c>
      <c r="AG213" s="53" t="n"/>
      <c r="AH213" s="71">
        <f>IF(AND(ISNUMBER($H213),$I213="あり",ISNUMBER($J213)),IF($J213&gt;=1,$H213+1,""),"")</f>
        <v/>
      </c>
      <c r="AI213" s="32">
        <f>IF($AH213="","",(YEAR('設定'!$B$6)-YEAR($AH213))*12+MONTH('設定'!$B$6)-MONTH($AH213))</f>
        <v/>
      </c>
      <c r="AJ213" s="32">
        <f>IF($AH213="","",MAX(1,ROUNDUP($AI213/$J213,0)))</f>
        <v/>
      </c>
      <c r="AK213" s="71">
        <f>IF($AJ213="","",IF(DAY(EDATE($AH213,$AJ213*$J213))&lt;DAY($AH213),EDATE($AH213,$AJ213*$J213),EDATE($AH213,$AJ213*$J213)-1))</f>
        <v/>
      </c>
      <c r="AL213" s="71">
        <f>IF($AJ213="","",IF(DAY(EDATE($AH213,($AJ213+1)*$J213))&lt;DAY($AH213),EDATE($AH213,($AJ213+1)*$J213),EDATE($AH213,($AJ213+1)*$J213)-1))</f>
        <v/>
      </c>
      <c r="AM213" s="71">
        <f>IF($AJ213="","",IF($AJ213=1,$H213,IF(DAY(EDATE($AH213,($AJ213-1)*$J213))&lt;DAY($AH213),EDATE($AH213,($AJ213-1)*$J213),EDATE($AH213,($AJ213-1)*$J213)-1)))</f>
        <v/>
      </c>
      <c r="AN213" s="32">
        <f>IF(NOT(ISNUMBER($H213)),"",IF(OR($AH213="",$H213&gt;='設定'!$B$6),0,IF($AK213&gt;='設定'!$B$6,$AJ213,$AJ213+1)))</f>
        <v/>
      </c>
      <c r="AO213" s="71">
        <f>IF($AN213="","",IF($AN213=0,"",IF($AN213=$AJ213,$AM213,$AK213)))</f>
        <v/>
      </c>
      <c r="AP213" s="32">
        <f>IF(OR($AC213="要対応",$AC213="通知期限切れ",$AC213="確認済み",$AC213="有効",$AC213="終了予定"),1,0)</f>
        <v/>
      </c>
      <c r="AQ213" s="32">
        <f>IF(OR($AC213="要対応",$AC213="通知期限切れ"),1,0)</f>
        <v/>
      </c>
      <c r="AR213" s="72">
        <f>IF(AND(ISNUMBER($AB213),OR($AC213="要対応",$AC213="通知期限切れ",$AC213="確認済み",$AC213="有効")),$AB213+ROW()/100000,"")</f>
        <v/>
      </c>
      <c r="AS213" s="32">
        <f>IF($E213="","",IF(COUNTIF($E$5:$E213,$E213)=1,ROW(),""))</f>
        <v/>
      </c>
      <c r="AT213" s="32">
        <f>IF($S213="","",IF(COUNTIF($S$5:$S213,$S213)=1,ROW(),""))</f>
        <v/>
      </c>
    </row>
    <row r="214" ht="20" customHeight="1">
      <c r="A214" s="20" t="n">
        <v>210</v>
      </c>
      <c r="B214" s="21" t="n"/>
      <c r="C214" s="22" t="n"/>
      <c r="D214" s="22" t="n"/>
      <c r="E214" s="22" t="n"/>
      <c r="F214" s="66" t="n"/>
      <c r="G214" s="66" t="n"/>
      <c r="H214" s="66" t="n"/>
      <c r="I214" s="21" t="n"/>
      <c r="J214" s="24" t="n"/>
      <c r="K214" s="24" t="n"/>
      <c r="L214" s="21" t="n"/>
      <c r="M214" s="24" t="n"/>
      <c r="N214" s="21" t="n"/>
      <c r="O214" s="67" t="n"/>
      <c r="P214" s="21" t="n"/>
      <c r="Q214" s="21" t="n"/>
      <c r="R214" s="22" t="n"/>
      <c r="S214" s="22" t="n"/>
      <c r="T214" s="21" t="n"/>
      <c r="U214" s="66" t="n"/>
      <c r="V214" s="66" t="n"/>
      <c r="W214" s="66" t="n"/>
      <c r="X214" s="8" t="n"/>
      <c r="Y214" s="68">
        <f>IF($AN214="","",IF($AN214=0,$H214,IF($AN214=$AJ214,$AK214,$AL214)))</f>
        <v/>
      </c>
      <c r="Z214" s="68">
        <f>IF(OR($Y214="",NOT(ISNUMBER($K214))),"",IF($L214="日前",$Y214-$K214,EDATE($Y214,-$K214)))</f>
        <v/>
      </c>
      <c r="AA214" s="68">
        <f>IF(OR($Y214="",ISNUMBER($V214),N($Y214)&lt;'設定'!$B$6),"",IF($Z214&lt;&gt;"",$Z214,$Y214))</f>
        <v/>
      </c>
      <c r="AB214" s="69">
        <f>IF($AA214="","",$AA214-'設定'!$B$6)</f>
        <v/>
      </c>
      <c r="AC214" s="28">
        <f>IF(NOT(OR($B214&lt;&gt;"",$C214&lt;&gt;"")),"",IF(ISNUMBER($V214),IF($V214&lt;'設定'!$B$6,"終了","終了予定"),IF($Y214="","有効",IF($Y214&lt;'設定'!$B$6,"満了",IF(AND($T214="更新する",ISNUMBER($U214),N($U214)&lt;='設定'!$B$6,OR($AO214="",N($U214)&gt;N($AO214))),"確認済み",IF($AB214&lt;0,"通知期限切れ",IF($AB214&lt;=N('設定'!$B$7),"要対応","有効")))))))</f>
        <v/>
      </c>
      <c r="AD214" s="68">
        <f>IF(OR(NOT(ISNUMBER($M214)),$AC214="",$AC214="終了",$AC214="終了予定",$AC214="満了"),"",IF($N214="日前",'設定'!$B$6+$M214,EDATE('設定'!$B$6,$M214)))</f>
        <v/>
      </c>
      <c r="AE214" s="70">
        <f>IF(NOT(ISNUMBER($O214)),"",IF($P214="月額",$O214*12,IF($P214="年額",$O214,"")))</f>
        <v/>
      </c>
      <c r="AF214" s="30">
        <f>MID(IF(AND(ISNUMBER($G214),ISNUMBER($H214)),IF(N($H214)&lt;N($G214)," / 満了日が開始日より前",""),"")&amp;IF(AND($I214="あり",NOT(ISNUMBER($H214)))," / 自動更新ありなのに満了日が空","")&amp;IF(AND($I214="あり",ISNUMBER($H214),NOT(ISNUMBER($J214)))," / 更新期間が空（更新を計算できない）","")&amp;IF($AH214="","",IF(AND(DAY($AH214)&gt;=29,OR(MOD($J214,12)&lt;&gt;0,MONTH($AH214)=2))," / 更新の初日が29〜31日（更新を重ねると満了日が1日ずれることがある。満了日を今の期間の満了日に書き換えると直る）",""))&amp;IF(AND(ISNUMBER($K214),$L214="")," / 通知の単位が空（か月前で計算）","")&amp;IF(AND(ISNUMBER($M214),$N214="")," / 解約予告の単位が空（か月前で計算）","")&amp;IF(AND(ISNUMBER($O214),$P214="")," / 金額の区分が空","")&amp;IF(AND($T214&lt;&gt;"",NOT(ISNUMBER($U214)))," / 対応を決めた日が空","")&amp;IF(AND(ISNUMBER($U214),$T214="")," / 今期の対応が空","")&amp;IF(AND($T214="更新しない",NOT(ISNUMBER($V214)))," / 更新しないなら、解約・終了した日（契約が終わる日）を入れる",""),4,300)</f>
        <v/>
      </c>
      <c r="AG214" s="53" t="n"/>
      <c r="AH214" s="71">
        <f>IF(AND(ISNUMBER($H214),$I214="あり",ISNUMBER($J214)),IF($J214&gt;=1,$H214+1,""),"")</f>
        <v/>
      </c>
      <c r="AI214" s="32">
        <f>IF($AH214="","",(YEAR('設定'!$B$6)-YEAR($AH214))*12+MONTH('設定'!$B$6)-MONTH($AH214))</f>
        <v/>
      </c>
      <c r="AJ214" s="32">
        <f>IF($AH214="","",MAX(1,ROUNDUP($AI214/$J214,0)))</f>
        <v/>
      </c>
      <c r="AK214" s="71">
        <f>IF($AJ214="","",IF(DAY(EDATE($AH214,$AJ214*$J214))&lt;DAY($AH214),EDATE($AH214,$AJ214*$J214),EDATE($AH214,$AJ214*$J214)-1))</f>
        <v/>
      </c>
      <c r="AL214" s="71">
        <f>IF($AJ214="","",IF(DAY(EDATE($AH214,($AJ214+1)*$J214))&lt;DAY($AH214),EDATE($AH214,($AJ214+1)*$J214),EDATE($AH214,($AJ214+1)*$J214)-1))</f>
        <v/>
      </c>
      <c r="AM214" s="71">
        <f>IF($AJ214="","",IF($AJ214=1,$H214,IF(DAY(EDATE($AH214,($AJ214-1)*$J214))&lt;DAY($AH214),EDATE($AH214,($AJ214-1)*$J214),EDATE($AH214,($AJ214-1)*$J214)-1)))</f>
        <v/>
      </c>
      <c r="AN214" s="32">
        <f>IF(NOT(ISNUMBER($H214)),"",IF(OR($AH214="",$H214&gt;='設定'!$B$6),0,IF($AK214&gt;='設定'!$B$6,$AJ214,$AJ214+1)))</f>
        <v/>
      </c>
      <c r="AO214" s="71">
        <f>IF($AN214="","",IF($AN214=0,"",IF($AN214=$AJ214,$AM214,$AK214)))</f>
        <v/>
      </c>
      <c r="AP214" s="32">
        <f>IF(OR($AC214="要対応",$AC214="通知期限切れ",$AC214="確認済み",$AC214="有効",$AC214="終了予定"),1,0)</f>
        <v/>
      </c>
      <c r="AQ214" s="32">
        <f>IF(OR($AC214="要対応",$AC214="通知期限切れ"),1,0)</f>
        <v/>
      </c>
      <c r="AR214" s="72">
        <f>IF(AND(ISNUMBER($AB214),OR($AC214="要対応",$AC214="通知期限切れ",$AC214="確認済み",$AC214="有効")),$AB214+ROW()/100000,"")</f>
        <v/>
      </c>
      <c r="AS214" s="32">
        <f>IF($E214="","",IF(COUNTIF($E$5:$E214,$E214)=1,ROW(),""))</f>
        <v/>
      </c>
      <c r="AT214" s="32">
        <f>IF($S214="","",IF(COUNTIF($S$5:$S214,$S214)=1,ROW(),""))</f>
        <v/>
      </c>
    </row>
    <row r="215" ht="20" customHeight="1">
      <c r="A215" s="20" t="n">
        <v>211</v>
      </c>
      <c r="B215" s="21" t="n"/>
      <c r="C215" s="22" t="n"/>
      <c r="D215" s="22" t="n"/>
      <c r="E215" s="22" t="n"/>
      <c r="F215" s="66" t="n"/>
      <c r="G215" s="66" t="n"/>
      <c r="H215" s="66" t="n"/>
      <c r="I215" s="21" t="n"/>
      <c r="J215" s="24" t="n"/>
      <c r="K215" s="24" t="n"/>
      <c r="L215" s="21" t="n"/>
      <c r="M215" s="24" t="n"/>
      <c r="N215" s="21" t="n"/>
      <c r="O215" s="67" t="n"/>
      <c r="P215" s="21" t="n"/>
      <c r="Q215" s="21" t="n"/>
      <c r="R215" s="22" t="n"/>
      <c r="S215" s="22" t="n"/>
      <c r="T215" s="21" t="n"/>
      <c r="U215" s="66" t="n"/>
      <c r="V215" s="66" t="n"/>
      <c r="W215" s="66" t="n"/>
      <c r="X215" s="8" t="n"/>
      <c r="Y215" s="68">
        <f>IF($AN215="","",IF($AN215=0,$H215,IF($AN215=$AJ215,$AK215,$AL215)))</f>
        <v/>
      </c>
      <c r="Z215" s="68">
        <f>IF(OR($Y215="",NOT(ISNUMBER($K215))),"",IF($L215="日前",$Y215-$K215,EDATE($Y215,-$K215)))</f>
        <v/>
      </c>
      <c r="AA215" s="68">
        <f>IF(OR($Y215="",ISNUMBER($V215),N($Y215)&lt;'設定'!$B$6),"",IF($Z215&lt;&gt;"",$Z215,$Y215))</f>
        <v/>
      </c>
      <c r="AB215" s="69">
        <f>IF($AA215="","",$AA215-'設定'!$B$6)</f>
        <v/>
      </c>
      <c r="AC215" s="28">
        <f>IF(NOT(OR($B215&lt;&gt;"",$C215&lt;&gt;"")),"",IF(ISNUMBER($V215),IF($V215&lt;'設定'!$B$6,"終了","終了予定"),IF($Y215="","有効",IF($Y215&lt;'設定'!$B$6,"満了",IF(AND($T215="更新する",ISNUMBER($U215),N($U215)&lt;='設定'!$B$6,OR($AO215="",N($U215)&gt;N($AO215))),"確認済み",IF($AB215&lt;0,"通知期限切れ",IF($AB215&lt;=N('設定'!$B$7),"要対応","有効")))))))</f>
        <v/>
      </c>
      <c r="AD215" s="68">
        <f>IF(OR(NOT(ISNUMBER($M215)),$AC215="",$AC215="終了",$AC215="終了予定",$AC215="満了"),"",IF($N215="日前",'設定'!$B$6+$M215,EDATE('設定'!$B$6,$M215)))</f>
        <v/>
      </c>
      <c r="AE215" s="70">
        <f>IF(NOT(ISNUMBER($O215)),"",IF($P215="月額",$O215*12,IF($P215="年額",$O215,"")))</f>
        <v/>
      </c>
      <c r="AF215" s="30">
        <f>MID(IF(AND(ISNUMBER($G215),ISNUMBER($H215)),IF(N($H215)&lt;N($G215)," / 満了日が開始日より前",""),"")&amp;IF(AND($I215="あり",NOT(ISNUMBER($H215)))," / 自動更新ありなのに満了日が空","")&amp;IF(AND($I215="あり",ISNUMBER($H215),NOT(ISNUMBER($J215)))," / 更新期間が空（更新を計算できない）","")&amp;IF($AH215="","",IF(AND(DAY($AH215)&gt;=29,OR(MOD($J215,12)&lt;&gt;0,MONTH($AH215)=2))," / 更新の初日が29〜31日（更新を重ねると満了日が1日ずれることがある。満了日を今の期間の満了日に書き換えると直る）",""))&amp;IF(AND(ISNUMBER($K215),$L215="")," / 通知の単位が空（か月前で計算）","")&amp;IF(AND(ISNUMBER($M215),$N215="")," / 解約予告の単位が空（か月前で計算）","")&amp;IF(AND(ISNUMBER($O215),$P215="")," / 金額の区分が空","")&amp;IF(AND($T215&lt;&gt;"",NOT(ISNUMBER($U215)))," / 対応を決めた日が空","")&amp;IF(AND(ISNUMBER($U215),$T215="")," / 今期の対応が空","")&amp;IF(AND($T215="更新しない",NOT(ISNUMBER($V215)))," / 更新しないなら、解約・終了した日（契約が終わる日）を入れる",""),4,300)</f>
        <v/>
      </c>
      <c r="AG215" s="53" t="n"/>
      <c r="AH215" s="71">
        <f>IF(AND(ISNUMBER($H215),$I215="あり",ISNUMBER($J215)),IF($J215&gt;=1,$H215+1,""),"")</f>
        <v/>
      </c>
      <c r="AI215" s="32">
        <f>IF($AH215="","",(YEAR('設定'!$B$6)-YEAR($AH215))*12+MONTH('設定'!$B$6)-MONTH($AH215))</f>
        <v/>
      </c>
      <c r="AJ215" s="32">
        <f>IF($AH215="","",MAX(1,ROUNDUP($AI215/$J215,0)))</f>
        <v/>
      </c>
      <c r="AK215" s="71">
        <f>IF($AJ215="","",IF(DAY(EDATE($AH215,$AJ215*$J215))&lt;DAY($AH215),EDATE($AH215,$AJ215*$J215),EDATE($AH215,$AJ215*$J215)-1))</f>
        <v/>
      </c>
      <c r="AL215" s="71">
        <f>IF($AJ215="","",IF(DAY(EDATE($AH215,($AJ215+1)*$J215))&lt;DAY($AH215),EDATE($AH215,($AJ215+1)*$J215),EDATE($AH215,($AJ215+1)*$J215)-1))</f>
        <v/>
      </c>
      <c r="AM215" s="71">
        <f>IF($AJ215="","",IF($AJ215=1,$H215,IF(DAY(EDATE($AH215,($AJ215-1)*$J215))&lt;DAY($AH215),EDATE($AH215,($AJ215-1)*$J215),EDATE($AH215,($AJ215-1)*$J215)-1)))</f>
        <v/>
      </c>
      <c r="AN215" s="32">
        <f>IF(NOT(ISNUMBER($H215)),"",IF(OR($AH215="",$H215&gt;='設定'!$B$6),0,IF($AK215&gt;='設定'!$B$6,$AJ215,$AJ215+1)))</f>
        <v/>
      </c>
      <c r="AO215" s="71">
        <f>IF($AN215="","",IF($AN215=0,"",IF($AN215=$AJ215,$AM215,$AK215)))</f>
        <v/>
      </c>
      <c r="AP215" s="32">
        <f>IF(OR($AC215="要対応",$AC215="通知期限切れ",$AC215="確認済み",$AC215="有効",$AC215="終了予定"),1,0)</f>
        <v/>
      </c>
      <c r="AQ215" s="32">
        <f>IF(OR($AC215="要対応",$AC215="通知期限切れ"),1,0)</f>
        <v/>
      </c>
      <c r="AR215" s="72">
        <f>IF(AND(ISNUMBER($AB215),OR($AC215="要対応",$AC215="通知期限切れ",$AC215="確認済み",$AC215="有効")),$AB215+ROW()/100000,"")</f>
        <v/>
      </c>
      <c r="AS215" s="32">
        <f>IF($E215="","",IF(COUNTIF($E$5:$E215,$E215)=1,ROW(),""))</f>
        <v/>
      </c>
      <c r="AT215" s="32">
        <f>IF($S215="","",IF(COUNTIF($S$5:$S215,$S215)=1,ROW(),""))</f>
        <v/>
      </c>
    </row>
    <row r="216" ht="20" customHeight="1">
      <c r="A216" s="20" t="n">
        <v>212</v>
      </c>
      <c r="B216" s="21" t="n"/>
      <c r="C216" s="22" t="n"/>
      <c r="D216" s="22" t="n"/>
      <c r="E216" s="22" t="n"/>
      <c r="F216" s="66" t="n"/>
      <c r="G216" s="66" t="n"/>
      <c r="H216" s="66" t="n"/>
      <c r="I216" s="21" t="n"/>
      <c r="J216" s="24" t="n"/>
      <c r="K216" s="24" t="n"/>
      <c r="L216" s="21" t="n"/>
      <c r="M216" s="24" t="n"/>
      <c r="N216" s="21" t="n"/>
      <c r="O216" s="67" t="n"/>
      <c r="P216" s="21" t="n"/>
      <c r="Q216" s="21" t="n"/>
      <c r="R216" s="22" t="n"/>
      <c r="S216" s="22" t="n"/>
      <c r="T216" s="21" t="n"/>
      <c r="U216" s="66" t="n"/>
      <c r="V216" s="66" t="n"/>
      <c r="W216" s="66" t="n"/>
      <c r="X216" s="8" t="n"/>
      <c r="Y216" s="68">
        <f>IF($AN216="","",IF($AN216=0,$H216,IF($AN216=$AJ216,$AK216,$AL216)))</f>
        <v/>
      </c>
      <c r="Z216" s="68">
        <f>IF(OR($Y216="",NOT(ISNUMBER($K216))),"",IF($L216="日前",$Y216-$K216,EDATE($Y216,-$K216)))</f>
        <v/>
      </c>
      <c r="AA216" s="68">
        <f>IF(OR($Y216="",ISNUMBER($V216),N($Y216)&lt;'設定'!$B$6),"",IF($Z216&lt;&gt;"",$Z216,$Y216))</f>
        <v/>
      </c>
      <c r="AB216" s="69">
        <f>IF($AA216="","",$AA216-'設定'!$B$6)</f>
        <v/>
      </c>
      <c r="AC216" s="28">
        <f>IF(NOT(OR($B216&lt;&gt;"",$C216&lt;&gt;"")),"",IF(ISNUMBER($V216),IF($V216&lt;'設定'!$B$6,"終了","終了予定"),IF($Y216="","有効",IF($Y216&lt;'設定'!$B$6,"満了",IF(AND($T216="更新する",ISNUMBER($U216),N($U216)&lt;='設定'!$B$6,OR($AO216="",N($U216)&gt;N($AO216))),"確認済み",IF($AB216&lt;0,"通知期限切れ",IF($AB216&lt;=N('設定'!$B$7),"要対応","有効")))))))</f>
        <v/>
      </c>
      <c r="AD216" s="68">
        <f>IF(OR(NOT(ISNUMBER($M216)),$AC216="",$AC216="終了",$AC216="終了予定",$AC216="満了"),"",IF($N216="日前",'設定'!$B$6+$M216,EDATE('設定'!$B$6,$M216)))</f>
        <v/>
      </c>
      <c r="AE216" s="70">
        <f>IF(NOT(ISNUMBER($O216)),"",IF($P216="月額",$O216*12,IF($P216="年額",$O216,"")))</f>
        <v/>
      </c>
      <c r="AF216" s="30">
        <f>MID(IF(AND(ISNUMBER($G216),ISNUMBER($H216)),IF(N($H216)&lt;N($G216)," / 満了日が開始日より前",""),"")&amp;IF(AND($I216="あり",NOT(ISNUMBER($H216)))," / 自動更新ありなのに満了日が空","")&amp;IF(AND($I216="あり",ISNUMBER($H216),NOT(ISNUMBER($J216)))," / 更新期間が空（更新を計算できない）","")&amp;IF($AH216="","",IF(AND(DAY($AH216)&gt;=29,OR(MOD($J216,12)&lt;&gt;0,MONTH($AH216)=2))," / 更新の初日が29〜31日（更新を重ねると満了日が1日ずれることがある。満了日を今の期間の満了日に書き換えると直る）",""))&amp;IF(AND(ISNUMBER($K216),$L216="")," / 通知の単位が空（か月前で計算）","")&amp;IF(AND(ISNUMBER($M216),$N216="")," / 解約予告の単位が空（か月前で計算）","")&amp;IF(AND(ISNUMBER($O216),$P216="")," / 金額の区分が空","")&amp;IF(AND($T216&lt;&gt;"",NOT(ISNUMBER($U216)))," / 対応を決めた日が空","")&amp;IF(AND(ISNUMBER($U216),$T216="")," / 今期の対応が空","")&amp;IF(AND($T216="更新しない",NOT(ISNUMBER($V216)))," / 更新しないなら、解約・終了した日（契約が終わる日）を入れる",""),4,300)</f>
        <v/>
      </c>
      <c r="AG216" s="53" t="n"/>
      <c r="AH216" s="71">
        <f>IF(AND(ISNUMBER($H216),$I216="あり",ISNUMBER($J216)),IF($J216&gt;=1,$H216+1,""),"")</f>
        <v/>
      </c>
      <c r="AI216" s="32">
        <f>IF($AH216="","",(YEAR('設定'!$B$6)-YEAR($AH216))*12+MONTH('設定'!$B$6)-MONTH($AH216))</f>
        <v/>
      </c>
      <c r="AJ216" s="32">
        <f>IF($AH216="","",MAX(1,ROUNDUP($AI216/$J216,0)))</f>
        <v/>
      </c>
      <c r="AK216" s="71">
        <f>IF($AJ216="","",IF(DAY(EDATE($AH216,$AJ216*$J216))&lt;DAY($AH216),EDATE($AH216,$AJ216*$J216),EDATE($AH216,$AJ216*$J216)-1))</f>
        <v/>
      </c>
      <c r="AL216" s="71">
        <f>IF($AJ216="","",IF(DAY(EDATE($AH216,($AJ216+1)*$J216))&lt;DAY($AH216),EDATE($AH216,($AJ216+1)*$J216),EDATE($AH216,($AJ216+1)*$J216)-1))</f>
        <v/>
      </c>
      <c r="AM216" s="71">
        <f>IF($AJ216="","",IF($AJ216=1,$H216,IF(DAY(EDATE($AH216,($AJ216-1)*$J216))&lt;DAY($AH216),EDATE($AH216,($AJ216-1)*$J216),EDATE($AH216,($AJ216-1)*$J216)-1)))</f>
        <v/>
      </c>
      <c r="AN216" s="32">
        <f>IF(NOT(ISNUMBER($H216)),"",IF(OR($AH216="",$H216&gt;='設定'!$B$6),0,IF($AK216&gt;='設定'!$B$6,$AJ216,$AJ216+1)))</f>
        <v/>
      </c>
      <c r="AO216" s="71">
        <f>IF($AN216="","",IF($AN216=0,"",IF($AN216=$AJ216,$AM216,$AK216)))</f>
        <v/>
      </c>
      <c r="AP216" s="32">
        <f>IF(OR($AC216="要対応",$AC216="通知期限切れ",$AC216="確認済み",$AC216="有効",$AC216="終了予定"),1,0)</f>
        <v/>
      </c>
      <c r="AQ216" s="32">
        <f>IF(OR($AC216="要対応",$AC216="通知期限切れ"),1,0)</f>
        <v/>
      </c>
      <c r="AR216" s="72">
        <f>IF(AND(ISNUMBER($AB216),OR($AC216="要対応",$AC216="通知期限切れ",$AC216="確認済み",$AC216="有効")),$AB216+ROW()/100000,"")</f>
        <v/>
      </c>
      <c r="AS216" s="32">
        <f>IF($E216="","",IF(COUNTIF($E$5:$E216,$E216)=1,ROW(),""))</f>
        <v/>
      </c>
      <c r="AT216" s="32">
        <f>IF($S216="","",IF(COUNTIF($S$5:$S216,$S216)=1,ROW(),""))</f>
        <v/>
      </c>
    </row>
    <row r="217" ht="20" customHeight="1">
      <c r="A217" s="20" t="n">
        <v>213</v>
      </c>
      <c r="B217" s="21" t="n"/>
      <c r="C217" s="22" t="n"/>
      <c r="D217" s="22" t="n"/>
      <c r="E217" s="22" t="n"/>
      <c r="F217" s="66" t="n"/>
      <c r="G217" s="66" t="n"/>
      <c r="H217" s="66" t="n"/>
      <c r="I217" s="21" t="n"/>
      <c r="J217" s="24" t="n"/>
      <c r="K217" s="24" t="n"/>
      <c r="L217" s="21" t="n"/>
      <c r="M217" s="24" t="n"/>
      <c r="N217" s="21" t="n"/>
      <c r="O217" s="67" t="n"/>
      <c r="P217" s="21" t="n"/>
      <c r="Q217" s="21" t="n"/>
      <c r="R217" s="22" t="n"/>
      <c r="S217" s="22" t="n"/>
      <c r="T217" s="21" t="n"/>
      <c r="U217" s="66" t="n"/>
      <c r="V217" s="66" t="n"/>
      <c r="W217" s="66" t="n"/>
      <c r="X217" s="8" t="n"/>
      <c r="Y217" s="68">
        <f>IF($AN217="","",IF($AN217=0,$H217,IF($AN217=$AJ217,$AK217,$AL217)))</f>
        <v/>
      </c>
      <c r="Z217" s="68">
        <f>IF(OR($Y217="",NOT(ISNUMBER($K217))),"",IF($L217="日前",$Y217-$K217,EDATE($Y217,-$K217)))</f>
        <v/>
      </c>
      <c r="AA217" s="68">
        <f>IF(OR($Y217="",ISNUMBER($V217),N($Y217)&lt;'設定'!$B$6),"",IF($Z217&lt;&gt;"",$Z217,$Y217))</f>
        <v/>
      </c>
      <c r="AB217" s="69">
        <f>IF($AA217="","",$AA217-'設定'!$B$6)</f>
        <v/>
      </c>
      <c r="AC217" s="28">
        <f>IF(NOT(OR($B217&lt;&gt;"",$C217&lt;&gt;"")),"",IF(ISNUMBER($V217),IF($V217&lt;'設定'!$B$6,"終了","終了予定"),IF($Y217="","有効",IF($Y217&lt;'設定'!$B$6,"満了",IF(AND($T217="更新する",ISNUMBER($U217),N($U217)&lt;='設定'!$B$6,OR($AO217="",N($U217)&gt;N($AO217))),"確認済み",IF($AB217&lt;0,"通知期限切れ",IF($AB217&lt;=N('設定'!$B$7),"要対応","有効")))))))</f>
        <v/>
      </c>
      <c r="AD217" s="68">
        <f>IF(OR(NOT(ISNUMBER($M217)),$AC217="",$AC217="終了",$AC217="終了予定",$AC217="満了"),"",IF($N217="日前",'設定'!$B$6+$M217,EDATE('設定'!$B$6,$M217)))</f>
        <v/>
      </c>
      <c r="AE217" s="70">
        <f>IF(NOT(ISNUMBER($O217)),"",IF($P217="月額",$O217*12,IF($P217="年額",$O217,"")))</f>
        <v/>
      </c>
      <c r="AF217" s="30">
        <f>MID(IF(AND(ISNUMBER($G217),ISNUMBER($H217)),IF(N($H217)&lt;N($G217)," / 満了日が開始日より前",""),"")&amp;IF(AND($I217="あり",NOT(ISNUMBER($H217)))," / 自動更新ありなのに満了日が空","")&amp;IF(AND($I217="あり",ISNUMBER($H217),NOT(ISNUMBER($J217)))," / 更新期間が空（更新を計算できない）","")&amp;IF($AH217="","",IF(AND(DAY($AH217)&gt;=29,OR(MOD($J217,12)&lt;&gt;0,MONTH($AH217)=2))," / 更新の初日が29〜31日（更新を重ねると満了日が1日ずれることがある。満了日を今の期間の満了日に書き換えると直る）",""))&amp;IF(AND(ISNUMBER($K217),$L217="")," / 通知の単位が空（か月前で計算）","")&amp;IF(AND(ISNUMBER($M217),$N217="")," / 解約予告の単位が空（か月前で計算）","")&amp;IF(AND(ISNUMBER($O217),$P217="")," / 金額の区分が空","")&amp;IF(AND($T217&lt;&gt;"",NOT(ISNUMBER($U217)))," / 対応を決めた日が空","")&amp;IF(AND(ISNUMBER($U217),$T217="")," / 今期の対応が空","")&amp;IF(AND($T217="更新しない",NOT(ISNUMBER($V217)))," / 更新しないなら、解約・終了した日（契約が終わる日）を入れる",""),4,300)</f>
        <v/>
      </c>
      <c r="AG217" s="53" t="n"/>
      <c r="AH217" s="71">
        <f>IF(AND(ISNUMBER($H217),$I217="あり",ISNUMBER($J217)),IF($J217&gt;=1,$H217+1,""),"")</f>
        <v/>
      </c>
      <c r="AI217" s="32">
        <f>IF($AH217="","",(YEAR('設定'!$B$6)-YEAR($AH217))*12+MONTH('設定'!$B$6)-MONTH($AH217))</f>
        <v/>
      </c>
      <c r="AJ217" s="32">
        <f>IF($AH217="","",MAX(1,ROUNDUP($AI217/$J217,0)))</f>
        <v/>
      </c>
      <c r="AK217" s="71">
        <f>IF($AJ217="","",IF(DAY(EDATE($AH217,$AJ217*$J217))&lt;DAY($AH217),EDATE($AH217,$AJ217*$J217),EDATE($AH217,$AJ217*$J217)-1))</f>
        <v/>
      </c>
      <c r="AL217" s="71">
        <f>IF($AJ217="","",IF(DAY(EDATE($AH217,($AJ217+1)*$J217))&lt;DAY($AH217),EDATE($AH217,($AJ217+1)*$J217),EDATE($AH217,($AJ217+1)*$J217)-1))</f>
        <v/>
      </c>
      <c r="AM217" s="71">
        <f>IF($AJ217="","",IF($AJ217=1,$H217,IF(DAY(EDATE($AH217,($AJ217-1)*$J217))&lt;DAY($AH217),EDATE($AH217,($AJ217-1)*$J217),EDATE($AH217,($AJ217-1)*$J217)-1)))</f>
        <v/>
      </c>
      <c r="AN217" s="32">
        <f>IF(NOT(ISNUMBER($H217)),"",IF(OR($AH217="",$H217&gt;='設定'!$B$6),0,IF($AK217&gt;='設定'!$B$6,$AJ217,$AJ217+1)))</f>
        <v/>
      </c>
      <c r="AO217" s="71">
        <f>IF($AN217="","",IF($AN217=0,"",IF($AN217=$AJ217,$AM217,$AK217)))</f>
        <v/>
      </c>
      <c r="AP217" s="32">
        <f>IF(OR($AC217="要対応",$AC217="通知期限切れ",$AC217="確認済み",$AC217="有効",$AC217="終了予定"),1,0)</f>
        <v/>
      </c>
      <c r="AQ217" s="32">
        <f>IF(OR($AC217="要対応",$AC217="通知期限切れ"),1,0)</f>
        <v/>
      </c>
      <c r="AR217" s="72">
        <f>IF(AND(ISNUMBER($AB217),OR($AC217="要対応",$AC217="通知期限切れ",$AC217="確認済み",$AC217="有効")),$AB217+ROW()/100000,"")</f>
        <v/>
      </c>
      <c r="AS217" s="32">
        <f>IF($E217="","",IF(COUNTIF($E$5:$E217,$E217)=1,ROW(),""))</f>
        <v/>
      </c>
      <c r="AT217" s="32">
        <f>IF($S217="","",IF(COUNTIF($S$5:$S217,$S217)=1,ROW(),""))</f>
        <v/>
      </c>
    </row>
    <row r="218" ht="20" customHeight="1">
      <c r="A218" s="20" t="n">
        <v>214</v>
      </c>
      <c r="B218" s="21" t="n"/>
      <c r="C218" s="22" t="n"/>
      <c r="D218" s="22" t="n"/>
      <c r="E218" s="22" t="n"/>
      <c r="F218" s="66" t="n"/>
      <c r="G218" s="66" t="n"/>
      <c r="H218" s="66" t="n"/>
      <c r="I218" s="21" t="n"/>
      <c r="J218" s="24" t="n"/>
      <c r="K218" s="24" t="n"/>
      <c r="L218" s="21" t="n"/>
      <c r="M218" s="24" t="n"/>
      <c r="N218" s="21" t="n"/>
      <c r="O218" s="67" t="n"/>
      <c r="P218" s="21" t="n"/>
      <c r="Q218" s="21" t="n"/>
      <c r="R218" s="22" t="n"/>
      <c r="S218" s="22" t="n"/>
      <c r="T218" s="21" t="n"/>
      <c r="U218" s="66" t="n"/>
      <c r="V218" s="66" t="n"/>
      <c r="W218" s="66" t="n"/>
      <c r="X218" s="8" t="n"/>
      <c r="Y218" s="68">
        <f>IF($AN218="","",IF($AN218=0,$H218,IF($AN218=$AJ218,$AK218,$AL218)))</f>
        <v/>
      </c>
      <c r="Z218" s="68">
        <f>IF(OR($Y218="",NOT(ISNUMBER($K218))),"",IF($L218="日前",$Y218-$K218,EDATE($Y218,-$K218)))</f>
        <v/>
      </c>
      <c r="AA218" s="68">
        <f>IF(OR($Y218="",ISNUMBER($V218),N($Y218)&lt;'設定'!$B$6),"",IF($Z218&lt;&gt;"",$Z218,$Y218))</f>
        <v/>
      </c>
      <c r="AB218" s="69">
        <f>IF($AA218="","",$AA218-'設定'!$B$6)</f>
        <v/>
      </c>
      <c r="AC218" s="28">
        <f>IF(NOT(OR($B218&lt;&gt;"",$C218&lt;&gt;"")),"",IF(ISNUMBER($V218),IF($V218&lt;'設定'!$B$6,"終了","終了予定"),IF($Y218="","有効",IF($Y218&lt;'設定'!$B$6,"満了",IF(AND($T218="更新する",ISNUMBER($U218),N($U218)&lt;='設定'!$B$6,OR($AO218="",N($U218)&gt;N($AO218))),"確認済み",IF($AB218&lt;0,"通知期限切れ",IF($AB218&lt;=N('設定'!$B$7),"要対応","有効")))))))</f>
        <v/>
      </c>
      <c r="AD218" s="68">
        <f>IF(OR(NOT(ISNUMBER($M218)),$AC218="",$AC218="終了",$AC218="終了予定",$AC218="満了"),"",IF($N218="日前",'設定'!$B$6+$M218,EDATE('設定'!$B$6,$M218)))</f>
        <v/>
      </c>
      <c r="AE218" s="70">
        <f>IF(NOT(ISNUMBER($O218)),"",IF($P218="月額",$O218*12,IF($P218="年額",$O218,"")))</f>
        <v/>
      </c>
      <c r="AF218" s="30">
        <f>MID(IF(AND(ISNUMBER($G218),ISNUMBER($H218)),IF(N($H218)&lt;N($G218)," / 満了日が開始日より前",""),"")&amp;IF(AND($I218="あり",NOT(ISNUMBER($H218)))," / 自動更新ありなのに満了日が空","")&amp;IF(AND($I218="あり",ISNUMBER($H218),NOT(ISNUMBER($J218)))," / 更新期間が空（更新を計算できない）","")&amp;IF($AH218="","",IF(AND(DAY($AH218)&gt;=29,OR(MOD($J218,12)&lt;&gt;0,MONTH($AH218)=2))," / 更新の初日が29〜31日（更新を重ねると満了日が1日ずれることがある。満了日を今の期間の満了日に書き換えると直る）",""))&amp;IF(AND(ISNUMBER($K218),$L218="")," / 通知の単位が空（か月前で計算）","")&amp;IF(AND(ISNUMBER($M218),$N218="")," / 解約予告の単位が空（か月前で計算）","")&amp;IF(AND(ISNUMBER($O218),$P218="")," / 金額の区分が空","")&amp;IF(AND($T218&lt;&gt;"",NOT(ISNUMBER($U218)))," / 対応を決めた日が空","")&amp;IF(AND(ISNUMBER($U218),$T218="")," / 今期の対応が空","")&amp;IF(AND($T218="更新しない",NOT(ISNUMBER($V218)))," / 更新しないなら、解約・終了した日（契約が終わる日）を入れる",""),4,300)</f>
        <v/>
      </c>
      <c r="AG218" s="53" t="n"/>
      <c r="AH218" s="71">
        <f>IF(AND(ISNUMBER($H218),$I218="あり",ISNUMBER($J218)),IF($J218&gt;=1,$H218+1,""),"")</f>
        <v/>
      </c>
      <c r="AI218" s="32">
        <f>IF($AH218="","",(YEAR('設定'!$B$6)-YEAR($AH218))*12+MONTH('設定'!$B$6)-MONTH($AH218))</f>
        <v/>
      </c>
      <c r="AJ218" s="32">
        <f>IF($AH218="","",MAX(1,ROUNDUP($AI218/$J218,0)))</f>
        <v/>
      </c>
      <c r="AK218" s="71">
        <f>IF($AJ218="","",IF(DAY(EDATE($AH218,$AJ218*$J218))&lt;DAY($AH218),EDATE($AH218,$AJ218*$J218),EDATE($AH218,$AJ218*$J218)-1))</f>
        <v/>
      </c>
      <c r="AL218" s="71">
        <f>IF($AJ218="","",IF(DAY(EDATE($AH218,($AJ218+1)*$J218))&lt;DAY($AH218),EDATE($AH218,($AJ218+1)*$J218),EDATE($AH218,($AJ218+1)*$J218)-1))</f>
        <v/>
      </c>
      <c r="AM218" s="71">
        <f>IF($AJ218="","",IF($AJ218=1,$H218,IF(DAY(EDATE($AH218,($AJ218-1)*$J218))&lt;DAY($AH218),EDATE($AH218,($AJ218-1)*$J218),EDATE($AH218,($AJ218-1)*$J218)-1)))</f>
        <v/>
      </c>
      <c r="AN218" s="32">
        <f>IF(NOT(ISNUMBER($H218)),"",IF(OR($AH218="",$H218&gt;='設定'!$B$6),0,IF($AK218&gt;='設定'!$B$6,$AJ218,$AJ218+1)))</f>
        <v/>
      </c>
      <c r="AO218" s="71">
        <f>IF($AN218="","",IF($AN218=0,"",IF($AN218=$AJ218,$AM218,$AK218)))</f>
        <v/>
      </c>
      <c r="AP218" s="32">
        <f>IF(OR($AC218="要対応",$AC218="通知期限切れ",$AC218="確認済み",$AC218="有効",$AC218="終了予定"),1,0)</f>
        <v/>
      </c>
      <c r="AQ218" s="32">
        <f>IF(OR($AC218="要対応",$AC218="通知期限切れ"),1,0)</f>
        <v/>
      </c>
      <c r="AR218" s="72">
        <f>IF(AND(ISNUMBER($AB218),OR($AC218="要対応",$AC218="通知期限切れ",$AC218="確認済み",$AC218="有効")),$AB218+ROW()/100000,"")</f>
        <v/>
      </c>
      <c r="AS218" s="32">
        <f>IF($E218="","",IF(COUNTIF($E$5:$E218,$E218)=1,ROW(),""))</f>
        <v/>
      </c>
      <c r="AT218" s="32">
        <f>IF($S218="","",IF(COUNTIF($S$5:$S218,$S218)=1,ROW(),""))</f>
        <v/>
      </c>
    </row>
    <row r="219" ht="20" customHeight="1">
      <c r="A219" s="20" t="n">
        <v>215</v>
      </c>
      <c r="B219" s="21" t="n"/>
      <c r="C219" s="22" t="n"/>
      <c r="D219" s="22" t="n"/>
      <c r="E219" s="22" t="n"/>
      <c r="F219" s="66" t="n"/>
      <c r="G219" s="66" t="n"/>
      <c r="H219" s="66" t="n"/>
      <c r="I219" s="21" t="n"/>
      <c r="J219" s="24" t="n"/>
      <c r="K219" s="24" t="n"/>
      <c r="L219" s="21" t="n"/>
      <c r="M219" s="24" t="n"/>
      <c r="N219" s="21" t="n"/>
      <c r="O219" s="67" t="n"/>
      <c r="P219" s="21" t="n"/>
      <c r="Q219" s="21" t="n"/>
      <c r="R219" s="22" t="n"/>
      <c r="S219" s="22" t="n"/>
      <c r="T219" s="21" t="n"/>
      <c r="U219" s="66" t="n"/>
      <c r="V219" s="66" t="n"/>
      <c r="W219" s="66" t="n"/>
      <c r="X219" s="8" t="n"/>
      <c r="Y219" s="68">
        <f>IF($AN219="","",IF($AN219=0,$H219,IF($AN219=$AJ219,$AK219,$AL219)))</f>
        <v/>
      </c>
      <c r="Z219" s="68">
        <f>IF(OR($Y219="",NOT(ISNUMBER($K219))),"",IF($L219="日前",$Y219-$K219,EDATE($Y219,-$K219)))</f>
        <v/>
      </c>
      <c r="AA219" s="68">
        <f>IF(OR($Y219="",ISNUMBER($V219),N($Y219)&lt;'設定'!$B$6),"",IF($Z219&lt;&gt;"",$Z219,$Y219))</f>
        <v/>
      </c>
      <c r="AB219" s="69">
        <f>IF($AA219="","",$AA219-'設定'!$B$6)</f>
        <v/>
      </c>
      <c r="AC219" s="28">
        <f>IF(NOT(OR($B219&lt;&gt;"",$C219&lt;&gt;"")),"",IF(ISNUMBER($V219),IF($V219&lt;'設定'!$B$6,"終了","終了予定"),IF($Y219="","有効",IF($Y219&lt;'設定'!$B$6,"満了",IF(AND($T219="更新する",ISNUMBER($U219),N($U219)&lt;='設定'!$B$6,OR($AO219="",N($U219)&gt;N($AO219))),"確認済み",IF($AB219&lt;0,"通知期限切れ",IF($AB219&lt;=N('設定'!$B$7),"要対応","有効")))))))</f>
        <v/>
      </c>
      <c r="AD219" s="68">
        <f>IF(OR(NOT(ISNUMBER($M219)),$AC219="",$AC219="終了",$AC219="終了予定",$AC219="満了"),"",IF($N219="日前",'設定'!$B$6+$M219,EDATE('設定'!$B$6,$M219)))</f>
        <v/>
      </c>
      <c r="AE219" s="70">
        <f>IF(NOT(ISNUMBER($O219)),"",IF($P219="月額",$O219*12,IF($P219="年額",$O219,"")))</f>
        <v/>
      </c>
      <c r="AF219" s="30">
        <f>MID(IF(AND(ISNUMBER($G219),ISNUMBER($H219)),IF(N($H219)&lt;N($G219)," / 満了日が開始日より前",""),"")&amp;IF(AND($I219="あり",NOT(ISNUMBER($H219)))," / 自動更新ありなのに満了日が空","")&amp;IF(AND($I219="あり",ISNUMBER($H219),NOT(ISNUMBER($J219)))," / 更新期間が空（更新を計算できない）","")&amp;IF($AH219="","",IF(AND(DAY($AH219)&gt;=29,OR(MOD($J219,12)&lt;&gt;0,MONTH($AH219)=2))," / 更新の初日が29〜31日（更新を重ねると満了日が1日ずれることがある。満了日を今の期間の満了日に書き換えると直る）",""))&amp;IF(AND(ISNUMBER($K219),$L219="")," / 通知の単位が空（か月前で計算）","")&amp;IF(AND(ISNUMBER($M219),$N219="")," / 解約予告の単位が空（か月前で計算）","")&amp;IF(AND(ISNUMBER($O219),$P219="")," / 金額の区分が空","")&amp;IF(AND($T219&lt;&gt;"",NOT(ISNUMBER($U219)))," / 対応を決めた日が空","")&amp;IF(AND(ISNUMBER($U219),$T219="")," / 今期の対応が空","")&amp;IF(AND($T219="更新しない",NOT(ISNUMBER($V219)))," / 更新しないなら、解約・終了した日（契約が終わる日）を入れる",""),4,300)</f>
        <v/>
      </c>
      <c r="AG219" s="53" t="n"/>
      <c r="AH219" s="71">
        <f>IF(AND(ISNUMBER($H219),$I219="あり",ISNUMBER($J219)),IF($J219&gt;=1,$H219+1,""),"")</f>
        <v/>
      </c>
      <c r="AI219" s="32">
        <f>IF($AH219="","",(YEAR('設定'!$B$6)-YEAR($AH219))*12+MONTH('設定'!$B$6)-MONTH($AH219))</f>
        <v/>
      </c>
      <c r="AJ219" s="32">
        <f>IF($AH219="","",MAX(1,ROUNDUP($AI219/$J219,0)))</f>
        <v/>
      </c>
      <c r="AK219" s="71">
        <f>IF($AJ219="","",IF(DAY(EDATE($AH219,$AJ219*$J219))&lt;DAY($AH219),EDATE($AH219,$AJ219*$J219),EDATE($AH219,$AJ219*$J219)-1))</f>
        <v/>
      </c>
      <c r="AL219" s="71">
        <f>IF($AJ219="","",IF(DAY(EDATE($AH219,($AJ219+1)*$J219))&lt;DAY($AH219),EDATE($AH219,($AJ219+1)*$J219),EDATE($AH219,($AJ219+1)*$J219)-1))</f>
        <v/>
      </c>
      <c r="AM219" s="71">
        <f>IF($AJ219="","",IF($AJ219=1,$H219,IF(DAY(EDATE($AH219,($AJ219-1)*$J219))&lt;DAY($AH219),EDATE($AH219,($AJ219-1)*$J219),EDATE($AH219,($AJ219-1)*$J219)-1)))</f>
        <v/>
      </c>
      <c r="AN219" s="32">
        <f>IF(NOT(ISNUMBER($H219)),"",IF(OR($AH219="",$H219&gt;='設定'!$B$6),0,IF($AK219&gt;='設定'!$B$6,$AJ219,$AJ219+1)))</f>
        <v/>
      </c>
      <c r="AO219" s="71">
        <f>IF($AN219="","",IF($AN219=0,"",IF($AN219=$AJ219,$AM219,$AK219)))</f>
        <v/>
      </c>
      <c r="AP219" s="32">
        <f>IF(OR($AC219="要対応",$AC219="通知期限切れ",$AC219="確認済み",$AC219="有効",$AC219="終了予定"),1,0)</f>
        <v/>
      </c>
      <c r="AQ219" s="32">
        <f>IF(OR($AC219="要対応",$AC219="通知期限切れ"),1,0)</f>
        <v/>
      </c>
      <c r="AR219" s="72">
        <f>IF(AND(ISNUMBER($AB219),OR($AC219="要対応",$AC219="通知期限切れ",$AC219="確認済み",$AC219="有効")),$AB219+ROW()/100000,"")</f>
        <v/>
      </c>
      <c r="AS219" s="32">
        <f>IF($E219="","",IF(COUNTIF($E$5:$E219,$E219)=1,ROW(),""))</f>
        <v/>
      </c>
      <c r="AT219" s="32">
        <f>IF($S219="","",IF(COUNTIF($S$5:$S219,$S219)=1,ROW(),""))</f>
        <v/>
      </c>
    </row>
    <row r="220" ht="20" customHeight="1">
      <c r="A220" s="20" t="n">
        <v>216</v>
      </c>
      <c r="B220" s="21" t="n"/>
      <c r="C220" s="22" t="n"/>
      <c r="D220" s="22" t="n"/>
      <c r="E220" s="22" t="n"/>
      <c r="F220" s="66" t="n"/>
      <c r="G220" s="66" t="n"/>
      <c r="H220" s="66" t="n"/>
      <c r="I220" s="21" t="n"/>
      <c r="J220" s="24" t="n"/>
      <c r="K220" s="24" t="n"/>
      <c r="L220" s="21" t="n"/>
      <c r="M220" s="24" t="n"/>
      <c r="N220" s="21" t="n"/>
      <c r="O220" s="67" t="n"/>
      <c r="P220" s="21" t="n"/>
      <c r="Q220" s="21" t="n"/>
      <c r="R220" s="22" t="n"/>
      <c r="S220" s="22" t="n"/>
      <c r="T220" s="21" t="n"/>
      <c r="U220" s="66" t="n"/>
      <c r="V220" s="66" t="n"/>
      <c r="W220" s="66" t="n"/>
      <c r="X220" s="8" t="n"/>
      <c r="Y220" s="68">
        <f>IF($AN220="","",IF($AN220=0,$H220,IF($AN220=$AJ220,$AK220,$AL220)))</f>
        <v/>
      </c>
      <c r="Z220" s="68">
        <f>IF(OR($Y220="",NOT(ISNUMBER($K220))),"",IF($L220="日前",$Y220-$K220,EDATE($Y220,-$K220)))</f>
        <v/>
      </c>
      <c r="AA220" s="68">
        <f>IF(OR($Y220="",ISNUMBER($V220),N($Y220)&lt;'設定'!$B$6),"",IF($Z220&lt;&gt;"",$Z220,$Y220))</f>
        <v/>
      </c>
      <c r="AB220" s="69">
        <f>IF($AA220="","",$AA220-'設定'!$B$6)</f>
        <v/>
      </c>
      <c r="AC220" s="28">
        <f>IF(NOT(OR($B220&lt;&gt;"",$C220&lt;&gt;"")),"",IF(ISNUMBER($V220),IF($V220&lt;'設定'!$B$6,"終了","終了予定"),IF($Y220="","有効",IF($Y220&lt;'設定'!$B$6,"満了",IF(AND($T220="更新する",ISNUMBER($U220),N($U220)&lt;='設定'!$B$6,OR($AO220="",N($U220)&gt;N($AO220))),"確認済み",IF($AB220&lt;0,"通知期限切れ",IF($AB220&lt;=N('設定'!$B$7),"要対応","有効")))))))</f>
        <v/>
      </c>
      <c r="AD220" s="68">
        <f>IF(OR(NOT(ISNUMBER($M220)),$AC220="",$AC220="終了",$AC220="終了予定",$AC220="満了"),"",IF($N220="日前",'設定'!$B$6+$M220,EDATE('設定'!$B$6,$M220)))</f>
        <v/>
      </c>
      <c r="AE220" s="70">
        <f>IF(NOT(ISNUMBER($O220)),"",IF($P220="月額",$O220*12,IF($P220="年額",$O220,"")))</f>
        <v/>
      </c>
      <c r="AF220" s="30">
        <f>MID(IF(AND(ISNUMBER($G220),ISNUMBER($H220)),IF(N($H220)&lt;N($G220)," / 満了日が開始日より前",""),"")&amp;IF(AND($I220="あり",NOT(ISNUMBER($H220)))," / 自動更新ありなのに満了日が空","")&amp;IF(AND($I220="あり",ISNUMBER($H220),NOT(ISNUMBER($J220)))," / 更新期間が空（更新を計算できない）","")&amp;IF($AH220="","",IF(AND(DAY($AH220)&gt;=29,OR(MOD($J220,12)&lt;&gt;0,MONTH($AH220)=2))," / 更新の初日が29〜31日（更新を重ねると満了日が1日ずれることがある。満了日を今の期間の満了日に書き換えると直る）",""))&amp;IF(AND(ISNUMBER($K220),$L220="")," / 通知の単位が空（か月前で計算）","")&amp;IF(AND(ISNUMBER($M220),$N220="")," / 解約予告の単位が空（か月前で計算）","")&amp;IF(AND(ISNUMBER($O220),$P220="")," / 金額の区分が空","")&amp;IF(AND($T220&lt;&gt;"",NOT(ISNUMBER($U220)))," / 対応を決めた日が空","")&amp;IF(AND(ISNUMBER($U220),$T220="")," / 今期の対応が空","")&amp;IF(AND($T220="更新しない",NOT(ISNUMBER($V220)))," / 更新しないなら、解約・終了した日（契約が終わる日）を入れる",""),4,300)</f>
        <v/>
      </c>
      <c r="AG220" s="53" t="n"/>
      <c r="AH220" s="71">
        <f>IF(AND(ISNUMBER($H220),$I220="あり",ISNUMBER($J220)),IF($J220&gt;=1,$H220+1,""),"")</f>
        <v/>
      </c>
      <c r="AI220" s="32">
        <f>IF($AH220="","",(YEAR('設定'!$B$6)-YEAR($AH220))*12+MONTH('設定'!$B$6)-MONTH($AH220))</f>
        <v/>
      </c>
      <c r="AJ220" s="32">
        <f>IF($AH220="","",MAX(1,ROUNDUP($AI220/$J220,0)))</f>
        <v/>
      </c>
      <c r="AK220" s="71">
        <f>IF($AJ220="","",IF(DAY(EDATE($AH220,$AJ220*$J220))&lt;DAY($AH220),EDATE($AH220,$AJ220*$J220),EDATE($AH220,$AJ220*$J220)-1))</f>
        <v/>
      </c>
      <c r="AL220" s="71">
        <f>IF($AJ220="","",IF(DAY(EDATE($AH220,($AJ220+1)*$J220))&lt;DAY($AH220),EDATE($AH220,($AJ220+1)*$J220),EDATE($AH220,($AJ220+1)*$J220)-1))</f>
        <v/>
      </c>
      <c r="AM220" s="71">
        <f>IF($AJ220="","",IF($AJ220=1,$H220,IF(DAY(EDATE($AH220,($AJ220-1)*$J220))&lt;DAY($AH220),EDATE($AH220,($AJ220-1)*$J220),EDATE($AH220,($AJ220-1)*$J220)-1)))</f>
        <v/>
      </c>
      <c r="AN220" s="32">
        <f>IF(NOT(ISNUMBER($H220)),"",IF(OR($AH220="",$H220&gt;='設定'!$B$6),0,IF($AK220&gt;='設定'!$B$6,$AJ220,$AJ220+1)))</f>
        <v/>
      </c>
      <c r="AO220" s="71">
        <f>IF($AN220="","",IF($AN220=0,"",IF($AN220=$AJ220,$AM220,$AK220)))</f>
        <v/>
      </c>
      <c r="AP220" s="32">
        <f>IF(OR($AC220="要対応",$AC220="通知期限切れ",$AC220="確認済み",$AC220="有効",$AC220="終了予定"),1,0)</f>
        <v/>
      </c>
      <c r="AQ220" s="32">
        <f>IF(OR($AC220="要対応",$AC220="通知期限切れ"),1,0)</f>
        <v/>
      </c>
      <c r="AR220" s="72">
        <f>IF(AND(ISNUMBER($AB220),OR($AC220="要対応",$AC220="通知期限切れ",$AC220="確認済み",$AC220="有効")),$AB220+ROW()/100000,"")</f>
        <v/>
      </c>
      <c r="AS220" s="32">
        <f>IF($E220="","",IF(COUNTIF($E$5:$E220,$E220)=1,ROW(),""))</f>
        <v/>
      </c>
      <c r="AT220" s="32">
        <f>IF($S220="","",IF(COUNTIF($S$5:$S220,$S220)=1,ROW(),""))</f>
        <v/>
      </c>
    </row>
    <row r="221" ht="20" customHeight="1">
      <c r="A221" s="20" t="n">
        <v>217</v>
      </c>
      <c r="B221" s="21" t="n"/>
      <c r="C221" s="22" t="n"/>
      <c r="D221" s="22" t="n"/>
      <c r="E221" s="22" t="n"/>
      <c r="F221" s="66" t="n"/>
      <c r="G221" s="66" t="n"/>
      <c r="H221" s="66" t="n"/>
      <c r="I221" s="21" t="n"/>
      <c r="J221" s="24" t="n"/>
      <c r="K221" s="24" t="n"/>
      <c r="L221" s="21" t="n"/>
      <c r="M221" s="24" t="n"/>
      <c r="N221" s="21" t="n"/>
      <c r="O221" s="67" t="n"/>
      <c r="P221" s="21" t="n"/>
      <c r="Q221" s="21" t="n"/>
      <c r="R221" s="22" t="n"/>
      <c r="S221" s="22" t="n"/>
      <c r="T221" s="21" t="n"/>
      <c r="U221" s="66" t="n"/>
      <c r="V221" s="66" t="n"/>
      <c r="W221" s="66" t="n"/>
      <c r="X221" s="8" t="n"/>
      <c r="Y221" s="68">
        <f>IF($AN221="","",IF($AN221=0,$H221,IF($AN221=$AJ221,$AK221,$AL221)))</f>
        <v/>
      </c>
      <c r="Z221" s="68">
        <f>IF(OR($Y221="",NOT(ISNUMBER($K221))),"",IF($L221="日前",$Y221-$K221,EDATE($Y221,-$K221)))</f>
        <v/>
      </c>
      <c r="AA221" s="68">
        <f>IF(OR($Y221="",ISNUMBER($V221),N($Y221)&lt;'設定'!$B$6),"",IF($Z221&lt;&gt;"",$Z221,$Y221))</f>
        <v/>
      </c>
      <c r="AB221" s="69">
        <f>IF($AA221="","",$AA221-'設定'!$B$6)</f>
        <v/>
      </c>
      <c r="AC221" s="28">
        <f>IF(NOT(OR($B221&lt;&gt;"",$C221&lt;&gt;"")),"",IF(ISNUMBER($V221),IF($V221&lt;'設定'!$B$6,"終了","終了予定"),IF($Y221="","有効",IF($Y221&lt;'設定'!$B$6,"満了",IF(AND($T221="更新する",ISNUMBER($U221),N($U221)&lt;='設定'!$B$6,OR($AO221="",N($U221)&gt;N($AO221))),"確認済み",IF($AB221&lt;0,"通知期限切れ",IF($AB221&lt;=N('設定'!$B$7),"要対応","有効")))))))</f>
        <v/>
      </c>
      <c r="AD221" s="68">
        <f>IF(OR(NOT(ISNUMBER($M221)),$AC221="",$AC221="終了",$AC221="終了予定",$AC221="満了"),"",IF($N221="日前",'設定'!$B$6+$M221,EDATE('設定'!$B$6,$M221)))</f>
        <v/>
      </c>
      <c r="AE221" s="70">
        <f>IF(NOT(ISNUMBER($O221)),"",IF($P221="月額",$O221*12,IF($P221="年額",$O221,"")))</f>
        <v/>
      </c>
      <c r="AF221" s="30">
        <f>MID(IF(AND(ISNUMBER($G221),ISNUMBER($H221)),IF(N($H221)&lt;N($G221)," / 満了日が開始日より前",""),"")&amp;IF(AND($I221="あり",NOT(ISNUMBER($H221)))," / 自動更新ありなのに満了日が空","")&amp;IF(AND($I221="あり",ISNUMBER($H221),NOT(ISNUMBER($J221)))," / 更新期間が空（更新を計算できない）","")&amp;IF($AH221="","",IF(AND(DAY($AH221)&gt;=29,OR(MOD($J221,12)&lt;&gt;0,MONTH($AH221)=2))," / 更新の初日が29〜31日（更新を重ねると満了日が1日ずれることがある。満了日を今の期間の満了日に書き換えると直る）",""))&amp;IF(AND(ISNUMBER($K221),$L221="")," / 通知の単位が空（か月前で計算）","")&amp;IF(AND(ISNUMBER($M221),$N221="")," / 解約予告の単位が空（か月前で計算）","")&amp;IF(AND(ISNUMBER($O221),$P221="")," / 金額の区分が空","")&amp;IF(AND($T221&lt;&gt;"",NOT(ISNUMBER($U221)))," / 対応を決めた日が空","")&amp;IF(AND(ISNUMBER($U221),$T221="")," / 今期の対応が空","")&amp;IF(AND($T221="更新しない",NOT(ISNUMBER($V221)))," / 更新しないなら、解約・終了した日（契約が終わる日）を入れる",""),4,300)</f>
        <v/>
      </c>
      <c r="AG221" s="53" t="n"/>
      <c r="AH221" s="71">
        <f>IF(AND(ISNUMBER($H221),$I221="あり",ISNUMBER($J221)),IF($J221&gt;=1,$H221+1,""),"")</f>
        <v/>
      </c>
      <c r="AI221" s="32">
        <f>IF($AH221="","",(YEAR('設定'!$B$6)-YEAR($AH221))*12+MONTH('設定'!$B$6)-MONTH($AH221))</f>
        <v/>
      </c>
      <c r="AJ221" s="32">
        <f>IF($AH221="","",MAX(1,ROUNDUP($AI221/$J221,0)))</f>
        <v/>
      </c>
      <c r="AK221" s="71">
        <f>IF($AJ221="","",IF(DAY(EDATE($AH221,$AJ221*$J221))&lt;DAY($AH221),EDATE($AH221,$AJ221*$J221),EDATE($AH221,$AJ221*$J221)-1))</f>
        <v/>
      </c>
      <c r="AL221" s="71">
        <f>IF($AJ221="","",IF(DAY(EDATE($AH221,($AJ221+1)*$J221))&lt;DAY($AH221),EDATE($AH221,($AJ221+1)*$J221),EDATE($AH221,($AJ221+1)*$J221)-1))</f>
        <v/>
      </c>
      <c r="AM221" s="71">
        <f>IF($AJ221="","",IF($AJ221=1,$H221,IF(DAY(EDATE($AH221,($AJ221-1)*$J221))&lt;DAY($AH221),EDATE($AH221,($AJ221-1)*$J221),EDATE($AH221,($AJ221-1)*$J221)-1)))</f>
        <v/>
      </c>
      <c r="AN221" s="32">
        <f>IF(NOT(ISNUMBER($H221)),"",IF(OR($AH221="",$H221&gt;='設定'!$B$6),0,IF($AK221&gt;='設定'!$B$6,$AJ221,$AJ221+1)))</f>
        <v/>
      </c>
      <c r="AO221" s="71">
        <f>IF($AN221="","",IF($AN221=0,"",IF($AN221=$AJ221,$AM221,$AK221)))</f>
        <v/>
      </c>
      <c r="AP221" s="32">
        <f>IF(OR($AC221="要対応",$AC221="通知期限切れ",$AC221="確認済み",$AC221="有効",$AC221="終了予定"),1,0)</f>
        <v/>
      </c>
      <c r="AQ221" s="32">
        <f>IF(OR($AC221="要対応",$AC221="通知期限切れ"),1,0)</f>
        <v/>
      </c>
      <c r="AR221" s="72">
        <f>IF(AND(ISNUMBER($AB221),OR($AC221="要対応",$AC221="通知期限切れ",$AC221="確認済み",$AC221="有効")),$AB221+ROW()/100000,"")</f>
        <v/>
      </c>
      <c r="AS221" s="32">
        <f>IF($E221="","",IF(COUNTIF($E$5:$E221,$E221)=1,ROW(),""))</f>
        <v/>
      </c>
      <c r="AT221" s="32">
        <f>IF($S221="","",IF(COUNTIF($S$5:$S221,$S221)=1,ROW(),""))</f>
        <v/>
      </c>
    </row>
    <row r="222" ht="20" customHeight="1">
      <c r="A222" s="20" t="n">
        <v>218</v>
      </c>
      <c r="B222" s="21" t="n"/>
      <c r="C222" s="22" t="n"/>
      <c r="D222" s="22" t="n"/>
      <c r="E222" s="22" t="n"/>
      <c r="F222" s="66" t="n"/>
      <c r="G222" s="66" t="n"/>
      <c r="H222" s="66" t="n"/>
      <c r="I222" s="21" t="n"/>
      <c r="J222" s="24" t="n"/>
      <c r="K222" s="24" t="n"/>
      <c r="L222" s="21" t="n"/>
      <c r="M222" s="24" t="n"/>
      <c r="N222" s="21" t="n"/>
      <c r="O222" s="67" t="n"/>
      <c r="P222" s="21" t="n"/>
      <c r="Q222" s="21" t="n"/>
      <c r="R222" s="22" t="n"/>
      <c r="S222" s="22" t="n"/>
      <c r="T222" s="21" t="n"/>
      <c r="U222" s="66" t="n"/>
      <c r="V222" s="66" t="n"/>
      <c r="W222" s="66" t="n"/>
      <c r="X222" s="8" t="n"/>
      <c r="Y222" s="68">
        <f>IF($AN222="","",IF($AN222=0,$H222,IF($AN222=$AJ222,$AK222,$AL222)))</f>
        <v/>
      </c>
      <c r="Z222" s="68">
        <f>IF(OR($Y222="",NOT(ISNUMBER($K222))),"",IF($L222="日前",$Y222-$K222,EDATE($Y222,-$K222)))</f>
        <v/>
      </c>
      <c r="AA222" s="68">
        <f>IF(OR($Y222="",ISNUMBER($V222),N($Y222)&lt;'設定'!$B$6),"",IF($Z222&lt;&gt;"",$Z222,$Y222))</f>
        <v/>
      </c>
      <c r="AB222" s="69">
        <f>IF($AA222="","",$AA222-'設定'!$B$6)</f>
        <v/>
      </c>
      <c r="AC222" s="28">
        <f>IF(NOT(OR($B222&lt;&gt;"",$C222&lt;&gt;"")),"",IF(ISNUMBER($V222),IF($V222&lt;'設定'!$B$6,"終了","終了予定"),IF($Y222="","有効",IF($Y222&lt;'設定'!$B$6,"満了",IF(AND($T222="更新する",ISNUMBER($U222),N($U222)&lt;='設定'!$B$6,OR($AO222="",N($U222)&gt;N($AO222))),"確認済み",IF($AB222&lt;0,"通知期限切れ",IF($AB222&lt;=N('設定'!$B$7),"要対応","有効")))))))</f>
        <v/>
      </c>
      <c r="AD222" s="68">
        <f>IF(OR(NOT(ISNUMBER($M222)),$AC222="",$AC222="終了",$AC222="終了予定",$AC222="満了"),"",IF($N222="日前",'設定'!$B$6+$M222,EDATE('設定'!$B$6,$M222)))</f>
        <v/>
      </c>
      <c r="AE222" s="70">
        <f>IF(NOT(ISNUMBER($O222)),"",IF($P222="月額",$O222*12,IF($P222="年額",$O222,"")))</f>
        <v/>
      </c>
      <c r="AF222" s="30">
        <f>MID(IF(AND(ISNUMBER($G222),ISNUMBER($H222)),IF(N($H222)&lt;N($G222)," / 満了日が開始日より前",""),"")&amp;IF(AND($I222="あり",NOT(ISNUMBER($H222)))," / 自動更新ありなのに満了日が空","")&amp;IF(AND($I222="あり",ISNUMBER($H222),NOT(ISNUMBER($J222)))," / 更新期間が空（更新を計算できない）","")&amp;IF($AH222="","",IF(AND(DAY($AH222)&gt;=29,OR(MOD($J222,12)&lt;&gt;0,MONTH($AH222)=2))," / 更新の初日が29〜31日（更新を重ねると満了日が1日ずれることがある。満了日を今の期間の満了日に書き換えると直る）",""))&amp;IF(AND(ISNUMBER($K222),$L222="")," / 通知の単位が空（か月前で計算）","")&amp;IF(AND(ISNUMBER($M222),$N222="")," / 解約予告の単位が空（か月前で計算）","")&amp;IF(AND(ISNUMBER($O222),$P222="")," / 金額の区分が空","")&amp;IF(AND($T222&lt;&gt;"",NOT(ISNUMBER($U222)))," / 対応を決めた日が空","")&amp;IF(AND(ISNUMBER($U222),$T222="")," / 今期の対応が空","")&amp;IF(AND($T222="更新しない",NOT(ISNUMBER($V222)))," / 更新しないなら、解約・終了した日（契約が終わる日）を入れる",""),4,300)</f>
        <v/>
      </c>
      <c r="AG222" s="53" t="n"/>
      <c r="AH222" s="71">
        <f>IF(AND(ISNUMBER($H222),$I222="あり",ISNUMBER($J222)),IF($J222&gt;=1,$H222+1,""),"")</f>
        <v/>
      </c>
      <c r="AI222" s="32">
        <f>IF($AH222="","",(YEAR('設定'!$B$6)-YEAR($AH222))*12+MONTH('設定'!$B$6)-MONTH($AH222))</f>
        <v/>
      </c>
      <c r="AJ222" s="32">
        <f>IF($AH222="","",MAX(1,ROUNDUP($AI222/$J222,0)))</f>
        <v/>
      </c>
      <c r="AK222" s="71">
        <f>IF($AJ222="","",IF(DAY(EDATE($AH222,$AJ222*$J222))&lt;DAY($AH222),EDATE($AH222,$AJ222*$J222),EDATE($AH222,$AJ222*$J222)-1))</f>
        <v/>
      </c>
      <c r="AL222" s="71">
        <f>IF($AJ222="","",IF(DAY(EDATE($AH222,($AJ222+1)*$J222))&lt;DAY($AH222),EDATE($AH222,($AJ222+1)*$J222),EDATE($AH222,($AJ222+1)*$J222)-1))</f>
        <v/>
      </c>
      <c r="AM222" s="71">
        <f>IF($AJ222="","",IF($AJ222=1,$H222,IF(DAY(EDATE($AH222,($AJ222-1)*$J222))&lt;DAY($AH222),EDATE($AH222,($AJ222-1)*$J222),EDATE($AH222,($AJ222-1)*$J222)-1)))</f>
        <v/>
      </c>
      <c r="AN222" s="32">
        <f>IF(NOT(ISNUMBER($H222)),"",IF(OR($AH222="",$H222&gt;='設定'!$B$6),0,IF($AK222&gt;='設定'!$B$6,$AJ222,$AJ222+1)))</f>
        <v/>
      </c>
      <c r="AO222" s="71">
        <f>IF($AN222="","",IF($AN222=0,"",IF($AN222=$AJ222,$AM222,$AK222)))</f>
        <v/>
      </c>
      <c r="AP222" s="32">
        <f>IF(OR($AC222="要対応",$AC222="通知期限切れ",$AC222="確認済み",$AC222="有効",$AC222="終了予定"),1,0)</f>
        <v/>
      </c>
      <c r="AQ222" s="32">
        <f>IF(OR($AC222="要対応",$AC222="通知期限切れ"),1,0)</f>
        <v/>
      </c>
      <c r="AR222" s="72">
        <f>IF(AND(ISNUMBER($AB222),OR($AC222="要対応",$AC222="通知期限切れ",$AC222="確認済み",$AC222="有効")),$AB222+ROW()/100000,"")</f>
        <v/>
      </c>
      <c r="AS222" s="32">
        <f>IF($E222="","",IF(COUNTIF($E$5:$E222,$E222)=1,ROW(),""))</f>
        <v/>
      </c>
      <c r="AT222" s="32">
        <f>IF($S222="","",IF(COUNTIF($S$5:$S222,$S222)=1,ROW(),""))</f>
        <v/>
      </c>
    </row>
    <row r="223" ht="20" customHeight="1">
      <c r="A223" s="20" t="n">
        <v>219</v>
      </c>
      <c r="B223" s="21" t="n"/>
      <c r="C223" s="22" t="n"/>
      <c r="D223" s="22" t="n"/>
      <c r="E223" s="22" t="n"/>
      <c r="F223" s="66" t="n"/>
      <c r="G223" s="66" t="n"/>
      <c r="H223" s="66" t="n"/>
      <c r="I223" s="21" t="n"/>
      <c r="J223" s="24" t="n"/>
      <c r="K223" s="24" t="n"/>
      <c r="L223" s="21" t="n"/>
      <c r="M223" s="24" t="n"/>
      <c r="N223" s="21" t="n"/>
      <c r="O223" s="67" t="n"/>
      <c r="P223" s="21" t="n"/>
      <c r="Q223" s="21" t="n"/>
      <c r="R223" s="22" t="n"/>
      <c r="S223" s="22" t="n"/>
      <c r="T223" s="21" t="n"/>
      <c r="U223" s="66" t="n"/>
      <c r="V223" s="66" t="n"/>
      <c r="W223" s="66" t="n"/>
      <c r="X223" s="8" t="n"/>
      <c r="Y223" s="68">
        <f>IF($AN223="","",IF($AN223=0,$H223,IF($AN223=$AJ223,$AK223,$AL223)))</f>
        <v/>
      </c>
      <c r="Z223" s="68">
        <f>IF(OR($Y223="",NOT(ISNUMBER($K223))),"",IF($L223="日前",$Y223-$K223,EDATE($Y223,-$K223)))</f>
        <v/>
      </c>
      <c r="AA223" s="68">
        <f>IF(OR($Y223="",ISNUMBER($V223),N($Y223)&lt;'設定'!$B$6),"",IF($Z223&lt;&gt;"",$Z223,$Y223))</f>
        <v/>
      </c>
      <c r="AB223" s="69">
        <f>IF($AA223="","",$AA223-'設定'!$B$6)</f>
        <v/>
      </c>
      <c r="AC223" s="28">
        <f>IF(NOT(OR($B223&lt;&gt;"",$C223&lt;&gt;"")),"",IF(ISNUMBER($V223),IF($V223&lt;'設定'!$B$6,"終了","終了予定"),IF($Y223="","有効",IF($Y223&lt;'設定'!$B$6,"満了",IF(AND($T223="更新する",ISNUMBER($U223),N($U223)&lt;='設定'!$B$6,OR($AO223="",N($U223)&gt;N($AO223))),"確認済み",IF($AB223&lt;0,"通知期限切れ",IF($AB223&lt;=N('設定'!$B$7),"要対応","有効")))))))</f>
        <v/>
      </c>
      <c r="AD223" s="68">
        <f>IF(OR(NOT(ISNUMBER($M223)),$AC223="",$AC223="終了",$AC223="終了予定",$AC223="満了"),"",IF($N223="日前",'設定'!$B$6+$M223,EDATE('設定'!$B$6,$M223)))</f>
        <v/>
      </c>
      <c r="AE223" s="70">
        <f>IF(NOT(ISNUMBER($O223)),"",IF($P223="月額",$O223*12,IF($P223="年額",$O223,"")))</f>
        <v/>
      </c>
      <c r="AF223" s="30">
        <f>MID(IF(AND(ISNUMBER($G223),ISNUMBER($H223)),IF(N($H223)&lt;N($G223)," / 満了日が開始日より前",""),"")&amp;IF(AND($I223="あり",NOT(ISNUMBER($H223)))," / 自動更新ありなのに満了日が空","")&amp;IF(AND($I223="あり",ISNUMBER($H223),NOT(ISNUMBER($J223)))," / 更新期間が空（更新を計算できない）","")&amp;IF($AH223="","",IF(AND(DAY($AH223)&gt;=29,OR(MOD($J223,12)&lt;&gt;0,MONTH($AH223)=2))," / 更新の初日が29〜31日（更新を重ねると満了日が1日ずれることがある。満了日を今の期間の満了日に書き換えると直る）",""))&amp;IF(AND(ISNUMBER($K223),$L223="")," / 通知の単位が空（か月前で計算）","")&amp;IF(AND(ISNUMBER($M223),$N223="")," / 解約予告の単位が空（か月前で計算）","")&amp;IF(AND(ISNUMBER($O223),$P223="")," / 金額の区分が空","")&amp;IF(AND($T223&lt;&gt;"",NOT(ISNUMBER($U223)))," / 対応を決めた日が空","")&amp;IF(AND(ISNUMBER($U223),$T223="")," / 今期の対応が空","")&amp;IF(AND($T223="更新しない",NOT(ISNUMBER($V223)))," / 更新しないなら、解約・終了した日（契約が終わる日）を入れる",""),4,300)</f>
        <v/>
      </c>
      <c r="AG223" s="53" t="n"/>
      <c r="AH223" s="71">
        <f>IF(AND(ISNUMBER($H223),$I223="あり",ISNUMBER($J223)),IF($J223&gt;=1,$H223+1,""),"")</f>
        <v/>
      </c>
      <c r="AI223" s="32">
        <f>IF($AH223="","",(YEAR('設定'!$B$6)-YEAR($AH223))*12+MONTH('設定'!$B$6)-MONTH($AH223))</f>
        <v/>
      </c>
      <c r="AJ223" s="32">
        <f>IF($AH223="","",MAX(1,ROUNDUP($AI223/$J223,0)))</f>
        <v/>
      </c>
      <c r="AK223" s="71">
        <f>IF($AJ223="","",IF(DAY(EDATE($AH223,$AJ223*$J223))&lt;DAY($AH223),EDATE($AH223,$AJ223*$J223),EDATE($AH223,$AJ223*$J223)-1))</f>
        <v/>
      </c>
      <c r="AL223" s="71">
        <f>IF($AJ223="","",IF(DAY(EDATE($AH223,($AJ223+1)*$J223))&lt;DAY($AH223),EDATE($AH223,($AJ223+1)*$J223),EDATE($AH223,($AJ223+1)*$J223)-1))</f>
        <v/>
      </c>
      <c r="AM223" s="71">
        <f>IF($AJ223="","",IF($AJ223=1,$H223,IF(DAY(EDATE($AH223,($AJ223-1)*$J223))&lt;DAY($AH223),EDATE($AH223,($AJ223-1)*$J223),EDATE($AH223,($AJ223-1)*$J223)-1)))</f>
        <v/>
      </c>
      <c r="AN223" s="32">
        <f>IF(NOT(ISNUMBER($H223)),"",IF(OR($AH223="",$H223&gt;='設定'!$B$6),0,IF($AK223&gt;='設定'!$B$6,$AJ223,$AJ223+1)))</f>
        <v/>
      </c>
      <c r="AO223" s="71">
        <f>IF($AN223="","",IF($AN223=0,"",IF($AN223=$AJ223,$AM223,$AK223)))</f>
        <v/>
      </c>
      <c r="AP223" s="32">
        <f>IF(OR($AC223="要対応",$AC223="通知期限切れ",$AC223="確認済み",$AC223="有効",$AC223="終了予定"),1,0)</f>
        <v/>
      </c>
      <c r="AQ223" s="32">
        <f>IF(OR($AC223="要対応",$AC223="通知期限切れ"),1,0)</f>
        <v/>
      </c>
      <c r="AR223" s="72">
        <f>IF(AND(ISNUMBER($AB223),OR($AC223="要対応",$AC223="通知期限切れ",$AC223="確認済み",$AC223="有効")),$AB223+ROW()/100000,"")</f>
        <v/>
      </c>
      <c r="AS223" s="32">
        <f>IF($E223="","",IF(COUNTIF($E$5:$E223,$E223)=1,ROW(),""))</f>
        <v/>
      </c>
      <c r="AT223" s="32">
        <f>IF($S223="","",IF(COUNTIF($S$5:$S223,$S223)=1,ROW(),""))</f>
        <v/>
      </c>
    </row>
    <row r="224" ht="20" customHeight="1">
      <c r="A224" s="20" t="n">
        <v>220</v>
      </c>
      <c r="B224" s="21" t="n"/>
      <c r="C224" s="22" t="n"/>
      <c r="D224" s="22" t="n"/>
      <c r="E224" s="22" t="n"/>
      <c r="F224" s="66" t="n"/>
      <c r="G224" s="66" t="n"/>
      <c r="H224" s="66" t="n"/>
      <c r="I224" s="21" t="n"/>
      <c r="J224" s="24" t="n"/>
      <c r="K224" s="24" t="n"/>
      <c r="L224" s="21" t="n"/>
      <c r="M224" s="24" t="n"/>
      <c r="N224" s="21" t="n"/>
      <c r="O224" s="67" t="n"/>
      <c r="P224" s="21" t="n"/>
      <c r="Q224" s="21" t="n"/>
      <c r="R224" s="22" t="n"/>
      <c r="S224" s="22" t="n"/>
      <c r="T224" s="21" t="n"/>
      <c r="U224" s="66" t="n"/>
      <c r="V224" s="66" t="n"/>
      <c r="W224" s="66" t="n"/>
      <c r="X224" s="8" t="n"/>
      <c r="Y224" s="68">
        <f>IF($AN224="","",IF($AN224=0,$H224,IF($AN224=$AJ224,$AK224,$AL224)))</f>
        <v/>
      </c>
      <c r="Z224" s="68">
        <f>IF(OR($Y224="",NOT(ISNUMBER($K224))),"",IF($L224="日前",$Y224-$K224,EDATE($Y224,-$K224)))</f>
        <v/>
      </c>
      <c r="AA224" s="68">
        <f>IF(OR($Y224="",ISNUMBER($V224),N($Y224)&lt;'設定'!$B$6),"",IF($Z224&lt;&gt;"",$Z224,$Y224))</f>
        <v/>
      </c>
      <c r="AB224" s="69">
        <f>IF($AA224="","",$AA224-'設定'!$B$6)</f>
        <v/>
      </c>
      <c r="AC224" s="28">
        <f>IF(NOT(OR($B224&lt;&gt;"",$C224&lt;&gt;"")),"",IF(ISNUMBER($V224),IF($V224&lt;'設定'!$B$6,"終了","終了予定"),IF($Y224="","有効",IF($Y224&lt;'設定'!$B$6,"満了",IF(AND($T224="更新する",ISNUMBER($U224),N($U224)&lt;='設定'!$B$6,OR($AO224="",N($U224)&gt;N($AO224))),"確認済み",IF($AB224&lt;0,"通知期限切れ",IF($AB224&lt;=N('設定'!$B$7),"要対応","有効")))))))</f>
        <v/>
      </c>
      <c r="AD224" s="68">
        <f>IF(OR(NOT(ISNUMBER($M224)),$AC224="",$AC224="終了",$AC224="終了予定",$AC224="満了"),"",IF($N224="日前",'設定'!$B$6+$M224,EDATE('設定'!$B$6,$M224)))</f>
        <v/>
      </c>
      <c r="AE224" s="70">
        <f>IF(NOT(ISNUMBER($O224)),"",IF($P224="月額",$O224*12,IF($P224="年額",$O224,"")))</f>
        <v/>
      </c>
      <c r="AF224" s="30">
        <f>MID(IF(AND(ISNUMBER($G224),ISNUMBER($H224)),IF(N($H224)&lt;N($G224)," / 満了日が開始日より前",""),"")&amp;IF(AND($I224="あり",NOT(ISNUMBER($H224)))," / 自動更新ありなのに満了日が空","")&amp;IF(AND($I224="あり",ISNUMBER($H224),NOT(ISNUMBER($J224)))," / 更新期間が空（更新を計算できない）","")&amp;IF($AH224="","",IF(AND(DAY($AH224)&gt;=29,OR(MOD($J224,12)&lt;&gt;0,MONTH($AH224)=2))," / 更新の初日が29〜31日（更新を重ねると満了日が1日ずれることがある。満了日を今の期間の満了日に書き換えると直る）",""))&amp;IF(AND(ISNUMBER($K224),$L224="")," / 通知の単位が空（か月前で計算）","")&amp;IF(AND(ISNUMBER($M224),$N224="")," / 解約予告の単位が空（か月前で計算）","")&amp;IF(AND(ISNUMBER($O224),$P224="")," / 金額の区分が空","")&amp;IF(AND($T224&lt;&gt;"",NOT(ISNUMBER($U224)))," / 対応を決めた日が空","")&amp;IF(AND(ISNUMBER($U224),$T224="")," / 今期の対応が空","")&amp;IF(AND($T224="更新しない",NOT(ISNUMBER($V224)))," / 更新しないなら、解約・終了した日（契約が終わる日）を入れる",""),4,300)</f>
        <v/>
      </c>
      <c r="AG224" s="53" t="n"/>
      <c r="AH224" s="71">
        <f>IF(AND(ISNUMBER($H224),$I224="あり",ISNUMBER($J224)),IF($J224&gt;=1,$H224+1,""),"")</f>
        <v/>
      </c>
      <c r="AI224" s="32">
        <f>IF($AH224="","",(YEAR('設定'!$B$6)-YEAR($AH224))*12+MONTH('設定'!$B$6)-MONTH($AH224))</f>
        <v/>
      </c>
      <c r="AJ224" s="32">
        <f>IF($AH224="","",MAX(1,ROUNDUP($AI224/$J224,0)))</f>
        <v/>
      </c>
      <c r="AK224" s="71">
        <f>IF($AJ224="","",IF(DAY(EDATE($AH224,$AJ224*$J224))&lt;DAY($AH224),EDATE($AH224,$AJ224*$J224),EDATE($AH224,$AJ224*$J224)-1))</f>
        <v/>
      </c>
      <c r="AL224" s="71">
        <f>IF($AJ224="","",IF(DAY(EDATE($AH224,($AJ224+1)*$J224))&lt;DAY($AH224),EDATE($AH224,($AJ224+1)*$J224),EDATE($AH224,($AJ224+1)*$J224)-1))</f>
        <v/>
      </c>
      <c r="AM224" s="71">
        <f>IF($AJ224="","",IF($AJ224=1,$H224,IF(DAY(EDATE($AH224,($AJ224-1)*$J224))&lt;DAY($AH224),EDATE($AH224,($AJ224-1)*$J224),EDATE($AH224,($AJ224-1)*$J224)-1)))</f>
        <v/>
      </c>
      <c r="AN224" s="32">
        <f>IF(NOT(ISNUMBER($H224)),"",IF(OR($AH224="",$H224&gt;='設定'!$B$6),0,IF($AK224&gt;='設定'!$B$6,$AJ224,$AJ224+1)))</f>
        <v/>
      </c>
      <c r="AO224" s="71">
        <f>IF($AN224="","",IF($AN224=0,"",IF($AN224=$AJ224,$AM224,$AK224)))</f>
        <v/>
      </c>
      <c r="AP224" s="32">
        <f>IF(OR($AC224="要対応",$AC224="通知期限切れ",$AC224="確認済み",$AC224="有効",$AC224="終了予定"),1,0)</f>
        <v/>
      </c>
      <c r="AQ224" s="32">
        <f>IF(OR($AC224="要対応",$AC224="通知期限切れ"),1,0)</f>
        <v/>
      </c>
      <c r="AR224" s="72">
        <f>IF(AND(ISNUMBER($AB224),OR($AC224="要対応",$AC224="通知期限切れ",$AC224="確認済み",$AC224="有効")),$AB224+ROW()/100000,"")</f>
        <v/>
      </c>
      <c r="AS224" s="32">
        <f>IF($E224="","",IF(COUNTIF($E$5:$E224,$E224)=1,ROW(),""))</f>
        <v/>
      </c>
      <c r="AT224" s="32">
        <f>IF($S224="","",IF(COUNTIF($S$5:$S224,$S224)=1,ROW(),""))</f>
        <v/>
      </c>
    </row>
    <row r="225" ht="20" customHeight="1">
      <c r="A225" s="20" t="n">
        <v>221</v>
      </c>
      <c r="B225" s="21" t="n"/>
      <c r="C225" s="22" t="n"/>
      <c r="D225" s="22" t="n"/>
      <c r="E225" s="22" t="n"/>
      <c r="F225" s="66" t="n"/>
      <c r="G225" s="66" t="n"/>
      <c r="H225" s="66" t="n"/>
      <c r="I225" s="21" t="n"/>
      <c r="J225" s="24" t="n"/>
      <c r="K225" s="24" t="n"/>
      <c r="L225" s="21" t="n"/>
      <c r="M225" s="24" t="n"/>
      <c r="N225" s="21" t="n"/>
      <c r="O225" s="67" t="n"/>
      <c r="P225" s="21" t="n"/>
      <c r="Q225" s="21" t="n"/>
      <c r="R225" s="22" t="n"/>
      <c r="S225" s="22" t="n"/>
      <c r="T225" s="21" t="n"/>
      <c r="U225" s="66" t="n"/>
      <c r="V225" s="66" t="n"/>
      <c r="W225" s="66" t="n"/>
      <c r="X225" s="8" t="n"/>
      <c r="Y225" s="68">
        <f>IF($AN225="","",IF($AN225=0,$H225,IF($AN225=$AJ225,$AK225,$AL225)))</f>
        <v/>
      </c>
      <c r="Z225" s="68">
        <f>IF(OR($Y225="",NOT(ISNUMBER($K225))),"",IF($L225="日前",$Y225-$K225,EDATE($Y225,-$K225)))</f>
        <v/>
      </c>
      <c r="AA225" s="68">
        <f>IF(OR($Y225="",ISNUMBER($V225),N($Y225)&lt;'設定'!$B$6),"",IF($Z225&lt;&gt;"",$Z225,$Y225))</f>
        <v/>
      </c>
      <c r="AB225" s="69">
        <f>IF($AA225="","",$AA225-'設定'!$B$6)</f>
        <v/>
      </c>
      <c r="AC225" s="28">
        <f>IF(NOT(OR($B225&lt;&gt;"",$C225&lt;&gt;"")),"",IF(ISNUMBER($V225),IF($V225&lt;'設定'!$B$6,"終了","終了予定"),IF($Y225="","有効",IF($Y225&lt;'設定'!$B$6,"満了",IF(AND($T225="更新する",ISNUMBER($U225),N($U225)&lt;='設定'!$B$6,OR($AO225="",N($U225)&gt;N($AO225))),"確認済み",IF($AB225&lt;0,"通知期限切れ",IF($AB225&lt;=N('設定'!$B$7),"要対応","有効")))))))</f>
        <v/>
      </c>
      <c r="AD225" s="68">
        <f>IF(OR(NOT(ISNUMBER($M225)),$AC225="",$AC225="終了",$AC225="終了予定",$AC225="満了"),"",IF($N225="日前",'設定'!$B$6+$M225,EDATE('設定'!$B$6,$M225)))</f>
        <v/>
      </c>
      <c r="AE225" s="70">
        <f>IF(NOT(ISNUMBER($O225)),"",IF($P225="月額",$O225*12,IF($P225="年額",$O225,"")))</f>
        <v/>
      </c>
      <c r="AF225" s="30">
        <f>MID(IF(AND(ISNUMBER($G225),ISNUMBER($H225)),IF(N($H225)&lt;N($G225)," / 満了日が開始日より前",""),"")&amp;IF(AND($I225="あり",NOT(ISNUMBER($H225)))," / 自動更新ありなのに満了日が空","")&amp;IF(AND($I225="あり",ISNUMBER($H225),NOT(ISNUMBER($J225)))," / 更新期間が空（更新を計算できない）","")&amp;IF($AH225="","",IF(AND(DAY($AH225)&gt;=29,OR(MOD($J225,12)&lt;&gt;0,MONTH($AH225)=2))," / 更新の初日が29〜31日（更新を重ねると満了日が1日ずれることがある。満了日を今の期間の満了日に書き換えると直る）",""))&amp;IF(AND(ISNUMBER($K225),$L225="")," / 通知の単位が空（か月前で計算）","")&amp;IF(AND(ISNUMBER($M225),$N225="")," / 解約予告の単位が空（か月前で計算）","")&amp;IF(AND(ISNUMBER($O225),$P225="")," / 金額の区分が空","")&amp;IF(AND($T225&lt;&gt;"",NOT(ISNUMBER($U225)))," / 対応を決めた日が空","")&amp;IF(AND(ISNUMBER($U225),$T225="")," / 今期の対応が空","")&amp;IF(AND($T225="更新しない",NOT(ISNUMBER($V225)))," / 更新しないなら、解約・終了した日（契約が終わる日）を入れる",""),4,300)</f>
        <v/>
      </c>
      <c r="AG225" s="53" t="n"/>
      <c r="AH225" s="71">
        <f>IF(AND(ISNUMBER($H225),$I225="あり",ISNUMBER($J225)),IF($J225&gt;=1,$H225+1,""),"")</f>
        <v/>
      </c>
      <c r="AI225" s="32">
        <f>IF($AH225="","",(YEAR('設定'!$B$6)-YEAR($AH225))*12+MONTH('設定'!$B$6)-MONTH($AH225))</f>
        <v/>
      </c>
      <c r="AJ225" s="32">
        <f>IF($AH225="","",MAX(1,ROUNDUP($AI225/$J225,0)))</f>
        <v/>
      </c>
      <c r="AK225" s="71">
        <f>IF($AJ225="","",IF(DAY(EDATE($AH225,$AJ225*$J225))&lt;DAY($AH225),EDATE($AH225,$AJ225*$J225),EDATE($AH225,$AJ225*$J225)-1))</f>
        <v/>
      </c>
      <c r="AL225" s="71">
        <f>IF($AJ225="","",IF(DAY(EDATE($AH225,($AJ225+1)*$J225))&lt;DAY($AH225),EDATE($AH225,($AJ225+1)*$J225),EDATE($AH225,($AJ225+1)*$J225)-1))</f>
        <v/>
      </c>
      <c r="AM225" s="71">
        <f>IF($AJ225="","",IF($AJ225=1,$H225,IF(DAY(EDATE($AH225,($AJ225-1)*$J225))&lt;DAY($AH225),EDATE($AH225,($AJ225-1)*$J225),EDATE($AH225,($AJ225-1)*$J225)-1)))</f>
        <v/>
      </c>
      <c r="AN225" s="32">
        <f>IF(NOT(ISNUMBER($H225)),"",IF(OR($AH225="",$H225&gt;='設定'!$B$6),0,IF($AK225&gt;='設定'!$B$6,$AJ225,$AJ225+1)))</f>
        <v/>
      </c>
      <c r="AO225" s="71">
        <f>IF($AN225="","",IF($AN225=0,"",IF($AN225=$AJ225,$AM225,$AK225)))</f>
        <v/>
      </c>
      <c r="AP225" s="32">
        <f>IF(OR($AC225="要対応",$AC225="通知期限切れ",$AC225="確認済み",$AC225="有効",$AC225="終了予定"),1,0)</f>
        <v/>
      </c>
      <c r="AQ225" s="32">
        <f>IF(OR($AC225="要対応",$AC225="通知期限切れ"),1,0)</f>
        <v/>
      </c>
      <c r="AR225" s="72">
        <f>IF(AND(ISNUMBER($AB225),OR($AC225="要対応",$AC225="通知期限切れ",$AC225="確認済み",$AC225="有効")),$AB225+ROW()/100000,"")</f>
        <v/>
      </c>
      <c r="AS225" s="32">
        <f>IF($E225="","",IF(COUNTIF($E$5:$E225,$E225)=1,ROW(),""))</f>
        <v/>
      </c>
      <c r="AT225" s="32">
        <f>IF($S225="","",IF(COUNTIF($S$5:$S225,$S225)=1,ROW(),""))</f>
        <v/>
      </c>
    </row>
    <row r="226" ht="20" customHeight="1">
      <c r="A226" s="20" t="n">
        <v>222</v>
      </c>
      <c r="B226" s="21" t="n"/>
      <c r="C226" s="22" t="n"/>
      <c r="D226" s="22" t="n"/>
      <c r="E226" s="22" t="n"/>
      <c r="F226" s="66" t="n"/>
      <c r="G226" s="66" t="n"/>
      <c r="H226" s="66" t="n"/>
      <c r="I226" s="21" t="n"/>
      <c r="J226" s="24" t="n"/>
      <c r="K226" s="24" t="n"/>
      <c r="L226" s="21" t="n"/>
      <c r="M226" s="24" t="n"/>
      <c r="N226" s="21" t="n"/>
      <c r="O226" s="67" t="n"/>
      <c r="P226" s="21" t="n"/>
      <c r="Q226" s="21" t="n"/>
      <c r="R226" s="22" t="n"/>
      <c r="S226" s="22" t="n"/>
      <c r="T226" s="21" t="n"/>
      <c r="U226" s="66" t="n"/>
      <c r="V226" s="66" t="n"/>
      <c r="W226" s="66" t="n"/>
      <c r="X226" s="8" t="n"/>
      <c r="Y226" s="68">
        <f>IF($AN226="","",IF($AN226=0,$H226,IF($AN226=$AJ226,$AK226,$AL226)))</f>
        <v/>
      </c>
      <c r="Z226" s="68">
        <f>IF(OR($Y226="",NOT(ISNUMBER($K226))),"",IF($L226="日前",$Y226-$K226,EDATE($Y226,-$K226)))</f>
        <v/>
      </c>
      <c r="AA226" s="68">
        <f>IF(OR($Y226="",ISNUMBER($V226),N($Y226)&lt;'設定'!$B$6),"",IF($Z226&lt;&gt;"",$Z226,$Y226))</f>
        <v/>
      </c>
      <c r="AB226" s="69">
        <f>IF($AA226="","",$AA226-'設定'!$B$6)</f>
        <v/>
      </c>
      <c r="AC226" s="28">
        <f>IF(NOT(OR($B226&lt;&gt;"",$C226&lt;&gt;"")),"",IF(ISNUMBER($V226),IF($V226&lt;'設定'!$B$6,"終了","終了予定"),IF($Y226="","有効",IF($Y226&lt;'設定'!$B$6,"満了",IF(AND($T226="更新する",ISNUMBER($U226),N($U226)&lt;='設定'!$B$6,OR($AO226="",N($U226)&gt;N($AO226))),"確認済み",IF($AB226&lt;0,"通知期限切れ",IF($AB226&lt;=N('設定'!$B$7),"要対応","有効")))))))</f>
        <v/>
      </c>
      <c r="AD226" s="68">
        <f>IF(OR(NOT(ISNUMBER($M226)),$AC226="",$AC226="終了",$AC226="終了予定",$AC226="満了"),"",IF($N226="日前",'設定'!$B$6+$M226,EDATE('設定'!$B$6,$M226)))</f>
        <v/>
      </c>
      <c r="AE226" s="70">
        <f>IF(NOT(ISNUMBER($O226)),"",IF($P226="月額",$O226*12,IF($P226="年額",$O226,"")))</f>
        <v/>
      </c>
      <c r="AF226" s="30">
        <f>MID(IF(AND(ISNUMBER($G226),ISNUMBER($H226)),IF(N($H226)&lt;N($G226)," / 満了日が開始日より前",""),"")&amp;IF(AND($I226="あり",NOT(ISNUMBER($H226)))," / 自動更新ありなのに満了日が空","")&amp;IF(AND($I226="あり",ISNUMBER($H226),NOT(ISNUMBER($J226)))," / 更新期間が空（更新を計算できない）","")&amp;IF($AH226="","",IF(AND(DAY($AH226)&gt;=29,OR(MOD($J226,12)&lt;&gt;0,MONTH($AH226)=2))," / 更新の初日が29〜31日（更新を重ねると満了日が1日ずれることがある。満了日を今の期間の満了日に書き換えると直る）",""))&amp;IF(AND(ISNUMBER($K226),$L226="")," / 通知の単位が空（か月前で計算）","")&amp;IF(AND(ISNUMBER($M226),$N226="")," / 解約予告の単位が空（か月前で計算）","")&amp;IF(AND(ISNUMBER($O226),$P226="")," / 金額の区分が空","")&amp;IF(AND($T226&lt;&gt;"",NOT(ISNUMBER($U226)))," / 対応を決めた日が空","")&amp;IF(AND(ISNUMBER($U226),$T226="")," / 今期の対応が空","")&amp;IF(AND($T226="更新しない",NOT(ISNUMBER($V226)))," / 更新しないなら、解約・終了した日（契約が終わる日）を入れる",""),4,300)</f>
        <v/>
      </c>
      <c r="AG226" s="53" t="n"/>
      <c r="AH226" s="71">
        <f>IF(AND(ISNUMBER($H226),$I226="あり",ISNUMBER($J226)),IF($J226&gt;=1,$H226+1,""),"")</f>
        <v/>
      </c>
      <c r="AI226" s="32">
        <f>IF($AH226="","",(YEAR('設定'!$B$6)-YEAR($AH226))*12+MONTH('設定'!$B$6)-MONTH($AH226))</f>
        <v/>
      </c>
      <c r="AJ226" s="32">
        <f>IF($AH226="","",MAX(1,ROUNDUP($AI226/$J226,0)))</f>
        <v/>
      </c>
      <c r="AK226" s="71">
        <f>IF($AJ226="","",IF(DAY(EDATE($AH226,$AJ226*$J226))&lt;DAY($AH226),EDATE($AH226,$AJ226*$J226),EDATE($AH226,$AJ226*$J226)-1))</f>
        <v/>
      </c>
      <c r="AL226" s="71">
        <f>IF($AJ226="","",IF(DAY(EDATE($AH226,($AJ226+1)*$J226))&lt;DAY($AH226),EDATE($AH226,($AJ226+1)*$J226),EDATE($AH226,($AJ226+1)*$J226)-1))</f>
        <v/>
      </c>
      <c r="AM226" s="71">
        <f>IF($AJ226="","",IF($AJ226=1,$H226,IF(DAY(EDATE($AH226,($AJ226-1)*$J226))&lt;DAY($AH226),EDATE($AH226,($AJ226-1)*$J226),EDATE($AH226,($AJ226-1)*$J226)-1)))</f>
        <v/>
      </c>
      <c r="AN226" s="32">
        <f>IF(NOT(ISNUMBER($H226)),"",IF(OR($AH226="",$H226&gt;='設定'!$B$6),0,IF($AK226&gt;='設定'!$B$6,$AJ226,$AJ226+1)))</f>
        <v/>
      </c>
      <c r="AO226" s="71">
        <f>IF($AN226="","",IF($AN226=0,"",IF($AN226=$AJ226,$AM226,$AK226)))</f>
        <v/>
      </c>
      <c r="AP226" s="32">
        <f>IF(OR($AC226="要対応",$AC226="通知期限切れ",$AC226="確認済み",$AC226="有効",$AC226="終了予定"),1,0)</f>
        <v/>
      </c>
      <c r="AQ226" s="32">
        <f>IF(OR($AC226="要対応",$AC226="通知期限切れ"),1,0)</f>
        <v/>
      </c>
      <c r="AR226" s="72">
        <f>IF(AND(ISNUMBER($AB226),OR($AC226="要対応",$AC226="通知期限切れ",$AC226="確認済み",$AC226="有効")),$AB226+ROW()/100000,"")</f>
        <v/>
      </c>
      <c r="AS226" s="32">
        <f>IF($E226="","",IF(COUNTIF($E$5:$E226,$E226)=1,ROW(),""))</f>
        <v/>
      </c>
      <c r="AT226" s="32">
        <f>IF($S226="","",IF(COUNTIF($S$5:$S226,$S226)=1,ROW(),""))</f>
        <v/>
      </c>
    </row>
    <row r="227" ht="20" customHeight="1">
      <c r="A227" s="20" t="n">
        <v>223</v>
      </c>
      <c r="B227" s="21" t="n"/>
      <c r="C227" s="22" t="n"/>
      <c r="D227" s="22" t="n"/>
      <c r="E227" s="22" t="n"/>
      <c r="F227" s="66" t="n"/>
      <c r="G227" s="66" t="n"/>
      <c r="H227" s="66" t="n"/>
      <c r="I227" s="21" t="n"/>
      <c r="J227" s="24" t="n"/>
      <c r="K227" s="24" t="n"/>
      <c r="L227" s="21" t="n"/>
      <c r="M227" s="24" t="n"/>
      <c r="N227" s="21" t="n"/>
      <c r="O227" s="67" t="n"/>
      <c r="P227" s="21" t="n"/>
      <c r="Q227" s="21" t="n"/>
      <c r="R227" s="22" t="n"/>
      <c r="S227" s="22" t="n"/>
      <c r="T227" s="21" t="n"/>
      <c r="U227" s="66" t="n"/>
      <c r="V227" s="66" t="n"/>
      <c r="W227" s="66" t="n"/>
      <c r="X227" s="8" t="n"/>
      <c r="Y227" s="68">
        <f>IF($AN227="","",IF($AN227=0,$H227,IF($AN227=$AJ227,$AK227,$AL227)))</f>
        <v/>
      </c>
      <c r="Z227" s="68">
        <f>IF(OR($Y227="",NOT(ISNUMBER($K227))),"",IF($L227="日前",$Y227-$K227,EDATE($Y227,-$K227)))</f>
        <v/>
      </c>
      <c r="AA227" s="68">
        <f>IF(OR($Y227="",ISNUMBER($V227),N($Y227)&lt;'設定'!$B$6),"",IF($Z227&lt;&gt;"",$Z227,$Y227))</f>
        <v/>
      </c>
      <c r="AB227" s="69">
        <f>IF($AA227="","",$AA227-'設定'!$B$6)</f>
        <v/>
      </c>
      <c r="AC227" s="28">
        <f>IF(NOT(OR($B227&lt;&gt;"",$C227&lt;&gt;"")),"",IF(ISNUMBER($V227),IF($V227&lt;'設定'!$B$6,"終了","終了予定"),IF($Y227="","有効",IF($Y227&lt;'設定'!$B$6,"満了",IF(AND($T227="更新する",ISNUMBER($U227),N($U227)&lt;='設定'!$B$6,OR($AO227="",N($U227)&gt;N($AO227))),"確認済み",IF($AB227&lt;0,"通知期限切れ",IF($AB227&lt;=N('設定'!$B$7),"要対応","有効")))))))</f>
        <v/>
      </c>
      <c r="AD227" s="68">
        <f>IF(OR(NOT(ISNUMBER($M227)),$AC227="",$AC227="終了",$AC227="終了予定",$AC227="満了"),"",IF($N227="日前",'設定'!$B$6+$M227,EDATE('設定'!$B$6,$M227)))</f>
        <v/>
      </c>
      <c r="AE227" s="70">
        <f>IF(NOT(ISNUMBER($O227)),"",IF($P227="月額",$O227*12,IF($P227="年額",$O227,"")))</f>
        <v/>
      </c>
      <c r="AF227" s="30">
        <f>MID(IF(AND(ISNUMBER($G227),ISNUMBER($H227)),IF(N($H227)&lt;N($G227)," / 満了日が開始日より前",""),"")&amp;IF(AND($I227="あり",NOT(ISNUMBER($H227)))," / 自動更新ありなのに満了日が空","")&amp;IF(AND($I227="あり",ISNUMBER($H227),NOT(ISNUMBER($J227)))," / 更新期間が空（更新を計算できない）","")&amp;IF($AH227="","",IF(AND(DAY($AH227)&gt;=29,OR(MOD($J227,12)&lt;&gt;0,MONTH($AH227)=2))," / 更新の初日が29〜31日（更新を重ねると満了日が1日ずれることがある。満了日を今の期間の満了日に書き換えると直る）",""))&amp;IF(AND(ISNUMBER($K227),$L227="")," / 通知の単位が空（か月前で計算）","")&amp;IF(AND(ISNUMBER($M227),$N227="")," / 解約予告の単位が空（か月前で計算）","")&amp;IF(AND(ISNUMBER($O227),$P227="")," / 金額の区分が空","")&amp;IF(AND($T227&lt;&gt;"",NOT(ISNUMBER($U227)))," / 対応を決めた日が空","")&amp;IF(AND(ISNUMBER($U227),$T227="")," / 今期の対応が空","")&amp;IF(AND($T227="更新しない",NOT(ISNUMBER($V227)))," / 更新しないなら、解約・終了した日（契約が終わる日）を入れる",""),4,300)</f>
        <v/>
      </c>
      <c r="AG227" s="53" t="n"/>
      <c r="AH227" s="71">
        <f>IF(AND(ISNUMBER($H227),$I227="あり",ISNUMBER($J227)),IF($J227&gt;=1,$H227+1,""),"")</f>
        <v/>
      </c>
      <c r="AI227" s="32">
        <f>IF($AH227="","",(YEAR('設定'!$B$6)-YEAR($AH227))*12+MONTH('設定'!$B$6)-MONTH($AH227))</f>
        <v/>
      </c>
      <c r="AJ227" s="32">
        <f>IF($AH227="","",MAX(1,ROUNDUP($AI227/$J227,0)))</f>
        <v/>
      </c>
      <c r="AK227" s="71">
        <f>IF($AJ227="","",IF(DAY(EDATE($AH227,$AJ227*$J227))&lt;DAY($AH227),EDATE($AH227,$AJ227*$J227),EDATE($AH227,$AJ227*$J227)-1))</f>
        <v/>
      </c>
      <c r="AL227" s="71">
        <f>IF($AJ227="","",IF(DAY(EDATE($AH227,($AJ227+1)*$J227))&lt;DAY($AH227),EDATE($AH227,($AJ227+1)*$J227),EDATE($AH227,($AJ227+1)*$J227)-1))</f>
        <v/>
      </c>
      <c r="AM227" s="71">
        <f>IF($AJ227="","",IF($AJ227=1,$H227,IF(DAY(EDATE($AH227,($AJ227-1)*$J227))&lt;DAY($AH227),EDATE($AH227,($AJ227-1)*$J227),EDATE($AH227,($AJ227-1)*$J227)-1)))</f>
        <v/>
      </c>
      <c r="AN227" s="32">
        <f>IF(NOT(ISNUMBER($H227)),"",IF(OR($AH227="",$H227&gt;='設定'!$B$6),0,IF($AK227&gt;='設定'!$B$6,$AJ227,$AJ227+1)))</f>
        <v/>
      </c>
      <c r="AO227" s="71">
        <f>IF($AN227="","",IF($AN227=0,"",IF($AN227=$AJ227,$AM227,$AK227)))</f>
        <v/>
      </c>
      <c r="AP227" s="32">
        <f>IF(OR($AC227="要対応",$AC227="通知期限切れ",$AC227="確認済み",$AC227="有効",$AC227="終了予定"),1,0)</f>
        <v/>
      </c>
      <c r="AQ227" s="32">
        <f>IF(OR($AC227="要対応",$AC227="通知期限切れ"),1,0)</f>
        <v/>
      </c>
      <c r="AR227" s="72">
        <f>IF(AND(ISNUMBER($AB227),OR($AC227="要対応",$AC227="通知期限切れ",$AC227="確認済み",$AC227="有効")),$AB227+ROW()/100000,"")</f>
        <v/>
      </c>
      <c r="AS227" s="32">
        <f>IF($E227="","",IF(COUNTIF($E$5:$E227,$E227)=1,ROW(),""))</f>
        <v/>
      </c>
      <c r="AT227" s="32">
        <f>IF($S227="","",IF(COUNTIF($S$5:$S227,$S227)=1,ROW(),""))</f>
        <v/>
      </c>
    </row>
    <row r="228" ht="20" customHeight="1">
      <c r="A228" s="20" t="n">
        <v>224</v>
      </c>
      <c r="B228" s="21" t="n"/>
      <c r="C228" s="22" t="n"/>
      <c r="D228" s="22" t="n"/>
      <c r="E228" s="22" t="n"/>
      <c r="F228" s="66" t="n"/>
      <c r="G228" s="66" t="n"/>
      <c r="H228" s="66" t="n"/>
      <c r="I228" s="21" t="n"/>
      <c r="J228" s="24" t="n"/>
      <c r="K228" s="24" t="n"/>
      <c r="L228" s="21" t="n"/>
      <c r="M228" s="24" t="n"/>
      <c r="N228" s="21" t="n"/>
      <c r="O228" s="67" t="n"/>
      <c r="P228" s="21" t="n"/>
      <c r="Q228" s="21" t="n"/>
      <c r="R228" s="22" t="n"/>
      <c r="S228" s="22" t="n"/>
      <c r="T228" s="21" t="n"/>
      <c r="U228" s="66" t="n"/>
      <c r="V228" s="66" t="n"/>
      <c r="W228" s="66" t="n"/>
      <c r="X228" s="8" t="n"/>
      <c r="Y228" s="68">
        <f>IF($AN228="","",IF($AN228=0,$H228,IF($AN228=$AJ228,$AK228,$AL228)))</f>
        <v/>
      </c>
      <c r="Z228" s="68">
        <f>IF(OR($Y228="",NOT(ISNUMBER($K228))),"",IF($L228="日前",$Y228-$K228,EDATE($Y228,-$K228)))</f>
        <v/>
      </c>
      <c r="AA228" s="68">
        <f>IF(OR($Y228="",ISNUMBER($V228),N($Y228)&lt;'設定'!$B$6),"",IF($Z228&lt;&gt;"",$Z228,$Y228))</f>
        <v/>
      </c>
      <c r="AB228" s="69">
        <f>IF($AA228="","",$AA228-'設定'!$B$6)</f>
        <v/>
      </c>
      <c r="AC228" s="28">
        <f>IF(NOT(OR($B228&lt;&gt;"",$C228&lt;&gt;"")),"",IF(ISNUMBER($V228),IF($V228&lt;'設定'!$B$6,"終了","終了予定"),IF($Y228="","有効",IF($Y228&lt;'設定'!$B$6,"満了",IF(AND($T228="更新する",ISNUMBER($U228),N($U228)&lt;='設定'!$B$6,OR($AO228="",N($U228)&gt;N($AO228))),"確認済み",IF($AB228&lt;0,"通知期限切れ",IF($AB228&lt;=N('設定'!$B$7),"要対応","有効")))))))</f>
        <v/>
      </c>
      <c r="AD228" s="68">
        <f>IF(OR(NOT(ISNUMBER($M228)),$AC228="",$AC228="終了",$AC228="終了予定",$AC228="満了"),"",IF($N228="日前",'設定'!$B$6+$M228,EDATE('設定'!$B$6,$M228)))</f>
        <v/>
      </c>
      <c r="AE228" s="70">
        <f>IF(NOT(ISNUMBER($O228)),"",IF($P228="月額",$O228*12,IF($P228="年額",$O228,"")))</f>
        <v/>
      </c>
      <c r="AF228" s="30">
        <f>MID(IF(AND(ISNUMBER($G228),ISNUMBER($H228)),IF(N($H228)&lt;N($G228)," / 満了日が開始日より前",""),"")&amp;IF(AND($I228="あり",NOT(ISNUMBER($H228)))," / 自動更新ありなのに満了日が空","")&amp;IF(AND($I228="あり",ISNUMBER($H228),NOT(ISNUMBER($J228)))," / 更新期間が空（更新を計算できない）","")&amp;IF($AH228="","",IF(AND(DAY($AH228)&gt;=29,OR(MOD($J228,12)&lt;&gt;0,MONTH($AH228)=2))," / 更新の初日が29〜31日（更新を重ねると満了日が1日ずれることがある。満了日を今の期間の満了日に書き換えると直る）",""))&amp;IF(AND(ISNUMBER($K228),$L228="")," / 通知の単位が空（か月前で計算）","")&amp;IF(AND(ISNUMBER($M228),$N228="")," / 解約予告の単位が空（か月前で計算）","")&amp;IF(AND(ISNUMBER($O228),$P228="")," / 金額の区分が空","")&amp;IF(AND($T228&lt;&gt;"",NOT(ISNUMBER($U228)))," / 対応を決めた日が空","")&amp;IF(AND(ISNUMBER($U228),$T228="")," / 今期の対応が空","")&amp;IF(AND($T228="更新しない",NOT(ISNUMBER($V228)))," / 更新しないなら、解約・終了した日（契約が終わる日）を入れる",""),4,300)</f>
        <v/>
      </c>
      <c r="AG228" s="53" t="n"/>
      <c r="AH228" s="71">
        <f>IF(AND(ISNUMBER($H228),$I228="あり",ISNUMBER($J228)),IF($J228&gt;=1,$H228+1,""),"")</f>
        <v/>
      </c>
      <c r="AI228" s="32">
        <f>IF($AH228="","",(YEAR('設定'!$B$6)-YEAR($AH228))*12+MONTH('設定'!$B$6)-MONTH($AH228))</f>
        <v/>
      </c>
      <c r="AJ228" s="32">
        <f>IF($AH228="","",MAX(1,ROUNDUP($AI228/$J228,0)))</f>
        <v/>
      </c>
      <c r="AK228" s="71">
        <f>IF($AJ228="","",IF(DAY(EDATE($AH228,$AJ228*$J228))&lt;DAY($AH228),EDATE($AH228,$AJ228*$J228),EDATE($AH228,$AJ228*$J228)-1))</f>
        <v/>
      </c>
      <c r="AL228" s="71">
        <f>IF($AJ228="","",IF(DAY(EDATE($AH228,($AJ228+1)*$J228))&lt;DAY($AH228),EDATE($AH228,($AJ228+1)*$J228),EDATE($AH228,($AJ228+1)*$J228)-1))</f>
        <v/>
      </c>
      <c r="AM228" s="71">
        <f>IF($AJ228="","",IF($AJ228=1,$H228,IF(DAY(EDATE($AH228,($AJ228-1)*$J228))&lt;DAY($AH228),EDATE($AH228,($AJ228-1)*$J228),EDATE($AH228,($AJ228-1)*$J228)-1)))</f>
        <v/>
      </c>
      <c r="AN228" s="32">
        <f>IF(NOT(ISNUMBER($H228)),"",IF(OR($AH228="",$H228&gt;='設定'!$B$6),0,IF($AK228&gt;='設定'!$B$6,$AJ228,$AJ228+1)))</f>
        <v/>
      </c>
      <c r="AO228" s="71">
        <f>IF($AN228="","",IF($AN228=0,"",IF($AN228=$AJ228,$AM228,$AK228)))</f>
        <v/>
      </c>
      <c r="AP228" s="32">
        <f>IF(OR($AC228="要対応",$AC228="通知期限切れ",$AC228="確認済み",$AC228="有効",$AC228="終了予定"),1,0)</f>
        <v/>
      </c>
      <c r="AQ228" s="32">
        <f>IF(OR($AC228="要対応",$AC228="通知期限切れ"),1,0)</f>
        <v/>
      </c>
      <c r="AR228" s="72">
        <f>IF(AND(ISNUMBER($AB228),OR($AC228="要対応",$AC228="通知期限切れ",$AC228="確認済み",$AC228="有効")),$AB228+ROW()/100000,"")</f>
        <v/>
      </c>
      <c r="AS228" s="32">
        <f>IF($E228="","",IF(COUNTIF($E$5:$E228,$E228)=1,ROW(),""))</f>
        <v/>
      </c>
      <c r="AT228" s="32">
        <f>IF($S228="","",IF(COUNTIF($S$5:$S228,$S228)=1,ROW(),""))</f>
        <v/>
      </c>
    </row>
    <row r="229" ht="20" customHeight="1">
      <c r="A229" s="20" t="n">
        <v>225</v>
      </c>
      <c r="B229" s="21" t="n"/>
      <c r="C229" s="22" t="n"/>
      <c r="D229" s="22" t="n"/>
      <c r="E229" s="22" t="n"/>
      <c r="F229" s="66" t="n"/>
      <c r="G229" s="66" t="n"/>
      <c r="H229" s="66" t="n"/>
      <c r="I229" s="21" t="n"/>
      <c r="J229" s="24" t="n"/>
      <c r="K229" s="24" t="n"/>
      <c r="L229" s="21" t="n"/>
      <c r="M229" s="24" t="n"/>
      <c r="N229" s="21" t="n"/>
      <c r="O229" s="67" t="n"/>
      <c r="P229" s="21" t="n"/>
      <c r="Q229" s="21" t="n"/>
      <c r="R229" s="22" t="n"/>
      <c r="S229" s="22" t="n"/>
      <c r="T229" s="21" t="n"/>
      <c r="U229" s="66" t="n"/>
      <c r="V229" s="66" t="n"/>
      <c r="W229" s="66" t="n"/>
      <c r="X229" s="8" t="n"/>
      <c r="Y229" s="68">
        <f>IF($AN229="","",IF($AN229=0,$H229,IF($AN229=$AJ229,$AK229,$AL229)))</f>
        <v/>
      </c>
      <c r="Z229" s="68">
        <f>IF(OR($Y229="",NOT(ISNUMBER($K229))),"",IF($L229="日前",$Y229-$K229,EDATE($Y229,-$K229)))</f>
        <v/>
      </c>
      <c r="AA229" s="68">
        <f>IF(OR($Y229="",ISNUMBER($V229),N($Y229)&lt;'設定'!$B$6),"",IF($Z229&lt;&gt;"",$Z229,$Y229))</f>
        <v/>
      </c>
      <c r="AB229" s="69">
        <f>IF($AA229="","",$AA229-'設定'!$B$6)</f>
        <v/>
      </c>
      <c r="AC229" s="28">
        <f>IF(NOT(OR($B229&lt;&gt;"",$C229&lt;&gt;"")),"",IF(ISNUMBER($V229),IF($V229&lt;'設定'!$B$6,"終了","終了予定"),IF($Y229="","有効",IF($Y229&lt;'設定'!$B$6,"満了",IF(AND($T229="更新する",ISNUMBER($U229),N($U229)&lt;='設定'!$B$6,OR($AO229="",N($U229)&gt;N($AO229))),"確認済み",IF($AB229&lt;0,"通知期限切れ",IF($AB229&lt;=N('設定'!$B$7),"要対応","有効")))))))</f>
        <v/>
      </c>
      <c r="AD229" s="68">
        <f>IF(OR(NOT(ISNUMBER($M229)),$AC229="",$AC229="終了",$AC229="終了予定",$AC229="満了"),"",IF($N229="日前",'設定'!$B$6+$M229,EDATE('設定'!$B$6,$M229)))</f>
        <v/>
      </c>
      <c r="AE229" s="70">
        <f>IF(NOT(ISNUMBER($O229)),"",IF($P229="月額",$O229*12,IF($P229="年額",$O229,"")))</f>
        <v/>
      </c>
      <c r="AF229" s="30">
        <f>MID(IF(AND(ISNUMBER($G229),ISNUMBER($H229)),IF(N($H229)&lt;N($G229)," / 満了日が開始日より前",""),"")&amp;IF(AND($I229="あり",NOT(ISNUMBER($H229)))," / 自動更新ありなのに満了日が空","")&amp;IF(AND($I229="あり",ISNUMBER($H229),NOT(ISNUMBER($J229)))," / 更新期間が空（更新を計算できない）","")&amp;IF($AH229="","",IF(AND(DAY($AH229)&gt;=29,OR(MOD($J229,12)&lt;&gt;0,MONTH($AH229)=2))," / 更新の初日が29〜31日（更新を重ねると満了日が1日ずれることがある。満了日を今の期間の満了日に書き換えると直る）",""))&amp;IF(AND(ISNUMBER($K229),$L229="")," / 通知の単位が空（か月前で計算）","")&amp;IF(AND(ISNUMBER($M229),$N229="")," / 解約予告の単位が空（か月前で計算）","")&amp;IF(AND(ISNUMBER($O229),$P229="")," / 金額の区分が空","")&amp;IF(AND($T229&lt;&gt;"",NOT(ISNUMBER($U229)))," / 対応を決めた日が空","")&amp;IF(AND(ISNUMBER($U229),$T229="")," / 今期の対応が空","")&amp;IF(AND($T229="更新しない",NOT(ISNUMBER($V229)))," / 更新しないなら、解約・終了した日（契約が終わる日）を入れる",""),4,300)</f>
        <v/>
      </c>
      <c r="AG229" s="53" t="n"/>
      <c r="AH229" s="71">
        <f>IF(AND(ISNUMBER($H229),$I229="あり",ISNUMBER($J229)),IF($J229&gt;=1,$H229+1,""),"")</f>
        <v/>
      </c>
      <c r="AI229" s="32">
        <f>IF($AH229="","",(YEAR('設定'!$B$6)-YEAR($AH229))*12+MONTH('設定'!$B$6)-MONTH($AH229))</f>
        <v/>
      </c>
      <c r="AJ229" s="32">
        <f>IF($AH229="","",MAX(1,ROUNDUP($AI229/$J229,0)))</f>
        <v/>
      </c>
      <c r="AK229" s="71">
        <f>IF($AJ229="","",IF(DAY(EDATE($AH229,$AJ229*$J229))&lt;DAY($AH229),EDATE($AH229,$AJ229*$J229),EDATE($AH229,$AJ229*$J229)-1))</f>
        <v/>
      </c>
      <c r="AL229" s="71">
        <f>IF($AJ229="","",IF(DAY(EDATE($AH229,($AJ229+1)*$J229))&lt;DAY($AH229),EDATE($AH229,($AJ229+1)*$J229),EDATE($AH229,($AJ229+1)*$J229)-1))</f>
        <v/>
      </c>
      <c r="AM229" s="71">
        <f>IF($AJ229="","",IF($AJ229=1,$H229,IF(DAY(EDATE($AH229,($AJ229-1)*$J229))&lt;DAY($AH229),EDATE($AH229,($AJ229-1)*$J229),EDATE($AH229,($AJ229-1)*$J229)-1)))</f>
        <v/>
      </c>
      <c r="AN229" s="32">
        <f>IF(NOT(ISNUMBER($H229)),"",IF(OR($AH229="",$H229&gt;='設定'!$B$6),0,IF($AK229&gt;='設定'!$B$6,$AJ229,$AJ229+1)))</f>
        <v/>
      </c>
      <c r="AO229" s="71">
        <f>IF($AN229="","",IF($AN229=0,"",IF($AN229=$AJ229,$AM229,$AK229)))</f>
        <v/>
      </c>
      <c r="AP229" s="32">
        <f>IF(OR($AC229="要対応",$AC229="通知期限切れ",$AC229="確認済み",$AC229="有効",$AC229="終了予定"),1,0)</f>
        <v/>
      </c>
      <c r="AQ229" s="32">
        <f>IF(OR($AC229="要対応",$AC229="通知期限切れ"),1,0)</f>
        <v/>
      </c>
      <c r="AR229" s="72">
        <f>IF(AND(ISNUMBER($AB229),OR($AC229="要対応",$AC229="通知期限切れ",$AC229="確認済み",$AC229="有効")),$AB229+ROW()/100000,"")</f>
        <v/>
      </c>
      <c r="AS229" s="32">
        <f>IF($E229="","",IF(COUNTIF($E$5:$E229,$E229)=1,ROW(),""))</f>
        <v/>
      </c>
      <c r="AT229" s="32">
        <f>IF($S229="","",IF(COUNTIF($S$5:$S229,$S229)=1,ROW(),""))</f>
        <v/>
      </c>
    </row>
    <row r="230" ht="20" customHeight="1">
      <c r="A230" s="20" t="n">
        <v>226</v>
      </c>
      <c r="B230" s="21" t="n"/>
      <c r="C230" s="22" t="n"/>
      <c r="D230" s="22" t="n"/>
      <c r="E230" s="22" t="n"/>
      <c r="F230" s="66" t="n"/>
      <c r="G230" s="66" t="n"/>
      <c r="H230" s="66" t="n"/>
      <c r="I230" s="21" t="n"/>
      <c r="J230" s="24" t="n"/>
      <c r="K230" s="24" t="n"/>
      <c r="L230" s="21" t="n"/>
      <c r="M230" s="24" t="n"/>
      <c r="N230" s="21" t="n"/>
      <c r="O230" s="67" t="n"/>
      <c r="P230" s="21" t="n"/>
      <c r="Q230" s="21" t="n"/>
      <c r="R230" s="22" t="n"/>
      <c r="S230" s="22" t="n"/>
      <c r="T230" s="21" t="n"/>
      <c r="U230" s="66" t="n"/>
      <c r="V230" s="66" t="n"/>
      <c r="W230" s="66" t="n"/>
      <c r="X230" s="8" t="n"/>
      <c r="Y230" s="68">
        <f>IF($AN230="","",IF($AN230=0,$H230,IF($AN230=$AJ230,$AK230,$AL230)))</f>
        <v/>
      </c>
      <c r="Z230" s="68">
        <f>IF(OR($Y230="",NOT(ISNUMBER($K230))),"",IF($L230="日前",$Y230-$K230,EDATE($Y230,-$K230)))</f>
        <v/>
      </c>
      <c r="AA230" s="68">
        <f>IF(OR($Y230="",ISNUMBER($V230),N($Y230)&lt;'設定'!$B$6),"",IF($Z230&lt;&gt;"",$Z230,$Y230))</f>
        <v/>
      </c>
      <c r="AB230" s="69">
        <f>IF($AA230="","",$AA230-'設定'!$B$6)</f>
        <v/>
      </c>
      <c r="AC230" s="28">
        <f>IF(NOT(OR($B230&lt;&gt;"",$C230&lt;&gt;"")),"",IF(ISNUMBER($V230),IF($V230&lt;'設定'!$B$6,"終了","終了予定"),IF($Y230="","有効",IF($Y230&lt;'設定'!$B$6,"満了",IF(AND($T230="更新する",ISNUMBER($U230),N($U230)&lt;='設定'!$B$6,OR($AO230="",N($U230)&gt;N($AO230))),"確認済み",IF($AB230&lt;0,"通知期限切れ",IF($AB230&lt;=N('設定'!$B$7),"要対応","有効")))))))</f>
        <v/>
      </c>
      <c r="AD230" s="68">
        <f>IF(OR(NOT(ISNUMBER($M230)),$AC230="",$AC230="終了",$AC230="終了予定",$AC230="満了"),"",IF($N230="日前",'設定'!$B$6+$M230,EDATE('設定'!$B$6,$M230)))</f>
        <v/>
      </c>
      <c r="AE230" s="70">
        <f>IF(NOT(ISNUMBER($O230)),"",IF($P230="月額",$O230*12,IF($P230="年額",$O230,"")))</f>
        <v/>
      </c>
      <c r="AF230" s="30">
        <f>MID(IF(AND(ISNUMBER($G230),ISNUMBER($H230)),IF(N($H230)&lt;N($G230)," / 満了日が開始日より前",""),"")&amp;IF(AND($I230="あり",NOT(ISNUMBER($H230)))," / 自動更新ありなのに満了日が空","")&amp;IF(AND($I230="あり",ISNUMBER($H230),NOT(ISNUMBER($J230)))," / 更新期間が空（更新を計算できない）","")&amp;IF($AH230="","",IF(AND(DAY($AH230)&gt;=29,OR(MOD($J230,12)&lt;&gt;0,MONTH($AH230)=2))," / 更新の初日が29〜31日（更新を重ねると満了日が1日ずれることがある。満了日を今の期間の満了日に書き換えると直る）",""))&amp;IF(AND(ISNUMBER($K230),$L230="")," / 通知の単位が空（か月前で計算）","")&amp;IF(AND(ISNUMBER($M230),$N230="")," / 解約予告の単位が空（か月前で計算）","")&amp;IF(AND(ISNUMBER($O230),$P230="")," / 金額の区分が空","")&amp;IF(AND($T230&lt;&gt;"",NOT(ISNUMBER($U230)))," / 対応を決めた日が空","")&amp;IF(AND(ISNUMBER($U230),$T230="")," / 今期の対応が空","")&amp;IF(AND($T230="更新しない",NOT(ISNUMBER($V230)))," / 更新しないなら、解約・終了した日（契約が終わる日）を入れる",""),4,300)</f>
        <v/>
      </c>
      <c r="AG230" s="53" t="n"/>
      <c r="AH230" s="71">
        <f>IF(AND(ISNUMBER($H230),$I230="あり",ISNUMBER($J230)),IF($J230&gt;=1,$H230+1,""),"")</f>
        <v/>
      </c>
      <c r="AI230" s="32">
        <f>IF($AH230="","",(YEAR('設定'!$B$6)-YEAR($AH230))*12+MONTH('設定'!$B$6)-MONTH($AH230))</f>
        <v/>
      </c>
      <c r="AJ230" s="32">
        <f>IF($AH230="","",MAX(1,ROUNDUP($AI230/$J230,0)))</f>
        <v/>
      </c>
      <c r="AK230" s="71">
        <f>IF($AJ230="","",IF(DAY(EDATE($AH230,$AJ230*$J230))&lt;DAY($AH230),EDATE($AH230,$AJ230*$J230),EDATE($AH230,$AJ230*$J230)-1))</f>
        <v/>
      </c>
      <c r="AL230" s="71">
        <f>IF($AJ230="","",IF(DAY(EDATE($AH230,($AJ230+1)*$J230))&lt;DAY($AH230),EDATE($AH230,($AJ230+1)*$J230),EDATE($AH230,($AJ230+1)*$J230)-1))</f>
        <v/>
      </c>
      <c r="AM230" s="71">
        <f>IF($AJ230="","",IF($AJ230=1,$H230,IF(DAY(EDATE($AH230,($AJ230-1)*$J230))&lt;DAY($AH230),EDATE($AH230,($AJ230-1)*$J230),EDATE($AH230,($AJ230-1)*$J230)-1)))</f>
        <v/>
      </c>
      <c r="AN230" s="32">
        <f>IF(NOT(ISNUMBER($H230)),"",IF(OR($AH230="",$H230&gt;='設定'!$B$6),0,IF($AK230&gt;='設定'!$B$6,$AJ230,$AJ230+1)))</f>
        <v/>
      </c>
      <c r="AO230" s="71">
        <f>IF($AN230="","",IF($AN230=0,"",IF($AN230=$AJ230,$AM230,$AK230)))</f>
        <v/>
      </c>
      <c r="AP230" s="32">
        <f>IF(OR($AC230="要対応",$AC230="通知期限切れ",$AC230="確認済み",$AC230="有効",$AC230="終了予定"),1,0)</f>
        <v/>
      </c>
      <c r="AQ230" s="32">
        <f>IF(OR($AC230="要対応",$AC230="通知期限切れ"),1,0)</f>
        <v/>
      </c>
      <c r="AR230" s="72">
        <f>IF(AND(ISNUMBER($AB230),OR($AC230="要対応",$AC230="通知期限切れ",$AC230="確認済み",$AC230="有効")),$AB230+ROW()/100000,"")</f>
        <v/>
      </c>
      <c r="AS230" s="32">
        <f>IF($E230="","",IF(COUNTIF($E$5:$E230,$E230)=1,ROW(),""))</f>
        <v/>
      </c>
      <c r="AT230" s="32">
        <f>IF($S230="","",IF(COUNTIF($S$5:$S230,$S230)=1,ROW(),""))</f>
        <v/>
      </c>
    </row>
    <row r="231" ht="20" customHeight="1">
      <c r="A231" s="20" t="n">
        <v>227</v>
      </c>
      <c r="B231" s="21" t="n"/>
      <c r="C231" s="22" t="n"/>
      <c r="D231" s="22" t="n"/>
      <c r="E231" s="22" t="n"/>
      <c r="F231" s="66" t="n"/>
      <c r="G231" s="66" t="n"/>
      <c r="H231" s="66" t="n"/>
      <c r="I231" s="21" t="n"/>
      <c r="J231" s="24" t="n"/>
      <c r="K231" s="24" t="n"/>
      <c r="L231" s="21" t="n"/>
      <c r="M231" s="24" t="n"/>
      <c r="N231" s="21" t="n"/>
      <c r="O231" s="67" t="n"/>
      <c r="P231" s="21" t="n"/>
      <c r="Q231" s="21" t="n"/>
      <c r="R231" s="22" t="n"/>
      <c r="S231" s="22" t="n"/>
      <c r="T231" s="21" t="n"/>
      <c r="U231" s="66" t="n"/>
      <c r="V231" s="66" t="n"/>
      <c r="W231" s="66" t="n"/>
      <c r="X231" s="8" t="n"/>
      <c r="Y231" s="68">
        <f>IF($AN231="","",IF($AN231=0,$H231,IF($AN231=$AJ231,$AK231,$AL231)))</f>
        <v/>
      </c>
      <c r="Z231" s="68">
        <f>IF(OR($Y231="",NOT(ISNUMBER($K231))),"",IF($L231="日前",$Y231-$K231,EDATE($Y231,-$K231)))</f>
        <v/>
      </c>
      <c r="AA231" s="68">
        <f>IF(OR($Y231="",ISNUMBER($V231),N($Y231)&lt;'設定'!$B$6),"",IF($Z231&lt;&gt;"",$Z231,$Y231))</f>
        <v/>
      </c>
      <c r="AB231" s="69">
        <f>IF($AA231="","",$AA231-'設定'!$B$6)</f>
        <v/>
      </c>
      <c r="AC231" s="28">
        <f>IF(NOT(OR($B231&lt;&gt;"",$C231&lt;&gt;"")),"",IF(ISNUMBER($V231),IF($V231&lt;'設定'!$B$6,"終了","終了予定"),IF($Y231="","有効",IF($Y231&lt;'設定'!$B$6,"満了",IF(AND($T231="更新する",ISNUMBER($U231),N($U231)&lt;='設定'!$B$6,OR($AO231="",N($U231)&gt;N($AO231))),"確認済み",IF($AB231&lt;0,"通知期限切れ",IF($AB231&lt;=N('設定'!$B$7),"要対応","有効")))))))</f>
        <v/>
      </c>
      <c r="AD231" s="68">
        <f>IF(OR(NOT(ISNUMBER($M231)),$AC231="",$AC231="終了",$AC231="終了予定",$AC231="満了"),"",IF($N231="日前",'設定'!$B$6+$M231,EDATE('設定'!$B$6,$M231)))</f>
        <v/>
      </c>
      <c r="AE231" s="70">
        <f>IF(NOT(ISNUMBER($O231)),"",IF($P231="月額",$O231*12,IF($P231="年額",$O231,"")))</f>
        <v/>
      </c>
      <c r="AF231" s="30">
        <f>MID(IF(AND(ISNUMBER($G231),ISNUMBER($H231)),IF(N($H231)&lt;N($G231)," / 満了日が開始日より前",""),"")&amp;IF(AND($I231="あり",NOT(ISNUMBER($H231)))," / 自動更新ありなのに満了日が空","")&amp;IF(AND($I231="あり",ISNUMBER($H231),NOT(ISNUMBER($J231)))," / 更新期間が空（更新を計算できない）","")&amp;IF($AH231="","",IF(AND(DAY($AH231)&gt;=29,OR(MOD($J231,12)&lt;&gt;0,MONTH($AH231)=2))," / 更新の初日が29〜31日（更新を重ねると満了日が1日ずれることがある。満了日を今の期間の満了日に書き換えると直る）",""))&amp;IF(AND(ISNUMBER($K231),$L231="")," / 通知の単位が空（か月前で計算）","")&amp;IF(AND(ISNUMBER($M231),$N231="")," / 解約予告の単位が空（か月前で計算）","")&amp;IF(AND(ISNUMBER($O231),$P231="")," / 金額の区分が空","")&amp;IF(AND($T231&lt;&gt;"",NOT(ISNUMBER($U231)))," / 対応を決めた日が空","")&amp;IF(AND(ISNUMBER($U231),$T231="")," / 今期の対応が空","")&amp;IF(AND($T231="更新しない",NOT(ISNUMBER($V231)))," / 更新しないなら、解約・終了した日（契約が終わる日）を入れる",""),4,300)</f>
        <v/>
      </c>
      <c r="AG231" s="53" t="n"/>
      <c r="AH231" s="71">
        <f>IF(AND(ISNUMBER($H231),$I231="あり",ISNUMBER($J231)),IF($J231&gt;=1,$H231+1,""),"")</f>
        <v/>
      </c>
      <c r="AI231" s="32">
        <f>IF($AH231="","",(YEAR('設定'!$B$6)-YEAR($AH231))*12+MONTH('設定'!$B$6)-MONTH($AH231))</f>
        <v/>
      </c>
      <c r="AJ231" s="32">
        <f>IF($AH231="","",MAX(1,ROUNDUP($AI231/$J231,0)))</f>
        <v/>
      </c>
      <c r="AK231" s="71">
        <f>IF($AJ231="","",IF(DAY(EDATE($AH231,$AJ231*$J231))&lt;DAY($AH231),EDATE($AH231,$AJ231*$J231),EDATE($AH231,$AJ231*$J231)-1))</f>
        <v/>
      </c>
      <c r="AL231" s="71">
        <f>IF($AJ231="","",IF(DAY(EDATE($AH231,($AJ231+1)*$J231))&lt;DAY($AH231),EDATE($AH231,($AJ231+1)*$J231),EDATE($AH231,($AJ231+1)*$J231)-1))</f>
        <v/>
      </c>
      <c r="AM231" s="71">
        <f>IF($AJ231="","",IF($AJ231=1,$H231,IF(DAY(EDATE($AH231,($AJ231-1)*$J231))&lt;DAY($AH231),EDATE($AH231,($AJ231-1)*$J231),EDATE($AH231,($AJ231-1)*$J231)-1)))</f>
        <v/>
      </c>
      <c r="AN231" s="32">
        <f>IF(NOT(ISNUMBER($H231)),"",IF(OR($AH231="",$H231&gt;='設定'!$B$6),0,IF($AK231&gt;='設定'!$B$6,$AJ231,$AJ231+1)))</f>
        <v/>
      </c>
      <c r="AO231" s="71">
        <f>IF($AN231="","",IF($AN231=0,"",IF($AN231=$AJ231,$AM231,$AK231)))</f>
        <v/>
      </c>
      <c r="AP231" s="32">
        <f>IF(OR($AC231="要対応",$AC231="通知期限切れ",$AC231="確認済み",$AC231="有効",$AC231="終了予定"),1,0)</f>
        <v/>
      </c>
      <c r="AQ231" s="32">
        <f>IF(OR($AC231="要対応",$AC231="通知期限切れ"),1,0)</f>
        <v/>
      </c>
      <c r="AR231" s="72">
        <f>IF(AND(ISNUMBER($AB231),OR($AC231="要対応",$AC231="通知期限切れ",$AC231="確認済み",$AC231="有効")),$AB231+ROW()/100000,"")</f>
        <v/>
      </c>
      <c r="AS231" s="32">
        <f>IF($E231="","",IF(COUNTIF($E$5:$E231,$E231)=1,ROW(),""))</f>
        <v/>
      </c>
      <c r="AT231" s="32">
        <f>IF($S231="","",IF(COUNTIF($S$5:$S231,$S231)=1,ROW(),""))</f>
        <v/>
      </c>
    </row>
    <row r="232" ht="20" customHeight="1">
      <c r="A232" s="20" t="n">
        <v>228</v>
      </c>
      <c r="B232" s="21" t="n"/>
      <c r="C232" s="22" t="n"/>
      <c r="D232" s="22" t="n"/>
      <c r="E232" s="22" t="n"/>
      <c r="F232" s="66" t="n"/>
      <c r="G232" s="66" t="n"/>
      <c r="H232" s="66" t="n"/>
      <c r="I232" s="21" t="n"/>
      <c r="J232" s="24" t="n"/>
      <c r="K232" s="24" t="n"/>
      <c r="L232" s="21" t="n"/>
      <c r="M232" s="24" t="n"/>
      <c r="N232" s="21" t="n"/>
      <c r="O232" s="67" t="n"/>
      <c r="P232" s="21" t="n"/>
      <c r="Q232" s="21" t="n"/>
      <c r="R232" s="22" t="n"/>
      <c r="S232" s="22" t="n"/>
      <c r="T232" s="21" t="n"/>
      <c r="U232" s="66" t="n"/>
      <c r="V232" s="66" t="n"/>
      <c r="W232" s="66" t="n"/>
      <c r="X232" s="8" t="n"/>
      <c r="Y232" s="68">
        <f>IF($AN232="","",IF($AN232=0,$H232,IF($AN232=$AJ232,$AK232,$AL232)))</f>
        <v/>
      </c>
      <c r="Z232" s="68">
        <f>IF(OR($Y232="",NOT(ISNUMBER($K232))),"",IF($L232="日前",$Y232-$K232,EDATE($Y232,-$K232)))</f>
        <v/>
      </c>
      <c r="AA232" s="68">
        <f>IF(OR($Y232="",ISNUMBER($V232),N($Y232)&lt;'設定'!$B$6),"",IF($Z232&lt;&gt;"",$Z232,$Y232))</f>
        <v/>
      </c>
      <c r="AB232" s="69">
        <f>IF($AA232="","",$AA232-'設定'!$B$6)</f>
        <v/>
      </c>
      <c r="AC232" s="28">
        <f>IF(NOT(OR($B232&lt;&gt;"",$C232&lt;&gt;"")),"",IF(ISNUMBER($V232),IF($V232&lt;'設定'!$B$6,"終了","終了予定"),IF($Y232="","有効",IF($Y232&lt;'設定'!$B$6,"満了",IF(AND($T232="更新する",ISNUMBER($U232),N($U232)&lt;='設定'!$B$6,OR($AO232="",N($U232)&gt;N($AO232))),"確認済み",IF($AB232&lt;0,"通知期限切れ",IF($AB232&lt;=N('設定'!$B$7),"要対応","有効")))))))</f>
        <v/>
      </c>
      <c r="AD232" s="68">
        <f>IF(OR(NOT(ISNUMBER($M232)),$AC232="",$AC232="終了",$AC232="終了予定",$AC232="満了"),"",IF($N232="日前",'設定'!$B$6+$M232,EDATE('設定'!$B$6,$M232)))</f>
        <v/>
      </c>
      <c r="AE232" s="70">
        <f>IF(NOT(ISNUMBER($O232)),"",IF($P232="月額",$O232*12,IF($P232="年額",$O232,"")))</f>
        <v/>
      </c>
      <c r="AF232" s="30">
        <f>MID(IF(AND(ISNUMBER($G232),ISNUMBER($H232)),IF(N($H232)&lt;N($G232)," / 満了日が開始日より前",""),"")&amp;IF(AND($I232="あり",NOT(ISNUMBER($H232)))," / 自動更新ありなのに満了日が空","")&amp;IF(AND($I232="あり",ISNUMBER($H232),NOT(ISNUMBER($J232)))," / 更新期間が空（更新を計算できない）","")&amp;IF($AH232="","",IF(AND(DAY($AH232)&gt;=29,OR(MOD($J232,12)&lt;&gt;0,MONTH($AH232)=2))," / 更新の初日が29〜31日（更新を重ねると満了日が1日ずれることがある。満了日を今の期間の満了日に書き換えると直る）",""))&amp;IF(AND(ISNUMBER($K232),$L232="")," / 通知の単位が空（か月前で計算）","")&amp;IF(AND(ISNUMBER($M232),$N232="")," / 解約予告の単位が空（か月前で計算）","")&amp;IF(AND(ISNUMBER($O232),$P232="")," / 金額の区分が空","")&amp;IF(AND($T232&lt;&gt;"",NOT(ISNUMBER($U232)))," / 対応を決めた日が空","")&amp;IF(AND(ISNUMBER($U232),$T232="")," / 今期の対応が空","")&amp;IF(AND($T232="更新しない",NOT(ISNUMBER($V232)))," / 更新しないなら、解約・終了した日（契約が終わる日）を入れる",""),4,300)</f>
        <v/>
      </c>
      <c r="AG232" s="53" t="n"/>
      <c r="AH232" s="71">
        <f>IF(AND(ISNUMBER($H232),$I232="あり",ISNUMBER($J232)),IF($J232&gt;=1,$H232+1,""),"")</f>
        <v/>
      </c>
      <c r="AI232" s="32">
        <f>IF($AH232="","",(YEAR('設定'!$B$6)-YEAR($AH232))*12+MONTH('設定'!$B$6)-MONTH($AH232))</f>
        <v/>
      </c>
      <c r="AJ232" s="32">
        <f>IF($AH232="","",MAX(1,ROUNDUP($AI232/$J232,0)))</f>
        <v/>
      </c>
      <c r="AK232" s="71">
        <f>IF($AJ232="","",IF(DAY(EDATE($AH232,$AJ232*$J232))&lt;DAY($AH232),EDATE($AH232,$AJ232*$J232),EDATE($AH232,$AJ232*$J232)-1))</f>
        <v/>
      </c>
      <c r="AL232" s="71">
        <f>IF($AJ232="","",IF(DAY(EDATE($AH232,($AJ232+1)*$J232))&lt;DAY($AH232),EDATE($AH232,($AJ232+1)*$J232),EDATE($AH232,($AJ232+1)*$J232)-1))</f>
        <v/>
      </c>
      <c r="AM232" s="71">
        <f>IF($AJ232="","",IF($AJ232=1,$H232,IF(DAY(EDATE($AH232,($AJ232-1)*$J232))&lt;DAY($AH232),EDATE($AH232,($AJ232-1)*$J232),EDATE($AH232,($AJ232-1)*$J232)-1)))</f>
        <v/>
      </c>
      <c r="AN232" s="32">
        <f>IF(NOT(ISNUMBER($H232)),"",IF(OR($AH232="",$H232&gt;='設定'!$B$6),0,IF($AK232&gt;='設定'!$B$6,$AJ232,$AJ232+1)))</f>
        <v/>
      </c>
      <c r="AO232" s="71">
        <f>IF($AN232="","",IF($AN232=0,"",IF($AN232=$AJ232,$AM232,$AK232)))</f>
        <v/>
      </c>
      <c r="AP232" s="32">
        <f>IF(OR($AC232="要対応",$AC232="通知期限切れ",$AC232="確認済み",$AC232="有効",$AC232="終了予定"),1,0)</f>
        <v/>
      </c>
      <c r="AQ232" s="32">
        <f>IF(OR($AC232="要対応",$AC232="通知期限切れ"),1,0)</f>
        <v/>
      </c>
      <c r="AR232" s="72">
        <f>IF(AND(ISNUMBER($AB232),OR($AC232="要対応",$AC232="通知期限切れ",$AC232="確認済み",$AC232="有効")),$AB232+ROW()/100000,"")</f>
        <v/>
      </c>
      <c r="AS232" s="32">
        <f>IF($E232="","",IF(COUNTIF($E$5:$E232,$E232)=1,ROW(),""))</f>
        <v/>
      </c>
      <c r="AT232" s="32">
        <f>IF($S232="","",IF(COUNTIF($S$5:$S232,$S232)=1,ROW(),""))</f>
        <v/>
      </c>
    </row>
    <row r="233" ht="20" customHeight="1">
      <c r="A233" s="20" t="n">
        <v>229</v>
      </c>
      <c r="B233" s="21" t="n"/>
      <c r="C233" s="22" t="n"/>
      <c r="D233" s="22" t="n"/>
      <c r="E233" s="22" t="n"/>
      <c r="F233" s="66" t="n"/>
      <c r="G233" s="66" t="n"/>
      <c r="H233" s="66" t="n"/>
      <c r="I233" s="21" t="n"/>
      <c r="J233" s="24" t="n"/>
      <c r="K233" s="24" t="n"/>
      <c r="L233" s="21" t="n"/>
      <c r="M233" s="24" t="n"/>
      <c r="N233" s="21" t="n"/>
      <c r="O233" s="67" t="n"/>
      <c r="P233" s="21" t="n"/>
      <c r="Q233" s="21" t="n"/>
      <c r="R233" s="22" t="n"/>
      <c r="S233" s="22" t="n"/>
      <c r="T233" s="21" t="n"/>
      <c r="U233" s="66" t="n"/>
      <c r="V233" s="66" t="n"/>
      <c r="W233" s="66" t="n"/>
      <c r="X233" s="8" t="n"/>
      <c r="Y233" s="68">
        <f>IF($AN233="","",IF($AN233=0,$H233,IF($AN233=$AJ233,$AK233,$AL233)))</f>
        <v/>
      </c>
      <c r="Z233" s="68">
        <f>IF(OR($Y233="",NOT(ISNUMBER($K233))),"",IF($L233="日前",$Y233-$K233,EDATE($Y233,-$K233)))</f>
        <v/>
      </c>
      <c r="AA233" s="68">
        <f>IF(OR($Y233="",ISNUMBER($V233),N($Y233)&lt;'設定'!$B$6),"",IF($Z233&lt;&gt;"",$Z233,$Y233))</f>
        <v/>
      </c>
      <c r="AB233" s="69">
        <f>IF($AA233="","",$AA233-'設定'!$B$6)</f>
        <v/>
      </c>
      <c r="AC233" s="28">
        <f>IF(NOT(OR($B233&lt;&gt;"",$C233&lt;&gt;"")),"",IF(ISNUMBER($V233),IF($V233&lt;'設定'!$B$6,"終了","終了予定"),IF($Y233="","有効",IF($Y233&lt;'設定'!$B$6,"満了",IF(AND($T233="更新する",ISNUMBER($U233),N($U233)&lt;='設定'!$B$6,OR($AO233="",N($U233)&gt;N($AO233))),"確認済み",IF($AB233&lt;0,"通知期限切れ",IF($AB233&lt;=N('設定'!$B$7),"要対応","有効")))))))</f>
        <v/>
      </c>
      <c r="AD233" s="68">
        <f>IF(OR(NOT(ISNUMBER($M233)),$AC233="",$AC233="終了",$AC233="終了予定",$AC233="満了"),"",IF($N233="日前",'設定'!$B$6+$M233,EDATE('設定'!$B$6,$M233)))</f>
        <v/>
      </c>
      <c r="AE233" s="70">
        <f>IF(NOT(ISNUMBER($O233)),"",IF($P233="月額",$O233*12,IF($P233="年額",$O233,"")))</f>
        <v/>
      </c>
      <c r="AF233" s="30">
        <f>MID(IF(AND(ISNUMBER($G233),ISNUMBER($H233)),IF(N($H233)&lt;N($G233)," / 満了日が開始日より前",""),"")&amp;IF(AND($I233="あり",NOT(ISNUMBER($H233)))," / 自動更新ありなのに満了日が空","")&amp;IF(AND($I233="あり",ISNUMBER($H233),NOT(ISNUMBER($J233)))," / 更新期間が空（更新を計算できない）","")&amp;IF($AH233="","",IF(AND(DAY($AH233)&gt;=29,OR(MOD($J233,12)&lt;&gt;0,MONTH($AH233)=2))," / 更新の初日が29〜31日（更新を重ねると満了日が1日ずれることがある。満了日を今の期間の満了日に書き換えると直る）",""))&amp;IF(AND(ISNUMBER($K233),$L233="")," / 通知の単位が空（か月前で計算）","")&amp;IF(AND(ISNUMBER($M233),$N233="")," / 解約予告の単位が空（か月前で計算）","")&amp;IF(AND(ISNUMBER($O233),$P233="")," / 金額の区分が空","")&amp;IF(AND($T233&lt;&gt;"",NOT(ISNUMBER($U233)))," / 対応を決めた日が空","")&amp;IF(AND(ISNUMBER($U233),$T233="")," / 今期の対応が空","")&amp;IF(AND($T233="更新しない",NOT(ISNUMBER($V233)))," / 更新しないなら、解約・終了した日（契約が終わる日）を入れる",""),4,300)</f>
        <v/>
      </c>
      <c r="AG233" s="53" t="n"/>
      <c r="AH233" s="71">
        <f>IF(AND(ISNUMBER($H233),$I233="あり",ISNUMBER($J233)),IF($J233&gt;=1,$H233+1,""),"")</f>
        <v/>
      </c>
      <c r="AI233" s="32">
        <f>IF($AH233="","",(YEAR('設定'!$B$6)-YEAR($AH233))*12+MONTH('設定'!$B$6)-MONTH($AH233))</f>
        <v/>
      </c>
      <c r="AJ233" s="32">
        <f>IF($AH233="","",MAX(1,ROUNDUP($AI233/$J233,0)))</f>
        <v/>
      </c>
      <c r="AK233" s="71">
        <f>IF($AJ233="","",IF(DAY(EDATE($AH233,$AJ233*$J233))&lt;DAY($AH233),EDATE($AH233,$AJ233*$J233),EDATE($AH233,$AJ233*$J233)-1))</f>
        <v/>
      </c>
      <c r="AL233" s="71">
        <f>IF($AJ233="","",IF(DAY(EDATE($AH233,($AJ233+1)*$J233))&lt;DAY($AH233),EDATE($AH233,($AJ233+1)*$J233),EDATE($AH233,($AJ233+1)*$J233)-1))</f>
        <v/>
      </c>
      <c r="AM233" s="71">
        <f>IF($AJ233="","",IF($AJ233=1,$H233,IF(DAY(EDATE($AH233,($AJ233-1)*$J233))&lt;DAY($AH233),EDATE($AH233,($AJ233-1)*$J233),EDATE($AH233,($AJ233-1)*$J233)-1)))</f>
        <v/>
      </c>
      <c r="AN233" s="32">
        <f>IF(NOT(ISNUMBER($H233)),"",IF(OR($AH233="",$H233&gt;='設定'!$B$6),0,IF($AK233&gt;='設定'!$B$6,$AJ233,$AJ233+1)))</f>
        <v/>
      </c>
      <c r="AO233" s="71">
        <f>IF($AN233="","",IF($AN233=0,"",IF($AN233=$AJ233,$AM233,$AK233)))</f>
        <v/>
      </c>
      <c r="AP233" s="32">
        <f>IF(OR($AC233="要対応",$AC233="通知期限切れ",$AC233="確認済み",$AC233="有効",$AC233="終了予定"),1,0)</f>
        <v/>
      </c>
      <c r="AQ233" s="32">
        <f>IF(OR($AC233="要対応",$AC233="通知期限切れ"),1,0)</f>
        <v/>
      </c>
      <c r="AR233" s="72">
        <f>IF(AND(ISNUMBER($AB233),OR($AC233="要対応",$AC233="通知期限切れ",$AC233="確認済み",$AC233="有効")),$AB233+ROW()/100000,"")</f>
        <v/>
      </c>
      <c r="AS233" s="32">
        <f>IF($E233="","",IF(COUNTIF($E$5:$E233,$E233)=1,ROW(),""))</f>
        <v/>
      </c>
      <c r="AT233" s="32">
        <f>IF($S233="","",IF(COUNTIF($S$5:$S233,$S233)=1,ROW(),""))</f>
        <v/>
      </c>
    </row>
    <row r="234" ht="20" customHeight="1">
      <c r="A234" s="20" t="n">
        <v>230</v>
      </c>
      <c r="B234" s="21" t="n"/>
      <c r="C234" s="22" t="n"/>
      <c r="D234" s="22" t="n"/>
      <c r="E234" s="22" t="n"/>
      <c r="F234" s="66" t="n"/>
      <c r="G234" s="66" t="n"/>
      <c r="H234" s="66" t="n"/>
      <c r="I234" s="21" t="n"/>
      <c r="J234" s="24" t="n"/>
      <c r="K234" s="24" t="n"/>
      <c r="L234" s="21" t="n"/>
      <c r="M234" s="24" t="n"/>
      <c r="N234" s="21" t="n"/>
      <c r="O234" s="67" t="n"/>
      <c r="P234" s="21" t="n"/>
      <c r="Q234" s="21" t="n"/>
      <c r="R234" s="22" t="n"/>
      <c r="S234" s="22" t="n"/>
      <c r="T234" s="21" t="n"/>
      <c r="U234" s="66" t="n"/>
      <c r="V234" s="66" t="n"/>
      <c r="W234" s="66" t="n"/>
      <c r="X234" s="8" t="n"/>
      <c r="Y234" s="68">
        <f>IF($AN234="","",IF($AN234=0,$H234,IF($AN234=$AJ234,$AK234,$AL234)))</f>
        <v/>
      </c>
      <c r="Z234" s="68">
        <f>IF(OR($Y234="",NOT(ISNUMBER($K234))),"",IF($L234="日前",$Y234-$K234,EDATE($Y234,-$K234)))</f>
        <v/>
      </c>
      <c r="AA234" s="68">
        <f>IF(OR($Y234="",ISNUMBER($V234),N($Y234)&lt;'設定'!$B$6),"",IF($Z234&lt;&gt;"",$Z234,$Y234))</f>
        <v/>
      </c>
      <c r="AB234" s="69">
        <f>IF($AA234="","",$AA234-'設定'!$B$6)</f>
        <v/>
      </c>
      <c r="AC234" s="28">
        <f>IF(NOT(OR($B234&lt;&gt;"",$C234&lt;&gt;"")),"",IF(ISNUMBER($V234),IF($V234&lt;'設定'!$B$6,"終了","終了予定"),IF($Y234="","有効",IF($Y234&lt;'設定'!$B$6,"満了",IF(AND($T234="更新する",ISNUMBER($U234),N($U234)&lt;='設定'!$B$6,OR($AO234="",N($U234)&gt;N($AO234))),"確認済み",IF($AB234&lt;0,"通知期限切れ",IF($AB234&lt;=N('設定'!$B$7),"要対応","有効")))))))</f>
        <v/>
      </c>
      <c r="AD234" s="68">
        <f>IF(OR(NOT(ISNUMBER($M234)),$AC234="",$AC234="終了",$AC234="終了予定",$AC234="満了"),"",IF($N234="日前",'設定'!$B$6+$M234,EDATE('設定'!$B$6,$M234)))</f>
        <v/>
      </c>
      <c r="AE234" s="70">
        <f>IF(NOT(ISNUMBER($O234)),"",IF($P234="月額",$O234*12,IF($P234="年額",$O234,"")))</f>
        <v/>
      </c>
      <c r="AF234" s="30">
        <f>MID(IF(AND(ISNUMBER($G234),ISNUMBER($H234)),IF(N($H234)&lt;N($G234)," / 満了日が開始日より前",""),"")&amp;IF(AND($I234="あり",NOT(ISNUMBER($H234)))," / 自動更新ありなのに満了日が空","")&amp;IF(AND($I234="あり",ISNUMBER($H234),NOT(ISNUMBER($J234)))," / 更新期間が空（更新を計算できない）","")&amp;IF($AH234="","",IF(AND(DAY($AH234)&gt;=29,OR(MOD($J234,12)&lt;&gt;0,MONTH($AH234)=2))," / 更新の初日が29〜31日（更新を重ねると満了日が1日ずれることがある。満了日を今の期間の満了日に書き換えると直る）",""))&amp;IF(AND(ISNUMBER($K234),$L234="")," / 通知の単位が空（か月前で計算）","")&amp;IF(AND(ISNUMBER($M234),$N234="")," / 解約予告の単位が空（か月前で計算）","")&amp;IF(AND(ISNUMBER($O234),$P234="")," / 金額の区分が空","")&amp;IF(AND($T234&lt;&gt;"",NOT(ISNUMBER($U234)))," / 対応を決めた日が空","")&amp;IF(AND(ISNUMBER($U234),$T234="")," / 今期の対応が空","")&amp;IF(AND($T234="更新しない",NOT(ISNUMBER($V234)))," / 更新しないなら、解約・終了した日（契約が終わる日）を入れる",""),4,300)</f>
        <v/>
      </c>
      <c r="AG234" s="53" t="n"/>
      <c r="AH234" s="71">
        <f>IF(AND(ISNUMBER($H234),$I234="あり",ISNUMBER($J234)),IF($J234&gt;=1,$H234+1,""),"")</f>
        <v/>
      </c>
      <c r="AI234" s="32">
        <f>IF($AH234="","",(YEAR('設定'!$B$6)-YEAR($AH234))*12+MONTH('設定'!$B$6)-MONTH($AH234))</f>
        <v/>
      </c>
      <c r="AJ234" s="32">
        <f>IF($AH234="","",MAX(1,ROUNDUP($AI234/$J234,0)))</f>
        <v/>
      </c>
      <c r="AK234" s="71">
        <f>IF($AJ234="","",IF(DAY(EDATE($AH234,$AJ234*$J234))&lt;DAY($AH234),EDATE($AH234,$AJ234*$J234),EDATE($AH234,$AJ234*$J234)-1))</f>
        <v/>
      </c>
      <c r="AL234" s="71">
        <f>IF($AJ234="","",IF(DAY(EDATE($AH234,($AJ234+1)*$J234))&lt;DAY($AH234),EDATE($AH234,($AJ234+1)*$J234),EDATE($AH234,($AJ234+1)*$J234)-1))</f>
        <v/>
      </c>
      <c r="AM234" s="71">
        <f>IF($AJ234="","",IF($AJ234=1,$H234,IF(DAY(EDATE($AH234,($AJ234-1)*$J234))&lt;DAY($AH234),EDATE($AH234,($AJ234-1)*$J234),EDATE($AH234,($AJ234-1)*$J234)-1)))</f>
        <v/>
      </c>
      <c r="AN234" s="32">
        <f>IF(NOT(ISNUMBER($H234)),"",IF(OR($AH234="",$H234&gt;='設定'!$B$6),0,IF($AK234&gt;='設定'!$B$6,$AJ234,$AJ234+1)))</f>
        <v/>
      </c>
      <c r="AO234" s="71">
        <f>IF($AN234="","",IF($AN234=0,"",IF($AN234=$AJ234,$AM234,$AK234)))</f>
        <v/>
      </c>
      <c r="AP234" s="32">
        <f>IF(OR($AC234="要対応",$AC234="通知期限切れ",$AC234="確認済み",$AC234="有効",$AC234="終了予定"),1,0)</f>
        <v/>
      </c>
      <c r="AQ234" s="32">
        <f>IF(OR($AC234="要対応",$AC234="通知期限切れ"),1,0)</f>
        <v/>
      </c>
      <c r="AR234" s="72">
        <f>IF(AND(ISNUMBER($AB234),OR($AC234="要対応",$AC234="通知期限切れ",$AC234="確認済み",$AC234="有効")),$AB234+ROW()/100000,"")</f>
        <v/>
      </c>
      <c r="AS234" s="32">
        <f>IF($E234="","",IF(COUNTIF($E$5:$E234,$E234)=1,ROW(),""))</f>
        <v/>
      </c>
      <c r="AT234" s="32">
        <f>IF($S234="","",IF(COUNTIF($S$5:$S234,$S234)=1,ROW(),""))</f>
        <v/>
      </c>
    </row>
    <row r="235" ht="20" customHeight="1">
      <c r="A235" s="20" t="n">
        <v>231</v>
      </c>
      <c r="B235" s="21" t="n"/>
      <c r="C235" s="22" t="n"/>
      <c r="D235" s="22" t="n"/>
      <c r="E235" s="22" t="n"/>
      <c r="F235" s="66" t="n"/>
      <c r="G235" s="66" t="n"/>
      <c r="H235" s="66" t="n"/>
      <c r="I235" s="21" t="n"/>
      <c r="J235" s="24" t="n"/>
      <c r="K235" s="24" t="n"/>
      <c r="L235" s="21" t="n"/>
      <c r="M235" s="24" t="n"/>
      <c r="N235" s="21" t="n"/>
      <c r="O235" s="67" t="n"/>
      <c r="P235" s="21" t="n"/>
      <c r="Q235" s="21" t="n"/>
      <c r="R235" s="22" t="n"/>
      <c r="S235" s="22" t="n"/>
      <c r="T235" s="21" t="n"/>
      <c r="U235" s="66" t="n"/>
      <c r="V235" s="66" t="n"/>
      <c r="W235" s="66" t="n"/>
      <c r="X235" s="8" t="n"/>
      <c r="Y235" s="68">
        <f>IF($AN235="","",IF($AN235=0,$H235,IF($AN235=$AJ235,$AK235,$AL235)))</f>
        <v/>
      </c>
      <c r="Z235" s="68">
        <f>IF(OR($Y235="",NOT(ISNUMBER($K235))),"",IF($L235="日前",$Y235-$K235,EDATE($Y235,-$K235)))</f>
        <v/>
      </c>
      <c r="AA235" s="68">
        <f>IF(OR($Y235="",ISNUMBER($V235),N($Y235)&lt;'設定'!$B$6),"",IF($Z235&lt;&gt;"",$Z235,$Y235))</f>
        <v/>
      </c>
      <c r="AB235" s="69">
        <f>IF($AA235="","",$AA235-'設定'!$B$6)</f>
        <v/>
      </c>
      <c r="AC235" s="28">
        <f>IF(NOT(OR($B235&lt;&gt;"",$C235&lt;&gt;"")),"",IF(ISNUMBER($V235),IF($V235&lt;'設定'!$B$6,"終了","終了予定"),IF($Y235="","有効",IF($Y235&lt;'設定'!$B$6,"満了",IF(AND($T235="更新する",ISNUMBER($U235),N($U235)&lt;='設定'!$B$6,OR($AO235="",N($U235)&gt;N($AO235))),"確認済み",IF($AB235&lt;0,"通知期限切れ",IF($AB235&lt;=N('設定'!$B$7),"要対応","有効")))))))</f>
        <v/>
      </c>
      <c r="AD235" s="68">
        <f>IF(OR(NOT(ISNUMBER($M235)),$AC235="",$AC235="終了",$AC235="終了予定",$AC235="満了"),"",IF($N235="日前",'設定'!$B$6+$M235,EDATE('設定'!$B$6,$M235)))</f>
        <v/>
      </c>
      <c r="AE235" s="70">
        <f>IF(NOT(ISNUMBER($O235)),"",IF($P235="月額",$O235*12,IF($P235="年額",$O235,"")))</f>
        <v/>
      </c>
      <c r="AF235" s="30">
        <f>MID(IF(AND(ISNUMBER($G235),ISNUMBER($H235)),IF(N($H235)&lt;N($G235)," / 満了日が開始日より前",""),"")&amp;IF(AND($I235="あり",NOT(ISNUMBER($H235)))," / 自動更新ありなのに満了日が空","")&amp;IF(AND($I235="あり",ISNUMBER($H235),NOT(ISNUMBER($J235)))," / 更新期間が空（更新を計算できない）","")&amp;IF($AH235="","",IF(AND(DAY($AH235)&gt;=29,OR(MOD($J235,12)&lt;&gt;0,MONTH($AH235)=2))," / 更新の初日が29〜31日（更新を重ねると満了日が1日ずれることがある。満了日を今の期間の満了日に書き換えると直る）",""))&amp;IF(AND(ISNUMBER($K235),$L235="")," / 通知の単位が空（か月前で計算）","")&amp;IF(AND(ISNUMBER($M235),$N235="")," / 解約予告の単位が空（か月前で計算）","")&amp;IF(AND(ISNUMBER($O235),$P235="")," / 金額の区分が空","")&amp;IF(AND($T235&lt;&gt;"",NOT(ISNUMBER($U235)))," / 対応を決めた日が空","")&amp;IF(AND(ISNUMBER($U235),$T235="")," / 今期の対応が空","")&amp;IF(AND($T235="更新しない",NOT(ISNUMBER($V235)))," / 更新しないなら、解約・終了した日（契約が終わる日）を入れる",""),4,300)</f>
        <v/>
      </c>
      <c r="AG235" s="53" t="n"/>
      <c r="AH235" s="71">
        <f>IF(AND(ISNUMBER($H235),$I235="あり",ISNUMBER($J235)),IF($J235&gt;=1,$H235+1,""),"")</f>
        <v/>
      </c>
      <c r="AI235" s="32">
        <f>IF($AH235="","",(YEAR('設定'!$B$6)-YEAR($AH235))*12+MONTH('設定'!$B$6)-MONTH($AH235))</f>
        <v/>
      </c>
      <c r="AJ235" s="32">
        <f>IF($AH235="","",MAX(1,ROUNDUP($AI235/$J235,0)))</f>
        <v/>
      </c>
      <c r="AK235" s="71">
        <f>IF($AJ235="","",IF(DAY(EDATE($AH235,$AJ235*$J235))&lt;DAY($AH235),EDATE($AH235,$AJ235*$J235),EDATE($AH235,$AJ235*$J235)-1))</f>
        <v/>
      </c>
      <c r="AL235" s="71">
        <f>IF($AJ235="","",IF(DAY(EDATE($AH235,($AJ235+1)*$J235))&lt;DAY($AH235),EDATE($AH235,($AJ235+1)*$J235),EDATE($AH235,($AJ235+1)*$J235)-1))</f>
        <v/>
      </c>
      <c r="AM235" s="71">
        <f>IF($AJ235="","",IF($AJ235=1,$H235,IF(DAY(EDATE($AH235,($AJ235-1)*$J235))&lt;DAY($AH235),EDATE($AH235,($AJ235-1)*$J235),EDATE($AH235,($AJ235-1)*$J235)-1)))</f>
        <v/>
      </c>
      <c r="AN235" s="32">
        <f>IF(NOT(ISNUMBER($H235)),"",IF(OR($AH235="",$H235&gt;='設定'!$B$6),0,IF($AK235&gt;='設定'!$B$6,$AJ235,$AJ235+1)))</f>
        <v/>
      </c>
      <c r="AO235" s="71">
        <f>IF($AN235="","",IF($AN235=0,"",IF($AN235=$AJ235,$AM235,$AK235)))</f>
        <v/>
      </c>
      <c r="AP235" s="32">
        <f>IF(OR($AC235="要対応",$AC235="通知期限切れ",$AC235="確認済み",$AC235="有効",$AC235="終了予定"),1,0)</f>
        <v/>
      </c>
      <c r="AQ235" s="32">
        <f>IF(OR($AC235="要対応",$AC235="通知期限切れ"),1,0)</f>
        <v/>
      </c>
      <c r="AR235" s="72">
        <f>IF(AND(ISNUMBER($AB235),OR($AC235="要対応",$AC235="通知期限切れ",$AC235="確認済み",$AC235="有効")),$AB235+ROW()/100000,"")</f>
        <v/>
      </c>
      <c r="AS235" s="32">
        <f>IF($E235="","",IF(COUNTIF($E$5:$E235,$E235)=1,ROW(),""))</f>
        <v/>
      </c>
      <c r="AT235" s="32">
        <f>IF($S235="","",IF(COUNTIF($S$5:$S235,$S235)=1,ROW(),""))</f>
        <v/>
      </c>
    </row>
    <row r="236" ht="20" customHeight="1">
      <c r="A236" s="20" t="n">
        <v>232</v>
      </c>
      <c r="B236" s="21" t="n"/>
      <c r="C236" s="22" t="n"/>
      <c r="D236" s="22" t="n"/>
      <c r="E236" s="22" t="n"/>
      <c r="F236" s="66" t="n"/>
      <c r="G236" s="66" t="n"/>
      <c r="H236" s="66" t="n"/>
      <c r="I236" s="21" t="n"/>
      <c r="J236" s="24" t="n"/>
      <c r="K236" s="24" t="n"/>
      <c r="L236" s="21" t="n"/>
      <c r="M236" s="24" t="n"/>
      <c r="N236" s="21" t="n"/>
      <c r="O236" s="67" t="n"/>
      <c r="P236" s="21" t="n"/>
      <c r="Q236" s="21" t="n"/>
      <c r="R236" s="22" t="n"/>
      <c r="S236" s="22" t="n"/>
      <c r="T236" s="21" t="n"/>
      <c r="U236" s="66" t="n"/>
      <c r="V236" s="66" t="n"/>
      <c r="W236" s="66" t="n"/>
      <c r="X236" s="8" t="n"/>
      <c r="Y236" s="68">
        <f>IF($AN236="","",IF($AN236=0,$H236,IF($AN236=$AJ236,$AK236,$AL236)))</f>
        <v/>
      </c>
      <c r="Z236" s="68">
        <f>IF(OR($Y236="",NOT(ISNUMBER($K236))),"",IF($L236="日前",$Y236-$K236,EDATE($Y236,-$K236)))</f>
        <v/>
      </c>
      <c r="AA236" s="68">
        <f>IF(OR($Y236="",ISNUMBER($V236),N($Y236)&lt;'設定'!$B$6),"",IF($Z236&lt;&gt;"",$Z236,$Y236))</f>
        <v/>
      </c>
      <c r="AB236" s="69">
        <f>IF($AA236="","",$AA236-'設定'!$B$6)</f>
        <v/>
      </c>
      <c r="AC236" s="28">
        <f>IF(NOT(OR($B236&lt;&gt;"",$C236&lt;&gt;"")),"",IF(ISNUMBER($V236),IF($V236&lt;'設定'!$B$6,"終了","終了予定"),IF($Y236="","有効",IF($Y236&lt;'設定'!$B$6,"満了",IF(AND($T236="更新する",ISNUMBER($U236),N($U236)&lt;='設定'!$B$6,OR($AO236="",N($U236)&gt;N($AO236))),"確認済み",IF($AB236&lt;0,"通知期限切れ",IF($AB236&lt;=N('設定'!$B$7),"要対応","有効")))))))</f>
        <v/>
      </c>
      <c r="AD236" s="68">
        <f>IF(OR(NOT(ISNUMBER($M236)),$AC236="",$AC236="終了",$AC236="終了予定",$AC236="満了"),"",IF($N236="日前",'設定'!$B$6+$M236,EDATE('設定'!$B$6,$M236)))</f>
        <v/>
      </c>
      <c r="AE236" s="70">
        <f>IF(NOT(ISNUMBER($O236)),"",IF($P236="月額",$O236*12,IF($P236="年額",$O236,"")))</f>
        <v/>
      </c>
      <c r="AF236" s="30">
        <f>MID(IF(AND(ISNUMBER($G236),ISNUMBER($H236)),IF(N($H236)&lt;N($G236)," / 満了日が開始日より前",""),"")&amp;IF(AND($I236="あり",NOT(ISNUMBER($H236)))," / 自動更新ありなのに満了日が空","")&amp;IF(AND($I236="あり",ISNUMBER($H236),NOT(ISNUMBER($J236)))," / 更新期間が空（更新を計算できない）","")&amp;IF($AH236="","",IF(AND(DAY($AH236)&gt;=29,OR(MOD($J236,12)&lt;&gt;0,MONTH($AH236)=2))," / 更新の初日が29〜31日（更新を重ねると満了日が1日ずれることがある。満了日を今の期間の満了日に書き換えると直る）",""))&amp;IF(AND(ISNUMBER($K236),$L236="")," / 通知の単位が空（か月前で計算）","")&amp;IF(AND(ISNUMBER($M236),$N236="")," / 解約予告の単位が空（か月前で計算）","")&amp;IF(AND(ISNUMBER($O236),$P236="")," / 金額の区分が空","")&amp;IF(AND($T236&lt;&gt;"",NOT(ISNUMBER($U236)))," / 対応を決めた日が空","")&amp;IF(AND(ISNUMBER($U236),$T236="")," / 今期の対応が空","")&amp;IF(AND($T236="更新しない",NOT(ISNUMBER($V236)))," / 更新しないなら、解約・終了した日（契約が終わる日）を入れる",""),4,300)</f>
        <v/>
      </c>
      <c r="AG236" s="53" t="n"/>
      <c r="AH236" s="71">
        <f>IF(AND(ISNUMBER($H236),$I236="あり",ISNUMBER($J236)),IF($J236&gt;=1,$H236+1,""),"")</f>
        <v/>
      </c>
      <c r="AI236" s="32">
        <f>IF($AH236="","",(YEAR('設定'!$B$6)-YEAR($AH236))*12+MONTH('設定'!$B$6)-MONTH($AH236))</f>
        <v/>
      </c>
      <c r="AJ236" s="32">
        <f>IF($AH236="","",MAX(1,ROUNDUP($AI236/$J236,0)))</f>
        <v/>
      </c>
      <c r="AK236" s="71">
        <f>IF($AJ236="","",IF(DAY(EDATE($AH236,$AJ236*$J236))&lt;DAY($AH236),EDATE($AH236,$AJ236*$J236),EDATE($AH236,$AJ236*$J236)-1))</f>
        <v/>
      </c>
      <c r="AL236" s="71">
        <f>IF($AJ236="","",IF(DAY(EDATE($AH236,($AJ236+1)*$J236))&lt;DAY($AH236),EDATE($AH236,($AJ236+1)*$J236),EDATE($AH236,($AJ236+1)*$J236)-1))</f>
        <v/>
      </c>
      <c r="AM236" s="71">
        <f>IF($AJ236="","",IF($AJ236=1,$H236,IF(DAY(EDATE($AH236,($AJ236-1)*$J236))&lt;DAY($AH236),EDATE($AH236,($AJ236-1)*$J236),EDATE($AH236,($AJ236-1)*$J236)-1)))</f>
        <v/>
      </c>
      <c r="AN236" s="32">
        <f>IF(NOT(ISNUMBER($H236)),"",IF(OR($AH236="",$H236&gt;='設定'!$B$6),0,IF($AK236&gt;='設定'!$B$6,$AJ236,$AJ236+1)))</f>
        <v/>
      </c>
      <c r="AO236" s="71">
        <f>IF($AN236="","",IF($AN236=0,"",IF($AN236=$AJ236,$AM236,$AK236)))</f>
        <v/>
      </c>
      <c r="AP236" s="32">
        <f>IF(OR($AC236="要対応",$AC236="通知期限切れ",$AC236="確認済み",$AC236="有効",$AC236="終了予定"),1,0)</f>
        <v/>
      </c>
      <c r="AQ236" s="32">
        <f>IF(OR($AC236="要対応",$AC236="通知期限切れ"),1,0)</f>
        <v/>
      </c>
      <c r="AR236" s="72">
        <f>IF(AND(ISNUMBER($AB236),OR($AC236="要対応",$AC236="通知期限切れ",$AC236="確認済み",$AC236="有効")),$AB236+ROW()/100000,"")</f>
        <v/>
      </c>
      <c r="AS236" s="32">
        <f>IF($E236="","",IF(COUNTIF($E$5:$E236,$E236)=1,ROW(),""))</f>
        <v/>
      </c>
      <c r="AT236" s="32">
        <f>IF($S236="","",IF(COUNTIF($S$5:$S236,$S236)=1,ROW(),""))</f>
        <v/>
      </c>
    </row>
    <row r="237" ht="20" customHeight="1">
      <c r="A237" s="20" t="n">
        <v>233</v>
      </c>
      <c r="B237" s="21" t="n"/>
      <c r="C237" s="22" t="n"/>
      <c r="D237" s="22" t="n"/>
      <c r="E237" s="22" t="n"/>
      <c r="F237" s="66" t="n"/>
      <c r="G237" s="66" t="n"/>
      <c r="H237" s="66" t="n"/>
      <c r="I237" s="21" t="n"/>
      <c r="J237" s="24" t="n"/>
      <c r="K237" s="24" t="n"/>
      <c r="L237" s="21" t="n"/>
      <c r="M237" s="24" t="n"/>
      <c r="N237" s="21" t="n"/>
      <c r="O237" s="67" t="n"/>
      <c r="P237" s="21" t="n"/>
      <c r="Q237" s="21" t="n"/>
      <c r="R237" s="22" t="n"/>
      <c r="S237" s="22" t="n"/>
      <c r="T237" s="21" t="n"/>
      <c r="U237" s="66" t="n"/>
      <c r="V237" s="66" t="n"/>
      <c r="W237" s="66" t="n"/>
      <c r="X237" s="8" t="n"/>
      <c r="Y237" s="68">
        <f>IF($AN237="","",IF($AN237=0,$H237,IF($AN237=$AJ237,$AK237,$AL237)))</f>
        <v/>
      </c>
      <c r="Z237" s="68">
        <f>IF(OR($Y237="",NOT(ISNUMBER($K237))),"",IF($L237="日前",$Y237-$K237,EDATE($Y237,-$K237)))</f>
        <v/>
      </c>
      <c r="AA237" s="68">
        <f>IF(OR($Y237="",ISNUMBER($V237),N($Y237)&lt;'設定'!$B$6),"",IF($Z237&lt;&gt;"",$Z237,$Y237))</f>
        <v/>
      </c>
      <c r="AB237" s="69">
        <f>IF($AA237="","",$AA237-'設定'!$B$6)</f>
        <v/>
      </c>
      <c r="AC237" s="28">
        <f>IF(NOT(OR($B237&lt;&gt;"",$C237&lt;&gt;"")),"",IF(ISNUMBER($V237),IF($V237&lt;'設定'!$B$6,"終了","終了予定"),IF($Y237="","有効",IF($Y237&lt;'設定'!$B$6,"満了",IF(AND($T237="更新する",ISNUMBER($U237),N($U237)&lt;='設定'!$B$6,OR($AO237="",N($U237)&gt;N($AO237))),"確認済み",IF($AB237&lt;0,"通知期限切れ",IF($AB237&lt;=N('設定'!$B$7),"要対応","有効")))))))</f>
        <v/>
      </c>
      <c r="AD237" s="68">
        <f>IF(OR(NOT(ISNUMBER($M237)),$AC237="",$AC237="終了",$AC237="終了予定",$AC237="満了"),"",IF($N237="日前",'設定'!$B$6+$M237,EDATE('設定'!$B$6,$M237)))</f>
        <v/>
      </c>
      <c r="AE237" s="70">
        <f>IF(NOT(ISNUMBER($O237)),"",IF($P237="月額",$O237*12,IF($P237="年額",$O237,"")))</f>
        <v/>
      </c>
      <c r="AF237" s="30">
        <f>MID(IF(AND(ISNUMBER($G237),ISNUMBER($H237)),IF(N($H237)&lt;N($G237)," / 満了日が開始日より前",""),"")&amp;IF(AND($I237="あり",NOT(ISNUMBER($H237)))," / 自動更新ありなのに満了日が空","")&amp;IF(AND($I237="あり",ISNUMBER($H237),NOT(ISNUMBER($J237)))," / 更新期間が空（更新を計算できない）","")&amp;IF($AH237="","",IF(AND(DAY($AH237)&gt;=29,OR(MOD($J237,12)&lt;&gt;0,MONTH($AH237)=2))," / 更新の初日が29〜31日（更新を重ねると満了日が1日ずれることがある。満了日を今の期間の満了日に書き換えると直る）",""))&amp;IF(AND(ISNUMBER($K237),$L237="")," / 通知の単位が空（か月前で計算）","")&amp;IF(AND(ISNUMBER($M237),$N237="")," / 解約予告の単位が空（か月前で計算）","")&amp;IF(AND(ISNUMBER($O237),$P237="")," / 金額の区分が空","")&amp;IF(AND($T237&lt;&gt;"",NOT(ISNUMBER($U237)))," / 対応を決めた日が空","")&amp;IF(AND(ISNUMBER($U237),$T237="")," / 今期の対応が空","")&amp;IF(AND($T237="更新しない",NOT(ISNUMBER($V237)))," / 更新しないなら、解約・終了した日（契約が終わる日）を入れる",""),4,300)</f>
        <v/>
      </c>
      <c r="AG237" s="53" t="n"/>
      <c r="AH237" s="71">
        <f>IF(AND(ISNUMBER($H237),$I237="あり",ISNUMBER($J237)),IF($J237&gt;=1,$H237+1,""),"")</f>
        <v/>
      </c>
      <c r="AI237" s="32">
        <f>IF($AH237="","",(YEAR('設定'!$B$6)-YEAR($AH237))*12+MONTH('設定'!$B$6)-MONTH($AH237))</f>
        <v/>
      </c>
      <c r="AJ237" s="32">
        <f>IF($AH237="","",MAX(1,ROUNDUP($AI237/$J237,0)))</f>
        <v/>
      </c>
      <c r="AK237" s="71">
        <f>IF($AJ237="","",IF(DAY(EDATE($AH237,$AJ237*$J237))&lt;DAY($AH237),EDATE($AH237,$AJ237*$J237),EDATE($AH237,$AJ237*$J237)-1))</f>
        <v/>
      </c>
      <c r="AL237" s="71">
        <f>IF($AJ237="","",IF(DAY(EDATE($AH237,($AJ237+1)*$J237))&lt;DAY($AH237),EDATE($AH237,($AJ237+1)*$J237),EDATE($AH237,($AJ237+1)*$J237)-1))</f>
        <v/>
      </c>
      <c r="AM237" s="71">
        <f>IF($AJ237="","",IF($AJ237=1,$H237,IF(DAY(EDATE($AH237,($AJ237-1)*$J237))&lt;DAY($AH237),EDATE($AH237,($AJ237-1)*$J237),EDATE($AH237,($AJ237-1)*$J237)-1)))</f>
        <v/>
      </c>
      <c r="AN237" s="32">
        <f>IF(NOT(ISNUMBER($H237)),"",IF(OR($AH237="",$H237&gt;='設定'!$B$6),0,IF($AK237&gt;='設定'!$B$6,$AJ237,$AJ237+1)))</f>
        <v/>
      </c>
      <c r="AO237" s="71">
        <f>IF($AN237="","",IF($AN237=0,"",IF($AN237=$AJ237,$AM237,$AK237)))</f>
        <v/>
      </c>
      <c r="AP237" s="32">
        <f>IF(OR($AC237="要対応",$AC237="通知期限切れ",$AC237="確認済み",$AC237="有効",$AC237="終了予定"),1,0)</f>
        <v/>
      </c>
      <c r="AQ237" s="32">
        <f>IF(OR($AC237="要対応",$AC237="通知期限切れ"),1,0)</f>
        <v/>
      </c>
      <c r="AR237" s="72">
        <f>IF(AND(ISNUMBER($AB237),OR($AC237="要対応",$AC237="通知期限切れ",$AC237="確認済み",$AC237="有効")),$AB237+ROW()/100000,"")</f>
        <v/>
      </c>
      <c r="AS237" s="32">
        <f>IF($E237="","",IF(COUNTIF($E$5:$E237,$E237)=1,ROW(),""))</f>
        <v/>
      </c>
      <c r="AT237" s="32">
        <f>IF($S237="","",IF(COUNTIF($S$5:$S237,$S237)=1,ROW(),""))</f>
        <v/>
      </c>
    </row>
    <row r="238" ht="20" customHeight="1">
      <c r="A238" s="20" t="n">
        <v>234</v>
      </c>
      <c r="B238" s="21" t="n"/>
      <c r="C238" s="22" t="n"/>
      <c r="D238" s="22" t="n"/>
      <c r="E238" s="22" t="n"/>
      <c r="F238" s="66" t="n"/>
      <c r="G238" s="66" t="n"/>
      <c r="H238" s="66" t="n"/>
      <c r="I238" s="21" t="n"/>
      <c r="J238" s="24" t="n"/>
      <c r="K238" s="24" t="n"/>
      <c r="L238" s="21" t="n"/>
      <c r="M238" s="24" t="n"/>
      <c r="N238" s="21" t="n"/>
      <c r="O238" s="67" t="n"/>
      <c r="P238" s="21" t="n"/>
      <c r="Q238" s="21" t="n"/>
      <c r="R238" s="22" t="n"/>
      <c r="S238" s="22" t="n"/>
      <c r="T238" s="21" t="n"/>
      <c r="U238" s="66" t="n"/>
      <c r="V238" s="66" t="n"/>
      <c r="W238" s="66" t="n"/>
      <c r="X238" s="8" t="n"/>
      <c r="Y238" s="68">
        <f>IF($AN238="","",IF($AN238=0,$H238,IF($AN238=$AJ238,$AK238,$AL238)))</f>
        <v/>
      </c>
      <c r="Z238" s="68">
        <f>IF(OR($Y238="",NOT(ISNUMBER($K238))),"",IF($L238="日前",$Y238-$K238,EDATE($Y238,-$K238)))</f>
        <v/>
      </c>
      <c r="AA238" s="68">
        <f>IF(OR($Y238="",ISNUMBER($V238),N($Y238)&lt;'設定'!$B$6),"",IF($Z238&lt;&gt;"",$Z238,$Y238))</f>
        <v/>
      </c>
      <c r="AB238" s="69">
        <f>IF($AA238="","",$AA238-'設定'!$B$6)</f>
        <v/>
      </c>
      <c r="AC238" s="28">
        <f>IF(NOT(OR($B238&lt;&gt;"",$C238&lt;&gt;"")),"",IF(ISNUMBER($V238),IF($V238&lt;'設定'!$B$6,"終了","終了予定"),IF($Y238="","有効",IF($Y238&lt;'設定'!$B$6,"満了",IF(AND($T238="更新する",ISNUMBER($U238),N($U238)&lt;='設定'!$B$6,OR($AO238="",N($U238)&gt;N($AO238))),"確認済み",IF($AB238&lt;0,"通知期限切れ",IF($AB238&lt;=N('設定'!$B$7),"要対応","有効")))))))</f>
        <v/>
      </c>
      <c r="AD238" s="68">
        <f>IF(OR(NOT(ISNUMBER($M238)),$AC238="",$AC238="終了",$AC238="終了予定",$AC238="満了"),"",IF($N238="日前",'設定'!$B$6+$M238,EDATE('設定'!$B$6,$M238)))</f>
        <v/>
      </c>
      <c r="AE238" s="70">
        <f>IF(NOT(ISNUMBER($O238)),"",IF($P238="月額",$O238*12,IF($P238="年額",$O238,"")))</f>
        <v/>
      </c>
      <c r="AF238" s="30">
        <f>MID(IF(AND(ISNUMBER($G238),ISNUMBER($H238)),IF(N($H238)&lt;N($G238)," / 満了日が開始日より前",""),"")&amp;IF(AND($I238="あり",NOT(ISNUMBER($H238)))," / 自動更新ありなのに満了日が空","")&amp;IF(AND($I238="あり",ISNUMBER($H238),NOT(ISNUMBER($J238)))," / 更新期間が空（更新を計算できない）","")&amp;IF($AH238="","",IF(AND(DAY($AH238)&gt;=29,OR(MOD($J238,12)&lt;&gt;0,MONTH($AH238)=2))," / 更新の初日が29〜31日（更新を重ねると満了日が1日ずれることがある。満了日を今の期間の満了日に書き換えると直る）",""))&amp;IF(AND(ISNUMBER($K238),$L238="")," / 通知の単位が空（か月前で計算）","")&amp;IF(AND(ISNUMBER($M238),$N238="")," / 解約予告の単位が空（か月前で計算）","")&amp;IF(AND(ISNUMBER($O238),$P238="")," / 金額の区分が空","")&amp;IF(AND($T238&lt;&gt;"",NOT(ISNUMBER($U238)))," / 対応を決めた日が空","")&amp;IF(AND(ISNUMBER($U238),$T238="")," / 今期の対応が空","")&amp;IF(AND($T238="更新しない",NOT(ISNUMBER($V238)))," / 更新しないなら、解約・終了した日（契約が終わる日）を入れる",""),4,300)</f>
        <v/>
      </c>
      <c r="AG238" s="53" t="n"/>
      <c r="AH238" s="71">
        <f>IF(AND(ISNUMBER($H238),$I238="あり",ISNUMBER($J238)),IF($J238&gt;=1,$H238+1,""),"")</f>
        <v/>
      </c>
      <c r="AI238" s="32">
        <f>IF($AH238="","",(YEAR('設定'!$B$6)-YEAR($AH238))*12+MONTH('設定'!$B$6)-MONTH($AH238))</f>
        <v/>
      </c>
      <c r="AJ238" s="32">
        <f>IF($AH238="","",MAX(1,ROUNDUP($AI238/$J238,0)))</f>
        <v/>
      </c>
      <c r="AK238" s="71">
        <f>IF($AJ238="","",IF(DAY(EDATE($AH238,$AJ238*$J238))&lt;DAY($AH238),EDATE($AH238,$AJ238*$J238),EDATE($AH238,$AJ238*$J238)-1))</f>
        <v/>
      </c>
      <c r="AL238" s="71">
        <f>IF($AJ238="","",IF(DAY(EDATE($AH238,($AJ238+1)*$J238))&lt;DAY($AH238),EDATE($AH238,($AJ238+1)*$J238),EDATE($AH238,($AJ238+1)*$J238)-1))</f>
        <v/>
      </c>
      <c r="AM238" s="71">
        <f>IF($AJ238="","",IF($AJ238=1,$H238,IF(DAY(EDATE($AH238,($AJ238-1)*$J238))&lt;DAY($AH238),EDATE($AH238,($AJ238-1)*$J238),EDATE($AH238,($AJ238-1)*$J238)-1)))</f>
        <v/>
      </c>
      <c r="AN238" s="32">
        <f>IF(NOT(ISNUMBER($H238)),"",IF(OR($AH238="",$H238&gt;='設定'!$B$6),0,IF($AK238&gt;='設定'!$B$6,$AJ238,$AJ238+1)))</f>
        <v/>
      </c>
      <c r="AO238" s="71">
        <f>IF($AN238="","",IF($AN238=0,"",IF($AN238=$AJ238,$AM238,$AK238)))</f>
        <v/>
      </c>
      <c r="AP238" s="32">
        <f>IF(OR($AC238="要対応",$AC238="通知期限切れ",$AC238="確認済み",$AC238="有効",$AC238="終了予定"),1,0)</f>
        <v/>
      </c>
      <c r="AQ238" s="32">
        <f>IF(OR($AC238="要対応",$AC238="通知期限切れ"),1,0)</f>
        <v/>
      </c>
      <c r="AR238" s="72">
        <f>IF(AND(ISNUMBER($AB238),OR($AC238="要対応",$AC238="通知期限切れ",$AC238="確認済み",$AC238="有効")),$AB238+ROW()/100000,"")</f>
        <v/>
      </c>
      <c r="AS238" s="32">
        <f>IF($E238="","",IF(COUNTIF($E$5:$E238,$E238)=1,ROW(),""))</f>
        <v/>
      </c>
      <c r="AT238" s="32">
        <f>IF($S238="","",IF(COUNTIF($S$5:$S238,$S238)=1,ROW(),""))</f>
        <v/>
      </c>
    </row>
    <row r="239" ht="20" customHeight="1">
      <c r="A239" s="20" t="n">
        <v>235</v>
      </c>
      <c r="B239" s="21" t="n"/>
      <c r="C239" s="22" t="n"/>
      <c r="D239" s="22" t="n"/>
      <c r="E239" s="22" t="n"/>
      <c r="F239" s="66" t="n"/>
      <c r="G239" s="66" t="n"/>
      <c r="H239" s="66" t="n"/>
      <c r="I239" s="21" t="n"/>
      <c r="J239" s="24" t="n"/>
      <c r="K239" s="24" t="n"/>
      <c r="L239" s="21" t="n"/>
      <c r="M239" s="24" t="n"/>
      <c r="N239" s="21" t="n"/>
      <c r="O239" s="67" t="n"/>
      <c r="P239" s="21" t="n"/>
      <c r="Q239" s="21" t="n"/>
      <c r="R239" s="22" t="n"/>
      <c r="S239" s="22" t="n"/>
      <c r="T239" s="21" t="n"/>
      <c r="U239" s="66" t="n"/>
      <c r="V239" s="66" t="n"/>
      <c r="W239" s="66" t="n"/>
      <c r="X239" s="8" t="n"/>
      <c r="Y239" s="68">
        <f>IF($AN239="","",IF($AN239=0,$H239,IF($AN239=$AJ239,$AK239,$AL239)))</f>
        <v/>
      </c>
      <c r="Z239" s="68">
        <f>IF(OR($Y239="",NOT(ISNUMBER($K239))),"",IF($L239="日前",$Y239-$K239,EDATE($Y239,-$K239)))</f>
        <v/>
      </c>
      <c r="AA239" s="68">
        <f>IF(OR($Y239="",ISNUMBER($V239),N($Y239)&lt;'設定'!$B$6),"",IF($Z239&lt;&gt;"",$Z239,$Y239))</f>
        <v/>
      </c>
      <c r="AB239" s="69">
        <f>IF($AA239="","",$AA239-'設定'!$B$6)</f>
        <v/>
      </c>
      <c r="AC239" s="28">
        <f>IF(NOT(OR($B239&lt;&gt;"",$C239&lt;&gt;"")),"",IF(ISNUMBER($V239),IF($V239&lt;'設定'!$B$6,"終了","終了予定"),IF($Y239="","有効",IF($Y239&lt;'設定'!$B$6,"満了",IF(AND($T239="更新する",ISNUMBER($U239),N($U239)&lt;='設定'!$B$6,OR($AO239="",N($U239)&gt;N($AO239))),"確認済み",IF($AB239&lt;0,"通知期限切れ",IF($AB239&lt;=N('設定'!$B$7),"要対応","有効")))))))</f>
        <v/>
      </c>
      <c r="AD239" s="68">
        <f>IF(OR(NOT(ISNUMBER($M239)),$AC239="",$AC239="終了",$AC239="終了予定",$AC239="満了"),"",IF($N239="日前",'設定'!$B$6+$M239,EDATE('設定'!$B$6,$M239)))</f>
        <v/>
      </c>
      <c r="AE239" s="70">
        <f>IF(NOT(ISNUMBER($O239)),"",IF($P239="月額",$O239*12,IF($P239="年額",$O239,"")))</f>
        <v/>
      </c>
      <c r="AF239" s="30">
        <f>MID(IF(AND(ISNUMBER($G239),ISNUMBER($H239)),IF(N($H239)&lt;N($G239)," / 満了日が開始日より前",""),"")&amp;IF(AND($I239="あり",NOT(ISNUMBER($H239)))," / 自動更新ありなのに満了日が空","")&amp;IF(AND($I239="あり",ISNUMBER($H239),NOT(ISNUMBER($J239)))," / 更新期間が空（更新を計算できない）","")&amp;IF($AH239="","",IF(AND(DAY($AH239)&gt;=29,OR(MOD($J239,12)&lt;&gt;0,MONTH($AH239)=2))," / 更新の初日が29〜31日（更新を重ねると満了日が1日ずれることがある。満了日を今の期間の満了日に書き換えると直る）",""))&amp;IF(AND(ISNUMBER($K239),$L239="")," / 通知の単位が空（か月前で計算）","")&amp;IF(AND(ISNUMBER($M239),$N239="")," / 解約予告の単位が空（か月前で計算）","")&amp;IF(AND(ISNUMBER($O239),$P239="")," / 金額の区分が空","")&amp;IF(AND($T239&lt;&gt;"",NOT(ISNUMBER($U239)))," / 対応を決めた日が空","")&amp;IF(AND(ISNUMBER($U239),$T239="")," / 今期の対応が空","")&amp;IF(AND($T239="更新しない",NOT(ISNUMBER($V239)))," / 更新しないなら、解約・終了した日（契約が終わる日）を入れる",""),4,300)</f>
        <v/>
      </c>
      <c r="AG239" s="53" t="n"/>
      <c r="AH239" s="71">
        <f>IF(AND(ISNUMBER($H239),$I239="あり",ISNUMBER($J239)),IF($J239&gt;=1,$H239+1,""),"")</f>
        <v/>
      </c>
      <c r="AI239" s="32">
        <f>IF($AH239="","",(YEAR('設定'!$B$6)-YEAR($AH239))*12+MONTH('設定'!$B$6)-MONTH($AH239))</f>
        <v/>
      </c>
      <c r="AJ239" s="32">
        <f>IF($AH239="","",MAX(1,ROUNDUP($AI239/$J239,0)))</f>
        <v/>
      </c>
      <c r="AK239" s="71">
        <f>IF($AJ239="","",IF(DAY(EDATE($AH239,$AJ239*$J239))&lt;DAY($AH239),EDATE($AH239,$AJ239*$J239),EDATE($AH239,$AJ239*$J239)-1))</f>
        <v/>
      </c>
      <c r="AL239" s="71">
        <f>IF($AJ239="","",IF(DAY(EDATE($AH239,($AJ239+1)*$J239))&lt;DAY($AH239),EDATE($AH239,($AJ239+1)*$J239),EDATE($AH239,($AJ239+1)*$J239)-1))</f>
        <v/>
      </c>
      <c r="AM239" s="71">
        <f>IF($AJ239="","",IF($AJ239=1,$H239,IF(DAY(EDATE($AH239,($AJ239-1)*$J239))&lt;DAY($AH239),EDATE($AH239,($AJ239-1)*$J239),EDATE($AH239,($AJ239-1)*$J239)-1)))</f>
        <v/>
      </c>
      <c r="AN239" s="32">
        <f>IF(NOT(ISNUMBER($H239)),"",IF(OR($AH239="",$H239&gt;='設定'!$B$6),0,IF($AK239&gt;='設定'!$B$6,$AJ239,$AJ239+1)))</f>
        <v/>
      </c>
      <c r="AO239" s="71">
        <f>IF($AN239="","",IF($AN239=0,"",IF($AN239=$AJ239,$AM239,$AK239)))</f>
        <v/>
      </c>
      <c r="AP239" s="32">
        <f>IF(OR($AC239="要対応",$AC239="通知期限切れ",$AC239="確認済み",$AC239="有効",$AC239="終了予定"),1,0)</f>
        <v/>
      </c>
      <c r="AQ239" s="32">
        <f>IF(OR($AC239="要対応",$AC239="通知期限切れ"),1,0)</f>
        <v/>
      </c>
      <c r="AR239" s="72">
        <f>IF(AND(ISNUMBER($AB239),OR($AC239="要対応",$AC239="通知期限切れ",$AC239="確認済み",$AC239="有効")),$AB239+ROW()/100000,"")</f>
        <v/>
      </c>
      <c r="AS239" s="32">
        <f>IF($E239="","",IF(COUNTIF($E$5:$E239,$E239)=1,ROW(),""))</f>
        <v/>
      </c>
      <c r="AT239" s="32">
        <f>IF($S239="","",IF(COUNTIF($S$5:$S239,$S239)=1,ROW(),""))</f>
        <v/>
      </c>
    </row>
    <row r="240" ht="20" customHeight="1">
      <c r="A240" s="20" t="n">
        <v>236</v>
      </c>
      <c r="B240" s="21" t="n"/>
      <c r="C240" s="22" t="n"/>
      <c r="D240" s="22" t="n"/>
      <c r="E240" s="22" t="n"/>
      <c r="F240" s="66" t="n"/>
      <c r="G240" s="66" t="n"/>
      <c r="H240" s="66" t="n"/>
      <c r="I240" s="21" t="n"/>
      <c r="J240" s="24" t="n"/>
      <c r="K240" s="24" t="n"/>
      <c r="L240" s="21" t="n"/>
      <c r="M240" s="24" t="n"/>
      <c r="N240" s="21" t="n"/>
      <c r="O240" s="67" t="n"/>
      <c r="P240" s="21" t="n"/>
      <c r="Q240" s="21" t="n"/>
      <c r="R240" s="22" t="n"/>
      <c r="S240" s="22" t="n"/>
      <c r="T240" s="21" t="n"/>
      <c r="U240" s="66" t="n"/>
      <c r="V240" s="66" t="n"/>
      <c r="W240" s="66" t="n"/>
      <c r="X240" s="8" t="n"/>
      <c r="Y240" s="68">
        <f>IF($AN240="","",IF($AN240=0,$H240,IF($AN240=$AJ240,$AK240,$AL240)))</f>
        <v/>
      </c>
      <c r="Z240" s="68">
        <f>IF(OR($Y240="",NOT(ISNUMBER($K240))),"",IF($L240="日前",$Y240-$K240,EDATE($Y240,-$K240)))</f>
        <v/>
      </c>
      <c r="AA240" s="68">
        <f>IF(OR($Y240="",ISNUMBER($V240),N($Y240)&lt;'設定'!$B$6),"",IF($Z240&lt;&gt;"",$Z240,$Y240))</f>
        <v/>
      </c>
      <c r="AB240" s="69">
        <f>IF($AA240="","",$AA240-'設定'!$B$6)</f>
        <v/>
      </c>
      <c r="AC240" s="28">
        <f>IF(NOT(OR($B240&lt;&gt;"",$C240&lt;&gt;"")),"",IF(ISNUMBER($V240),IF($V240&lt;'設定'!$B$6,"終了","終了予定"),IF($Y240="","有効",IF($Y240&lt;'設定'!$B$6,"満了",IF(AND($T240="更新する",ISNUMBER($U240),N($U240)&lt;='設定'!$B$6,OR($AO240="",N($U240)&gt;N($AO240))),"確認済み",IF($AB240&lt;0,"通知期限切れ",IF($AB240&lt;=N('設定'!$B$7),"要対応","有効")))))))</f>
        <v/>
      </c>
      <c r="AD240" s="68">
        <f>IF(OR(NOT(ISNUMBER($M240)),$AC240="",$AC240="終了",$AC240="終了予定",$AC240="満了"),"",IF($N240="日前",'設定'!$B$6+$M240,EDATE('設定'!$B$6,$M240)))</f>
        <v/>
      </c>
      <c r="AE240" s="70">
        <f>IF(NOT(ISNUMBER($O240)),"",IF($P240="月額",$O240*12,IF($P240="年額",$O240,"")))</f>
        <v/>
      </c>
      <c r="AF240" s="30">
        <f>MID(IF(AND(ISNUMBER($G240),ISNUMBER($H240)),IF(N($H240)&lt;N($G240)," / 満了日が開始日より前",""),"")&amp;IF(AND($I240="あり",NOT(ISNUMBER($H240)))," / 自動更新ありなのに満了日が空","")&amp;IF(AND($I240="あり",ISNUMBER($H240),NOT(ISNUMBER($J240)))," / 更新期間が空（更新を計算できない）","")&amp;IF($AH240="","",IF(AND(DAY($AH240)&gt;=29,OR(MOD($J240,12)&lt;&gt;0,MONTH($AH240)=2))," / 更新の初日が29〜31日（更新を重ねると満了日が1日ずれることがある。満了日を今の期間の満了日に書き換えると直る）",""))&amp;IF(AND(ISNUMBER($K240),$L240="")," / 通知の単位が空（か月前で計算）","")&amp;IF(AND(ISNUMBER($M240),$N240="")," / 解約予告の単位が空（か月前で計算）","")&amp;IF(AND(ISNUMBER($O240),$P240="")," / 金額の区分が空","")&amp;IF(AND($T240&lt;&gt;"",NOT(ISNUMBER($U240)))," / 対応を決めた日が空","")&amp;IF(AND(ISNUMBER($U240),$T240="")," / 今期の対応が空","")&amp;IF(AND($T240="更新しない",NOT(ISNUMBER($V240)))," / 更新しないなら、解約・終了した日（契約が終わる日）を入れる",""),4,300)</f>
        <v/>
      </c>
      <c r="AG240" s="53" t="n"/>
      <c r="AH240" s="71">
        <f>IF(AND(ISNUMBER($H240),$I240="あり",ISNUMBER($J240)),IF($J240&gt;=1,$H240+1,""),"")</f>
        <v/>
      </c>
      <c r="AI240" s="32">
        <f>IF($AH240="","",(YEAR('設定'!$B$6)-YEAR($AH240))*12+MONTH('設定'!$B$6)-MONTH($AH240))</f>
        <v/>
      </c>
      <c r="AJ240" s="32">
        <f>IF($AH240="","",MAX(1,ROUNDUP($AI240/$J240,0)))</f>
        <v/>
      </c>
      <c r="AK240" s="71">
        <f>IF($AJ240="","",IF(DAY(EDATE($AH240,$AJ240*$J240))&lt;DAY($AH240),EDATE($AH240,$AJ240*$J240),EDATE($AH240,$AJ240*$J240)-1))</f>
        <v/>
      </c>
      <c r="AL240" s="71">
        <f>IF($AJ240="","",IF(DAY(EDATE($AH240,($AJ240+1)*$J240))&lt;DAY($AH240),EDATE($AH240,($AJ240+1)*$J240),EDATE($AH240,($AJ240+1)*$J240)-1))</f>
        <v/>
      </c>
      <c r="AM240" s="71">
        <f>IF($AJ240="","",IF($AJ240=1,$H240,IF(DAY(EDATE($AH240,($AJ240-1)*$J240))&lt;DAY($AH240),EDATE($AH240,($AJ240-1)*$J240),EDATE($AH240,($AJ240-1)*$J240)-1)))</f>
        <v/>
      </c>
      <c r="AN240" s="32">
        <f>IF(NOT(ISNUMBER($H240)),"",IF(OR($AH240="",$H240&gt;='設定'!$B$6),0,IF($AK240&gt;='設定'!$B$6,$AJ240,$AJ240+1)))</f>
        <v/>
      </c>
      <c r="AO240" s="71">
        <f>IF($AN240="","",IF($AN240=0,"",IF($AN240=$AJ240,$AM240,$AK240)))</f>
        <v/>
      </c>
      <c r="AP240" s="32">
        <f>IF(OR($AC240="要対応",$AC240="通知期限切れ",$AC240="確認済み",$AC240="有効",$AC240="終了予定"),1,0)</f>
        <v/>
      </c>
      <c r="AQ240" s="32">
        <f>IF(OR($AC240="要対応",$AC240="通知期限切れ"),1,0)</f>
        <v/>
      </c>
      <c r="AR240" s="72">
        <f>IF(AND(ISNUMBER($AB240),OR($AC240="要対応",$AC240="通知期限切れ",$AC240="確認済み",$AC240="有効")),$AB240+ROW()/100000,"")</f>
        <v/>
      </c>
      <c r="AS240" s="32">
        <f>IF($E240="","",IF(COUNTIF($E$5:$E240,$E240)=1,ROW(),""))</f>
        <v/>
      </c>
      <c r="AT240" s="32">
        <f>IF($S240="","",IF(COUNTIF($S$5:$S240,$S240)=1,ROW(),""))</f>
        <v/>
      </c>
    </row>
    <row r="241" ht="20" customHeight="1">
      <c r="A241" s="20" t="n">
        <v>237</v>
      </c>
      <c r="B241" s="21" t="n"/>
      <c r="C241" s="22" t="n"/>
      <c r="D241" s="22" t="n"/>
      <c r="E241" s="22" t="n"/>
      <c r="F241" s="66" t="n"/>
      <c r="G241" s="66" t="n"/>
      <c r="H241" s="66" t="n"/>
      <c r="I241" s="21" t="n"/>
      <c r="J241" s="24" t="n"/>
      <c r="K241" s="24" t="n"/>
      <c r="L241" s="21" t="n"/>
      <c r="M241" s="24" t="n"/>
      <c r="N241" s="21" t="n"/>
      <c r="O241" s="67" t="n"/>
      <c r="P241" s="21" t="n"/>
      <c r="Q241" s="21" t="n"/>
      <c r="R241" s="22" t="n"/>
      <c r="S241" s="22" t="n"/>
      <c r="T241" s="21" t="n"/>
      <c r="U241" s="66" t="n"/>
      <c r="V241" s="66" t="n"/>
      <c r="W241" s="66" t="n"/>
      <c r="X241" s="8" t="n"/>
      <c r="Y241" s="68">
        <f>IF($AN241="","",IF($AN241=0,$H241,IF($AN241=$AJ241,$AK241,$AL241)))</f>
        <v/>
      </c>
      <c r="Z241" s="68">
        <f>IF(OR($Y241="",NOT(ISNUMBER($K241))),"",IF($L241="日前",$Y241-$K241,EDATE($Y241,-$K241)))</f>
        <v/>
      </c>
      <c r="AA241" s="68">
        <f>IF(OR($Y241="",ISNUMBER($V241),N($Y241)&lt;'設定'!$B$6),"",IF($Z241&lt;&gt;"",$Z241,$Y241))</f>
        <v/>
      </c>
      <c r="AB241" s="69">
        <f>IF($AA241="","",$AA241-'設定'!$B$6)</f>
        <v/>
      </c>
      <c r="AC241" s="28">
        <f>IF(NOT(OR($B241&lt;&gt;"",$C241&lt;&gt;"")),"",IF(ISNUMBER($V241),IF($V241&lt;'設定'!$B$6,"終了","終了予定"),IF($Y241="","有効",IF($Y241&lt;'設定'!$B$6,"満了",IF(AND($T241="更新する",ISNUMBER($U241),N($U241)&lt;='設定'!$B$6,OR($AO241="",N($U241)&gt;N($AO241))),"確認済み",IF($AB241&lt;0,"通知期限切れ",IF($AB241&lt;=N('設定'!$B$7),"要対応","有効")))))))</f>
        <v/>
      </c>
      <c r="AD241" s="68">
        <f>IF(OR(NOT(ISNUMBER($M241)),$AC241="",$AC241="終了",$AC241="終了予定",$AC241="満了"),"",IF($N241="日前",'設定'!$B$6+$M241,EDATE('設定'!$B$6,$M241)))</f>
        <v/>
      </c>
      <c r="AE241" s="70">
        <f>IF(NOT(ISNUMBER($O241)),"",IF($P241="月額",$O241*12,IF($P241="年額",$O241,"")))</f>
        <v/>
      </c>
      <c r="AF241" s="30">
        <f>MID(IF(AND(ISNUMBER($G241),ISNUMBER($H241)),IF(N($H241)&lt;N($G241)," / 満了日が開始日より前",""),"")&amp;IF(AND($I241="あり",NOT(ISNUMBER($H241)))," / 自動更新ありなのに満了日が空","")&amp;IF(AND($I241="あり",ISNUMBER($H241),NOT(ISNUMBER($J241)))," / 更新期間が空（更新を計算できない）","")&amp;IF($AH241="","",IF(AND(DAY($AH241)&gt;=29,OR(MOD($J241,12)&lt;&gt;0,MONTH($AH241)=2))," / 更新の初日が29〜31日（更新を重ねると満了日が1日ずれることがある。満了日を今の期間の満了日に書き換えると直る）",""))&amp;IF(AND(ISNUMBER($K241),$L241="")," / 通知の単位が空（か月前で計算）","")&amp;IF(AND(ISNUMBER($M241),$N241="")," / 解約予告の単位が空（か月前で計算）","")&amp;IF(AND(ISNUMBER($O241),$P241="")," / 金額の区分が空","")&amp;IF(AND($T241&lt;&gt;"",NOT(ISNUMBER($U241)))," / 対応を決めた日が空","")&amp;IF(AND(ISNUMBER($U241),$T241="")," / 今期の対応が空","")&amp;IF(AND($T241="更新しない",NOT(ISNUMBER($V241)))," / 更新しないなら、解約・終了した日（契約が終わる日）を入れる",""),4,300)</f>
        <v/>
      </c>
      <c r="AG241" s="53" t="n"/>
      <c r="AH241" s="71">
        <f>IF(AND(ISNUMBER($H241),$I241="あり",ISNUMBER($J241)),IF($J241&gt;=1,$H241+1,""),"")</f>
        <v/>
      </c>
      <c r="AI241" s="32">
        <f>IF($AH241="","",(YEAR('設定'!$B$6)-YEAR($AH241))*12+MONTH('設定'!$B$6)-MONTH($AH241))</f>
        <v/>
      </c>
      <c r="AJ241" s="32">
        <f>IF($AH241="","",MAX(1,ROUNDUP($AI241/$J241,0)))</f>
        <v/>
      </c>
      <c r="AK241" s="71">
        <f>IF($AJ241="","",IF(DAY(EDATE($AH241,$AJ241*$J241))&lt;DAY($AH241),EDATE($AH241,$AJ241*$J241),EDATE($AH241,$AJ241*$J241)-1))</f>
        <v/>
      </c>
      <c r="AL241" s="71">
        <f>IF($AJ241="","",IF(DAY(EDATE($AH241,($AJ241+1)*$J241))&lt;DAY($AH241),EDATE($AH241,($AJ241+1)*$J241),EDATE($AH241,($AJ241+1)*$J241)-1))</f>
        <v/>
      </c>
      <c r="AM241" s="71">
        <f>IF($AJ241="","",IF($AJ241=1,$H241,IF(DAY(EDATE($AH241,($AJ241-1)*$J241))&lt;DAY($AH241),EDATE($AH241,($AJ241-1)*$J241),EDATE($AH241,($AJ241-1)*$J241)-1)))</f>
        <v/>
      </c>
      <c r="AN241" s="32">
        <f>IF(NOT(ISNUMBER($H241)),"",IF(OR($AH241="",$H241&gt;='設定'!$B$6),0,IF($AK241&gt;='設定'!$B$6,$AJ241,$AJ241+1)))</f>
        <v/>
      </c>
      <c r="AO241" s="71">
        <f>IF($AN241="","",IF($AN241=0,"",IF($AN241=$AJ241,$AM241,$AK241)))</f>
        <v/>
      </c>
      <c r="AP241" s="32">
        <f>IF(OR($AC241="要対応",$AC241="通知期限切れ",$AC241="確認済み",$AC241="有効",$AC241="終了予定"),1,0)</f>
        <v/>
      </c>
      <c r="AQ241" s="32">
        <f>IF(OR($AC241="要対応",$AC241="通知期限切れ"),1,0)</f>
        <v/>
      </c>
      <c r="AR241" s="72">
        <f>IF(AND(ISNUMBER($AB241),OR($AC241="要対応",$AC241="通知期限切れ",$AC241="確認済み",$AC241="有効")),$AB241+ROW()/100000,"")</f>
        <v/>
      </c>
      <c r="AS241" s="32">
        <f>IF($E241="","",IF(COUNTIF($E$5:$E241,$E241)=1,ROW(),""))</f>
        <v/>
      </c>
      <c r="AT241" s="32">
        <f>IF($S241="","",IF(COUNTIF($S$5:$S241,$S241)=1,ROW(),""))</f>
        <v/>
      </c>
    </row>
    <row r="242" ht="20" customHeight="1">
      <c r="A242" s="20" t="n">
        <v>238</v>
      </c>
      <c r="B242" s="21" t="n"/>
      <c r="C242" s="22" t="n"/>
      <c r="D242" s="22" t="n"/>
      <c r="E242" s="22" t="n"/>
      <c r="F242" s="66" t="n"/>
      <c r="G242" s="66" t="n"/>
      <c r="H242" s="66" t="n"/>
      <c r="I242" s="21" t="n"/>
      <c r="J242" s="24" t="n"/>
      <c r="K242" s="24" t="n"/>
      <c r="L242" s="21" t="n"/>
      <c r="M242" s="24" t="n"/>
      <c r="N242" s="21" t="n"/>
      <c r="O242" s="67" t="n"/>
      <c r="P242" s="21" t="n"/>
      <c r="Q242" s="21" t="n"/>
      <c r="R242" s="22" t="n"/>
      <c r="S242" s="22" t="n"/>
      <c r="T242" s="21" t="n"/>
      <c r="U242" s="66" t="n"/>
      <c r="V242" s="66" t="n"/>
      <c r="W242" s="66" t="n"/>
      <c r="X242" s="8" t="n"/>
      <c r="Y242" s="68">
        <f>IF($AN242="","",IF($AN242=0,$H242,IF($AN242=$AJ242,$AK242,$AL242)))</f>
        <v/>
      </c>
      <c r="Z242" s="68">
        <f>IF(OR($Y242="",NOT(ISNUMBER($K242))),"",IF($L242="日前",$Y242-$K242,EDATE($Y242,-$K242)))</f>
        <v/>
      </c>
      <c r="AA242" s="68">
        <f>IF(OR($Y242="",ISNUMBER($V242),N($Y242)&lt;'設定'!$B$6),"",IF($Z242&lt;&gt;"",$Z242,$Y242))</f>
        <v/>
      </c>
      <c r="AB242" s="69">
        <f>IF($AA242="","",$AA242-'設定'!$B$6)</f>
        <v/>
      </c>
      <c r="AC242" s="28">
        <f>IF(NOT(OR($B242&lt;&gt;"",$C242&lt;&gt;"")),"",IF(ISNUMBER($V242),IF($V242&lt;'設定'!$B$6,"終了","終了予定"),IF($Y242="","有効",IF($Y242&lt;'設定'!$B$6,"満了",IF(AND($T242="更新する",ISNUMBER($U242),N($U242)&lt;='設定'!$B$6,OR($AO242="",N($U242)&gt;N($AO242))),"確認済み",IF($AB242&lt;0,"通知期限切れ",IF($AB242&lt;=N('設定'!$B$7),"要対応","有効")))))))</f>
        <v/>
      </c>
      <c r="AD242" s="68">
        <f>IF(OR(NOT(ISNUMBER($M242)),$AC242="",$AC242="終了",$AC242="終了予定",$AC242="満了"),"",IF($N242="日前",'設定'!$B$6+$M242,EDATE('設定'!$B$6,$M242)))</f>
        <v/>
      </c>
      <c r="AE242" s="70">
        <f>IF(NOT(ISNUMBER($O242)),"",IF($P242="月額",$O242*12,IF($P242="年額",$O242,"")))</f>
        <v/>
      </c>
      <c r="AF242" s="30">
        <f>MID(IF(AND(ISNUMBER($G242),ISNUMBER($H242)),IF(N($H242)&lt;N($G242)," / 満了日が開始日より前",""),"")&amp;IF(AND($I242="あり",NOT(ISNUMBER($H242)))," / 自動更新ありなのに満了日が空","")&amp;IF(AND($I242="あり",ISNUMBER($H242),NOT(ISNUMBER($J242)))," / 更新期間が空（更新を計算できない）","")&amp;IF($AH242="","",IF(AND(DAY($AH242)&gt;=29,OR(MOD($J242,12)&lt;&gt;0,MONTH($AH242)=2))," / 更新の初日が29〜31日（更新を重ねると満了日が1日ずれることがある。満了日を今の期間の満了日に書き換えると直る）",""))&amp;IF(AND(ISNUMBER($K242),$L242="")," / 通知の単位が空（か月前で計算）","")&amp;IF(AND(ISNUMBER($M242),$N242="")," / 解約予告の単位が空（か月前で計算）","")&amp;IF(AND(ISNUMBER($O242),$P242="")," / 金額の区分が空","")&amp;IF(AND($T242&lt;&gt;"",NOT(ISNUMBER($U242)))," / 対応を決めた日が空","")&amp;IF(AND(ISNUMBER($U242),$T242="")," / 今期の対応が空","")&amp;IF(AND($T242="更新しない",NOT(ISNUMBER($V242)))," / 更新しないなら、解約・終了した日（契約が終わる日）を入れる",""),4,300)</f>
        <v/>
      </c>
      <c r="AG242" s="53" t="n"/>
      <c r="AH242" s="71">
        <f>IF(AND(ISNUMBER($H242),$I242="あり",ISNUMBER($J242)),IF($J242&gt;=1,$H242+1,""),"")</f>
        <v/>
      </c>
      <c r="AI242" s="32">
        <f>IF($AH242="","",(YEAR('設定'!$B$6)-YEAR($AH242))*12+MONTH('設定'!$B$6)-MONTH($AH242))</f>
        <v/>
      </c>
      <c r="AJ242" s="32">
        <f>IF($AH242="","",MAX(1,ROUNDUP($AI242/$J242,0)))</f>
        <v/>
      </c>
      <c r="AK242" s="71">
        <f>IF($AJ242="","",IF(DAY(EDATE($AH242,$AJ242*$J242))&lt;DAY($AH242),EDATE($AH242,$AJ242*$J242),EDATE($AH242,$AJ242*$J242)-1))</f>
        <v/>
      </c>
      <c r="AL242" s="71">
        <f>IF($AJ242="","",IF(DAY(EDATE($AH242,($AJ242+1)*$J242))&lt;DAY($AH242),EDATE($AH242,($AJ242+1)*$J242),EDATE($AH242,($AJ242+1)*$J242)-1))</f>
        <v/>
      </c>
      <c r="AM242" s="71">
        <f>IF($AJ242="","",IF($AJ242=1,$H242,IF(DAY(EDATE($AH242,($AJ242-1)*$J242))&lt;DAY($AH242),EDATE($AH242,($AJ242-1)*$J242),EDATE($AH242,($AJ242-1)*$J242)-1)))</f>
        <v/>
      </c>
      <c r="AN242" s="32">
        <f>IF(NOT(ISNUMBER($H242)),"",IF(OR($AH242="",$H242&gt;='設定'!$B$6),0,IF($AK242&gt;='設定'!$B$6,$AJ242,$AJ242+1)))</f>
        <v/>
      </c>
      <c r="AO242" s="71">
        <f>IF($AN242="","",IF($AN242=0,"",IF($AN242=$AJ242,$AM242,$AK242)))</f>
        <v/>
      </c>
      <c r="AP242" s="32">
        <f>IF(OR($AC242="要対応",$AC242="通知期限切れ",$AC242="確認済み",$AC242="有効",$AC242="終了予定"),1,0)</f>
        <v/>
      </c>
      <c r="AQ242" s="32">
        <f>IF(OR($AC242="要対応",$AC242="通知期限切れ"),1,0)</f>
        <v/>
      </c>
      <c r="AR242" s="72">
        <f>IF(AND(ISNUMBER($AB242),OR($AC242="要対応",$AC242="通知期限切れ",$AC242="確認済み",$AC242="有効")),$AB242+ROW()/100000,"")</f>
        <v/>
      </c>
      <c r="AS242" s="32">
        <f>IF($E242="","",IF(COUNTIF($E$5:$E242,$E242)=1,ROW(),""))</f>
        <v/>
      </c>
      <c r="AT242" s="32">
        <f>IF($S242="","",IF(COUNTIF($S$5:$S242,$S242)=1,ROW(),""))</f>
        <v/>
      </c>
    </row>
    <row r="243" ht="20" customHeight="1">
      <c r="A243" s="20" t="n">
        <v>239</v>
      </c>
      <c r="B243" s="21" t="n"/>
      <c r="C243" s="22" t="n"/>
      <c r="D243" s="22" t="n"/>
      <c r="E243" s="22" t="n"/>
      <c r="F243" s="66" t="n"/>
      <c r="G243" s="66" t="n"/>
      <c r="H243" s="66" t="n"/>
      <c r="I243" s="21" t="n"/>
      <c r="J243" s="24" t="n"/>
      <c r="K243" s="24" t="n"/>
      <c r="L243" s="21" t="n"/>
      <c r="M243" s="24" t="n"/>
      <c r="N243" s="21" t="n"/>
      <c r="O243" s="67" t="n"/>
      <c r="P243" s="21" t="n"/>
      <c r="Q243" s="21" t="n"/>
      <c r="R243" s="22" t="n"/>
      <c r="S243" s="22" t="n"/>
      <c r="T243" s="21" t="n"/>
      <c r="U243" s="66" t="n"/>
      <c r="V243" s="66" t="n"/>
      <c r="W243" s="66" t="n"/>
      <c r="X243" s="8" t="n"/>
      <c r="Y243" s="68">
        <f>IF($AN243="","",IF($AN243=0,$H243,IF($AN243=$AJ243,$AK243,$AL243)))</f>
        <v/>
      </c>
      <c r="Z243" s="68">
        <f>IF(OR($Y243="",NOT(ISNUMBER($K243))),"",IF($L243="日前",$Y243-$K243,EDATE($Y243,-$K243)))</f>
        <v/>
      </c>
      <c r="AA243" s="68">
        <f>IF(OR($Y243="",ISNUMBER($V243),N($Y243)&lt;'設定'!$B$6),"",IF($Z243&lt;&gt;"",$Z243,$Y243))</f>
        <v/>
      </c>
      <c r="AB243" s="69">
        <f>IF($AA243="","",$AA243-'設定'!$B$6)</f>
        <v/>
      </c>
      <c r="AC243" s="28">
        <f>IF(NOT(OR($B243&lt;&gt;"",$C243&lt;&gt;"")),"",IF(ISNUMBER($V243),IF($V243&lt;'設定'!$B$6,"終了","終了予定"),IF($Y243="","有効",IF($Y243&lt;'設定'!$B$6,"満了",IF(AND($T243="更新する",ISNUMBER($U243),N($U243)&lt;='設定'!$B$6,OR($AO243="",N($U243)&gt;N($AO243))),"確認済み",IF($AB243&lt;0,"通知期限切れ",IF($AB243&lt;=N('設定'!$B$7),"要対応","有効")))))))</f>
        <v/>
      </c>
      <c r="AD243" s="68">
        <f>IF(OR(NOT(ISNUMBER($M243)),$AC243="",$AC243="終了",$AC243="終了予定",$AC243="満了"),"",IF($N243="日前",'設定'!$B$6+$M243,EDATE('設定'!$B$6,$M243)))</f>
        <v/>
      </c>
      <c r="AE243" s="70">
        <f>IF(NOT(ISNUMBER($O243)),"",IF($P243="月額",$O243*12,IF($P243="年額",$O243,"")))</f>
        <v/>
      </c>
      <c r="AF243" s="30">
        <f>MID(IF(AND(ISNUMBER($G243),ISNUMBER($H243)),IF(N($H243)&lt;N($G243)," / 満了日が開始日より前",""),"")&amp;IF(AND($I243="あり",NOT(ISNUMBER($H243)))," / 自動更新ありなのに満了日が空","")&amp;IF(AND($I243="あり",ISNUMBER($H243),NOT(ISNUMBER($J243)))," / 更新期間が空（更新を計算できない）","")&amp;IF($AH243="","",IF(AND(DAY($AH243)&gt;=29,OR(MOD($J243,12)&lt;&gt;0,MONTH($AH243)=2))," / 更新の初日が29〜31日（更新を重ねると満了日が1日ずれることがある。満了日を今の期間の満了日に書き換えると直る）",""))&amp;IF(AND(ISNUMBER($K243),$L243="")," / 通知の単位が空（か月前で計算）","")&amp;IF(AND(ISNUMBER($M243),$N243="")," / 解約予告の単位が空（か月前で計算）","")&amp;IF(AND(ISNUMBER($O243),$P243="")," / 金額の区分が空","")&amp;IF(AND($T243&lt;&gt;"",NOT(ISNUMBER($U243)))," / 対応を決めた日が空","")&amp;IF(AND(ISNUMBER($U243),$T243="")," / 今期の対応が空","")&amp;IF(AND($T243="更新しない",NOT(ISNUMBER($V243)))," / 更新しないなら、解約・終了した日（契約が終わる日）を入れる",""),4,300)</f>
        <v/>
      </c>
      <c r="AG243" s="53" t="n"/>
      <c r="AH243" s="71">
        <f>IF(AND(ISNUMBER($H243),$I243="あり",ISNUMBER($J243)),IF($J243&gt;=1,$H243+1,""),"")</f>
        <v/>
      </c>
      <c r="AI243" s="32">
        <f>IF($AH243="","",(YEAR('設定'!$B$6)-YEAR($AH243))*12+MONTH('設定'!$B$6)-MONTH($AH243))</f>
        <v/>
      </c>
      <c r="AJ243" s="32">
        <f>IF($AH243="","",MAX(1,ROUNDUP($AI243/$J243,0)))</f>
        <v/>
      </c>
      <c r="AK243" s="71">
        <f>IF($AJ243="","",IF(DAY(EDATE($AH243,$AJ243*$J243))&lt;DAY($AH243),EDATE($AH243,$AJ243*$J243),EDATE($AH243,$AJ243*$J243)-1))</f>
        <v/>
      </c>
      <c r="AL243" s="71">
        <f>IF($AJ243="","",IF(DAY(EDATE($AH243,($AJ243+1)*$J243))&lt;DAY($AH243),EDATE($AH243,($AJ243+1)*$J243),EDATE($AH243,($AJ243+1)*$J243)-1))</f>
        <v/>
      </c>
      <c r="AM243" s="71">
        <f>IF($AJ243="","",IF($AJ243=1,$H243,IF(DAY(EDATE($AH243,($AJ243-1)*$J243))&lt;DAY($AH243),EDATE($AH243,($AJ243-1)*$J243),EDATE($AH243,($AJ243-1)*$J243)-1)))</f>
        <v/>
      </c>
      <c r="AN243" s="32">
        <f>IF(NOT(ISNUMBER($H243)),"",IF(OR($AH243="",$H243&gt;='設定'!$B$6),0,IF($AK243&gt;='設定'!$B$6,$AJ243,$AJ243+1)))</f>
        <v/>
      </c>
      <c r="AO243" s="71">
        <f>IF($AN243="","",IF($AN243=0,"",IF($AN243=$AJ243,$AM243,$AK243)))</f>
        <v/>
      </c>
      <c r="AP243" s="32">
        <f>IF(OR($AC243="要対応",$AC243="通知期限切れ",$AC243="確認済み",$AC243="有効",$AC243="終了予定"),1,0)</f>
        <v/>
      </c>
      <c r="AQ243" s="32">
        <f>IF(OR($AC243="要対応",$AC243="通知期限切れ"),1,0)</f>
        <v/>
      </c>
      <c r="AR243" s="72">
        <f>IF(AND(ISNUMBER($AB243),OR($AC243="要対応",$AC243="通知期限切れ",$AC243="確認済み",$AC243="有効")),$AB243+ROW()/100000,"")</f>
        <v/>
      </c>
      <c r="AS243" s="32">
        <f>IF($E243="","",IF(COUNTIF($E$5:$E243,$E243)=1,ROW(),""))</f>
        <v/>
      </c>
      <c r="AT243" s="32">
        <f>IF($S243="","",IF(COUNTIF($S$5:$S243,$S243)=1,ROW(),""))</f>
        <v/>
      </c>
    </row>
    <row r="244" ht="20" customHeight="1">
      <c r="A244" s="20" t="n">
        <v>240</v>
      </c>
      <c r="B244" s="21" t="n"/>
      <c r="C244" s="22" t="n"/>
      <c r="D244" s="22" t="n"/>
      <c r="E244" s="22" t="n"/>
      <c r="F244" s="66" t="n"/>
      <c r="G244" s="66" t="n"/>
      <c r="H244" s="66" t="n"/>
      <c r="I244" s="21" t="n"/>
      <c r="J244" s="24" t="n"/>
      <c r="K244" s="24" t="n"/>
      <c r="L244" s="21" t="n"/>
      <c r="M244" s="24" t="n"/>
      <c r="N244" s="21" t="n"/>
      <c r="O244" s="67" t="n"/>
      <c r="P244" s="21" t="n"/>
      <c r="Q244" s="21" t="n"/>
      <c r="R244" s="22" t="n"/>
      <c r="S244" s="22" t="n"/>
      <c r="T244" s="21" t="n"/>
      <c r="U244" s="66" t="n"/>
      <c r="V244" s="66" t="n"/>
      <c r="W244" s="66" t="n"/>
      <c r="X244" s="8" t="n"/>
      <c r="Y244" s="68">
        <f>IF($AN244="","",IF($AN244=0,$H244,IF($AN244=$AJ244,$AK244,$AL244)))</f>
        <v/>
      </c>
      <c r="Z244" s="68">
        <f>IF(OR($Y244="",NOT(ISNUMBER($K244))),"",IF($L244="日前",$Y244-$K244,EDATE($Y244,-$K244)))</f>
        <v/>
      </c>
      <c r="AA244" s="68">
        <f>IF(OR($Y244="",ISNUMBER($V244),N($Y244)&lt;'設定'!$B$6),"",IF($Z244&lt;&gt;"",$Z244,$Y244))</f>
        <v/>
      </c>
      <c r="AB244" s="69">
        <f>IF($AA244="","",$AA244-'設定'!$B$6)</f>
        <v/>
      </c>
      <c r="AC244" s="28">
        <f>IF(NOT(OR($B244&lt;&gt;"",$C244&lt;&gt;"")),"",IF(ISNUMBER($V244),IF($V244&lt;'設定'!$B$6,"終了","終了予定"),IF($Y244="","有効",IF($Y244&lt;'設定'!$B$6,"満了",IF(AND($T244="更新する",ISNUMBER($U244),N($U244)&lt;='設定'!$B$6,OR($AO244="",N($U244)&gt;N($AO244))),"確認済み",IF($AB244&lt;0,"通知期限切れ",IF($AB244&lt;=N('設定'!$B$7),"要対応","有効")))))))</f>
        <v/>
      </c>
      <c r="AD244" s="68">
        <f>IF(OR(NOT(ISNUMBER($M244)),$AC244="",$AC244="終了",$AC244="終了予定",$AC244="満了"),"",IF($N244="日前",'設定'!$B$6+$M244,EDATE('設定'!$B$6,$M244)))</f>
        <v/>
      </c>
      <c r="AE244" s="70">
        <f>IF(NOT(ISNUMBER($O244)),"",IF($P244="月額",$O244*12,IF($P244="年額",$O244,"")))</f>
        <v/>
      </c>
      <c r="AF244" s="30">
        <f>MID(IF(AND(ISNUMBER($G244),ISNUMBER($H244)),IF(N($H244)&lt;N($G244)," / 満了日が開始日より前",""),"")&amp;IF(AND($I244="あり",NOT(ISNUMBER($H244)))," / 自動更新ありなのに満了日が空","")&amp;IF(AND($I244="あり",ISNUMBER($H244),NOT(ISNUMBER($J244)))," / 更新期間が空（更新を計算できない）","")&amp;IF($AH244="","",IF(AND(DAY($AH244)&gt;=29,OR(MOD($J244,12)&lt;&gt;0,MONTH($AH244)=2))," / 更新の初日が29〜31日（更新を重ねると満了日が1日ずれることがある。満了日を今の期間の満了日に書き換えると直る）",""))&amp;IF(AND(ISNUMBER($K244),$L244="")," / 通知の単位が空（か月前で計算）","")&amp;IF(AND(ISNUMBER($M244),$N244="")," / 解約予告の単位が空（か月前で計算）","")&amp;IF(AND(ISNUMBER($O244),$P244="")," / 金額の区分が空","")&amp;IF(AND($T244&lt;&gt;"",NOT(ISNUMBER($U244)))," / 対応を決めた日が空","")&amp;IF(AND(ISNUMBER($U244),$T244="")," / 今期の対応が空","")&amp;IF(AND($T244="更新しない",NOT(ISNUMBER($V244)))," / 更新しないなら、解約・終了した日（契約が終わる日）を入れる",""),4,300)</f>
        <v/>
      </c>
      <c r="AG244" s="53" t="n"/>
      <c r="AH244" s="71">
        <f>IF(AND(ISNUMBER($H244),$I244="あり",ISNUMBER($J244)),IF($J244&gt;=1,$H244+1,""),"")</f>
        <v/>
      </c>
      <c r="AI244" s="32">
        <f>IF($AH244="","",(YEAR('設定'!$B$6)-YEAR($AH244))*12+MONTH('設定'!$B$6)-MONTH($AH244))</f>
        <v/>
      </c>
      <c r="AJ244" s="32">
        <f>IF($AH244="","",MAX(1,ROUNDUP($AI244/$J244,0)))</f>
        <v/>
      </c>
      <c r="AK244" s="71">
        <f>IF($AJ244="","",IF(DAY(EDATE($AH244,$AJ244*$J244))&lt;DAY($AH244),EDATE($AH244,$AJ244*$J244),EDATE($AH244,$AJ244*$J244)-1))</f>
        <v/>
      </c>
      <c r="AL244" s="71">
        <f>IF($AJ244="","",IF(DAY(EDATE($AH244,($AJ244+1)*$J244))&lt;DAY($AH244),EDATE($AH244,($AJ244+1)*$J244),EDATE($AH244,($AJ244+1)*$J244)-1))</f>
        <v/>
      </c>
      <c r="AM244" s="71">
        <f>IF($AJ244="","",IF($AJ244=1,$H244,IF(DAY(EDATE($AH244,($AJ244-1)*$J244))&lt;DAY($AH244),EDATE($AH244,($AJ244-1)*$J244),EDATE($AH244,($AJ244-1)*$J244)-1)))</f>
        <v/>
      </c>
      <c r="AN244" s="32">
        <f>IF(NOT(ISNUMBER($H244)),"",IF(OR($AH244="",$H244&gt;='設定'!$B$6),0,IF($AK244&gt;='設定'!$B$6,$AJ244,$AJ244+1)))</f>
        <v/>
      </c>
      <c r="AO244" s="71">
        <f>IF($AN244="","",IF($AN244=0,"",IF($AN244=$AJ244,$AM244,$AK244)))</f>
        <v/>
      </c>
      <c r="AP244" s="32">
        <f>IF(OR($AC244="要対応",$AC244="通知期限切れ",$AC244="確認済み",$AC244="有効",$AC244="終了予定"),1,0)</f>
        <v/>
      </c>
      <c r="AQ244" s="32">
        <f>IF(OR($AC244="要対応",$AC244="通知期限切れ"),1,0)</f>
        <v/>
      </c>
      <c r="AR244" s="72">
        <f>IF(AND(ISNUMBER($AB244),OR($AC244="要対応",$AC244="通知期限切れ",$AC244="確認済み",$AC244="有効")),$AB244+ROW()/100000,"")</f>
        <v/>
      </c>
      <c r="AS244" s="32">
        <f>IF($E244="","",IF(COUNTIF($E$5:$E244,$E244)=1,ROW(),""))</f>
        <v/>
      </c>
      <c r="AT244" s="32">
        <f>IF($S244="","",IF(COUNTIF($S$5:$S244,$S244)=1,ROW(),""))</f>
        <v/>
      </c>
    </row>
    <row r="245" ht="20" customHeight="1">
      <c r="A245" s="20" t="n">
        <v>241</v>
      </c>
      <c r="B245" s="21" t="n"/>
      <c r="C245" s="22" t="n"/>
      <c r="D245" s="22" t="n"/>
      <c r="E245" s="22" t="n"/>
      <c r="F245" s="66" t="n"/>
      <c r="G245" s="66" t="n"/>
      <c r="H245" s="66" t="n"/>
      <c r="I245" s="21" t="n"/>
      <c r="J245" s="24" t="n"/>
      <c r="K245" s="24" t="n"/>
      <c r="L245" s="21" t="n"/>
      <c r="M245" s="24" t="n"/>
      <c r="N245" s="21" t="n"/>
      <c r="O245" s="67" t="n"/>
      <c r="P245" s="21" t="n"/>
      <c r="Q245" s="21" t="n"/>
      <c r="R245" s="22" t="n"/>
      <c r="S245" s="22" t="n"/>
      <c r="T245" s="21" t="n"/>
      <c r="U245" s="66" t="n"/>
      <c r="V245" s="66" t="n"/>
      <c r="W245" s="66" t="n"/>
      <c r="X245" s="8" t="n"/>
      <c r="Y245" s="68">
        <f>IF($AN245="","",IF($AN245=0,$H245,IF($AN245=$AJ245,$AK245,$AL245)))</f>
        <v/>
      </c>
      <c r="Z245" s="68">
        <f>IF(OR($Y245="",NOT(ISNUMBER($K245))),"",IF($L245="日前",$Y245-$K245,EDATE($Y245,-$K245)))</f>
        <v/>
      </c>
      <c r="AA245" s="68">
        <f>IF(OR($Y245="",ISNUMBER($V245),N($Y245)&lt;'設定'!$B$6),"",IF($Z245&lt;&gt;"",$Z245,$Y245))</f>
        <v/>
      </c>
      <c r="AB245" s="69">
        <f>IF($AA245="","",$AA245-'設定'!$B$6)</f>
        <v/>
      </c>
      <c r="AC245" s="28">
        <f>IF(NOT(OR($B245&lt;&gt;"",$C245&lt;&gt;"")),"",IF(ISNUMBER($V245),IF($V245&lt;'設定'!$B$6,"終了","終了予定"),IF($Y245="","有効",IF($Y245&lt;'設定'!$B$6,"満了",IF(AND($T245="更新する",ISNUMBER($U245),N($U245)&lt;='設定'!$B$6,OR($AO245="",N($U245)&gt;N($AO245))),"確認済み",IF($AB245&lt;0,"通知期限切れ",IF($AB245&lt;=N('設定'!$B$7),"要対応","有効")))))))</f>
        <v/>
      </c>
      <c r="AD245" s="68">
        <f>IF(OR(NOT(ISNUMBER($M245)),$AC245="",$AC245="終了",$AC245="終了予定",$AC245="満了"),"",IF($N245="日前",'設定'!$B$6+$M245,EDATE('設定'!$B$6,$M245)))</f>
        <v/>
      </c>
      <c r="AE245" s="70">
        <f>IF(NOT(ISNUMBER($O245)),"",IF($P245="月額",$O245*12,IF($P245="年額",$O245,"")))</f>
        <v/>
      </c>
      <c r="AF245" s="30">
        <f>MID(IF(AND(ISNUMBER($G245),ISNUMBER($H245)),IF(N($H245)&lt;N($G245)," / 満了日が開始日より前",""),"")&amp;IF(AND($I245="あり",NOT(ISNUMBER($H245)))," / 自動更新ありなのに満了日が空","")&amp;IF(AND($I245="あり",ISNUMBER($H245),NOT(ISNUMBER($J245)))," / 更新期間が空（更新を計算できない）","")&amp;IF($AH245="","",IF(AND(DAY($AH245)&gt;=29,OR(MOD($J245,12)&lt;&gt;0,MONTH($AH245)=2))," / 更新の初日が29〜31日（更新を重ねると満了日が1日ずれることがある。満了日を今の期間の満了日に書き換えると直る）",""))&amp;IF(AND(ISNUMBER($K245),$L245="")," / 通知の単位が空（か月前で計算）","")&amp;IF(AND(ISNUMBER($M245),$N245="")," / 解約予告の単位が空（か月前で計算）","")&amp;IF(AND(ISNUMBER($O245),$P245="")," / 金額の区分が空","")&amp;IF(AND($T245&lt;&gt;"",NOT(ISNUMBER($U245)))," / 対応を決めた日が空","")&amp;IF(AND(ISNUMBER($U245),$T245="")," / 今期の対応が空","")&amp;IF(AND($T245="更新しない",NOT(ISNUMBER($V245)))," / 更新しないなら、解約・終了した日（契約が終わる日）を入れる",""),4,300)</f>
        <v/>
      </c>
      <c r="AG245" s="53" t="n"/>
      <c r="AH245" s="71">
        <f>IF(AND(ISNUMBER($H245),$I245="あり",ISNUMBER($J245)),IF($J245&gt;=1,$H245+1,""),"")</f>
        <v/>
      </c>
      <c r="AI245" s="32">
        <f>IF($AH245="","",(YEAR('設定'!$B$6)-YEAR($AH245))*12+MONTH('設定'!$B$6)-MONTH($AH245))</f>
        <v/>
      </c>
      <c r="AJ245" s="32">
        <f>IF($AH245="","",MAX(1,ROUNDUP($AI245/$J245,0)))</f>
        <v/>
      </c>
      <c r="AK245" s="71">
        <f>IF($AJ245="","",IF(DAY(EDATE($AH245,$AJ245*$J245))&lt;DAY($AH245),EDATE($AH245,$AJ245*$J245),EDATE($AH245,$AJ245*$J245)-1))</f>
        <v/>
      </c>
      <c r="AL245" s="71">
        <f>IF($AJ245="","",IF(DAY(EDATE($AH245,($AJ245+1)*$J245))&lt;DAY($AH245),EDATE($AH245,($AJ245+1)*$J245),EDATE($AH245,($AJ245+1)*$J245)-1))</f>
        <v/>
      </c>
      <c r="AM245" s="71">
        <f>IF($AJ245="","",IF($AJ245=1,$H245,IF(DAY(EDATE($AH245,($AJ245-1)*$J245))&lt;DAY($AH245),EDATE($AH245,($AJ245-1)*$J245),EDATE($AH245,($AJ245-1)*$J245)-1)))</f>
        <v/>
      </c>
      <c r="AN245" s="32">
        <f>IF(NOT(ISNUMBER($H245)),"",IF(OR($AH245="",$H245&gt;='設定'!$B$6),0,IF($AK245&gt;='設定'!$B$6,$AJ245,$AJ245+1)))</f>
        <v/>
      </c>
      <c r="AO245" s="71">
        <f>IF($AN245="","",IF($AN245=0,"",IF($AN245=$AJ245,$AM245,$AK245)))</f>
        <v/>
      </c>
      <c r="AP245" s="32">
        <f>IF(OR($AC245="要対応",$AC245="通知期限切れ",$AC245="確認済み",$AC245="有効",$AC245="終了予定"),1,0)</f>
        <v/>
      </c>
      <c r="AQ245" s="32">
        <f>IF(OR($AC245="要対応",$AC245="通知期限切れ"),1,0)</f>
        <v/>
      </c>
      <c r="AR245" s="72">
        <f>IF(AND(ISNUMBER($AB245),OR($AC245="要対応",$AC245="通知期限切れ",$AC245="確認済み",$AC245="有効")),$AB245+ROW()/100000,"")</f>
        <v/>
      </c>
      <c r="AS245" s="32">
        <f>IF($E245="","",IF(COUNTIF($E$5:$E245,$E245)=1,ROW(),""))</f>
        <v/>
      </c>
      <c r="AT245" s="32">
        <f>IF($S245="","",IF(COUNTIF($S$5:$S245,$S245)=1,ROW(),""))</f>
        <v/>
      </c>
    </row>
    <row r="246" ht="20" customHeight="1">
      <c r="A246" s="20" t="n">
        <v>242</v>
      </c>
      <c r="B246" s="21" t="n"/>
      <c r="C246" s="22" t="n"/>
      <c r="D246" s="22" t="n"/>
      <c r="E246" s="22" t="n"/>
      <c r="F246" s="66" t="n"/>
      <c r="G246" s="66" t="n"/>
      <c r="H246" s="66" t="n"/>
      <c r="I246" s="21" t="n"/>
      <c r="J246" s="24" t="n"/>
      <c r="K246" s="24" t="n"/>
      <c r="L246" s="21" t="n"/>
      <c r="M246" s="24" t="n"/>
      <c r="N246" s="21" t="n"/>
      <c r="O246" s="67" t="n"/>
      <c r="P246" s="21" t="n"/>
      <c r="Q246" s="21" t="n"/>
      <c r="R246" s="22" t="n"/>
      <c r="S246" s="22" t="n"/>
      <c r="T246" s="21" t="n"/>
      <c r="U246" s="66" t="n"/>
      <c r="V246" s="66" t="n"/>
      <c r="W246" s="66" t="n"/>
      <c r="X246" s="8" t="n"/>
      <c r="Y246" s="68">
        <f>IF($AN246="","",IF($AN246=0,$H246,IF($AN246=$AJ246,$AK246,$AL246)))</f>
        <v/>
      </c>
      <c r="Z246" s="68">
        <f>IF(OR($Y246="",NOT(ISNUMBER($K246))),"",IF($L246="日前",$Y246-$K246,EDATE($Y246,-$K246)))</f>
        <v/>
      </c>
      <c r="AA246" s="68">
        <f>IF(OR($Y246="",ISNUMBER($V246),N($Y246)&lt;'設定'!$B$6),"",IF($Z246&lt;&gt;"",$Z246,$Y246))</f>
        <v/>
      </c>
      <c r="AB246" s="69">
        <f>IF($AA246="","",$AA246-'設定'!$B$6)</f>
        <v/>
      </c>
      <c r="AC246" s="28">
        <f>IF(NOT(OR($B246&lt;&gt;"",$C246&lt;&gt;"")),"",IF(ISNUMBER($V246),IF($V246&lt;'設定'!$B$6,"終了","終了予定"),IF($Y246="","有効",IF($Y246&lt;'設定'!$B$6,"満了",IF(AND($T246="更新する",ISNUMBER($U246),N($U246)&lt;='設定'!$B$6,OR($AO246="",N($U246)&gt;N($AO246))),"確認済み",IF($AB246&lt;0,"通知期限切れ",IF($AB246&lt;=N('設定'!$B$7),"要対応","有効")))))))</f>
        <v/>
      </c>
      <c r="AD246" s="68">
        <f>IF(OR(NOT(ISNUMBER($M246)),$AC246="",$AC246="終了",$AC246="終了予定",$AC246="満了"),"",IF($N246="日前",'設定'!$B$6+$M246,EDATE('設定'!$B$6,$M246)))</f>
        <v/>
      </c>
      <c r="AE246" s="70">
        <f>IF(NOT(ISNUMBER($O246)),"",IF($P246="月額",$O246*12,IF($P246="年額",$O246,"")))</f>
        <v/>
      </c>
      <c r="AF246" s="30">
        <f>MID(IF(AND(ISNUMBER($G246),ISNUMBER($H246)),IF(N($H246)&lt;N($G246)," / 満了日が開始日より前",""),"")&amp;IF(AND($I246="あり",NOT(ISNUMBER($H246)))," / 自動更新ありなのに満了日が空","")&amp;IF(AND($I246="あり",ISNUMBER($H246),NOT(ISNUMBER($J246)))," / 更新期間が空（更新を計算できない）","")&amp;IF($AH246="","",IF(AND(DAY($AH246)&gt;=29,OR(MOD($J246,12)&lt;&gt;0,MONTH($AH246)=2))," / 更新の初日が29〜31日（更新を重ねると満了日が1日ずれることがある。満了日を今の期間の満了日に書き換えると直る）",""))&amp;IF(AND(ISNUMBER($K246),$L246="")," / 通知の単位が空（か月前で計算）","")&amp;IF(AND(ISNUMBER($M246),$N246="")," / 解約予告の単位が空（か月前で計算）","")&amp;IF(AND(ISNUMBER($O246),$P246="")," / 金額の区分が空","")&amp;IF(AND($T246&lt;&gt;"",NOT(ISNUMBER($U246)))," / 対応を決めた日が空","")&amp;IF(AND(ISNUMBER($U246),$T246="")," / 今期の対応が空","")&amp;IF(AND($T246="更新しない",NOT(ISNUMBER($V246)))," / 更新しないなら、解約・終了した日（契約が終わる日）を入れる",""),4,300)</f>
        <v/>
      </c>
      <c r="AG246" s="53" t="n"/>
      <c r="AH246" s="71">
        <f>IF(AND(ISNUMBER($H246),$I246="あり",ISNUMBER($J246)),IF($J246&gt;=1,$H246+1,""),"")</f>
        <v/>
      </c>
      <c r="AI246" s="32">
        <f>IF($AH246="","",(YEAR('設定'!$B$6)-YEAR($AH246))*12+MONTH('設定'!$B$6)-MONTH($AH246))</f>
        <v/>
      </c>
      <c r="AJ246" s="32">
        <f>IF($AH246="","",MAX(1,ROUNDUP($AI246/$J246,0)))</f>
        <v/>
      </c>
      <c r="AK246" s="71">
        <f>IF($AJ246="","",IF(DAY(EDATE($AH246,$AJ246*$J246))&lt;DAY($AH246),EDATE($AH246,$AJ246*$J246),EDATE($AH246,$AJ246*$J246)-1))</f>
        <v/>
      </c>
      <c r="AL246" s="71">
        <f>IF($AJ246="","",IF(DAY(EDATE($AH246,($AJ246+1)*$J246))&lt;DAY($AH246),EDATE($AH246,($AJ246+1)*$J246),EDATE($AH246,($AJ246+1)*$J246)-1))</f>
        <v/>
      </c>
      <c r="AM246" s="71">
        <f>IF($AJ246="","",IF($AJ246=1,$H246,IF(DAY(EDATE($AH246,($AJ246-1)*$J246))&lt;DAY($AH246),EDATE($AH246,($AJ246-1)*$J246),EDATE($AH246,($AJ246-1)*$J246)-1)))</f>
        <v/>
      </c>
      <c r="AN246" s="32">
        <f>IF(NOT(ISNUMBER($H246)),"",IF(OR($AH246="",$H246&gt;='設定'!$B$6),0,IF($AK246&gt;='設定'!$B$6,$AJ246,$AJ246+1)))</f>
        <v/>
      </c>
      <c r="AO246" s="71">
        <f>IF($AN246="","",IF($AN246=0,"",IF($AN246=$AJ246,$AM246,$AK246)))</f>
        <v/>
      </c>
      <c r="AP246" s="32">
        <f>IF(OR($AC246="要対応",$AC246="通知期限切れ",$AC246="確認済み",$AC246="有効",$AC246="終了予定"),1,0)</f>
        <v/>
      </c>
      <c r="AQ246" s="32">
        <f>IF(OR($AC246="要対応",$AC246="通知期限切れ"),1,0)</f>
        <v/>
      </c>
      <c r="AR246" s="72">
        <f>IF(AND(ISNUMBER($AB246),OR($AC246="要対応",$AC246="通知期限切れ",$AC246="確認済み",$AC246="有効")),$AB246+ROW()/100000,"")</f>
        <v/>
      </c>
      <c r="AS246" s="32">
        <f>IF($E246="","",IF(COUNTIF($E$5:$E246,$E246)=1,ROW(),""))</f>
        <v/>
      </c>
      <c r="AT246" s="32">
        <f>IF($S246="","",IF(COUNTIF($S$5:$S246,$S246)=1,ROW(),""))</f>
        <v/>
      </c>
    </row>
    <row r="247" ht="20" customHeight="1">
      <c r="A247" s="20" t="n">
        <v>243</v>
      </c>
      <c r="B247" s="21" t="n"/>
      <c r="C247" s="22" t="n"/>
      <c r="D247" s="22" t="n"/>
      <c r="E247" s="22" t="n"/>
      <c r="F247" s="66" t="n"/>
      <c r="G247" s="66" t="n"/>
      <c r="H247" s="66" t="n"/>
      <c r="I247" s="21" t="n"/>
      <c r="J247" s="24" t="n"/>
      <c r="K247" s="24" t="n"/>
      <c r="L247" s="21" t="n"/>
      <c r="M247" s="24" t="n"/>
      <c r="N247" s="21" t="n"/>
      <c r="O247" s="67" t="n"/>
      <c r="P247" s="21" t="n"/>
      <c r="Q247" s="21" t="n"/>
      <c r="R247" s="22" t="n"/>
      <c r="S247" s="22" t="n"/>
      <c r="T247" s="21" t="n"/>
      <c r="U247" s="66" t="n"/>
      <c r="V247" s="66" t="n"/>
      <c r="W247" s="66" t="n"/>
      <c r="X247" s="8" t="n"/>
      <c r="Y247" s="68">
        <f>IF($AN247="","",IF($AN247=0,$H247,IF($AN247=$AJ247,$AK247,$AL247)))</f>
        <v/>
      </c>
      <c r="Z247" s="68">
        <f>IF(OR($Y247="",NOT(ISNUMBER($K247))),"",IF($L247="日前",$Y247-$K247,EDATE($Y247,-$K247)))</f>
        <v/>
      </c>
      <c r="AA247" s="68">
        <f>IF(OR($Y247="",ISNUMBER($V247),N($Y247)&lt;'設定'!$B$6),"",IF($Z247&lt;&gt;"",$Z247,$Y247))</f>
        <v/>
      </c>
      <c r="AB247" s="69">
        <f>IF($AA247="","",$AA247-'設定'!$B$6)</f>
        <v/>
      </c>
      <c r="AC247" s="28">
        <f>IF(NOT(OR($B247&lt;&gt;"",$C247&lt;&gt;"")),"",IF(ISNUMBER($V247),IF($V247&lt;'設定'!$B$6,"終了","終了予定"),IF($Y247="","有効",IF($Y247&lt;'設定'!$B$6,"満了",IF(AND($T247="更新する",ISNUMBER($U247),N($U247)&lt;='設定'!$B$6,OR($AO247="",N($U247)&gt;N($AO247))),"確認済み",IF($AB247&lt;0,"通知期限切れ",IF($AB247&lt;=N('設定'!$B$7),"要対応","有効")))))))</f>
        <v/>
      </c>
      <c r="AD247" s="68">
        <f>IF(OR(NOT(ISNUMBER($M247)),$AC247="",$AC247="終了",$AC247="終了予定",$AC247="満了"),"",IF($N247="日前",'設定'!$B$6+$M247,EDATE('設定'!$B$6,$M247)))</f>
        <v/>
      </c>
      <c r="AE247" s="70">
        <f>IF(NOT(ISNUMBER($O247)),"",IF($P247="月額",$O247*12,IF($P247="年額",$O247,"")))</f>
        <v/>
      </c>
      <c r="AF247" s="30">
        <f>MID(IF(AND(ISNUMBER($G247),ISNUMBER($H247)),IF(N($H247)&lt;N($G247)," / 満了日が開始日より前",""),"")&amp;IF(AND($I247="あり",NOT(ISNUMBER($H247)))," / 自動更新ありなのに満了日が空","")&amp;IF(AND($I247="あり",ISNUMBER($H247),NOT(ISNUMBER($J247)))," / 更新期間が空（更新を計算できない）","")&amp;IF($AH247="","",IF(AND(DAY($AH247)&gt;=29,OR(MOD($J247,12)&lt;&gt;0,MONTH($AH247)=2))," / 更新の初日が29〜31日（更新を重ねると満了日が1日ずれることがある。満了日を今の期間の満了日に書き換えると直る）",""))&amp;IF(AND(ISNUMBER($K247),$L247="")," / 通知の単位が空（か月前で計算）","")&amp;IF(AND(ISNUMBER($M247),$N247="")," / 解約予告の単位が空（か月前で計算）","")&amp;IF(AND(ISNUMBER($O247),$P247="")," / 金額の区分が空","")&amp;IF(AND($T247&lt;&gt;"",NOT(ISNUMBER($U247)))," / 対応を決めた日が空","")&amp;IF(AND(ISNUMBER($U247),$T247="")," / 今期の対応が空","")&amp;IF(AND($T247="更新しない",NOT(ISNUMBER($V247)))," / 更新しないなら、解約・終了した日（契約が終わる日）を入れる",""),4,300)</f>
        <v/>
      </c>
      <c r="AG247" s="53" t="n"/>
      <c r="AH247" s="71">
        <f>IF(AND(ISNUMBER($H247),$I247="あり",ISNUMBER($J247)),IF($J247&gt;=1,$H247+1,""),"")</f>
        <v/>
      </c>
      <c r="AI247" s="32">
        <f>IF($AH247="","",(YEAR('設定'!$B$6)-YEAR($AH247))*12+MONTH('設定'!$B$6)-MONTH($AH247))</f>
        <v/>
      </c>
      <c r="AJ247" s="32">
        <f>IF($AH247="","",MAX(1,ROUNDUP($AI247/$J247,0)))</f>
        <v/>
      </c>
      <c r="AK247" s="71">
        <f>IF($AJ247="","",IF(DAY(EDATE($AH247,$AJ247*$J247))&lt;DAY($AH247),EDATE($AH247,$AJ247*$J247),EDATE($AH247,$AJ247*$J247)-1))</f>
        <v/>
      </c>
      <c r="AL247" s="71">
        <f>IF($AJ247="","",IF(DAY(EDATE($AH247,($AJ247+1)*$J247))&lt;DAY($AH247),EDATE($AH247,($AJ247+1)*$J247),EDATE($AH247,($AJ247+1)*$J247)-1))</f>
        <v/>
      </c>
      <c r="AM247" s="71">
        <f>IF($AJ247="","",IF($AJ247=1,$H247,IF(DAY(EDATE($AH247,($AJ247-1)*$J247))&lt;DAY($AH247),EDATE($AH247,($AJ247-1)*$J247),EDATE($AH247,($AJ247-1)*$J247)-1)))</f>
        <v/>
      </c>
      <c r="AN247" s="32">
        <f>IF(NOT(ISNUMBER($H247)),"",IF(OR($AH247="",$H247&gt;='設定'!$B$6),0,IF($AK247&gt;='設定'!$B$6,$AJ247,$AJ247+1)))</f>
        <v/>
      </c>
      <c r="AO247" s="71">
        <f>IF($AN247="","",IF($AN247=0,"",IF($AN247=$AJ247,$AM247,$AK247)))</f>
        <v/>
      </c>
      <c r="AP247" s="32">
        <f>IF(OR($AC247="要対応",$AC247="通知期限切れ",$AC247="確認済み",$AC247="有効",$AC247="終了予定"),1,0)</f>
        <v/>
      </c>
      <c r="AQ247" s="32">
        <f>IF(OR($AC247="要対応",$AC247="通知期限切れ"),1,0)</f>
        <v/>
      </c>
      <c r="AR247" s="72">
        <f>IF(AND(ISNUMBER($AB247),OR($AC247="要対応",$AC247="通知期限切れ",$AC247="確認済み",$AC247="有効")),$AB247+ROW()/100000,"")</f>
        <v/>
      </c>
      <c r="AS247" s="32">
        <f>IF($E247="","",IF(COUNTIF($E$5:$E247,$E247)=1,ROW(),""))</f>
        <v/>
      </c>
      <c r="AT247" s="32">
        <f>IF($S247="","",IF(COUNTIF($S$5:$S247,$S247)=1,ROW(),""))</f>
        <v/>
      </c>
    </row>
    <row r="248" ht="20" customHeight="1">
      <c r="A248" s="20" t="n">
        <v>244</v>
      </c>
      <c r="B248" s="21" t="n"/>
      <c r="C248" s="22" t="n"/>
      <c r="D248" s="22" t="n"/>
      <c r="E248" s="22" t="n"/>
      <c r="F248" s="66" t="n"/>
      <c r="G248" s="66" t="n"/>
      <c r="H248" s="66" t="n"/>
      <c r="I248" s="21" t="n"/>
      <c r="J248" s="24" t="n"/>
      <c r="K248" s="24" t="n"/>
      <c r="L248" s="21" t="n"/>
      <c r="M248" s="24" t="n"/>
      <c r="N248" s="21" t="n"/>
      <c r="O248" s="67" t="n"/>
      <c r="P248" s="21" t="n"/>
      <c r="Q248" s="21" t="n"/>
      <c r="R248" s="22" t="n"/>
      <c r="S248" s="22" t="n"/>
      <c r="T248" s="21" t="n"/>
      <c r="U248" s="66" t="n"/>
      <c r="V248" s="66" t="n"/>
      <c r="W248" s="66" t="n"/>
      <c r="X248" s="8" t="n"/>
      <c r="Y248" s="68">
        <f>IF($AN248="","",IF($AN248=0,$H248,IF($AN248=$AJ248,$AK248,$AL248)))</f>
        <v/>
      </c>
      <c r="Z248" s="68">
        <f>IF(OR($Y248="",NOT(ISNUMBER($K248))),"",IF($L248="日前",$Y248-$K248,EDATE($Y248,-$K248)))</f>
        <v/>
      </c>
      <c r="AA248" s="68">
        <f>IF(OR($Y248="",ISNUMBER($V248),N($Y248)&lt;'設定'!$B$6),"",IF($Z248&lt;&gt;"",$Z248,$Y248))</f>
        <v/>
      </c>
      <c r="AB248" s="69">
        <f>IF($AA248="","",$AA248-'設定'!$B$6)</f>
        <v/>
      </c>
      <c r="AC248" s="28">
        <f>IF(NOT(OR($B248&lt;&gt;"",$C248&lt;&gt;"")),"",IF(ISNUMBER($V248),IF($V248&lt;'設定'!$B$6,"終了","終了予定"),IF($Y248="","有効",IF($Y248&lt;'設定'!$B$6,"満了",IF(AND($T248="更新する",ISNUMBER($U248),N($U248)&lt;='設定'!$B$6,OR($AO248="",N($U248)&gt;N($AO248))),"確認済み",IF($AB248&lt;0,"通知期限切れ",IF($AB248&lt;=N('設定'!$B$7),"要対応","有効")))))))</f>
        <v/>
      </c>
      <c r="AD248" s="68">
        <f>IF(OR(NOT(ISNUMBER($M248)),$AC248="",$AC248="終了",$AC248="終了予定",$AC248="満了"),"",IF($N248="日前",'設定'!$B$6+$M248,EDATE('設定'!$B$6,$M248)))</f>
        <v/>
      </c>
      <c r="AE248" s="70">
        <f>IF(NOT(ISNUMBER($O248)),"",IF($P248="月額",$O248*12,IF($P248="年額",$O248,"")))</f>
        <v/>
      </c>
      <c r="AF248" s="30">
        <f>MID(IF(AND(ISNUMBER($G248),ISNUMBER($H248)),IF(N($H248)&lt;N($G248)," / 満了日が開始日より前",""),"")&amp;IF(AND($I248="あり",NOT(ISNUMBER($H248)))," / 自動更新ありなのに満了日が空","")&amp;IF(AND($I248="あり",ISNUMBER($H248),NOT(ISNUMBER($J248)))," / 更新期間が空（更新を計算できない）","")&amp;IF($AH248="","",IF(AND(DAY($AH248)&gt;=29,OR(MOD($J248,12)&lt;&gt;0,MONTH($AH248)=2))," / 更新の初日が29〜31日（更新を重ねると満了日が1日ずれることがある。満了日を今の期間の満了日に書き換えると直る）",""))&amp;IF(AND(ISNUMBER($K248),$L248="")," / 通知の単位が空（か月前で計算）","")&amp;IF(AND(ISNUMBER($M248),$N248="")," / 解約予告の単位が空（か月前で計算）","")&amp;IF(AND(ISNUMBER($O248),$P248="")," / 金額の区分が空","")&amp;IF(AND($T248&lt;&gt;"",NOT(ISNUMBER($U248)))," / 対応を決めた日が空","")&amp;IF(AND(ISNUMBER($U248),$T248="")," / 今期の対応が空","")&amp;IF(AND($T248="更新しない",NOT(ISNUMBER($V248)))," / 更新しないなら、解約・終了した日（契約が終わる日）を入れる",""),4,300)</f>
        <v/>
      </c>
      <c r="AG248" s="53" t="n"/>
      <c r="AH248" s="71">
        <f>IF(AND(ISNUMBER($H248),$I248="あり",ISNUMBER($J248)),IF($J248&gt;=1,$H248+1,""),"")</f>
        <v/>
      </c>
      <c r="AI248" s="32">
        <f>IF($AH248="","",(YEAR('設定'!$B$6)-YEAR($AH248))*12+MONTH('設定'!$B$6)-MONTH($AH248))</f>
        <v/>
      </c>
      <c r="AJ248" s="32">
        <f>IF($AH248="","",MAX(1,ROUNDUP($AI248/$J248,0)))</f>
        <v/>
      </c>
      <c r="AK248" s="71">
        <f>IF($AJ248="","",IF(DAY(EDATE($AH248,$AJ248*$J248))&lt;DAY($AH248),EDATE($AH248,$AJ248*$J248),EDATE($AH248,$AJ248*$J248)-1))</f>
        <v/>
      </c>
      <c r="AL248" s="71">
        <f>IF($AJ248="","",IF(DAY(EDATE($AH248,($AJ248+1)*$J248))&lt;DAY($AH248),EDATE($AH248,($AJ248+1)*$J248),EDATE($AH248,($AJ248+1)*$J248)-1))</f>
        <v/>
      </c>
      <c r="AM248" s="71">
        <f>IF($AJ248="","",IF($AJ248=1,$H248,IF(DAY(EDATE($AH248,($AJ248-1)*$J248))&lt;DAY($AH248),EDATE($AH248,($AJ248-1)*$J248),EDATE($AH248,($AJ248-1)*$J248)-1)))</f>
        <v/>
      </c>
      <c r="AN248" s="32">
        <f>IF(NOT(ISNUMBER($H248)),"",IF(OR($AH248="",$H248&gt;='設定'!$B$6),0,IF($AK248&gt;='設定'!$B$6,$AJ248,$AJ248+1)))</f>
        <v/>
      </c>
      <c r="AO248" s="71">
        <f>IF($AN248="","",IF($AN248=0,"",IF($AN248=$AJ248,$AM248,$AK248)))</f>
        <v/>
      </c>
      <c r="AP248" s="32">
        <f>IF(OR($AC248="要対応",$AC248="通知期限切れ",$AC248="確認済み",$AC248="有効",$AC248="終了予定"),1,0)</f>
        <v/>
      </c>
      <c r="AQ248" s="32">
        <f>IF(OR($AC248="要対応",$AC248="通知期限切れ"),1,0)</f>
        <v/>
      </c>
      <c r="AR248" s="72">
        <f>IF(AND(ISNUMBER($AB248),OR($AC248="要対応",$AC248="通知期限切れ",$AC248="確認済み",$AC248="有効")),$AB248+ROW()/100000,"")</f>
        <v/>
      </c>
      <c r="AS248" s="32">
        <f>IF($E248="","",IF(COUNTIF($E$5:$E248,$E248)=1,ROW(),""))</f>
        <v/>
      </c>
      <c r="AT248" s="32">
        <f>IF($S248="","",IF(COUNTIF($S$5:$S248,$S248)=1,ROW(),""))</f>
        <v/>
      </c>
    </row>
    <row r="249" ht="20" customHeight="1">
      <c r="A249" s="20" t="n">
        <v>245</v>
      </c>
      <c r="B249" s="21" t="n"/>
      <c r="C249" s="22" t="n"/>
      <c r="D249" s="22" t="n"/>
      <c r="E249" s="22" t="n"/>
      <c r="F249" s="66" t="n"/>
      <c r="G249" s="66" t="n"/>
      <c r="H249" s="66" t="n"/>
      <c r="I249" s="21" t="n"/>
      <c r="J249" s="24" t="n"/>
      <c r="K249" s="24" t="n"/>
      <c r="L249" s="21" t="n"/>
      <c r="M249" s="24" t="n"/>
      <c r="N249" s="21" t="n"/>
      <c r="O249" s="67" t="n"/>
      <c r="P249" s="21" t="n"/>
      <c r="Q249" s="21" t="n"/>
      <c r="R249" s="22" t="n"/>
      <c r="S249" s="22" t="n"/>
      <c r="T249" s="21" t="n"/>
      <c r="U249" s="66" t="n"/>
      <c r="V249" s="66" t="n"/>
      <c r="W249" s="66" t="n"/>
      <c r="X249" s="8" t="n"/>
      <c r="Y249" s="68">
        <f>IF($AN249="","",IF($AN249=0,$H249,IF($AN249=$AJ249,$AK249,$AL249)))</f>
        <v/>
      </c>
      <c r="Z249" s="68">
        <f>IF(OR($Y249="",NOT(ISNUMBER($K249))),"",IF($L249="日前",$Y249-$K249,EDATE($Y249,-$K249)))</f>
        <v/>
      </c>
      <c r="AA249" s="68">
        <f>IF(OR($Y249="",ISNUMBER($V249),N($Y249)&lt;'設定'!$B$6),"",IF($Z249&lt;&gt;"",$Z249,$Y249))</f>
        <v/>
      </c>
      <c r="AB249" s="69">
        <f>IF($AA249="","",$AA249-'設定'!$B$6)</f>
        <v/>
      </c>
      <c r="AC249" s="28">
        <f>IF(NOT(OR($B249&lt;&gt;"",$C249&lt;&gt;"")),"",IF(ISNUMBER($V249),IF($V249&lt;'設定'!$B$6,"終了","終了予定"),IF($Y249="","有効",IF($Y249&lt;'設定'!$B$6,"満了",IF(AND($T249="更新する",ISNUMBER($U249),N($U249)&lt;='設定'!$B$6,OR($AO249="",N($U249)&gt;N($AO249))),"確認済み",IF($AB249&lt;0,"通知期限切れ",IF($AB249&lt;=N('設定'!$B$7),"要対応","有効")))))))</f>
        <v/>
      </c>
      <c r="AD249" s="68">
        <f>IF(OR(NOT(ISNUMBER($M249)),$AC249="",$AC249="終了",$AC249="終了予定",$AC249="満了"),"",IF($N249="日前",'設定'!$B$6+$M249,EDATE('設定'!$B$6,$M249)))</f>
        <v/>
      </c>
      <c r="AE249" s="70">
        <f>IF(NOT(ISNUMBER($O249)),"",IF($P249="月額",$O249*12,IF($P249="年額",$O249,"")))</f>
        <v/>
      </c>
      <c r="AF249" s="30">
        <f>MID(IF(AND(ISNUMBER($G249),ISNUMBER($H249)),IF(N($H249)&lt;N($G249)," / 満了日が開始日より前",""),"")&amp;IF(AND($I249="あり",NOT(ISNUMBER($H249)))," / 自動更新ありなのに満了日が空","")&amp;IF(AND($I249="あり",ISNUMBER($H249),NOT(ISNUMBER($J249)))," / 更新期間が空（更新を計算できない）","")&amp;IF($AH249="","",IF(AND(DAY($AH249)&gt;=29,OR(MOD($J249,12)&lt;&gt;0,MONTH($AH249)=2))," / 更新の初日が29〜31日（更新を重ねると満了日が1日ずれることがある。満了日を今の期間の満了日に書き換えると直る）",""))&amp;IF(AND(ISNUMBER($K249),$L249="")," / 通知の単位が空（か月前で計算）","")&amp;IF(AND(ISNUMBER($M249),$N249="")," / 解約予告の単位が空（か月前で計算）","")&amp;IF(AND(ISNUMBER($O249),$P249="")," / 金額の区分が空","")&amp;IF(AND($T249&lt;&gt;"",NOT(ISNUMBER($U249)))," / 対応を決めた日が空","")&amp;IF(AND(ISNUMBER($U249),$T249="")," / 今期の対応が空","")&amp;IF(AND($T249="更新しない",NOT(ISNUMBER($V249)))," / 更新しないなら、解約・終了した日（契約が終わる日）を入れる",""),4,300)</f>
        <v/>
      </c>
      <c r="AG249" s="53" t="n"/>
      <c r="AH249" s="71">
        <f>IF(AND(ISNUMBER($H249),$I249="あり",ISNUMBER($J249)),IF($J249&gt;=1,$H249+1,""),"")</f>
        <v/>
      </c>
      <c r="AI249" s="32">
        <f>IF($AH249="","",(YEAR('設定'!$B$6)-YEAR($AH249))*12+MONTH('設定'!$B$6)-MONTH($AH249))</f>
        <v/>
      </c>
      <c r="AJ249" s="32">
        <f>IF($AH249="","",MAX(1,ROUNDUP($AI249/$J249,0)))</f>
        <v/>
      </c>
      <c r="AK249" s="71">
        <f>IF($AJ249="","",IF(DAY(EDATE($AH249,$AJ249*$J249))&lt;DAY($AH249),EDATE($AH249,$AJ249*$J249),EDATE($AH249,$AJ249*$J249)-1))</f>
        <v/>
      </c>
      <c r="AL249" s="71">
        <f>IF($AJ249="","",IF(DAY(EDATE($AH249,($AJ249+1)*$J249))&lt;DAY($AH249),EDATE($AH249,($AJ249+1)*$J249),EDATE($AH249,($AJ249+1)*$J249)-1))</f>
        <v/>
      </c>
      <c r="AM249" s="71">
        <f>IF($AJ249="","",IF($AJ249=1,$H249,IF(DAY(EDATE($AH249,($AJ249-1)*$J249))&lt;DAY($AH249),EDATE($AH249,($AJ249-1)*$J249),EDATE($AH249,($AJ249-1)*$J249)-1)))</f>
        <v/>
      </c>
      <c r="AN249" s="32">
        <f>IF(NOT(ISNUMBER($H249)),"",IF(OR($AH249="",$H249&gt;='設定'!$B$6),0,IF($AK249&gt;='設定'!$B$6,$AJ249,$AJ249+1)))</f>
        <v/>
      </c>
      <c r="AO249" s="71">
        <f>IF($AN249="","",IF($AN249=0,"",IF($AN249=$AJ249,$AM249,$AK249)))</f>
        <v/>
      </c>
      <c r="AP249" s="32">
        <f>IF(OR($AC249="要対応",$AC249="通知期限切れ",$AC249="確認済み",$AC249="有効",$AC249="終了予定"),1,0)</f>
        <v/>
      </c>
      <c r="AQ249" s="32">
        <f>IF(OR($AC249="要対応",$AC249="通知期限切れ"),1,0)</f>
        <v/>
      </c>
      <c r="AR249" s="72">
        <f>IF(AND(ISNUMBER($AB249),OR($AC249="要対応",$AC249="通知期限切れ",$AC249="確認済み",$AC249="有効")),$AB249+ROW()/100000,"")</f>
        <v/>
      </c>
      <c r="AS249" s="32">
        <f>IF($E249="","",IF(COUNTIF($E$5:$E249,$E249)=1,ROW(),""))</f>
        <v/>
      </c>
      <c r="AT249" s="32">
        <f>IF($S249="","",IF(COUNTIF($S$5:$S249,$S249)=1,ROW(),""))</f>
        <v/>
      </c>
    </row>
    <row r="250" ht="20" customHeight="1">
      <c r="A250" s="20" t="n">
        <v>246</v>
      </c>
      <c r="B250" s="21" t="n"/>
      <c r="C250" s="22" t="n"/>
      <c r="D250" s="22" t="n"/>
      <c r="E250" s="22" t="n"/>
      <c r="F250" s="66" t="n"/>
      <c r="G250" s="66" t="n"/>
      <c r="H250" s="66" t="n"/>
      <c r="I250" s="21" t="n"/>
      <c r="J250" s="24" t="n"/>
      <c r="K250" s="24" t="n"/>
      <c r="L250" s="21" t="n"/>
      <c r="M250" s="24" t="n"/>
      <c r="N250" s="21" t="n"/>
      <c r="O250" s="67" t="n"/>
      <c r="P250" s="21" t="n"/>
      <c r="Q250" s="21" t="n"/>
      <c r="R250" s="22" t="n"/>
      <c r="S250" s="22" t="n"/>
      <c r="T250" s="21" t="n"/>
      <c r="U250" s="66" t="n"/>
      <c r="V250" s="66" t="n"/>
      <c r="W250" s="66" t="n"/>
      <c r="X250" s="8" t="n"/>
      <c r="Y250" s="68">
        <f>IF($AN250="","",IF($AN250=0,$H250,IF($AN250=$AJ250,$AK250,$AL250)))</f>
        <v/>
      </c>
      <c r="Z250" s="68">
        <f>IF(OR($Y250="",NOT(ISNUMBER($K250))),"",IF($L250="日前",$Y250-$K250,EDATE($Y250,-$K250)))</f>
        <v/>
      </c>
      <c r="AA250" s="68">
        <f>IF(OR($Y250="",ISNUMBER($V250),N($Y250)&lt;'設定'!$B$6),"",IF($Z250&lt;&gt;"",$Z250,$Y250))</f>
        <v/>
      </c>
      <c r="AB250" s="69">
        <f>IF($AA250="","",$AA250-'設定'!$B$6)</f>
        <v/>
      </c>
      <c r="AC250" s="28">
        <f>IF(NOT(OR($B250&lt;&gt;"",$C250&lt;&gt;"")),"",IF(ISNUMBER($V250),IF($V250&lt;'設定'!$B$6,"終了","終了予定"),IF($Y250="","有効",IF($Y250&lt;'設定'!$B$6,"満了",IF(AND($T250="更新する",ISNUMBER($U250),N($U250)&lt;='設定'!$B$6,OR($AO250="",N($U250)&gt;N($AO250))),"確認済み",IF($AB250&lt;0,"通知期限切れ",IF($AB250&lt;=N('設定'!$B$7),"要対応","有効")))))))</f>
        <v/>
      </c>
      <c r="AD250" s="68">
        <f>IF(OR(NOT(ISNUMBER($M250)),$AC250="",$AC250="終了",$AC250="終了予定",$AC250="満了"),"",IF($N250="日前",'設定'!$B$6+$M250,EDATE('設定'!$B$6,$M250)))</f>
        <v/>
      </c>
      <c r="AE250" s="70">
        <f>IF(NOT(ISNUMBER($O250)),"",IF($P250="月額",$O250*12,IF($P250="年額",$O250,"")))</f>
        <v/>
      </c>
      <c r="AF250" s="30">
        <f>MID(IF(AND(ISNUMBER($G250),ISNUMBER($H250)),IF(N($H250)&lt;N($G250)," / 満了日が開始日より前",""),"")&amp;IF(AND($I250="あり",NOT(ISNUMBER($H250)))," / 自動更新ありなのに満了日が空","")&amp;IF(AND($I250="あり",ISNUMBER($H250),NOT(ISNUMBER($J250)))," / 更新期間が空（更新を計算できない）","")&amp;IF($AH250="","",IF(AND(DAY($AH250)&gt;=29,OR(MOD($J250,12)&lt;&gt;0,MONTH($AH250)=2))," / 更新の初日が29〜31日（更新を重ねると満了日が1日ずれることがある。満了日を今の期間の満了日に書き換えると直る）",""))&amp;IF(AND(ISNUMBER($K250),$L250="")," / 通知の単位が空（か月前で計算）","")&amp;IF(AND(ISNUMBER($M250),$N250="")," / 解約予告の単位が空（か月前で計算）","")&amp;IF(AND(ISNUMBER($O250),$P250="")," / 金額の区分が空","")&amp;IF(AND($T250&lt;&gt;"",NOT(ISNUMBER($U250)))," / 対応を決めた日が空","")&amp;IF(AND(ISNUMBER($U250),$T250="")," / 今期の対応が空","")&amp;IF(AND($T250="更新しない",NOT(ISNUMBER($V250)))," / 更新しないなら、解約・終了した日（契約が終わる日）を入れる",""),4,300)</f>
        <v/>
      </c>
      <c r="AG250" s="53" t="n"/>
      <c r="AH250" s="71">
        <f>IF(AND(ISNUMBER($H250),$I250="あり",ISNUMBER($J250)),IF($J250&gt;=1,$H250+1,""),"")</f>
        <v/>
      </c>
      <c r="AI250" s="32">
        <f>IF($AH250="","",(YEAR('設定'!$B$6)-YEAR($AH250))*12+MONTH('設定'!$B$6)-MONTH($AH250))</f>
        <v/>
      </c>
      <c r="AJ250" s="32">
        <f>IF($AH250="","",MAX(1,ROUNDUP($AI250/$J250,0)))</f>
        <v/>
      </c>
      <c r="AK250" s="71">
        <f>IF($AJ250="","",IF(DAY(EDATE($AH250,$AJ250*$J250))&lt;DAY($AH250),EDATE($AH250,$AJ250*$J250),EDATE($AH250,$AJ250*$J250)-1))</f>
        <v/>
      </c>
      <c r="AL250" s="71">
        <f>IF($AJ250="","",IF(DAY(EDATE($AH250,($AJ250+1)*$J250))&lt;DAY($AH250),EDATE($AH250,($AJ250+1)*$J250),EDATE($AH250,($AJ250+1)*$J250)-1))</f>
        <v/>
      </c>
      <c r="AM250" s="71">
        <f>IF($AJ250="","",IF($AJ250=1,$H250,IF(DAY(EDATE($AH250,($AJ250-1)*$J250))&lt;DAY($AH250),EDATE($AH250,($AJ250-1)*$J250),EDATE($AH250,($AJ250-1)*$J250)-1)))</f>
        <v/>
      </c>
      <c r="AN250" s="32">
        <f>IF(NOT(ISNUMBER($H250)),"",IF(OR($AH250="",$H250&gt;='設定'!$B$6),0,IF($AK250&gt;='設定'!$B$6,$AJ250,$AJ250+1)))</f>
        <v/>
      </c>
      <c r="AO250" s="71">
        <f>IF($AN250="","",IF($AN250=0,"",IF($AN250=$AJ250,$AM250,$AK250)))</f>
        <v/>
      </c>
      <c r="AP250" s="32">
        <f>IF(OR($AC250="要対応",$AC250="通知期限切れ",$AC250="確認済み",$AC250="有効",$AC250="終了予定"),1,0)</f>
        <v/>
      </c>
      <c r="AQ250" s="32">
        <f>IF(OR($AC250="要対応",$AC250="通知期限切れ"),1,0)</f>
        <v/>
      </c>
      <c r="AR250" s="72">
        <f>IF(AND(ISNUMBER($AB250),OR($AC250="要対応",$AC250="通知期限切れ",$AC250="確認済み",$AC250="有効")),$AB250+ROW()/100000,"")</f>
        <v/>
      </c>
      <c r="AS250" s="32">
        <f>IF($E250="","",IF(COUNTIF($E$5:$E250,$E250)=1,ROW(),""))</f>
        <v/>
      </c>
      <c r="AT250" s="32">
        <f>IF($S250="","",IF(COUNTIF($S$5:$S250,$S250)=1,ROW(),""))</f>
        <v/>
      </c>
    </row>
    <row r="251" ht="20" customHeight="1">
      <c r="A251" s="20" t="n">
        <v>247</v>
      </c>
      <c r="B251" s="21" t="n"/>
      <c r="C251" s="22" t="n"/>
      <c r="D251" s="22" t="n"/>
      <c r="E251" s="22" t="n"/>
      <c r="F251" s="66" t="n"/>
      <c r="G251" s="66" t="n"/>
      <c r="H251" s="66" t="n"/>
      <c r="I251" s="21" t="n"/>
      <c r="J251" s="24" t="n"/>
      <c r="K251" s="24" t="n"/>
      <c r="L251" s="21" t="n"/>
      <c r="M251" s="24" t="n"/>
      <c r="N251" s="21" t="n"/>
      <c r="O251" s="67" t="n"/>
      <c r="P251" s="21" t="n"/>
      <c r="Q251" s="21" t="n"/>
      <c r="R251" s="22" t="n"/>
      <c r="S251" s="22" t="n"/>
      <c r="T251" s="21" t="n"/>
      <c r="U251" s="66" t="n"/>
      <c r="V251" s="66" t="n"/>
      <c r="W251" s="66" t="n"/>
      <c r="X251" s="8" t="n"/>
      <c r="Y251" s="68">
        <f>IF($AN251="","",IF($AN251=0,$H251,IF($AN251=$AJ251,$AK251,$AL251)))</f>
        <v/>
      </c>
      <c r="Z251" s="68">
        <f>IF(OR($Y251="",NOT(ISNUMBER($K251))),"",IF($L251="日前",$Y251-$K251,EDATE($Y251,-$K251)))</f>
        <v/>
      </c>
      <c r="AA251" s="68">
        <f>IF(OR($Y251="",ISNUMBER($V251),N($Y251)&lt;'設定'!$B$6),"",IF($Z251&lt;&gt;"",$Z251,$Y251))</f>
        <v/>
      </c>
      <c r="AB251" s="69">
        <f>IF($AA251="","",$AA251-'設定'!$B$6)</f>
        <v/>
      </c>
      <c r="AC251" s="28">
        <f>IF(NOT(OR($B251&lt;&gt;"",$C251&lt;&gt;"")),"",IF(ISNUMBER($V251),IF($V251&lt;'設定'!$B$6,"終了","終了予定"),IF($Y251="","有効",IF($Y251&lt;'設定'!$B$6,"満了",IF(AND($T251="更新する",ISNUMBER($U251),N($U251)&lt;='設定'!$B$6,OR($AO251="",N($U251)&gt;N($AO251))),"確認済み",IF($AB251&lt;0,"通知期限切れ",IF($AB251&lt;=N('設定'!$B$7),"要対応","有効")))))))</f>
        <v/>
      </c>
      <c r="AD251" s="68">
        <f>IF(OR(NOT(ISNUMBER($M251)),$AC251="",$AC251="終了",$AC251="終了予定",$AC251="満了"),"",IF($N251="日前",'設定'!$B$6+$M251,EDATE('設定'!$B$6,$M251)))</f>
        <v/>
      </c>
      <c r="AE251" s="70">
        <f>IF(NOT(ISNUMBER($O251)),"",IF($P251="月額",$O251*12,IF($P251="年額",$O251,"")))</f>
        <v/>
      </c>
      <c r="AF251" s="30">
        <f>MID(IF(AND(ISNUMBER($G251),ISNUMBER($H251)),IF(N($H251)&lt;N($G251)," / 満了日が開始日より前",""),"")&amp;IF(AND($I251="あり",NOT(ISNUMBER($H251)))," / 自動更新ありなのに満了日が空","")&amp;IF(AND($I251="あり",ISNUMBER($H251),NOT(ISNUMBER($J251)))," / 更新期間が空（更新を計算できない）","")&amp;IF($AH251="","",IF(AND(DAY($AH251)&gt;=29,OR(MOD($J251,12)&lt;&gt;0,MONTH($AH251)=2))," / 更新の初日が29〜31日（更新を重ねると満了日が1日ずれることがある。満了日を今の期間の満了日に書き換えると直る）",""))&amp;IF(AND(ISNUMBER($K251),$L251="")," / 通知の単位が空（か月前で計算）","")&amp;IF(AND(ISNUMBER($M251),$N251="")," / 解約予告の単位が空（か月前で計算）","")&amp;IF(AND(ISNUMBER($O251),$P251="")," / 金額の区分が空","")&amp;IF(AND($T251&lt;&gt;"",NOT(ISNUMBER($U251)))," / 対応を決めた日が空","")&amp;IF(AND(ISNUMBER($U251),$T251="")," / 今期の対応が空","")&amp;IF(AND($T251="更新しない",NOT(ISNUMBER($V251)))," / 更新しないなら、解約・終了した日（契約が終わる日）を入れる",""),4,300)</f>
        <v/>
      </c>
      <c r="AG251" s="53" t="n"/>
      <c r="AH251" s="71">
        <f>IF(AND(ISNUMBER($H251),$I251="あり",ISNUMBER($J251)),IF($J251&gt;=1,$H251+1,""),"")</f>
        <v/>
      </c>
      <c r="AI251" s="32">
        <f>IF($AH251="","",(YEAR('設定'!$B$6)-YEAR($AH251))*12+MONTH('設定'!$B$6)-MONTH($AH251))</f>
        <v/>
      </c>
      <c r="AJ251" s="32">
        <f>IF($AH251="","",MAX(1,ROUNDUP($AI251/$J251,0)))</f>
        <v/>
      </c>
      <c r="AK251" s="71">
        <f>IF($AJ251="","",IF(DAY(EDATE($AH251,$AJ251*$J251))&lt;DAY($AH251),EDATE($AH251,$AJ251*$J251),EDATE($AH251,$AJ251*$J251)-1))</f>
        <v/>
      </c>
      <c r="AL251" s="71">
        <f>IF($AJ251="","",IF(DAY(EDATE($AH251,($AJ251+1)*$J251))&lt;DAY($AH251),EDATE($AH251,($AJ251+1)*$J251),EDATE($AH251,($AJ251+1)*$J251)-1))</f>
        <v/>
      </c>
      <c r="AM251" s="71">
        <f>IF($AJ251="","",IF($AJ251=1,$H251,IF(DAY(EDATE($AH251,($AJ251-1)*$J251))&lt;DAY($AH251),EDATE($AH251,($AJ251-1)*$J251),EDATE($AH251,($AJ251-1)*$J251)-1)))</f>
        <v/>
      </c>
      <c r="AN251" s="32">
        <f>IF(NOT(ISNUMBER($H251)),"",IF(OR($AH251="",$H251&gt;='設定'!$B$6),0,IF($AK251&gt;='設定'!$B$6,$AJ251,$AJ251+1)))</f>
        <v/>
      </c>
      <c r="AO251" s="71">
        <f>IF($AN251="","",IF($AN251=0,"",IF($AN251=$AJ251,$AM251,$AK251)))</f>
        <v/>
      </c>
      <c r="AP251" s="32">
        <f>IF(OR($AC251="要対応",$AC251="通知期限切れ",$AC251="確認済み",$AC251="有効",$AC251="終了予定"),1,0)</f>
        <v/>
      </c>
      <c r="AQ251" s="32">
        <f>IF(OR($AC251="要対応",$AC251="通知期限切れ"),1,0)</f>
        <v/>
      </c>
      <c r="AR251" s="72">
        <f>IF(AND(ISNUMBER($AB251),OR($AC251="要対応",$AC251="通知期限切れ",$AC251="確認済み",$AC251="有効")),$AB251+ROW()/100000,"")</f>
        <v/>
      </c>
      <c r="AS251" s="32">
        <f>IF($E251="","",IF(COUNTIF($E$5:$E251,$E251)=1,ROW(),""))</f>
        <v/>
      </c>
      <c r="AT251" s="32">
        <f>IF($S251="","",IF(COUNTIF($S$5:$S251,$S251)=1,ROW(),""))</f>
        <v/>
      </c>
    </row>
    <row r="252" ht="20" customHeight="1">
      <c r="A252" s="20" t="n">
        <v>248</v>
      </c>
      <c r="B252" s="21" t="n"/>
      <c r="C252" s="22" t="n"/>
      <c r="D252" s="22" t="n"/>
      <c r="E252" s="22" t="n"/>
      <c r="F252" s="66" t="n"/>
      <c r="G252" s="66" t="n"/>
      <c r="H252" s="66" t="n"/>
      <c r="I252" s="21" t="n"/>
      <c r="J252" s="24" t="n"/>
      <c r="K252" s="24" t="n"/>
      <c r="L252" s="21" t="n"/>
      <c r="M252" s="24" t="n"/>
      <c r="N252" s="21" t="n"/>
      <c r="O252" s="67" t="n"/>
      <c r="P252" s="21" t="n"/>
      <c r="Q252" s="21" t="n"/>
      <c r="R252" s="22" t="n"/>
      <c r="S252" s="22" t="n"/>
      <c r="T252" s="21" t="n"/>
      <c r="U252" s="66" t="n"/>
      <c r="V252" s="66" t="n"/>
      <c r="W252" s="66" t="n"/>
      <c r="X252" s="8" t="n"/>
      <c r="Y252" s="68">
        <f>IF($AN252="","",IF($AN252=0,$H252,IF($AN252=$AJ252,$AK252,$AL252)))</f>
        <v/>
      </c>
      <c r="Z252" s="68">
        <f>IF(OR($Y252="",NOT(ISNUMBER($K252))),"",IF($L252="日前",$Y252-$K252,EDATE($Y252,-$K252)))</f>
        <v/>
      </c>
      <c r="AA252" s="68">
        <f>IF(OR($Y252="",ISNUMBER($V252),N($Y252)&lt;'設定'!$B$6),"",IF($Z252&lt;&gt;"",$Z252,$Y252))</f>
        <v/>
      </c>
      <c r="AB252" s="69">
        <f>IF($AA252="","",$AA252-'設定'!$B$6)</f>
        <v/>
      </c>
      <c r="AC252" s="28">
        <f>IF(NOT(OR($B252&lt;&gt;"",$C252&lt;&gt;"")),"",IF(ISNUMBER($V252),IF($V252&lt;'設定'!$B$6,"終了","終了予定"),IF($Y252="","有効",IF($Y252&lt;'設定'!$B$6,"満了",IF(AND($T252="更新する",ISNUMBER($U252),N($U252)&lt;='設定'!$B$6,OR($AO252="",N($U252)&gt;N($AO252))),"確認済み",IF($AB252&lt;0,"通知期限切れ",IF($AB252&lt;=N('設定'!$B$7),"要対応","有効")))))))</f>
        <v/>
      </c>
      <c r="AD252" s="68">
        <f>IF(OR(NOT(ISNUMBER($M252)),$AC252="",$AC252="終了",$AC252="終了予定",$AC252="満了"),"",IF($N252="日前",'設定'!$B$6+$M252,EDATE('設定'!$B$6,$M252)))</f>
        <v/>
      </c>
      <c r="AE252" s="70">
        <f>IF(NOT(ISNUMBER($O252)),"",IF($P252="月額",$O252*12,IF($P252="年額",$O252,"")))</f>
        <v/>
      </c>
      <c r="AF252" s="30">
        <f>MID(IF(AND(ISNUMBER($G252),ISNUMBER($H252)),IF(N($H252)&lt;N($G252)," / 満了日が開始日より前",""),"")&amp;IF(AND($I252="あり",NOT(ISNUMBER($H252)))," / 自動更新ありなのに満了日が空","")&amp;IF(AND($I252="あり",ISNUMBER($H252),NOT(ISNUMBER($J252)))," / 更新期間が空（更新を計算できない）","")&amp;IF($AH252="","",IF(AND(DAY($AH252)&gt;=29,OR(MOD($J252,12)&lt;&gt;0,MONTH($AH252)=2))," / 更新の初日が29〜31日（更新を重ねると満了日が1日ずれることがある。満了日を今の期間の満了日に書き換えると直る）",""))&amp;IF(AND(ISNUMBER($K252),$L252="")," / 通知の単位が空（か月前で計算）","")&amp;IF(AND(ISNUMBER($M252),$N252="")," / 解約予告の単位が空（か月前で計算）","")&amp;IF(AND(ISNUMBER($O252),$P252="")," / 金額の区分が空","")&amp;IF(AND($T252&lt;&gt;"",NOT(ISNUMBER($U252)))," / 対応を決めた日が空","")&amp;IF(AND(ISNUMBER($U252),$T252="")," / 今期の対応が空","")&amp;IF(AND($T252="更新しない",NOT(ISNUMBER($V252)))," / 更新しないなら、解約・終了した日（契約が終わる日）を入れる",""),4,300)</f>
        <v/>
      </c>
      <c r="AG252" s="53" t="n"/>
      <c r="AH252" s="71">
        <f>IF(AND(ISNUMBER($H252),$I252="あり",ISNUMBER($J252)),IF($J252&gt;=1,$H252+1,""),"")</f>
        <v/>
      </c>
      <c r="AI252" s="32">
        <f>IF($AH252="","",(YEAR('設定'!$B$6)-YEAR($AH252))*12+MONTH('設定'!$B$6)-MONTH($AH252))</f>
        <v/>
      </c>
      <c r="AJ252" s="32">
        <f>IF($AH252="","",MAX(1,ROUNDUP($AI252/$J252,0)))</f>
        <v/>
      </c>
      <c r="AK252" s="71">
        <f>IF($AJ252="","",IF(DAY(EDATE($AH252,$AJ252*$J252))&lt;DAY($AH252),EDATE($AH252,$AJ252*$J252),EDATE($AH252,$AJ252*$J252)-1))</f>
        <v/>
      </c>
      <c r="AL252" s="71">
        <f>IF($AJ252="","",IF(DAY(EDATE($AH252,($AJ252+1)*$J252))&lt;DAY($AH252),EDATE($AH252,($AJ252+1)*$J252),EDATE($AH252,($AJ252+1)*$J252)-1))</f>
        <v/>
      </c>
      <c r="AM252" s="71">
        <f>IF($AJ252="","",IF($AJ252=1,$H252,IF(DAY(EDATE($AH252,($AJ252-1)*$J252))&lt;DAY($AH252),EDATE($AH252,($AJ252-1)*$J252),EDATE($AH252,($AJ252-1)*$J252)-1)))</f>
        <v/>
      </c>
      <c r="AN252" s="32">
        <f>IF(NOT(ISNUMBER($H252)),"",IF(OR($AH252="",$H252&gt;='設定'!$B$6),0,IF($AK252&gt;='設定'!$B$6,$AJ252,$AJ252+1)))</f>
        <v/>
      </c>
      <c r="AO252" s="71">
        <f>IF($AN252="","",IF($AN252=0,"",IF($AN252=$AJ252,$AM252,$AK252)))</f>
        <v/>
      </c>
      <c r="AP252" s="32">
        <f>IF(OR($AC252="要対応",$AC252="通知期限切れ",$AC252="確認済み",$AC252="有効",$AC252="終了予定"),1,0)</f>
        <v/>
      </c>
      <c r="AQ252" s="32">
        <f>IF(OR($AC252="要対応",$AC252="通知期限切れ"),1,0)</f>
        <v/>
      </c>
      <c r="AR252" s="72">
        <f>IF(AND(ISNUMBER($AB252),OR($AC252="要対応",$AC252="通知期限切れ",$AC252="確認済み",$AC252="有効")),$AB252+ROW()/100000,"")</f>
        <v/>
      </c>
      <c r="AS252" s="32">
        <f>IF($E252="","",IF(COUNTIF($E$5:$E252,$E252)=1,ROW(),""))</f>
        <v/>
      </c>
      <c r="AT252" s="32">
        <f>IF($S252="","",IF(COUNTIF($S$5:$S252,$S252)=1,ROW(),""))</f>
        <v/>
      </c>
    </row>
    <row r="253" ht="20" customHeight="1">
      <c r="A253" s="20" t="n">
        <v>249</v>
      </c>
      <c r="B253" s="21" t="n"/>
      <c r="C253" s="22" t="n"/>
      <c r="D253" s="22" t="n"/>
      <c r="E253" s="22" t="n"/>
      <c r="F253" s="66" t="n"/>
      <c r="G253" s="66" t="n"/>
      <c r="H253" s="66" t="n"/>
      <c r="I253" s="21" t="n"/>
      <c r="J253" s="24" t="n"/>
      <c r="K253" s="24" t="n"/>
      <c r="L253" s="21" t="n"/>
      <c r="M253" s="24" t="n"/>
      <c r="N253" s="21" t="n"/>
      <c r="O253" s="67" t="n"/>
      <c r="P253" s="21" t="n"/>
      <c r="Q253" s="21" t="n"/>
      <c r="R253" s="22" t="n"/>
      <c r="S253" s="22" t="n"/>
      <c r="T253" s="21" t="n"/>
      <c r="U253" s="66" t="n"/>
      <c r="V253" s="66" t="n"/>
      <c r="W253" s="66" t="n"/>
      <c r="X253" s="8" t="n"/>
      <c r="Y253" s="68">
        <f>IF($AN253="","",IF($AN253=0,$H253,IF($AN253=$AJ253,$AK253,$AL253)))</f>
        <v/>
      </c>
      <c r="Z253" s="68">
        <f>IF(OR($Y253="",NOT(ISNUMBER($K253))),"",IF($L253="日前",$Y253-$K253,EDATE($Y253,-$K253)))</f>
        <v/>
      </c>
      <c r="AA253" s="68">
        <f>IF(OR($Y253="",ISNUMBER($V253),N($Y253)&lt;'設定'!$B$6),"",IF($Z253&lt;&gt;"",$Z253,$Y253))</f>
        <v/>
      </c>
      <c r="AB253" s="69">
        <f>IF($AA253="","",$AA253-'設定'!$B$6)</f>
        <v/>
      </c>
      <c r="AC253" s="28">
        <f>IF(NOT(OR($B253&lt;&gt;"",$C253&lt;&gt;"")),"",IF(ISNUMBER($V253),IF($V253&lt;'設定'!$B$6,"終了","終了予定"),IF($Y253="","有効",IF($Y253&lt;'設定'!$B$6,"満了",IF(AND($T253="更新する",ISNUMBER($U253),N($U253)&lt;='設定'!$B$6,OR($AO253="",N($U253)&gt;N($AO253))),"確認済み",IF($AB253&lt;0,"通知期限切れ",IF($AB253&lt;=N('設定'!$B$7),"要対応","有効")))))))</f>
        <v/>
      </c>
      <c r="AD253" s="68">
        <f>IF(OR(NOT(ISNUMBER($M253)),$AC253="",$AC253="終了",$AC253="終了予定",$AC253="満了"),"",IF($N253="日前",'設定'!$B$6+$M253,EDATE('設定'!$B$6,$M253)))</f>
        <v/>
      </c>
      <c r="AE253" s="70">
        <f>IF(NOT(ISNUMBER($O253)),"",IF($P253="月額",$O253*12,IF($P253="年額",$O253,"")))</f>
        <v/>
      </c>
      <c r="AF253" s="30">
        <f>MID(IF(AND(ISNUMBER($G253),ISNUMBER($H253)),IF(N($H253)&lt;N($G253)," / 満了日が開始日より前",""),"")&amp;IF(AND($I253="あり",NOT(ISNUMBER($H253)))," / 自動更新ありなのに満了日が空","")&amp;IF(AND($I253="あり",ISNUMBER($H253),NOT(ISNUMBER($J253)))," / 更新期間が空（更新を計算できない）","")&amp;IF($AH253="","",IF(AND(DAY($AH253)&gt;=29,OR(MOD($J253,12)&lt;&gt;0,MONTH($AH253)=2))," / 更新の初日が29〜31日（更新を重ねると満了日が1日ずれることがある。満了日を今の期間の満了日に書き換えると直る）",""))&amp;IF(AND(ISNUMBER($K253),$L253="")," / 通知の単位が空（か月前で計算）","")&amp;IF(AND(ISNUMBER($M253),$N253="")," / 解約予告の単位が空（か月前で計算）","")&amp;IF(AND(ISNUMBER($O253),$P253="")," / 金額の区分が空","")&amp;IF(AND($T253&lt;&gt;"",NOT(ISNUMBER($U253)))," / 対応を決めた日が空","")&amp;IF(AND(ISNUMBER($U253),$T253="")," / 今期の対応が空","")&amp;IF(AND($T253="更新しない",NOT(ISNUMBER($V253)))," / 更新しないなら、解約・終了した日（契約が終わる日）を入れる",""),4,300)</f>
        <v/>
      </c>
      <c r="AG253" s="53" t="n"/>
      <c r="AH253" s="71">
        <f>IF(AND(ISNUMBER($H253),$I253="あり",ISNUMBER($J253)),IF($J253&gt;=1,$H253+1,""),"")</f>
        <v/>
      </c>
      <c r="AI253" s="32">
        <f>IF($AH253="","",(YEAR('設定'!$B$6)-YEAR($AH253))*12+MONTH('設定'!$B$6)-MONTH($AH253))</f>
        <v/>
      </c>
      <c r="AJ253" s="32">
        <f>IF($AH253="","",MAX(1,ROUNDUP($AI253/$J253,0)))</f>
        <v/>
      </c>
      <c r="AK253" s="71">
        <f>IF($AJ253="","",IF(DAY(EDATE($AH253,$AJ253*$J253))&lt;DAY($AH253),EDATE($AH253,$AJ253*$J253),EDATE($AH253,$AJ253*$J253)-1))</f>
        <v/>
      </c>
      <c r="AL253" s="71">
        <f>IF($AJ253="","",IF(DAY(EDATE($AH253,($AJ253+1)*$J253))&lt;DAY($AH253),EDATE($AH253,($AJ253+1)*$J253),EDATE($AH253,($AJ253+1)*$J253)-1))</f>
        <v/>
      </c>
      <c r="AM253" s="71">
        <f>IF($AJ253="","",IF($AJ253=1,$H253,IF(DAY(EDATE($AH253,($AJ253-1)*$J253))&lt;DAY($AH253),EDATE($AH253,($AJ253-1)*$J253),EDATE($AH253,($AJ253-1)*$J253)-1)))</f>
        <v/>
      </c>
      <c r="AN253" s="32">
        <f>IF(NOT(ISNUMBER($H253)),"",IF(OR($AH253="",$H253&gt;='設定'!$B$6),0,IF($AK253&gt;='設定'!$B$6,$AJ253,$AJ253+1)))</f>
        <v/>
      </c>
      <c r="AO253" s="71">
        <f>IF($AN253="","",IF($AN253=0,"",IF($AN253=$AJ253,$AM253,$AK253)))</f>
        <v/>
      </c>
      <c r="AP253" s="32">
        <f>IF(OR($AC253="要対応",$AC253="通知期限切れ",$AC253="確認済み",$AC253="有効",$AC253="終了予定"),1,0)</f>
        <v/>
      </c>
      <c r="AQ253" s="32">
        <f>IF(OR($AC253="要対応",$AC253="通知期限切れ"),1,0)</f>
        <v/>
      </c>
      <c r="AR253" s="72">
        <f>IF(AND(ISNUMBER($AB253),OR($AC253="要対応",$AC253="通知期限切れ",$AC253="確認済み",$AC253="有効")),$AB253+ROW()/100000,"")</f>
        <v/>
      </c>
      <c r="AS253" s="32">
        <f>IF($E253="","",IF(COUNTIF($E$5:$E253,$E253)=1,ROW(),""))</f>
        <v/>
      </c>
      <c r="AT253" s="32">
        <f>IF($S253="","",IF(COUNTIF($S$5:$S253,$S253)=1,ROW(),""))</f>
        <v/>
      </c>
    </row>
    <row r="254" ht="20" customHeight="1">
      <c r="A254" s="20" t="n">
        <v>250</v>
      </c>
      <c r="B254" s="21" t="n"/>
      <c r="C254" s="22" t="n"/>
      <c r="D254" s="22" t="n"/>
      <c r="E254" s="22" t="n"/>
      <c r="F254" s="66" t="n"/>
      <c r="G254" s="66" t="n"/>
      <c r="H254" s="66" t="n"/>
      <c r="I254" s="21" t="n"/>
      <c r="J254" s="24" t="n"/>
      <c r="K254" s="24" t="n"/>
      <c r="L254" s="21" t="n"/>
      <c r="M254" s="24" t="n"/>
      <c r="N254" s="21" t="n"/>
      <c r="O254" s="67" t="n"/>
      <c r="P254" s="21" t="n"/>
      <c r="Q254" s="21" t="n"/>
      <c r="R254" s="22" t="n"/>
      <c r="S254" s="22" t="n"/>
      <c r="T254" s="21" t="n"/>
      <c r="U254" s="66" t="n"/>
      <c r="V254" s="66" t="n"/>
      <c r="W254" s="66" t="n"/>
      <c r="X254" s="8" t="n"/>
      <c r="Y254" s="68">
        <f>IF($AN254="","",IF($AN254=0,$H254,IF($AN254=$AJ254,$AK254,$AL254)))</f>
        <v/>
      </c>
      <c r="Z254" s="68">
        <f>IF(OR($Y254="",NOT(ISNUMBER($K254))),"",IF($L254="日前",$Y254-$K254,EDATE($Y254,-$K254)))</f>
        <v/>
      </c>
      <c r="AA254" s="68">
        <f>IF(OR($Y254="",ISNUMBER($V254),N($Y254)&lt;'設定'!$B$6),"",IF($Z254&lt;&gt;"",$Z254,$Y254))</f>
        <v/>
      </c>
      <c r="AB254" s="69">
        <f>IF($AA254="","",$AA254-'設定'!$B$6)</f>
        <v/>
      </c>
      <c r="AC254" s="28">
        <f>IF(NOT(OR($B254&lt;&gt;"",$C254&lt;&gt;"")),"",IF(ISNUMBER($V254),IF($V254&lt;'設定'!$B$6,"終了","終了予定"),IF($Y254="","有効",IF($Y254&lt;'設定'!$B$6,"満了",IF(AND($T254="更新する",ISNUMBER($U254),N($U254)&lt;='設定'!$B$6,OR($AO254="",N($U254)&gt;N($AO254))),"確認済み",IF($AB254&lt;0,"通知期限切れ",IF($AB254&lt;=N('設定'!$B$7),"要対応","有効")))))))</f>
        <v/>
      </c>
      <c r="AD254" s="68">
        <f>IF(OR(NOT(ISNUMBER($M254)),$AC254="",$AC254="終了",$AC254="終了予定",$AC254="満了"),"",IF($N254="日前",'設定'!$B$6+$M254,EDATE('設定'!$B$6,$M254)))</f>
        <v/>
      </c>
      <c r="AE254" s="70">
        <f>IF(NOT(ISNUMBER($O254)),"",IF($P254="月額",$O254*12,IF($P254="年額",$O254,"")))</f>
        <v/>
      </c>
      <c r="AF254" s="30">
        <f>MID(IF(AND(ISNUMBER($G254),ISNUMBER($H254)),IF(N($H254)&lt;N($G254)," / 満了日が開始日より前",""),"")&amp;IF(AND($I254="あり",NOT(ISNUMBER($H254)))," / 自動更新ありなのに満了日が空","")&amp;IF(AND($I254="あり",ISNUMBER($H254),NOT(ISNUMBER($J254)))," / 更新期間が空（更新を計算できない）","")&amp;IF($AH254="","",IF(AND(DAY($AH254)&gt;=29,OR(MOD($J254,12)&lt;&gt;0,MONTH($AH254)=2))," / 更新の初日が29〜31日（更新を重ねると満了日が1日ずれることがある。満了日を今の期間の満了日に書き換えると直る）",""))&amp;IF(AND(ISNUMBER($K254),$L254="")," / 通知の単位が空（か月前で計算）","")&amp;IF(AND(ISNUMBER($M254),$N254="")," / 解約予告の単位が空（か月前で計算）","")&amp;IF(AND(ISNUMBER($O254),$P254="")," / 金額の区分が空","")&amp;IF(AND($T254&lt;&gt;"",NOT(ISNUMBER($U254)))," / 対応を決めた日が空","")&amp;IF(AND(ISNUMBER($U254),$T254="")," / 今期の対応が空","")&amp;IF(AND($T254="更新しない",NOT(ISNUMBER($V254)))," / 更新しないなら、解約・終了した日（契約が終わる日）を入れる",""),4,300)</f>
        <v/>
      </c>
      <c r="AG254" s="53" t="n"/>
      <c r="AH254" s="71">
        <f>IF(AND(ISNUMBER($H254),$I254="あり",ISNUMBER($J254)),IF($J254&gt;=1,$H254+1,""),"")</f>
        <v/>
      </c>
      <c r="AI254" s="32">
        <f>IF($AH254="","",(YEAR('設定'!$B$6)-YEAR($AH254))*12+MONTH('設定'!$B$6)-MONTH($AH254))</f>
        <v/>
      </c>
      <c r="AJ254" s="32">
        <f>IF($AH254="","",MAX(1,ROUNDUP($AI254/$J254,0)))</f>
        <v/>
      </c>
      <c r="AK254" s="71">
        <f>IF($AJ254="","",IF(DAY(EDATE($AH254,$AJ254*$J254))&lt;DAY($AH254),EDATE($AH254,$AJ254*$J254),EDATE($AH254,$AJ254*$J254)-1))</f>
        <v/>
      </c>
      <c r="AL254" s="71">
        <f>IF($AJ254="","",IF(DAY(EDATE($AH254,($AJ254+1)*$J254))&lt;DAY($AH254),EDATE($AH254,($AJ254+1)*$J254),EDATE($AH254,($AJ254+1)*$J254)-1))</f>
        <v/>
      </c>
      <c r="AM254" s="71">
        <f>IF($AJ254="","",IF($AJ254=1,$H254,IF(DAY(EDATE($AH254,($AJ254-1)*$J254))&lt;DAY($AH254),EDATE($AH254,($AJ254-1)*$J254),EDATE($AH254,($AJ254-1)*$J254)-1)))</f>
        <v/>
      </c>
      <c r="AN254" s="32">
        <f>IF(NOT(ISNUMBER($H254)),"",IF(OR($AH254="",$H254&gt;='設定'!$B$6),0,IF($AK254&gt;='設定'!$B$6,$AJ254,$AJ254+1)))</f>
        <v/>
      </c>
      <c r="AO254" s="71">
        <f>IF($AN254="","",IF($AN254=0,"",IF($AN254=$AJ254,$AM254,$AK254)))</f>
        <v/>
      </c>
      <c r="AP254" s="32">
        <f>IF(OR($AC254="要対応",$AC254="通知期限切れ",$AC254="確認済み",$AC254="有効",$AC254="終了予定"),1,0)</f>
        <v/>
      </c>
      <c r="AQ254" s="32">
        <f>IF(OR($AC254="要対応",$AC254="通知期限切れ"),1,0)</f>
        <v/>
      </c>
      <c r="AR254" s="72">
        <f>IF(AND(ISNUMBER($AB254),OR($AC254="要対応",$AC254="通知期限切れ",$AC254="確認済み",$AC254="有効")),$AB254+ROW()/100000,"")</f>
        <v/>
      </c>
      <c r="AS254" s="32">
        <f>IF($E254="","",IF(COUNTIF($E$5:$E254,$E254)=1,ROW(),""))</f>
        <v/>
      </c>
      <c r="AT254" s="32">
        <f>IF($S254="","",IF(COUNTIF($S$5:$S254,$S254)=1,ROW(),""))</f>
        <v/>
      </c>
    </row>
    <row r="255" ht="20" customHeight="1">
      <c r="A255" s="20" t="n">
        <v>251</v>
      </c>
      <c r="B255" s="21" t="n"/>
      <c r="C255" s="22" t="n"/>
      <c r="D255" s="22" t="n"/>
      <c r="E255" s="22" t="n"/>
      <c r="F255" s="66" t="n"/>
      <c r="G255" s="66" t="n"/>
      <c r="H255" s="66" t="n"/>
      <c r="I255" s="21" t="n"/>
      <c r="J255" s="24" t="n"/>
      <c r="K255" s="24" t="n"/>
      <c r="L255" s="21" t="n"/>
      <c r="M255" s="24" t="n"/>
      <c r="N255" s="21" t="n"/>
      <c r="O255" s="67" t="n"/>
      <c r="P255" s="21" t="n"/>
      <c r="Q255" s="21" t="n"/>
      <c r="R255" s="22" t="n"/>
      <c r="S255" s="22" t="n"/>
      <c r="T255" s="21" t="n"/>
      <c r="U255" s="66" t="n"/>
      <c r="V255" s="66" t="n"/>
      <c r="W255" s="66" t="n"/>
      <c r="X255" s="8" t="n"/>
      <c r="Y255" s="68">
        <f>IF($AN255="","",IF($AN255=0,$H255,IF($AN255=$AJ255,$AK255,$AL255)))</f>
        <v/>
      </c>
      <c r="Z255" s="68">
        <f>IF(OR($Y255="",NOT(ISNUMBER($K255))),"",IF($L255="日前",$Y255-$K255,EDATE($Y255,-$K255)))</f>
        <v/>
      </c>
      <c r="AA255" s="68">
        <f>IF(OR($Y255="",ISNUMBER($V255),N($Y255)&lt;'設定'!$B$6),"",IF($Z255&lt;&gt;"",$Z255,$Y255))</f>
        <v/>
      </c>
      <c r="AB255" s="69">
        <f>IF($AA255="","",$AA255-'設定'!$B$6)</f>
        <v/>
      </c>
      <c r="AC255" s="28">
        <f>IF(NOT(OR($B255&lt;&gt;"",$C255&lt;&gt;"")),"",IF(ISNUMBER($V255),IF($V255&lt;'設定'!$B$6,"終了","終了予定"),IF($Y255="","有効",IF($Y255&lt;'設定'!$B$6,"満了",IF(AND($T255="更新する",ISNUMBER($U255),N($U255)&lt;='設定'!$B$6,OR($AO255="",N($U255)&gt;N($AO255))),"確認済み",IF($AB255&lt;0,"通知期限切れ",IF($AB255&lt;=N('設定'!$B$7),"要対応","有効")))))))</f>
        <v/>
      </c>
      <c r="AD255" s="68">
        <f>IF(OR(NOT(ISNUMBER($M255)),$AC255="",$AC255="終了",$AC255="終了予定",$AC255="満了"),"",IF($N255="日前",'設定'!$B$6+$M255,EDATE('設定'!$B$6,$M255)))</f>
        <v/>
      </c>
      <c r="AE255" s="70">
        <f>IF(NOT(ISNUMBER($O255)),"",IF($P255="月額",$O255*12,IF($P255="年額",$O255,"")))</f>
        <v/>
      </c>
      <c r="AF255" s="30">
        <f>MID(IF(AND(ISNUMBER($G255),ISNUMBER($H255)),IF(N($H255)&lt;N($G255)," / 満了日が開始日より前",""),"")&amp;IF(AND($I255="あり",NOT(ISNUMBER($H255)))," / 自動更新ありなのに満了日が空","")&amp;IF(AND($I255="あり",ISNUMBER($H255),NOT(ISNUMBER($J255)))," / 更新期間が空（更新を計算できない）","")&amp;IF($AH255="","",IF(AND(DAY($AH255)&gt;=29,OR(MOD($J255,12)&lt;&gt;0,MONTH($AH255)=2))," / 更新の初日が29〜31日（更新を重ねると満了日が1日ずれることがある。満了日を今の期間の満了日に書き換えると直る）",""))&amp;IF(AND(ISNUMBER($K255),$L255="")," / 通知の単位が空（か月前で計算）","")&amp;IF(AND(ISNUMBER($M255),$N255="")," / 解約予告の単位が空（か月前で計算）","")&amp;IF(AND(ISNUMBER($O255),$P255="")," / 金額の区分が空","")&amp;IF(AND($T255&lt;&gt;"",NOT(ISNUMBER($U255)))," / 対応を決めた日が空","")&amp;IF(AND(ISNUMBER($U255),$T255="")," / 今期の対応が空","")&amp;IF(AND($T255="更新しない",NOT(ISNUMBER($V255)))," / 更新しないなら、解約・終了した日（契約が終わる日）を入れる",""),4,300)</f>
        <v/>
      </c>
      <c r="AG255" s="53" t="n"/>
      <c r="AH255" s="71">
        <f>IF(AND(ISNUMBER($H255),$I255="あり",ISNUMBER($J255)),IF($J255&gt;=1,$H255+1,""),"")</f>
        <v/>
      </c>
      <c r="AI255" s="32">
        <f>IF($AH255="","",(YEAR('設定'!$B$6)-YEAR($AH255))*12+MONTH('設定'!$B$6)-MONTH($AH255))</f>
        <v/>
      </c>
      <c r="AJ255" s="32">
        <f>IF($AH255="","",MAX(1,ROUNDUP($AI255/$J255,0)))</f>
        <v/>
      </c>
      <c r="AK255" s="71">
        <f>IF($AJ255="","",IF(DAY(EDATE($AH255,$AJ255*$J255))&lt;DAY($AH255),EDATE($AH255,$AJ255*$J255),EDATE($AH255,$AJ255*$J255)-1))</f>
        <v/>
      </c>
      <c r="AL255" s="71">
        <f>IF($AJ255="","",IF(DAY(EDATE($AH255,($AJ255+1)*$J255))&lt;DAY($AH255),EDATE($AH255,($AJ255+1)*$J255),EDATE($AH255,($AJ255+1)*$J255)-1))</f>
        <v/>
      </c>
      <c r="AM255" s="71">
        <f>IF($AJ255="","",IF($AJ255=1,$H255,IF(DAY(EDATE($AH255,($AJ255-1)*$J255))&lt;DAY($AH255),EDATE($AH255,($AJ255-1)*$J255),EDATE($AH255,($AJ255-1)*$J255)-1)))</f>
        <v/>
      </c>
      <c r="AN255" s="32">
        <f>IF(NOT(ISNUMBER($H255)),"",IF(OR($AH255="",$H255&gt;='設定'!$B$6),0,IF($AK255&gt;='設定'!$B$6,$AJ255,$AJ255+1)))</f>
        <v/>
      </c>
      <c r="AO255" s="71">
        <f>IF($AN255="","",IF($AN255=0,"",IF($AN255=$AJ255,$AM255,$AK255)))</f>
        <v/>
      </c>
      <c r="AP255" s="32">
        <f>IF(OR($AC255="要対応",$AC255="通知期限切れ",$AC255="確認済み",$AC255="有効",$AC255="終了予定"),1,0)</f>
        <v/>
      </c>
      <c r="AQ255" s="32">
        <f>IF(OR($AC255="要対応",$AC255="通知期限切れ"),1,0)</f>
        <v/>
      </c>
      <c r="AR255" s="72">
        <f>IF(AND(ISNUMBER($AB255),OR($AC255="要対応",$AC255="通知期限切れ",$AC255="確認済み",$AC255="有効")),$AB255+ROW()/100000,"")</f>
        <v/>
      </c>
      <c r="AS255" s="32">
        <f>IF($E255="","",IF(COUNTIF($E$5:$E255,$E255)=1,ROW(),""))</f>
        <v/>
      </c>
      <c r="AT255" s="32">
        <f>IF($S255="","",IF(COUNTIF($S$5:$S255,$S255)=1,ROW(),""))</f>
        <v/>
      </c>
    </row>
    <row r="256" ht="20" customHeight="1">
      <c r="A256" s="20" t="n">
        <v>252</v>
      </c>
      <c r="B256" s="21" t="n"/>
      <c r="C256" s="22" t="n"/>
      <c r="D256" s="22" t="n"/>
      <c r="E256" s="22" t="n"/>
      <c r="F256" s="66" t="n"/>
      <c r="G256" s="66" t="n"/>
      <c r="H256" s="66" t="n"/>
      <c r="I256" s="21" t="n"/>
      <c r="J256" s="24" t="n"/>
      <c r="K256" s="24" t="n"/>
      <c r="L256" s="21" t="n"/>
      <c r="M256" s="24" t="n"/>
      <c r="N256" s="21" t="n"/>
      <c r="O256" s="67" t="n"/>
      <c r="P256" s="21" t="n"/>
      <c r="Q256" s="21" t="n"/>
      <c r="R256" s="22" t="n"/>
      <c r="S256" s="22" t="n"/>
      <c r="T256" s="21" t="n"/>
      <c r="U256" s="66" t="n"/>
      <c r="V256" s="66" t="n"/>
      <c r="W256" s="66" t="n"/>
      <c r="X256" s="8" t="n"/>
      <c r="Y256" s="68">
        <f>IF($AN256="","",IF($AN256=0,$H256,IF($AN256=$AJ256,$AK256,$AL256)))</f>
        <v/>
      </c>
      <c r="Z256" s="68">
        <f>IF(OR($Y256="",NOT(ISNUMBER($K256))),"",IF($L256="日前",$Y256-$K256,EDATE($Y256,-$K256)))</f>
        <v/>
      </c>
      <c r="AA256" s="68">
        <f>IF(OR($Y256="",ISNUMBER($V256),N($Y256)&lt;'設定'!$B$6),"",IF($Z256&lt;&gt;"",$Z256,$Y256))</f>
        <v/>
      </c>
      <c r="AB256" s="69">
        <f>IF($AA256="","",$AA256-'設定'!$B$6)</f>
        <v/>
      </c>
      <c r="AC256" s="28">
        <f>IF(NOT(OR($B256&lt;&gt;"",$C256&lt;&gt;"")),"",IF(ISNUMBER($V256),IF($V256&lt;'設定'!$B$6,"終了","終了予定"),IF($Y256="","有効",IF($Y256&lt;'設定'!$B$6,"満了",IF(AND($T256="更新する",ISNUMBER($U256),N($U256)&lt;='設定'!$B$6,OR($AO256="",N($U256)&gt;N($AO256))),"確認済み",IF($AB256&lt;0,"通知期限切れ",IF($AB256&lt;=N('設定'!$B$7),"要対応","有効")))))))</f>
        <v/>
      </c>
      <c r="AD256" s="68">
        <f>IF(OR(NOT(ISNUMBER($M256)),$AC256="",$AC256="終了",$AC256="終了予定",$AC256="満了"),"",IF($N256="日前",'設定'!$B$6+$M256,EDATE('設定'!$B$6,$M256)))</f>
        <v/>
      </c>
      <c r="AE256" s="70">
        <f>IF(NOT(ISNUMBER($O256)),"",IF($P256="月額",$O256*12,IF($P256="年額",$O256,"")))</f>
        <v/>
      </c>
      <c r="AF256" s="30">
        <f>MID(IF(AND(ISNUMBER($G256),ISNUMBER($H256)),IF(N($H256)&lt;N($G256)," / 満了日が開始日より前",""),"")&amp;IF(AND($I256="あり",NOT(ISNUMBER($H256)))," / 自動更新ありなのに満了日が空","")&amp;IF(AND($I256="あり",ISNUMBER($H256),NOT(ISNUMBER($J256)))," / 更新期間が空（更新を計算できない）","")&amp;IF($AH256="","",IF(AND(DAY($AH256)&gt;=29,OR(MOD($J256,12)&lt;&gt;0,MONTH($AH256)=2))," / 更新の初日が29〜31日（更新を重ねると満了日が1日ずれることがある。満了日を今の期間の満了日に書き換えると直る）",""))&amp;IF(AND(ISNUMBER($K256),$L256="")," / 通知の単位が空（か月前で計算）","")&amp;IF(AND(ISNUMBER($M256),$N256="")," / 解約予告の単位が空（か月前で計算）","")&amp;IF(AND(ISNUMBER($O256),$P256="")," / 金額の区分が空","")&amp;IF(AND($T256&lt;&gt;"",NOT(ISNUMBER($U256)))," / 対応を決めた日が空","")&amp;IF(AND(ISNUMBER($U256),$T256="")," / 今期の対応が空","")&amp;IF(AND($T256="更新しない",NOT(ISNUMBER($V256)))," / 更新しないなら、解約・終了した日（契約が終わる日）を入れる",""),4,300)</f>
        <v/>
      </c>
      <c r="AG256" s="53" t="n"/>
      <c r="AH256" s="71">
        <f>IF(AND(ISNUMBER($H256),$I256="あり",ISNUMBER($J256)),IF($J256&gt;=1,$H256+1,""),"")</f>
        <v/>
      </c>
      <c r="AI256" s="32">
        <f>IF($AH256="","",(YEAR('設定'!$B$6)-YEAR($AH256))*12+MONTH('設定'!$B$6)-MONTH($AH256))</f>
        <v/>
      </c>
      <c r="AJ256" s="32">
        <f>IF($AH256="","",MAX(1,ROUNDUP($AI256/$J256,0)))</f>
        <v/>
      </c>
      <c r="AK256" s="71">
        <f>IF($AJ256="","",IF(DAY(EDATE($AH256,$AJ256*$J256))&lt;DAY($AH256),EDATE($AH256,$AJ256*$J256),EDATE($AH256,$AJ256*$J256)-1))</f>
        <v/>
      </c>
      <c r="AL256" s="71">
        <f>IF($AJ256="","",IF(DAY(EDATE($AH256,($AJ256+1)*$J256))&lt;DAY($AH256),EDATE($AH256,($AJ256+1)*$J256),EDATE($AH256,($AJ256+1)*$J256)-1))</f>
        <v/>
      </c>
      <c r="AM256" s="71">
        <f>IF($AJ256="","",IF($AJ256=1,$H256,IF(DAY(EDATE($AH256,($AJ256-1)*$J256))&lt;DAY($AH256),EDATE($AH256,($AJ256-1)*$J256),EDATE($AH256,($AJ256-1)*$J256)-1)))</f>
        <v/>
      </c>
      <c r="AN256" s="32">
        <f>IF(NOT(ISNUMBER($H256)),"",IF(OR($AH256="",$H256&gt;='設定'!$B$6),0,IF($AK256&gt;='設定'!$B$6,$AJ256,$AJ256+1)))</f>
        <v/>
      </c>
      <c r="AO256" s="71">
        <f>IF($AN256="","",IF($AN256=0,"",IF($AN256=$AJ256,$AM256,$AK256)))</f>
        <v/>
      </c>
      <c r="AP256" s="32">
        <f>IF(OR($AC256="要対応",$AC256="通知期限切れ",$AC256="確認済み",$AC256="有効",$AC256="終了予定"),1,0)</f>
        <v/>
      </c>
      <c r="AQ256" s="32">
        <f>IF(OR($AC256="要対応",$AC256="通知期限切れ"),1,0)</f>
        <v/>
      </c>
      <c r="AR256" s="72">
        <f>IF(AND(ISNUMBER($AB256),OR($AC256="要対応",$AC256="通知期限切れ",$AC256="確認済み",$AC256="有効")),$AB256+ROW()/100000,"")</f>
        <v/>
      </c>
      <c r="AS256" s="32">
        <f>IF($E256="","",IF(COUNTIF($E$5:$E256,$E256)=1,ROW(),""))</f>
        <v/>
      </c>
      <c r="AT256" s="32">
        <f>IF($S256="","",IF(COUNTIF($S$5:$S256,$S256)=1,ROW(),""))</f>
        <v/>
      </c>
    </row>
    <row r="257" ht="20" customHeight="1">
      <c r="A257" s="20" t="n">
        <v>253</v>
      </c>
      <c r="B257" s="21" t="n"/>
      <c r="C257" s="22" t="n"/>
      <c r="D257" s="22" t="n"/>
      <c r="E257" s="22" t="n"/>
      <c r="F257" s="66" t="n"/>
      <c r="G257" s="66" t="n"/>
      <c r="H257" s="66" t="n"/>
      <c r="I257" s="21" t="n"/>
      <c r="J257" s="24" t="n"/>
      <c r="K257" s="24" t="n"/>
      <c r="L257" s="21" t="n"/>
      <c r="M257" s="24" t="n"/>
      <c r="N257" s="21" t="n"/>
      <c r="O257" s="67" t="n"/>
      <c r="P257" s="21" t="n"/>
      <c r="Q257" s="21" t="n"/>
      <c r="R257" s="22" t="n"/>
      <c r="S257" s="22" t="n"/>
      <c r="T257" s="21" t="n"/>
      <c r="U257" s="66" t="n"/>
      <c r="V257" s="66" t="n"/>
      <c r="W257" s="66" t="n"/>
      <c r="X257" s="8" t="n"/>
      <c r="Y257" s="68">
        <f>IF($AN257="","",IF($AN257=0,$H257,IF($AN257=$AJ257,$AK257,$AL257)))</f>
        <v/>
      </c>
      <c r="Z257" s="68">
        <f>IF(OR($Y257="",NOT(ISNUMBER($K257))),"",IF($L257="日前",$Y257-$K257,EDATE($Y257,-$K257)))</f>
        <v/>
      </c>
      <c r="AA257" s="68">
        <f>IF(OR($Y257="",ISNUMBER($V257),N($Y257)&lt;'設定'!$B$6),"",IF($Z257&lt;&gt;"",$Z257,$Y257))</f>
        <v/>
      </c>
      <c r="AB257" s="69">
        <f>IF($AA257="","",$AA257-'設定'!$B$6)</f>
        <v/>
      </c>
      <c r="AC257" s="28">
        <f>IF(NOT(OR($B257&lt;&gt;"",$C257&lt;&gt;"")),"",IF(ISNUMBER($V257),IF($V257&lt;'設定'!$B$6,"終了","終了予定"),IF($Y257="","有効",IF($Y257&lt;'設定'!$B$6,"満了",IF(AND($T257="更新する",ISNUMBER($U257),N($U257)&lt;='設定'!$B$6,OR($AO257="",N($U257)&gt;N($AO257))),"確認済み",IF($AB257&lt;0,"通知期限切れ",IF($AB257&lt;=N('設定'!$B$7),"要対応","有効")))))))</f>
        <v/>
      </c>
      <c r="AD257" s="68">
        <f>IF(OR(NOT(ISNUMBER($M257)),$AC257="",$AC257="終了",$AC257="終了予定",$AC257="満了"),"",IF($N257="日前",'設定'!$B$6+$M257,EDATE('設定'!$B$6,$M257)))</f>
        <v/>
      </c>
      <c r="AE257" s="70">
        <f>IF(NOT(ISNUMBER($O257)),"",IF($P257="月額",$O257*12,IF($P257="年額",$O257,"")))</f>
        <v/>
      </c>
      <c r="AF257" s="30">
        <f>MID(IF(AND(ISNUMBER($G257),ISNUMBER($H257)),IF(N($H257)&lt;N($G257)," / 満了日が開始日より前",""),"")&amp;IF(AND($I257="あり",NOT(ISNUMBER($H257)))," / 自動更新ありなのに満了日が空","")&amp;IF(AND($I257="あり",ISNUMBER($H257),NOT(ISNUMBER($J257)))," / 更新期間が空（更新を計算できない）","")&amp;IF($AH257="","",IF(AND(DAY($AH257)&gt;=29,OR(MOD($J257,12)&lt;&gt;0,MONTH($AH257)=2))," / 更新の初日が29〜31日（更新を重ねると満了日が1日ずれることがある。満了日を今の期間の満了日に書き換えると直る）",""))&amp;IF(AND(ISNUMBER($K257),$L257="")," / 通知の単位が空（か月前で計算）","")&amp;IF(AND(ISNUMBER($M257),$N257="")," / 解約予告の単位が空（か月前で計算）","")&amp;IF(AND(ISNUMBER($O257),$P257="")," / 金額の区分が空","")&amp;IF(AND($T257&lt;&gt;"",NOT(ISNUMBER($U257)))," / 対応を決めた日が空","")&amp;IF(AND(ISNUMBER($U257),$T257="")," / 今期の対応が空","")&amp;IF(AND($T257="更新しない",NOT(ISNUMBER($V257)))," / 更新しないなら、解約・終了した日（契約が終わる日）を入れる",""),4,300)</f>
        <v/>
      </c>
      <c r="AG257" s="53" t="n"/>
      <c r="AH257" s="71">
        <f>IF(AND(ISNUMBER($H257),$I257="あり",ISNUMBER($J257)),IF($J257&gt;=1,$H257+1,""),"")</f>
        <v/>
      </c>
      <c r="AI257" s="32">
        <f>IF($AH257="","",(YEAR('設定'!$B$6)-YEAR($AH257))*12+MONTH('設定'!$B$6)-MONTH($AH257))</f>
        <v/>
      </c>
      <c r="AJ257" s="32">
        <f>IF($AH257="","",MAX(1,ROUNDUP($AI257/$J257,0)))</f>
        <v/>
      </c>
      <c r="AK257" s="71">
        <f>IF($AJ257="","",IF(DAY(EDATE($AH257,$AJ257*$J257))&lt;DAY($AH257),EDATE($AH257,$AJ257*$J257),EDATE($AH257,$AJ257*$J257)-1))</f>
        <v/>
      </c>
      <c r="AL257" s="71">
        <f>IF($AJ257="","",IF(DAY(EDATE($AH257,($AJ257+1)*$J257))&lt;DAY($AH257),EDATE($AH257,($AJ257+1)*$J257),EDATE($AH257,($AJ257+1)*$J257)-1))</f>
        <v/>
      </c>
      <c r="AM257" s="71">
        <f>IF($AJ257="","",IF($AJ257=1,$H257,IF(DAY(EDATE($AH257,($AJ257-1)*$J257))&lt;DAY($AH257),EDATE($AH257,($AJ257-1)*$J257),EDATE($AH257,($AJ257-1)*$J257)-1)))</f>
        <v/>
      </c>
      <c r="AN257" s="32">
        <f>IF(NOT(ISNUMBER($H257)),"",IF(OR($AH257="",$H257&gt;='設定'!$B$6),0,IF($AK257&gt;='設定'!$B$6,$AJ257,$AJ257+1)))</f>
        <v/>
      </c>
      <c r="AO257" s="71">
        <f>IF($AN257="","",IF($AN257=0,"",IF($AN257=$AJ257,$AM257,$AK257)))</f>
        <v/>
      </c>
      <c r="AP257" s="32">
        <f>IF(OR($AC257="要対応",$AC257="通知期限切れ",$AC257="確認済み",$AC257="有効",$AC257="終了予定"),1,0)</f>
        <v/>
      </c>
      <c r="AQ257" s="32">
        <f>IF(OR($AC257="要対応",$AC257="通知期限切れ"),1,0)</f>
        <v/>
      </c>
      <c r="AR257" s="72">
        <f>IF(AND(ISNUMBER($AB257),OR($AC257="要対応",$AC257="通知期限切れ",$AC257="確認済み",$AC257="有効")),$AB257+ROW()/100000,"")</f>
        <v/>
      </c>
      <c r="AS257" s="32">
        <f>IF($E257="","",IF(COUNTIF($E$5:$E257,$E257)=1,ROW(),""))</f>
        <v/>
      </c>
      <c r="AT257" s="32">
        <f>IF($S257="","",IF(COUNTIF($S$5:$S257,$S257)=1,ROW(),""))</f>
        <v/>
      </c>
    </row>
    <row r="258" ht="20" customHeight="1">
      <c r="A258" s="20" t="n">
        <v>254</v>
      </c>
      <c r="B258" s="21" t="n"/>
      <c r="C258" s="22" t="n"/>
      <c r="D258" s="22" t="n"/>
      <c r="E258" s="22" t="n"/>
      <c r="F258" s="66" t="n"/>
      <c r="G258" s="66" t="n"/>
      <c r="H258" s="66" t="n"/>
      <c r="I258" s="21" t="n"/>
      <c r="J258" s="24" t="n"/>
      <c r="K258" s="24" t="n"/>
      <c r="L258" s="21" t="n"/>
      <c r="M258" s="24" t="n"/>
      <c r="N258" s="21" t="n"/>
      <c r="O258" s="67" t="n"/>
      <c r="P258" s="21" t="n"/>
      <c r="Q258" s="21" t="n"/>
      <c r="R258" s="22" t="n"/>
      <c r="S258" s="22" t="n"/>
      <c r="T258" s="21" t="n"/>
      <c r="U258" s="66" t="n"/>
      <c r="V258" s="66" t="n"/>
      <c r="W258" s="66" t="n"/>
      <c r="X258" s="8" t="n"/>
      <c r="Y258" s="68">
        <f>IF($AN258="","",IF($AN258=0,$H258,IF($AN258=$AJ258,$AK258,$AL258)))</f>
        <v/>
      </c>
      <c r="Z258" s="68">
        <f>IF(OR($Y258="",NOT(ISNUMBER($K258))),"",IF($L258="日前",$Y258-$K258,EDATE($Y258,-$K258)))</f>
        <v/>
      </c>
      <c r="AA258" s="68">
        <f>IF(OR($Y258="",ISNUMBER($V258),N($Y258)&lt;'設定'!$B$6),"",IF($Z258&lt;&gt;"",$Z258,$Y258))</f>
        <v/>
      </c>
      <c r="AB258" s="69">
        <f>IF($AA258="","",$AA258-'設定'!$B$6)</f>
        <v/>
      </c>
      <c r="AC258" s="28">
        <f>IF(NOT(OR($B258&lt;&gt;"",$C258&lt;&gt;"")),"",IF(ISNUMBER($V258),IF($V258&lt;'設定'!$B$6,"終了","終了予定"),IF($Y258="","有効",IF($Y258&lt;'設定'!$B$6,"満了",IF(AND($T258="更新する",ISNUMBER($U258),N($U258)&lt;='設定'!$B$6,OR($AO258="",N($U258)&gt;N($AO258))),"確認済み",IF($AB258&lt;0,"通知期限切れ",IF($AB258&lt;=N('設定'!$B$7),"要対応","有効")))))))</f>
        <v/>
      </c>
      <c r="AD258" s="68">
        <f>IF(OR(NOT(ISNUMBER($M258)),$AC258="",$AC258="終了",$AC258="終了予定",$AC258="満了"),"",IF($N258="日前",'設定'!$B$6+$M258,EDATE('設定'!$B$6,$M258)))</f>
        <v/>
      </c>
      <c r="AE258" s="70">
        <f>IF(NOT(ISNUMBER($O258)),"",IF($P258="月額",$O258*12,IF($P258="年額",$O258,"")))</f>
        <v/>
      </c>
      <c r="AF258" s="30">
        <f>MID(IF(AND(ISNUMBER($G258),ISNUMBER($H258)),IF(N($H258)&lt;N($G258)," / 満了日が開始日より前",""),"")&amp;IF(AND($I258="あり",NOT(ISNUMBER($H258)))," / 自動更新ありなのに満了日が空","")&amp;IF(AND($I258="あり",ISNUMBER($H258),NOT(ISNUMBER($J258)))," / 更新期間が空（更新を計算できない）","")&amp;IF($AH258="","",IF(AND(DAY($AH258)&gt;=29,OR(MOD($J258,12)&lt;&gt;0,MONTH($AH258)=2))," / 更新の初日が29〜31日（更新を重ねると満了日が1日ずれることがある。満了日を今の期間の満了日に書き換えると直る）",""))&amp;IF(AND(ISNUMBER($K258),$L258="")," / 通知の単位が空（か月前で計算）","")&amp;IF(AND(ISNUMBER($M258),$N258="")," / 解約予告の単位が空（か月前で計算）","")&amp;IF(AND(ISNUMBER($O258),$P258="")," / 金額の区分が空","")&amp;IF(AND($T258&lt;&gt;"",NOT(ISNUMBER($U258)))," / 対応を決めた日が空","")&amp;IF(AND(ISNUMBER($U258),$T258="")," / 今期の対応が空","")&amp;IF(AND($T258="更新しない",NOT(ISNUMBER($V258)))," / 更新しないなら、解約・終了した日（契約が終わる日）を入れる",""),4,300)</f>
        <v/>
      </c>
      <c r="AG258" s="53" t="n"/>
      <c r="AH258" s="71">
        <f>IF(AND(ISNUMBER($H258),$I258="あり",ISNUMBER($J258)),IF($J258&gt;=1,$H258+1,""),"")</f>
        <v/>
      </c>
      <c r="AI258" s="32">
        <f>IF($AH258="","",(YEAR('設定'!$B$6)-YEAR($AH258))*12+MONTH('設定'!$B$6)-MONTH($AH258))</f>
        <v/>
      </c>
      <c r="AJ258" s="32">
        <f>IF($AH258="","",MAX(1,ROUNDUP($AI258/$J258,0)))</f>
        <v/>
      </c>
      <c r="AK258" s="71">
        <f>IF($AJ258="","",IF(DAY(EDATE($AH258,$AJ258*$J258))&lt;DAY($AH258),EDATE($AH258,$AJ258*$J258),EDATE($AH258,$AJ258*$J258)-1))</f>
        <v/>
      </c>
      <c r="AL258" s="71">
        <f>IF($AJ258="","",IF(DAY(EDATE($AH258,($AJ258+1)*$J258))&lt;DAY($AH258),EDATE($AH258,($AJ258+1)*$J258),EDATE($AH258,($AJ258+1)*$J258)-1))</f>
        <v/>
      </c>
      <c r="AM258" s="71">
        <f>IF($AJ258="","",IF($AJ258=1,$H258,IF(DAY(EDATE($AH258,($AJ258-1)*$J258))&lt;DAY($AH258),EDATE($AH258,($AJ258-1)*$J258),EDATE($AH258,($AJ258-1)*$J258)-1)))</f>
        <v/>
      </c>
      <c r="AN258" s="32">
        <f>IF(NOT(ISNUMBER($H258)),"",IF(OR($AH258="",$H258&gt;='設定'!$B$6),0,IF($AK258&gt;='設定'!$B$6,$AJ258,$AJ258+1)))</f>
        <v/>
      </c>
      <c r="AO258" s="71">
        <f>IF($AN258="","",IF($AN258=0,"",IF($AN258=$AJ258,$AM258,$AK258)))</f>
        <v/>
      </c>
      <c r="AP258" s="32">
        <f>IF(OR($AC258="要対応",$AC258="通知期限切れ",$AC258="確認済み",$AC258="有効",$AC258="終了予定"),1,0)</f>
        <v/>
      </c>
      <c r="AQ258" s="32">
        <f>IF(OR($AC258="要対応",$AC258="通知期限切れ"),1,0)</f>
        <v/>
      </c>
      <c r="AR258" s="72">
        <f>IF(AND(ISNUMBER($AB258),OR($AC258="要対応",$AC258="通知期限切れ",$AC258="確認済み",$AC258="有効")),$AB258+ROW()/100000,"")</f>
        <v/>
      </c>
      <c r="AS258" s="32">
        <f>IF($E258="","",IF(COUNTIF($E$5:$E258,$E258)=1,ROW(),""))</f>
        <v/>
      </c>
      <c r="AT258" s="32">
        <f>IF($S258="","",IF(COUNTIF($S$5:$S258,$S258)=1,ROW(),""))</f>
        <v/>
      </c>
    </row>
    <row r="259" ht="20" customHeight="1">
      <c r="A259" s="20" t="n">
        <v>255</v>
      </c>
      <c r="B259" s="21" t="n"/>
      <c r="C259" s="22" t="n"/>
      <c r="D259" s="22" t="n"/>
      <c r="E259" s="22" t="n"/>
      <c r="F259" s="66" t="n"/>
      <c r="G259" s="66" t="n"/>
      <c r="H259" s="66" t="n"/>
      <c r="I259" s="21" t="n"/>
      <c r="J259" s="24" t="n"/>
      <c r="K259" s="24" t="n"/>
      <c r="L259" s="21" t="n"/>
      <c r="M259" s="24" t="n"/>
      <c r="N259" s="21" t="n"/>
      <c r="O259" s="67" t="n"/>
      <c r="P259" s="21" t="n"/>
      <c r="Q259" s="21" t="n"/>
      <c r="R259" s="22" t="n"/>
      <c r="S259" s="22" t="n"/>
      <c r="T259" s="21" t="n"/>
      <c r="U259" s="66" t="n"/>
      <c r="V259" s="66" t="n"/>
      <c r="W259" s="66" t="n"/>
      <c r="X259" s="8" t="n"/>
      <c r="Y259" s="68">
        <f>IF($AN259="","",IF($AN259=0,$H259,IF($AN259=$AJ259,$AK259,$AL259)))</f>
        <v/>
      </c>
      <c r="Z259" s="68">
        <f>IF(OR($Y259="",NOT(ISNUMBER($K259))),"",IF($L259="日前",$Y259-$K259,EDATE($Y259,-$K259)))</f>
        <v/>
      </c>
      <c r="AA259" s="68">
        <f>IF(OR($Y259="",ISNUMBER($V259),N($Y259)&lt;'設定'!$B$6),"",IF($Z259&lt;&gt;"",$Z259,$Y259))</f>
        <v/>
      </c>
      <c r="AB259" s="69">
        <f>IF($AA259="","",$AA259-'設定'!$B$6)</f>
        <v/>
      </c>
      <c r="AC259" s="28">
        <f>IF(NOT(OR($B259&lt;&gt;"",$C259&lt;&gt;"")),"",IF(ISNUMBER($V259),IF($V259&lt;'設定'!$B$6,"終了","終了予定"),IF($Y259="","有効",IF($Y259&lt;'設定'!$B$6,"満了",IF(AND($T259="更新する",ISNUMBER($U259),N($U259)&lt;='設定'!$B$6,OR($AO259="",N($U259)&gt;N($AO259))),"確認済み",IF($AB259&lt;0,"通知期限切れ",IF($AB259&lt;=N('設定'!$B$7),"要対応","有効")))))))</f>
        <v/>
      </c>
      <c r="AD259" s="68">
        <f>IF(OR(NOT(ISNUMBER($M259)),$AC259="",$AC259="終了",$AC259="終了予定",$AC259="満了"),"",IF($N259="日前",'設定'!$B$6+$M259,EDATE('設定'!$B$6,$M259)))</f>
        <v/>
      </c>
      <c r="AE259" s="70">
        <f>IF(NOT(ISNUMBER($O259)),"",IF($P259="月額",$O259*12,IF($P259="年額",$O259,"")))</f>
        <v/>
      </c>
      <c r="AF259" s="30">
        <f>MID(IF(AND(ISNUMBER($G259),ISNUMBER($H259)),IF(N($H259)&lt;N($G259)," / 満了日が開始日より前",""),"")&amp;IF(AND($I259="あり",NOT(ISNUMBER($H259)))," / 自動更新ありなのに満了日が空","")&amp;IF(AND($I259="あり",ISNUMBER($H259),NOT(ISNUMBER($J259)))," / 更新期間が空（更新を計算できない）","")&amp;IF($AH259="","",IF(AND(DAY($AH259)&gt;=29,OR(MOD($J259,12)&lt;&gt;0,MONTH($AH259)=2))," / 更新の初日が29〜31日（更新を重ねると満了日が1日ずれることがある。満了日を今の期間の満了日に書き換えると直る）",""))&amp;IF(AND(ISNUMBER($K259),$L259="")," / 通知の単位が空（か月前で計算）","")&amp;IF(AND(ISNUMBER($M259),$N259="")," / 解約予告の単位が空（か月前で計算）","")&amp;IF(AND(ISNUMBER($O259),$P259="")," / 金額の区分が空","")&amp;IF(AND($T259&lt;&gt;"",NOT(ISNUMBER($U259)))," / 対応を決めた日が空","")&amp;IF(AND(ISNUMBER($U259),$T259="")," / 今期の対応が空","")&amp;IF(AND($T259="更新しない",NOT(ISNUMBER($V259)))," / 更新しないなら、解約・終了した日（契約が終わる日）を入れる",""),4,300)</f>
        <v/>
      </c>
      <c r="AG259" s="53" t="n"/>
      <c r="AH259" s="71">
        <f>IF(AND(ISNUMBER($H259),$I259="あり",ISNUMBER($J259)),IF($J259&gt;=1,$H259+1,""),"")</f>
        <v/>
      </c>
      <c r="AI259" s="32">
        <f>IF($AH259="","",(YEAR('設定'!$B$6)-YEAR($AH259))*12+MONTH('設定'!$B$6)-MONTH($AH259))</f>
        <v/>
      </c>
      <c r="AJ259" s="32">
        <f>IF($AH259="","",MAX(1,ROUNDUP($AI259/$J259,0)))</f>
        <v/>
      </c>
      <c r="AK259" s="71">
        <f>IF($AJ259="","",IF(DAY(EDATE($AH259,$AJ259*$J259))&lt;DAY($AH259),EDATE($AH259,$AJ259*$J259),EDATE($AH259,$AJ259*$J259)-1))</f>
        <v/>
      </c>
      <c r="AL259" s="71">
        <f>IF($AJ259="","",IF(DAY(EDATE($AH259,($AJ259+1)*$J259))&lt;DAY($AH259),EDATE($AH259,($AJ259+1)*$J259),EDATE($AH259,($AJ259+1)*$J259)-1))</f>
        <v/>
      </c>
      <c r="AM259" s="71">
        <f>IF($AJ259="","",IF($AJ259=1,$H259,IF(DAY(EDATE($AH259,($AJ259-1)*$J259))&lt;DAY($AH259),EDATE($AH259,($AJ259-1)*$J259),EDATE($AH259,($AJ259-1)*$J259)-1)))</f>
        <v/>
      </c>
      <c r="AN259" s="32">
        <f>IF(NOT(ISNUMBER($H259)),"",IF(OR($AH259="",$H259&gt;='設定'!$B$6),0,IF($AK259&gt;='設定'!$B$6,$AJ259,$AJ259+1)))</f>
        <v/>
      </c>
      <c r="AO259" s="71">
        <f>IF($AN259="","",IF($AN259=0,"",IF($AN259=$AJ259,$AM259,$AK259)))</f>
        <v/>
      </c>
      <c r="AP259" s="32">
        <f>IF(OR($AC259="要対応",$AC259="通知期限切れ",$AC259="確認済み",$AC259="有効",$AC259="終了予定"),1,0)</f>
        <v/>
      </c>
      <c r="AQ259" s="32">
        <f>IF(OR($AC259="要対応",$AC259="通知期限切れ"),1,0)</f>
        <v/>
      </c>
      <c r="AR259" s="72">
        <f>IF(AND(ISNUMBER($AB259),OR($AC259="要対応",$AC259="通知期限切れ",$AC259="確認済み",$AC259="有効")),$AB259+ROW()/100000,"")</f>
        <v/>
      </c>
      <c r="AS259" s="32">
        <f>IF($E259="","",IF(COUNTIF($E$5:$E259,$E259)=1,ROW(),""))</f>
        <v/>
      </c>
      <c r="AT259" s="32">
        <f>IF($S259="","",IF(COUNTIF($S$5:$S259,$S259)=1,ROW(),""))</f>
        <v/>
      </c>
    </row>
    <row r="260" ht="20" customHeight="1">
      <c r="A260" s="20" t="n">
        <v>256</v>
      </c>
      <c r="B260" s="21" t="n"/>
      <c r="C260" s="22" t="n"/>
      <c r="D260" s="22" t="n"/>
      <c r="E260" s="22" t="n"/>
      <c r="F260" s="66" t="n"/>
      <c r="G260" s="66" t="n"/>
      <c r="H260" s="66" t="n"/>
      <c r="I260" s="21" t="n"/>
      <c r="J260" s="24" t="n"/>
      <c r="K260" s="24" t="n"/>
      <c r="L260" s="21" t="n"/>
      <c r="M260" s="24" t="n"/>
      <c r="N260" s="21" t="n"/>
      <c r="O260" s="67" t="n"/>
      <c r="P260" s="21" t="n"/>
      <c r="Q260" s="21" t="n"/>
      <c r="R260" s="22" t="n"/>
      <c r="S260" s="22" t="n"/>
      <c r="T260" s="21" t="n"/>
      <c r="U260" s="66" t="n"/>
      <c r="V260" s="66" t="n"/>
      <c r="W260" s="66" t="n"/>
      <c r="X260" s="8" t="n"/>
      <c r="Y260" s="68">
        <f>IF($AN260="","",IF($AN260=0,$H260,IF($AN260=$AJ260,$AK260,$AL260)))</f>
        <v/>
      </c>
      <c r="Z260" s="68">
        <f>IF(OR($Y260="",NOT(ISNUMBER($K260))),"",IF($L260="日前",$Y260-$K260,EDATE($Y260,-$K260)))</f>
        <v/>
      </c>
      <c r="AA260" s="68">
        <f>IF(OR($Y260="",ISNUMBER($V260),N($Y260)&lt;'設定'!$B$6),"",IF($Z260&lt;&gt;"",$Z260,$Y260))</f>
        <v/>
      </c>
      <c r="AB260" s="69">
        <f>IF($AA260="","",$AA260-'設定'!$B$6)</f>
        <v/>
      </c>
      <c r="AC260" s="28">
        <f>IF(NOT(OR($B260&lt;&gt;"",$C260&lt;&gt;"")),"",IF(ISNUMBER($V260),IF($V260&lt;'設定'!$B$6,"終了","終了予定"),IF($Y260="","有効",IF($Y260&lt;'設定'!$B$6,"満了",IF(AND($T260="更新する",ISNUMBER($U260),N($U260)&lt;='設定'!$B$6,OR($AO260="",N($U260)&gt;N($AO260))),"確認済み",IF($AB260&lt;0,"通知期限切れ",IF($AB260&lt;=N('設定'!$B$7),"要対応","有効")))))))</f>
        <v/>
      </c>
      <c r="AD260" s="68">
        <f>IF(OR(NOT(ISNUMBER($M260)),$AC260="",$AC260="終了",$AC260="終了予定",$AC260="満了"),"",IF($N260="日前",'設定'!$B$6+$M260,EDATE('設定'!$B$6,$M260)))</f>
        <v/>
      </c>
      <c r="AE260" s="70">
        <f>IF(NOT(ISNUMBER($O260)),"",IF($P260="月額",$O260*12,IF($P260="年額",$O260,"")))</f>
        <v/>
      </c>
      <c r="AF260" s="30">
        <f>MID(IF(AND(ISNUMBER($G260),ISNUMBER($H260)),IF(N($H260)&lt;N($G260)," / 満了日が開始日より前",""),"")&amp;IF(AND($I260="あり",NOT(ISNUMBER($H260)))," / 自動更新ありなのに満了日が空","")&amp;IF(AND($I260="あり",ISNUMBER($H260),NOT(ISNUMBER($J260)))," / 更新期間が空（更新を計算できない）","")&amp;IF($AH260="","",IF(AND(DAY($AH260)&gt;=29,OR(MOD($J260,12)&lt;&gt;0,MONTH($AH260)=2))," / 更新の初日が29〜31日（更新を重ねると満了日が1日ずれることがある。満了日を今の期間の満了日に書き換えると直る）",""))&amp;IF(AND(ISNUMBER($K260),$L260="")," / 通知の単位が空（か月前で計算）","")&amp;IF(AND(ISNUMBER($M260),$N260="")," / 解約予告の単位が空（か月前で計算）","")&amp;IF(AND(ISNUMBER($O260),$P260="")," / 金額の区分が空","")&amp;IF(AND($T260&lt;&gt;"",NOT(ISNUMBER($U260)))," / 対応を決めた日が空","")&amp;IF(AND(ISNUMBER($U260),$T260="")," / 今期の対応が空","")&amp;IF(AND($T260="更新しない",NOT(ISNUMBER($V260)))," / 更新しないなら、解約・終了した日（契約が終わる日）を入れる",""),4,300)</f>
        <v/>
      </c>
      <c r="AG260" s="53" t="n"/>
      <c r="AH260" s="71">
        <f>IF(AND(ISNUMBER($H260),$I260="あり",ISNUMBER($J260)),IF($J260&gt;=1,$H260+1,""),"")</f>
        <v/>
      </c>
      <c r="AI260" s="32">
        <f>IF($AH260="","",(YEAR('設定'!$B$6)-YEAR($AH260))*12+MONTH('設定'!$B$6)-MONTH($AH260))</f>
        <v/>
      </c>
      <c r="AJ260" s="32">
        <f>IF($AH260="","",MAX(1,ROUNDUP($AI260/$J260,0)))</f>
        <v/>
      </c>
      <c r="AK260" s="71">
        <f>IF($AJ260="","",IF(DAY(EDATE($AH260,$AJ260*$J260))&lt;DAY($AH260),EDATE($AH260,$AJ260*$J260),EDATE($AH260,$AJ260*$J260)-1))</f>
        <v/>
      </c>
      <c r="AL260" s="71">
        <f>IF($AJ260="","",IF(DAY(EDATE($AH260,($AJ260+1)*$J260))&lt;DAY($AH260),EDATE($AH260,($AJ260+1)*$J260),EDATE($AH260,($AJ260+1)*$J260)-1))</f>
        <v/>
      </c>
      <c r="AM260" s="71">
        <f>IF($AJ260="","",IF($AJ260=1,$H260,IF(DAY(EDATE($AH260,($AJ260-1)*$J260))&lt;DAY($AH260),EDATE($AH260,($AJ260-1)*$J260),EDATE($AH260,($AJ260-1)*$J260)-1)))</f>
        <v/>
      </c>
      <c r="AN260" s="32">
        <f>IF(NOT(ISNUMBER($H260)),"",IF(OR($AH260="",$H260&gt;='設定'!$B$6),0,IF($AK260&gt;='設定'!$B$6,$AJ260,$AJ260+1)))</f>
        <v/>
      </c>
      <c r="AO260" s="71">
        <f>IF($AN260="","",IF($AN260=0,"",IF($AN260=$AJ260,$AM260,$AK260)))</f>
        <v/>
      </c>
      <c r="AP260" s="32">
        <f>IF(OR($AC260="要対応",$AC260="通知期限切れ",$AC260="確認済み",$AC260="有効",$AC260="終了予定"),1,0)</f>
        <v/>
      </c>
      <c r="AQ260" s="32">
        <f>IF(OR($AC260="要対応",$AC260="通知期限切れ"),1,0)</f>
        <v/>
      </c>
      <c r="AR260" s="72">
        <f>IF(AND(ISNUMBER($AB260),OR($AC260="要対応",$AC260="通知期限切れ",$AC260="確認済み",$AC260="有効")),$AB260+ROW()/100000,"")</f>
        <v/>
      </c>
      <c r="AS260" s="32">
        <f>IF($E260="","",IF(COUNTIF($E$5:$E260,$E260)=1,ROW(),""))</f>
        <v/>
      </c>
      <c r="AT260" s="32">
        <f>IF($S260="","",IF(COUNTIF($S$5:$S260,$S260)=1,ROW(),""))</f>
        <v/>
      </c>
    </row>
    <row r="261" ht="20" customHeight="1">
      <c r="A261" s="20" t="n">
        <v>257</v>
      </c>
      <c r="B261" s="21" t="n"/>
      <c r="C261" s="22" t="n"/>
      <c r="D261" s="22" t="n"/>
      <c r="E261" s="22" t="n"/>
      <c r="F261" s="66" t="n"/>
      <c r="G261" s="66" t="n"/>
      <c r="H261" s="66" t="n"/>
      <c r="I261" s="21" t="n"/>
      <c r="J261" s="24" t="n"/>
      <c r="K261" s="24" t="n"/>
      <c r="L261" s="21" t="n"/>
      <c r="M261" s="24" t="n"/>
      <c r="N261" s="21" t="n"/>
      <c r="O261" s="67" t="n"/>
      <c r="P261" s="21" t="n"/>
      <c r="Q261" s="21" t="n"/>
      <c r="R261" s="22" t="n"/>
      <c r="S261" s="22" t="n"/>
      <c r="T261" s="21" t="n"/>
      <c r="U261" s="66" t="n"/>
      <c r="V261" s="66" t="n"/>
      <c r="W261" s="66" t="n"/>
      <c r="X261" s="8" t="n"/>
      <c r="Y261" s="68">
        <f>IF($AN261="","",IF($AN261=0,$H261,IF($AN261=$AJ261,$AK261,$AL261)))</f>
        <v/>
      </c>
      <c r="Z261" s="68">
        <f>IF(OR($Y261="",NOT(ISNUMBER($K261))),"",IF($L261="日前",$Y261-$K261,EDATE($Y261,-$K261)))</f>
        <v/>
      </c>
      <c r="AA261" s="68">
        <f>IF(OR($Y261="",ISNUMBER($V261),N($Y261)&lt;'設定'!$B$6),"",IF($Z261&lt;&gt;"",$Z261,$Y261))</f>
        <v/>
      </c>
      <c r="AB261" s="69">
        <f>IF($AA261="","",$AA261-'設定'!$B$6)</f>
        <v/>
      </c>
      <c r="AC261" s="28">
        <f>IF(NOT(OR($B261&lt;&gt;"",$C261&lt;&gt;"")),"",IF(ISNUMBER($V261),IF($V261&lt;'設定'!$B$6,"終了","終了予定"),IF($Y261="","有効",IF($Y261&lt;'設定'!$B$6,"満了",IF(AND($T261="更新する",ISNUMBER($U261),N($U261)&lt;='設定'!$B$6,OR($AO261="",N($U261)&gt;N($AO261))),"確認済み",IF($AB261&lt;0,"通知期限切れ",IF($AB261&lt;=N('設定'!$B$7),"要対応","有効")))))))</f>
        <v/>
      </c>
      <c r="AD261" s="68">
        <f>IF(OR(NOT(ISNUMBER($M261)),$AC261="",$AC261="終了",$AC261="終了予定",$AC261="満了"),"",IF($N261="日前",'設定'!$B$6+$M261,EDATE('設定'!$B$6,$M261)))</f>
        <v/>
      </c>
      <c r="AE261" s="70">
        <f>IF(NOT(ISNUMBER($O261)),"",IF($P261="月額",$O261*12,IF($P261="年額",$O261,"")))</f>
        <v/>
      </c>
      <c r="AF261" s="30">
        <f>MID(IF(AND(ISNUMBER($G261),ISNUMBER($H261)),IF(N($H261)&lt;N($G261)," / 満了日が開始日より前",""),"")&amp;IF(AND($I261="あり",NOT(ISNUMBER($H261)))," / 自動更新ありなのに満了日が空","")&amp;IF(AND($I261="あり",ISNUMBER($H261),NOT(ISNUMBER($J261)))," / 更新期間が空（更新を計算できない）","")&amp;IF($AH261="","",IF(AND(DAY($AH261)&gt;=29,OR(MOD($J261,12)&lt;&gt;0,MONTH($AH261)=2))," / 更新の初日が29〜31日（更新を重ねると満了日が1日ずれることがある。満了日を今の期間の満了日に書き換えると直る）",""))&amp;IF(AND(ISNUMBER($K261),$L261="")," / 通知の単位が空（か月前で計算）","")&amp;IF(AND(ISNUMBER($M261),$N261="")," / 解約予告の単位が空（か月前で計算）","")&amp;IF(AND(ISNUMBER($O261),$P261="")," / 金額の区分が空","")&amp;IF(AND($T261&lt;&gt;"",NOT(ISNUMBER($U261)))," / 対応を決めた日が空","")&amp;IF(AND(ISNUMBER($U261),$T261="")," / 今期の対応が空","")&amp;IF(AND($T261="更新しない",NOT(ISNUMBER($V261)))," / 更新しないなら、解約・終了した日（契約が終わる日）を入れる",""),4,300)</f>
        <v/>
      </c>
      <c r="AG261" s="53" t="n"/>
      <c r="AH261" s="71">
        <f>IF(AND(ISNUMBER($H261),$I261="あり",ISNUMBER($J261)),IF($J261&gt;=1,$H261+1,""),"")</f>
        <v/>
      </c>
      <c r="AI261" s="32">
        <f>IF($AH261="","",(YEAR('設定'!$B$6)-YEAR($AH261))*12+MONTH('設定'!$B$6)-MONTH($AH261))</f>
        <v/>
      </c>
      <c r="AJ261" s="32">
        <f>IF($AH261="","",MAX(1,ROUNDUP($AI261/$J261,0)))</f>
        <v/>
      </c>
      <c r="AK261" s="71">
        <f>IF($AJ261="","",IF(DAY(EDATE($AH261,$AJ261*$J261))&lt;DAY($AH261),EDATE($AH261,$AJ261*$J261),EDATE($AH261,$AJ261*$J261)-1))</f>
        <v/>
      </c>
      <c r="AL261" s="71">
        <f>IF($AJ261="","",IF(DAY(EDATE($AH261,($AJ261+1)*$J261))&lt;DAY($AH261),EDATE($AH261,($AJ261+1)*$J261),EDATE($AH261,($AJ261+1)*$J261)-1))</f>
        <v/>
      </c>
      <c r="AM261" s="71">
        <f>IF($AJ261="","",IF($AJ261=1,$H261,IF(DAY(EDATE($AH261,($AJ261-1)*$J261))&lt;DAY($AH261),EDATE($AH261,($AJ261-1)*$J261),EDATE($AH261,($AJ261-1)*$J261)-1)))</f>
        <v/>
      </c>
      <c r="AN261" s="32">
        <f>IF(NOT(ISNUMBER($H261)),"",IF(OR($AH261="",$H261&gt;='設定'!$B$6),0,IF($AK261&gt;='設定'!$B$6,$AJ261,$AJ261+1)))</f>
        <v/>
      </c>
      <c r="AO261" s="71">
        <f>IF($AN261="","",IF($AN261=0,"",IF($AN261=$AJ261,$AM261,$AK261)))</f>
        <v/>
      </c>
      <c r="AP261" s="32">
        <f>IF(OR($AC261="要対応",$AC261="通知期限切れ",$AC261="確認済み",$AC261="有効",$AC261="終了予定"),1,0)</f>
        <v/>
      </c>
      <c r="AQ261" s="32">
        <f>IF(OR($AC261="要対応",$AC261="通知期限切れ"),1,0)</f>
        <v/>
      </c>
      <c r="AR261" s="72">
        <f>IF(AND(ISNUMBER($AB261),OR($AC261="要対応",$AC261="通知期限切れ",$AC261="確認済み",$AC261="有効")),$AB261+ROW()/100000,"")</f>
        <v/>
      </c>
      <c r="AS261" s="32">
        <f>IF($E261="","",IF(COUNTIF($E$5:$E261,$E261)=1,ROW(),""))</f>
        <v/>
      </c>
      <c r="AT261" s="32">
        <f>IF($S261="","",IF(COUNTIF($S$5:$S261,$S261)=1,ROW(),""))</f>
        <v/>
      </c>
    </row>
    <row r="262" ht="20" customHeight="1">
      <c r="A262" s="20" t="n">
        <v>258</v>
      </c>
      <c r="B262" s="21" t="n"/>
      <c r="C262" s="22" t="n"/>
      <c r="D262" s="22" t="n"/>
      <c r="E262" s="22" t="n"/>
      <c r="F262" s="66" t="n"/>
      <c r="G262" s="66" t="n"/>
      <c r="H262" s="66" t="n"/>
      <c r="I262" s="21" t="n"/>
      <c r="J262" s="24" t="n"/>
      <c r="K262" s="24" t="n"/>
      <c r="L262" s="21" t="n"/>
      <c r="M262" s="24" t="n"/>
      <c r="N262" s="21" t="n"/>
      <c r="O262" s="67" t="n"/>
      <c r="P262" s="21" t="n"/>
      <c r="Q262" s="21" t="n"/>
      <c r="R262" s="22" t="n"/>
      <c r="S262" s="22" t="n"/>
      <c r="T262" s="21" t="n"/>
      <c r="U262" s="66" t="n"/>
      <c r="V262" s="66" t="n"/>
      <c r="W262" s="66" t="n"/>
      <c r="X262" s="8" t="n"/>
      <c r="Y262" s="68">
        <f>IF($AN262="","",IF($AN262=0,$H262,IF($AN262=$AJ262,$AK262,$AL262)))</f>
        <v/>
      </c>
      <c r="Z262" s="68">
        <f>IF(OR($Y262="",NOT(ISNUMBER($K262))),"",IF($L262="日前",$Y262-$K262,EDATE($Y262,-$K262)))</f>
        <v/>
      </c>
      <c r="AA262" s="68">
        <f>IF(OR($Y262="",ISNUMBER($V262),N($Y262)&lt;'設定'!$B$6),"",IF($Z262&lt;&gt;"",$Z262,$Y262))</f>
        <v/>
      </c>
      <c r="AB262" s="69">
        <f>IF($AA262="","",$AA262-'設定'!$B$6)</f>
        <v/>
      </c>
      <c r="AC262" s="28">
        <f>IF(NOT(OR($B262&lt;&gt;"",$C262&lt;&gt;"")),"",IF(ISNUMBER($V262),IF($V262&lt;'設定'!$B$6,"終了","終了予定"),IF($Y262="","有効",IF($Y262&lt;'設定'!$B$6,"満了",IF(AND($T262="更新する",ISNUMBER($U262),N($U262)&lt;='設定'!$B$6,OR($AO262="",N($U262)&gt;N($AO262))),"確認済み",IF($AB262&lt;0,"通知期限切れ",IF($AB262&lt;=N('設定'!$B$7),"要対応","有効")))))))</f>
        <v/>
      </c>
      <c r="AD262" s="68">
        <f>IF(OR(NOT(ISNUMBER($M262)),$AC262="",$AC262="終了",$AC262="終了予定",$AC262="満了"),"",IF($N262="日前",'設定'!$B$6+$M262,EDATE('設定'!$B$6,$M262)))</f>
        <v/>
      </c>
      <c r="AE262" s="70">
        <f>IF(NOT(ISNUMBER($O262)),"",IF($P262="月額",$O262*12,IF($P262="年額",$O262,"")))</f>
        <v/>
      </c>
      <c r="AF262" s="30">
        <f>MID(IF(AND(ISNUMBER($G262),ISNUMBER($H262)),IF(N($H262)&lt;N($G262)," / 満了日が開始日より前",""),"")&amp;IF(AND($I262="あり",NOT(ISNUMBER($H262)))," / 自動更新ありなのに満了日が空","")&amp;IF(AND($I262="あり",ISNUMBER($H262),NOT(ISNUMBER($J262)))," / 更新期間が空（更新を計算できない）","")&amp;IF($AH262="","",IF(AND(DAY($AH262)&gt;=29,OR(MOD($J262,12)&lt;&gt;0,MONTH($AH262)=2))," / 更新の初日が29〜31日（更新を重ねると満了日が1日ずれることがある。満了日を今の期間の満了日に書き換えると直る）",""))&amp;IF(AND(ISNUMBER($K262),$L262="")," / 通知の単位が空（か月前で計算）","")&amp;IF(AND(ISNUMBER($M262),$N262="")," / 解約予告の単位が空（か月前で計算）","")&amp;IF(AND(ISNUMBER($O262),$P262="")," / 金額の区分が空","")&amp;IF(AND($T262&lt;&gt;"",NOT(ISNUMBER($U262)))," / 対応を決めた日が空","")&amp;IF(AND(ISNUMBER($U262),$T262="")," / 今期の対応が空","")&amp;IF(AND($T262="更新しない",NOT(ISNUMBER($V262)))," / 更新しないなら、解約・終了した日（契約が終わる日）を入れる",""),4,300)</f>
        <v/>
      </c>
      <c r="AG262" s="53" t="n"/>
      <c r="AH262" s="71">
        <f>IF(AND(ISNUMBER($H262),$I262="あり",ISNUMBER($J262)),IF($J262&gt;=1,$H262+1,""),"")</f>
        <v/>
      </c>
      <c r="AI262" s="32">
        <f>IF($AH262="","",(YEAR('設定'!$B$6)-YEAR($AH262))*12+MONTH('設定'!$B$6)-MONTH($AH262))</f>
        <v/>
      </c>
      <c r="AJ262" s="32">
        <f>IF($AH262="","",MAX(1,ROUNDUP($AI262/$J262,0)))</f>
        <v/>
      </c>
      <c r="AK262" s="71">
        <f>IF($AJ262="","",IF(DAY(EDATE($AH262,$AJ262*$J262))&lt;DAY($AH262),EDATE($AH262,$AJ262*$J262),EDATE($AH262,$AJ262*$J262)-1))</f>
        <v/>
      </c>
      <c r="AL262" s="71">
        <f>IF($AJ262="","",IF(DAY(EDATE($AH262,($AJ262+1)*$J262))&lt;DAY($AH262),EDATE($AH262,($AJ262+1)*$J262),EDATE($AH262,($AJ262+1)*$J262)-1))</f>
        <v/>
      </c>
      <c r="AM262" s="71">
        <f>IF($AJ262="","",IF($AJ262=1,$H262,IF(DAY(EDATE($AH262,($AJ262-1)*$J262))&lt;DAY($AH262),EDATE($AH262,($AJ262-1)*$J262),EDATE($AH262,($AJ262-1)*$J262)-1)))</f>
        <v/>
      </c>
      <c r="AN262" s="32">
        <f>IF(NOT(ISNUMBER($H262)),"",IF(OR($AH262="",$H262&gt;='設定'!$B$6),0,IF($AK262&gt;='設定'!$B$6,$AJ262,$AJ262+1)))</f>
        <v/>
      </c>
      <c r="AO262" s="71">
        <f>IF($AN262="","",IF($AN262=0,"",IF($AN262=$AJ262,$AM262,$AK262)))</f>
        <v/>
      </c>
      <c r="AP262" s="32">
        <f>IF(OR($AC262="要対応",$AC262="通知期限切れ",$AC262="確認済み",$AC262="有効",$AC262="終了予定"),1,0)</f>
        <v/>
      </c>
      <c r="AQ262" s="32">
        <f>IF(OR($AC262="要対応",$AC262="通知期限切れ"),1,0)</f>
        <v/>
      </c>
      <c r="AR262" s="72">
        <f>IF(AND(ISNUMBER($AB262),OR($AC262="要対応",$AC262="通知期限切れ",$AC262="確認済み",$AC262="有効")),$AB262+ROW()/100000,"")</f>
        <v/>
      </c>
      <c r="AS262" s="32">
        <f>IF($E262="","",IF(COUNTIF($E$5:$E262,$E262)=1,ROW(),""))</f>
        <v/>
      </c>
      <c r="AT262" s="32">
        <f>IF($S262="","",IF(COUNTIF($S$5:$S262,$S262)=1,ROW(),""))</f>
        <v/>
      </c>
    </row>
    <row r="263" ht="20" customHeight="1">
      <c r="A263" s="20" t="n">
        <v>259</v>
      </c>
      <c r="B263" s="21" t="n"/>
      <c r="C263" s="22" t="n"/>
      <c r="D263" s="22" t="n"/>
      <c r="E263" s="22" t="n"/>
      <c r="F263" s="66" t="n"/>
      <c r="G263" s="66" t="n"/>
      <c r="H263" s="66" t="n"/>
      <c r="I263" s="21" t="n"/>
      <c r="J263" s="24" t="n"/>
      <c r="K263" s="24" t="n"/>
      <c r="L263" s="21" t="n"/>
      <c r="M263" s="24" t="n"/>
      <c r="N263" s="21" t="n"/>
      <c r="O263" s="67" t="n"/>
      <c r="P263" s="21" t="n"/>
      <c r="Q263" s="21" t="n"/>
      <c r="R263" s="22" t="n"/>
      <c r="S263" s="22" t="n"/>
      <c r="T263" s="21" t="n"/>
      <c r="U263" s="66" t="n"/>
      <c r="V263" s="66" t="n"/>
      <c r="W263" s="66" t="n"/>
      <c r="X263" s="8" t="n"/>
      <c r="Y263" s="68">
        <f>IF($AN263="","",IF($AN263=0,$H263,IF($AN263=$AJ263,$AK263,$AL263)))</f>
        <v/>
      </c>
      <c r="Z263" s="68">
        <f>IF(OR($Y263="",NOT(ISNUMBER($K263))),"",IF($L263="日前",$Y263-$K263,EDATE($Y263,-$K263)))</f>
        <v/>
      </c>
      <c r="AA263" s="68">
        <f>IF(OR($Y263="",ISNUMBER($V263),N($Y263)&lt;'設定'!$B$6),"",IF($Z263&lt;&gt;"",$Z263,$Y263))</f>
        <v/>
      </c>
      <c r="AB263" s="69">
        <f>IF($AA263="","",$AA263-'設定'!$B$6)</f>
        <v/>
      </c>
      <c r="AC263" s="28">
        <f>IF(NOT(OR($B263&lt;&gt;"",$C263&lt;&gt;"")),"",IF(ISNUMBER($V263),IF($V263&lt;'設定'!$B$6,"終了","終了予定"),IF($Y263="","有効",IF($Y263&lt;'設定'!$B$6,"満了",IF(AND($T263="更新する",ISNUMBER($U263),N($U263)&lt;='設定'!$B$6,OR($AO263="",N($U263)&gt;N($AO263))),"確認済み",IF($AB263&lt;0,"通知期限切れ",IF($AB263&lt;=N('設定'!$B$7),"要対応","有効")))))))</f>
        <v/>
      </c>
      <c r="AD263" s="68">
        <f>IF(OR(NOT(ISNUMBER($M263)),$AC263="",$AC263="終了",$AC263="終了予定",$AC263="満了"),"",IF($N263="日前",'設定'!$B$6+$M263,EDATE('設定'!$B$6,$M263)))</f>
        <v/>
      </c>
      <c r="AE263" s="70">
        <f>IF(NOT(ISNUMBER($O263)),"",IF($P263="月額",$O263*12,IF($P263="年額",$O263,"")))</f>
        <v/>
      </c>
      <c r="AF263" s="30">
        <f>MID(IF(AND(ISNUMBER($G263),ISNUMBER($H263)),IF(N($H263)&lt;N($G263)," / 満了日が開始日より前",""),"")&amp;IF(AND($I263="あり",NOT(ISNUMBER($H263)))," / 自動更新ありなのに満了日が空","")&amp;IF(AND($I263="あり",ISNUMBER($H263),NOT(ISNUMBER($J263)))," / 更新期間が空（更新を計算できない）","")&amp;IF($AH263="","",IF(AND(DAY($AH263)&gt;=29,OR(MOD($J263,12)&lt;&gt;0,MONTH($AH263)=2))," / 更新の初日が29〜31日（更新を重ねると満了日が1日ずれることがある。満了日を今の期間の満了日に書き換えると直る）",""))&amp;IF(AND(ISNUMBER($K263),$L263="")," / 通知の単位が空（か月前で計算）","")&amp;IF(AND(ISNUMBER($M263),$N263="")," / 解約予告の単位が空（か月前で計算）","")&amp;IF(AND(ISNUMBER($O263),$P263="")," / 金額の区分が空","")&amp;IF(AND($T263&lt;&gt;"",NOT(ISNUMBER($U263)))," / 対応を決めた日が空","")&amp;IF(AND(ISNUMBER($U263),$T263="")," / 今期の対応が空","")&amp;IF(AND($T263="更新しない",NOT(ISNUMBER($V263)))," / 更新しないなら、解約・終了した日（契約が終わる日）を入れる",""),4,300)</f>
        <v/>
      </c>
      <c r="AG263" s="53" t="n"/>
      <c r="AH263" s="71">
        <f>IF(AND(ISNUMBER($H263),$I263="あり",ISNUMBER($J263)),IF($J263&gt;=1,$H263+1,""),"")</f>
        <v/>
      </c>
      <c r="AI263" s="32">
        <f>IF($AH263="","",(YEAR('設定'!$B$6)-YEAR($AH263))*12+MONTH('設定'!$B$6)-MONTH($AH263))</f>
        <v/>
      </c>
      <c r="AJ263" s="32">
        <f>IF($AH263="","",MAX(1,ROUNDUP($AI263/$J263,0)))</f>
        <v/>
      </c>
      <c r="AK263" s="71">
        <f>IF($AJ263="","",IF(DAY(EDATE($AH263,$AJ263*$J263))&lt;DAY($AH263),EDATE($AH263,$AJ263*$J263),EDATE($AH263,$AJ263*$J263)-1))</f>
        <v/>
      </c>
      <c r="AL263" s="71">
        <f>IF($AJ263="","",IF(DAY(EDATE($AH263,($AJ263+1)*$J263))&lt;DAY($AH263),EDATE($AH263,($AJ263+1)*$J263),EDATE($AH263,($AJ263+1)*$J263)-1))</f>
        <v/>
      </c>
      <c r="AM263" s="71">
        <f>IF($AJ263="","",IF($AJ263=1,$H263,IF(DAY(EDATE($AH263,($AJ263-1)*$J263))&lt;DAY($AH263),EDATE($AH263,($AJ263-1)*$J263),EDATE($AH263,($AJ263-1)*$J263)-1)))</f>
        <v/>
      </c>
      <c r="AN263" s="32">
        <f>IF(NOT(ISNUMBER($H263)),"",IF(OR($AH263="",$H263&gt;='設定'!$B$6),0,IF($AK263&gt;='設定'!$B$6,$AJ263,$AJ263+1)))</f>
        <v/>
      </c>
      <c r="AO263" s="71">
        <f>IF($AN263="","",IF($AN263=0,"",IF($AN263=$AJ263,$AM263,$AK263)))</f>
        <v/>
      </c>
      <c r="AP263" s="32">
        <f>IF(OR($AC263="要対応",$AC263="通知期限切れ",$AC263="確認済み",$AC263="有効",$AC263="終了予定"),1,0)</f>
        <v/>
      </c>
      <c r="AQ263" s="32">
        <f>IF(OR($AC263="要対応",$AC263="通知期限切れ"),1,0)</f>
        <v/>
      </c>
      <c r="AR263" s="72">
        <f>IF(AND(ISNUMBER($AB263),OR($AC263="要対応",$AC263="通知期限切れ",$AC263="確認済み",$AC263="有効")),$AB263+ROW()/100000,"")</f>
        <v/>
      </c>
      <c r="AS263" s="32">
        <f>IF($E263="","",IF(COUNTIF($E$5:$E263,$E263)=1,ROW(),""))</f>
        <v/>
      </c>
      <c r="AT263" s="32">
        <f>IF($S263="","",IF(COUNTIF($S$5:$S263,$S263)=1,ROW(),""))</f>
        <v/>
      </c>
    </row>
    <row r="264" ht="20" customHeight="1">
      <c r="A264" s="20" t="n">
        <v>260</v>
      </c>
      <c r="B264" s="21" t="n"/>
      <c r="C264" s="22" t="n"/>
      <c r="D264" s="22" t="n"/>
      <c r="E264" s="22" t="n"/>
      <c r="F264" s="66" t="n"/>
      <c r="G264" s="66" t="n"/>
      <c r="H264" s="66" t="n"/>
      <c r="I264" s="21" t="n"/>
      <c r="J264" s="24" t="n"/>
      <c r="K264" s="24" t="n"/>
      <c r="L264" s="21" t="n"/>
      <c r="M264" s="24" t="n"/>
      <c r="N264" s="21" t="n"/>
      <c r="O264" s="67" t="n"/>
      <c r="P264" s="21" t="n"/>
      <c r="Q264" s="21" t="n"/>
      <c r="R264" s="22" t="n"/>
      <c r="S264" s="22" t="n"/>
      <c r="T264" s="21" t="n"/>
      <c r="U264" s="66" t="n"/>
      <c r="V264" s="66" t="n"/>
      <c r="W264" s="66" t="n"/>
      <c r="X264" s="8" t="n"/>
      <c r="Y264" s="68">
        <f>IF($AN264="","",IF($AN264=0,$H264,IF($AN264=$AJ264,$AK264,$AL264)))</f>
        <v/>
      </c>
      <c r="Z264" s="68">
        <f>IF(OR($Y264="",NOT(ISNUMBER($K264))),"",IF($L264="日前",$Y264-$K264,EDATE($Y264,-$K264)))</f>
        <v/>
      </c>
      <c r="AA264" s="68">
        <f>IF(OR($Y264="",ISNUMBER($V264),N($Y264)&lt;'設定'!$B$6),"",IF($Z264&lt;&gt;"",$Z264,$Y264))</f>
        <v/>
      </c>
      <c r="AB264" s="69">
        <f>IF($AA264="","",$AA264-'設定'!$B$6)</f>
        <v/>
      </c>
      <c r="AC264" s="28">
        <f>IF(NOT(OR($B264&lt;&gt;"",$C264&lt;&gt;"")),"",IF(ISNUMBER($V264),IF($V264&lt;'設定'!$B$6,"終了","終了予定"),IF($Y264="","有効",IF($Y264&lt;'設定'!$B$6,"満了",IF(AND($T264="更新する",ISNUMBER($U264),N($U264)&lt;='設定'!$B$6,OR($AO264="",N($U264)&gt;N($AO264))),"確認済み",IF($AB264&lt;0,"通知期限切れ",IF($AB264&lt;=N('設定'!$B$7),"要対応","有効")))))))</f>
        <v/>
      </c>
      <c r="AD264" s="68">
        <f>IF(OR(NOT(ISNUMBER($M264)),$AC264="",$AC264="終了",$AC264="終了予定",$AC264="満了"),"",IF($N264="日前",'設定'!$B$6+$M264,EDATE('設定'!$B$6,$M264)))</f>
        <v/>
      </c>
      <c r="AE264" s="70">
        <f>IF(NOT(ISNUMBER($O264)),"",IF($P264="月額",$O264*12,IF($P264="年額",$O264,"")))</f>
        <v/>
      </c>
      <c r="AF264" s="30">
        <f>MID(IF(AND(ISNUMBER($G264),ISNUMBER($H264)),IF(N($H264)&lt;N($G264)," / 満了日が開始日より前",""),"")&amp;IF(AND($I264="あり",NOT(ISNUMBER($H264)))," / 自動更新ありなのに満了日が空","")&amp;IF(AND($I264="あり",ISNUMBER($H264),NOT(ISNUMBER($J264)))," / 更新期間が空（更新を計算できない）","")&amp;IF($AH264="","",IF(AND(DAY($AH264)&gt;=29,OR(MOD($J264,12)&lt;&gt;0,MONTH($AH264)=2))," / 更新の初日が29〜31日（更新を重ねると満了日が1日ずれることがある。満了日を今の期間の満了日に書き換えると直る）",""))&amp;IF(AND(ISNUMBER($K264),$L264="")," / 通知の単位が空（か月前で計算）","")&amp;IF(AND(ISNUMBER($M264),$N264="")," / 解約予告の単位が空（か月前で計算）","")&amp;IF(AND(ISNUMBER($O264),$P264="")," / 金額の区分が空","")&amp;IF(AND($T264&lt;&gt;"",NOT(ISNUMBER($U264)))," / 対応を決めた日が空","")&amp;IF(AND(ISNUMBER($U264),$T264="")," / 今期の対応が空","")&amp;IF(AND($T264="更新しない",NOT(ISNUMBER($V264)))," / 更新しないなら、解約・終了した日（契約が終わる日）を入れる",""),4,300)</f>
        <v/>
      </c>
      <c r="AG264" s="53" t="n"/>
      <c r="AH264" s="71">
        <f>IF(AND(ISNUMBER($H264),$I264="あり",ISNUMBER($J264)),IF($J264&gt;=1,$H264+1,""),"")</f>
        <v/>
      </c>
      <c r="AI264" s="32">
        <f>IF($AH264="","",(YEAR('設定'!$B$6)-YEAR($AH264))*12+MONTH('設定'!$B$6)-MONTH($AH264))</f>
        <v/>
      </c>
      <c r="AJ264" s="32">
        <f>IF($AH264="","",MAX(1,ROUNDUP($AI264/$J264,0)))</f>
        <v/>
      </c>
      <c r="AK264" s="71">
        <f>IF($AJ264="","",IF(DAY(EDATE($AH264,$AJ264*$J264))&lt;DAY($AH264),EDATE($AH264,$AJ264*$J264),EDATE($AH264,$AJ264*$J264)-1))</f>
        <v/>
      </c>
      <c r="AL264" s="71">
        <f>IF($AJ264="","",IF(DAY(EDATE($AH264,($AJ264+1)*$J264))&lt;DAY($AH264),EDATE($AH264,($AJ264+1)*$J264),EDATE($AH264,($AJ264+1)*$J264)-1))</f>
        <v/>
      </c>
      <c r="AM264" s="71">
        <f>IF($AJ264="","",IF($AJ264=1,$H264,IF(DAY(EDATE($AH264,($AJ264-1)*$J264))&lt;DAY($AH264),EDATE($AH264,($AJ264-1)*$J264),EDATE($AH264,($AJ264-1)*$J264)-1)))</f>
        <v/>
      </c>
      <c r="AN264" s="32">
        <f>IF(NOT(ISNUMBER($H264)),"",IF(OR($AH264="",$H264&gt;='設定'!$B$6),0,IF($AK264&gt;='設定'!$B$6,$AJ264,$AJ264+1)))</f>
        <v/>
      </c>
      <c r="AO264" s="71">
        <f>IF($AN264="","",IF($AN264=0,"",IF($AN264=$AJ264,$AM264,$AK264)))</f>
        <v/>
      </c>
      <c r="AP264" s="32">
        <f>IF(OR($AC264="要対応",$AC264="通知期限切れ",$AC264="確認済み",$AC264="有効",$AC264="終了予定"),1,0)</f>
        <v/>
      </c>
      <c r="AQ264" s="32">
        <f>IF(OR($AC264="要対応",$AC264="通知期限切れ"),1,0)</f>
        <v/>
      </c>
      <c r="AR264" s="72">
        <f>IF(AND(ISNUMBER($AB264),OR($AC264="要対応",$AC264="通知期限切れ",$AC264="確認済み",$AC264="有効")),$AB264+ROW()/100000,"")</f>
        <v/>
      </c>
      <c r="AS264" s="32">
        <f>IF($E264="","",IF(COUNTIF($E$5:$E264,$E264)=1,ROW(),""))</f>
        <v/>
      </c>
      <c r="AT264" s="32">
        <f>IF($S264="","",IF(COUNTIF($S$5:$S264,$S264)=1,ROW(),""))</f>
        <v/>
      </c>
    </row>
    <row r="265" ht="20" customHeight="1">
      <c r="A265" s="20" t="n">
        <v>261</v>
      </c>
      <c r="B265" s="21" t="n"/>
      <c r="C265" s="22" t="n"/>
      <c r="D265" s="22" t="n"/>
      <c r="E265" s="22" t="n"/>
      <c r="F265" s="66" t="n"/>
      <c r="G265" s="66" t="n"/>
      <c r="H265" s="66" t="n"/>
      <c r="I265" s="21" t="n"/>
      <c r="J265" s="24" t="n"/>
      <c r="K265" s="24" t="n"/>
      <c r="L265" s="21" t="n"/>
      <c r="M265" s="24" t="n"/>
      <c r="N265" s="21" t="n"/>
      <c r="O265" s="67" t="n"/>
      <c r="P265" s="21" t="n"/>
      <c r="Q265" s="21" t="n"/>
      <c r="R265" s="22" t="n"/>
      <c r="S265" s="22" t="n"/>
      <c r="T265" s="21" t="n"/>
      <c r="U265" s="66" t="n"/>
      <c r="V265" s="66" t="n"/>
      <c r="W265" s="66" t="n"/>
      <c r="X265" s="8" t="n"/>
      <c r="Y265" s="68">
        <f>IF($AN265="","",IF($AN265=0,$H265,IF($AN265=$AJ265,$AK265,$AL265)))</f>
        <v/>
      </c>
      <c r="Z265" s="68">
        <f>IF(OR($Y265="",NOT(ISNUMBER($K265))),"",IF($L265="日前",$Y265-$K265,EDATE($Y265,-$K265)))</f>
        <v/>
      </c>
      <c r="AA265" s="68">
        <f>IF(OR($Y265="",ISNUMBER($V265),N($Y265)&lt;'設定'!$B$6),"",IF($Z265&lt;&gt;"",$Z265,$Y265))</f>
        <v/>
      </c>
      <c r="AB265" s="69">
        <f>IF($AA265="","",$AA265-'設定'!$B$6)</f>
        <v/>
      </c>
      <c r="AC265" s="28">
        <f>IF(NOT(OR($B265&lt;&gt;"",$C265&lt;&gt;"")),"",IF(ISNUMBER($V265),IF($V265&lt;'設定'!$B$6,"終了","終了予定"),IF($Y265="","有効",IF($Y265&lt;'設定'!$B$6,"満了",IF(AND($T265="更新する",ISNUMBER($U265),N($U265)&lt;='設定'!$B$6,OR($AO265="",N($U265)&gt;N($AO265))),"確認済み",IF($AB265&lt;0,"通知期限切れ",IF($AB265&lt;=N('設定'!$B$7),"要対応","有効")))))))</f>
        <v/>
      </c>
      <c r="AD265" s="68">
        <f>IF(OR(NOT(ISNUMBER($M265)),$AC265="",$AC265="終了",$AC265="終了予定",$AC265="満了"),"",IF($N265="日前",'設定'!$B$6+$M265,EDATE('設定'!$B$6,$M265)))</f>
        <v/>
      </c>
      <c r="AE265" s="70">
        <f>IF(NOT(ISNUMBER($O265)),"",IF($P265="月額",$O265*12,IF($P265="年額",$O265,"")))</f>
        <v/>
      </c>
      <c r="AF265" s="30">
        <f>MID(IF(AND(ISNUMBER($G265),ISNUMBER($H265)),IF(N($H265)&lt;N($G265)," / 満了日が開始日より前",""),"")&amp;IF(AND($I265="あり",NOT(ISNUMBER($H265)))," / 自動更新ありなのに満了日が空","")&amp;IF(AND($I265="あり",ISNUMBER($H265),NOT(ISNUMBER($J265)))," / 更新期間が空（更新を計算できない）","")&amp;IF($AH265="","",IF(AND(DAY($AH265)&gt;=29,OR(MOD($J265,12)&lt;&gt;0,MONTH($AH265)=2))," / 更新の初日が29〜31日（更新を重ねると満了日が1日ずれることがある。満了日を今の期間の満了日に書き換えると直る）",""))&amp;IF(AND(ISNUMBER($K265),$L265="")," / 通知の単位が空（か月前で計算）","")&amp;IF(AND(ISNUMBER($M265),$N265="")," / 解約予告の単位が空（か月前で計算）","")&amp;IF(AND(ISNUMBER($O265),$P265="")," / 金額の区分が空","")&amp;IF(AND($T265&lt;&gt;"",NOT(ISNUMBER($U265)))," / 対応を決めた日が空","")&amp;IF(AND(ISNUMBER($U265),$T265="")," / 今期の対応が空","")&amp;IF(AND($T265="更新しない",NOT(ISNUMBER($V265)))," / 更新しないなら、解約・終了した日（契約が終わる日）を入れる",""),4,300)</f>
        <v/>
      </c>
      <c r="AG265" s="53" t="n"/>
      <c r="AH265" s="71">
        <f>IF(AND(ISNUMBER($H265),$I265="あり",ISNUMBER($J265)),IF($J265&gt;=1,$H265+1,""),"")</f>
        <v/>
      </c>
      <c r="AI265" s="32">
        <f>IF($AH265="","",(YEAR('設定'!$B$6)-YEAR($AH265))*12+MONTH('設定'!$B$6)-MONTH($AH265))</f>
        <v/>
      </c>
      <c r="AJ265" s="32">
        <f>IF($AH265="","",MAX(1,ROUNDUP($AI265/$J265,0)))</f>
        <v/>
      </c>
      <c r="AK265" s="71">
        <f>IF($AJ265="","",IF(DAY(EDATE($AH265,$AJ265*$J265))&lt;DAY($AH265),EDATE($AH265,$AJ265*$J265),EDATE($AH265,$AJ265*$J265)-1))</f>
        <v/>
      </c>
      <c r="AL265" s="71">
        <f>IF($AJ265="","",IF(DAY(EDATE($AH265,($AJ265+1)*$J265))&lt;DAY($AH265),EDATE($AH265,($AJ265+1)*$J265),EDATE($AH265,($AJ265+1)*$J265)-1))</f>
        <v/>
      </c>
      <c r="AM265" s="71">
        <f>IF($AJ265="","",IF($AJ265=1,$H265,IF(DAY(EDATE($AH265,($AJ265-1)*$J265))&lt;DAY($AH265),EDATE($AH265,($AJ265-1)*$J265),EDATE($AH265,($AJ265-1)*$J265)-1)))</f>
        <v/>
      </c>
      <c r="AN265" s="32">
        <f>IF(NOT(ISNUMBER($H265)),"",IF(OR($AH265="",$H265&gt;='設定'!$B$6),0,IF($AK265&gt;='設定'!$B$6,$AJ265,$AJ265+1)))</f>
        <v/>
      </c>
      <c r="AO265" s="71">
        <f>IF($AN265="","",IF($AN265=0,"",IF($AN265=$AJ265,$AM265,$AK265)))</f>
        <v/>
      </c>
      <c r="AP265" s="32">
        <f>IF(OR($AC265="要対応",$AC265="通知期限切れ",$AC265="確認済み",$AC265="有効",$AC265="終了予定"),1,0)</f>
        <v/>
      </c>
      <c r="AQ265" s="32">
        <f>IF(OR($AC265="要対応",$AC265="通知期限切れ"),1,0)</f>
        <v/>
      </c>
      <c r="AR265" s="72">
        <f>IF(AND(ISNUMBER($AB265),OR($AC265="要対応",$AC265="通知期限切れ",$AC265="確認済み",$AC265="有効")),$AB265+ROW()/100000,"")</f>
        <v/>
      </c>
      <c r="AS265" s="32">
        <f>IF($E265="","",IF(COUNTIF($E$5:$E265,$E265)=1,ROW(),""))</f>
        <v/>
      </c>
      <c r="AT265" s="32">
        <f>IF($S265="","",IF(COUNTIF($S$5:$S265,$S265)=1,ROW(),""))</f>
        <v/>
      </c>
    </row>
    <row r="266" ht="20" customHeight="1">
      <c r="A266" s="20" t="n">
        <v>262</v>
      </c>
      <c r="B266" s="21" t="n"/>
      <c r="C266" s="22" t="n"/>
      <c r="D266" s="22" t="n"/>
      <c r="E266" s="22" t="n"/>
      <c r="F266" s="66" t="n"/>
      <c r="G266" s="66" t="n"/>
      <c r="H266" s="66" t="n"/>
      <c r="I266" s="21" t="n"/>
      <c r="J266" s="24" t="n"/>
      <c r="K266" s="24" t="n"/>
      <c r="L266" s="21" t="n"/>
      <c r="M266" s="24" t="n"/>
      <c r="N266" s="21" t="n"/>
      <c r="O266" s="67" t="n"/>
      <c r="P266" s="21" t="n"/>
      <c r="Q266" s="21" t="n"/>
      <c r="R266" s="22" t="n"/>
      <c r="S266" s="22" t="n"/>
      <c r="T266" s="21" t="n"/>
      <c r="U266" s="66" t="n"/>
      <c r="V266" s="66" t="n"/>
      <c r="W266" s="66" t="n"/>
      <c r="X266" s="8" t="n"/>
      <c r="Y266" s="68">
        <f>IF($AN266="","",IF($AN266=0,$H266,IF($AN266=$AJ266,$AK266,$AL266)))</f>
        <v/>
      </c>
      <c r="Z266" s="68">
        <f>IF(OR($Y266="",NOT(ISNUMBER($K266))),"",IF($L266="日前",$Y266-$K266,EDATE($Y266,-$K266)))</f>
        <v/>
      </c>
      <c r="AA266" s="68">
        <f>IF(OR($Y266="",ISNUMBER($V266),N($Y266)&lt;'設定'!$B$6),"",IF($Z266&lt;&gt;"",$Z266,$Y266))</f>
        <v/>
      </c>
      <c r="AB266" s="69">
        <f>IF($AA266="","",$AA266-'設定'!$B$6)</f>
        <v/>
      </c>
      <c r="AC266" s="28">
        <f>IF(NOT(OR($B266&lt;&gt;"",$C266&lt;&gt;"")),"",IF(ISNUMBER($V266),IF($V266&lt;'設定'!$B$6,"終了","終了予定"),IF($Y266="","有効",IF($Y266&lt;'設定'!$B$6,"満了",IF(AND($T266="更新する",ISNUMBER($U266),N($U266)&lt;='設定'!$B$6,OR($AO266="",N($U266)&gt;N($AO266))),"確認済み",IF($AB266&lt;0,"通知期限切れ",IF($AB266&lt;=N('設定'!$B$7),"要対応","有効")))))))</f>
        <v/>
      </c>
      <c r="AD266" s="68">
        <f>IF(OR(NOT(ISNUMBER($M266)),$AC266="",$AC266="終了",$AC266="終了予定",$AC266="満了"),"",IF($N266="日前",'設定'!$B$6+$M266,EDATE('設定'!$B$6,$M266)))</f>
        <v/>
      </c>
      <c r="AE266" s="70">
        <f>IF(NOT(ISNUMBER($O266)),"",IF($P266="月額",$O266*12,IF($P266="年額",$O266,"")))</f>
        <v/>
      </c>
      <c r="AF266" s="30">
        <f>MID(IF(AND(ISNUMBER($G266),ISNUMBER($H266)),IF(N($H266)&lt;N($G266)," / 満了日が開始日より前",""),"")&amp;IF(AND($I266="あり",NOT(ISNUMBER($H266)))," / 自動更新ありなのに満了日が空","")&amp;IF(AND($I266="あり",ISNUMBER($H266),NOT(ISNUMBER($J266)))," / 更新期間が空（更新を計算できない）","")&amp;IF($AH266="","",IF(AND(DAY($AH266)&gt;=29,OR(MOD($J266,12)&lt;&gt;0,MONTH($AH266)=2))," / 更新の初日が29〜31日（更新を重ねると満了日が1日ずれることがある。満了日を今の期間の満了日に書き換えると直る）",""))&amp;IF(AND(ISNUMBER($K266),$L266="")," / 通知の単位が空（か月前で計算）","")&amp;IF(AND(ISNUMBER($M266),$N266="")," / 解約予告の単位が空（か月前で計算）","")&amp;IF(AND(ISNUMBER($O266),$P266="")," / 金額の区分が空","")&amp;IF(AND($T266&lt;&gt;"",NOT(ISNUMBER($U266)))," / 対応を決めた日が空","")&amp;IF(AND(ISNUMBER($U266),$T266="")," / 今期の対応が空","")&amp;IF(AND($T266="更新しない",NOT(ISNUMBER($V266)))," / 更新しないなら、解約・終了した日（契約が終わる日）を入れる",""),4,300)</f>
        <v/>
      </c>
      <c r="AG266" s="53" t="n"/>
      <c r="AH266" s="71">
        <f>IF(AND(ISNUMBER($H266),$I266="あり",ISNUMBER($J266)),IF($J266&gt;=1,$H266+1,""),"")</f>
        <v/>
      </c>
      <c r="AI266" s="32">
        <f>IF($AH266="","",(YEAR('設定'!$B$6)-YEAR($AH266))*12+MONTH('設定'!$B$6)-MONTH($AH266))</f>
        <v/>
      </c>
      <c r="AJ266" s="32">
        <f>IF($AH266="","",MAX(1,ROUNDUP($AI266/$J266,0)))</f>
        <v/>
      </c>
      <c r="AK266" s="71">
        <f>IF($AJ266="","",IF(DAY(EDATE($AH266,$AJ266*$J266))&lt;DAY($AH266),EDATE($AH266,$AJ266*$J266),EDATE($AH266,$AJ266*$J266)-1))</f>
        <v/>
      </c>
      <c r="AL266" s="71">
        <f>IF($AJ266="","",IF(DAY(EDATE($AH266,($AJ266+1)*$J266))&lt;DAY($AH266),EDATE($AH266,($AJ266+1)*$J266),EDATE($AH266,($AJ266+1)*$J266)-1))</f>
        <v/>
      </c>
      <c r="AM266" s="71">
        <f>IF($AJ266="","",IF($AJ266=1,$H266,IF(DAY(EDATE($AH266,($AJ266-1)*$J266))&lt;DAY($AH266),EDATE($AH266,($AJ266-1)*$J266),EDATE($AH266,($AJ266-1)*$J266)-1)))</f>
        <v/>
      </c>
      <c r="AN266" s="32">
        <f>IF(NOT(ISNUMBER($H266)),"",IF(OR($AH266="",$H266&gt;='設定'!$B$6),0,IF($AK266&gt;='設定'!$B$6,$AJ266,$AJ266+1)))</f>
        <v/>
      </c>
      <c r="AO266" s="71">
        <f>IF($AN266="","",IF($AN266=0,"",IF($AN266=$AJ266,$AM266,$AK266)))</f>
        <v/>
      </c>
      <c r="AP266" s="32">
        <f>IF(OR($AC266="要対応",$AC266="通知期限切れ",$AC266="確認済み",$AC266="有効",$AC266="終了予定"),1,0)</f>
        <v/>
      </c>
      <c r="AQ266" s="32">
        <f>IF(OR($AC266="要対応",$AC266="通知期限切れ"),1,0)</f>
        <v/>
      </c>
      <c r="AR266" s="72">
        <f>IF(AND(ISNUMBER($AB266),OR($AC266="要対応",$AC266="通知期限切れ",$AC266="確認済み",$AC266="有効")),$AB266+ROW()/100000,"")</f>
        <v/>
      </c>
      <c r="AS266" s="32">
        <f>IF($E266="","",IF(COUNTIF($E$5:$E266,$E266)=1,ROW(),""))</f>
        <v/>
      </c>
      <c r="AT266" s="32">
        <f>IF($S266="","",IF(COUNTIF($S$5:$S266,$S266)=1,ROW(),""))</f>
        <v/>
      </c>
    </row>
    <row r="267" ht="20" customHeight="1">
      <c r="A267" s="20" t="n">
        <v>263</v>
      </c>
      <c r="B267" s="21" t="n"/>
      <c r="C267" s="22" t="n"/>
      <c r="D267" s="22" t="n"/>
      <c r="E267" s="22" t="n"/>
      <c r="F267" s="66" t="n"/>
      <c r="G267" s="66" t="n"/>
      <c r="H267" s="66" t="n"/>
      <c r="I267" s="21" t="n"/>
      <c r="J267" s="24" t="n"/>
      <c r="K267" s="24" t="n"/>
      <c r="L267" s="21" t="n"/>
      <c r="M267" s="24" t="n"/>
      <c r="N267" s="21" t="n"/>
      <c r="O267" s="67" t="n"/>
      <c r="P267" s="21" t="n"/>
      <c r="Q267" s="21" t="n"/>
      <c r="R267" s="22" t="n"/>
      <c r="S267" s="22" t="n"/>
      <c r="T267" s="21" t="n"/>
      <c r="U267" s="66" t="n"/>
      <c r="V267" s="66" t="n"/>
      <c r="W267" s="66" t="n"/>
      <c r="X267" s="8" t="n"/>
      <c r="Y267" s="68">
        <f>IF($AN267="","",IF($AN267=0,$H267,IF($AN267=$AJ267,$AK267,$AL267)))</f>
        <v/>
      </c>
      <c r="Z267" s="68">
        <f>IF(OR($Y267="",NOT(ISNUMBER($K267))),"",IF($L267="日前",$Y267-$K267,EDATE($Y267,-$K267)))</f>
        <v/>
      </c>
      <c r="AA267" s="68">
        <f>IF(OR($Y267="",ISNUMBER($V267),N($Y267)&lt;'設定'!$B$6),"",IF($Z267&lt;&gt;"",$Z267,$Y267))</f>
        <v/>
      </c>
      <c r="AB267" s="69">
        <f>IF($AA267="","",$AA267-'設定'!$B$6)</f>
        <v/>
      </c>
      <c r="AC267" s="28">
        <f>IF(NOT(OR($B267&lt;&gt;"",$C267&lt;&gt;"")),"",IF(ISNUMBER($V267),IF($V267&lt;'設定'!$B$6,"終了","終了予定"),IF($Y267="","有効",IF($Y267&lt;'設定'!$B$6,"満了",IF(AND($T267="更新する",ISNUMBER($U267),N($U267)&lt;='設定'!$B$6,OR($AO267="",N($U267)&gt;N($AO267))),"確認済み",IF($AB267&lt;0,"通知期限切れ",IF($AB267&lt;=N('設定'!$B$7),"要対応","有効")))))))</f>
        <v/>
      </c>
      <c r="AD267" s="68">
        <f>IF(OR(NOT(ISNUMBER($M267)),$AC267="",$AC267="終了",$AC267="終了予定",$AC267="満了"),"",IF($N267="日前",'設定'!$B$6+$M267,EDATE('設定'!$B$6,$M267)))</f>
        <v/>
      </c>
      <c r="AE267" s="70">
        <f>IF(NOT(ISNUMBER($O267)),"",IF($P267="月額",$O267*12,IF($P267="年額",$O267,"")))</f>
        <v/>
      </c>
      <c r="AF267" s="30">
        <f>MID(IF(AND(ISNUMBER($G267),ISNUMBER($H267)),IF(N($H267)&lt;N($G267)," / 満了日が開始日より前",""),"")&amp;IF(AND($I267="あり",NOT(ISNUMBER($H267)))," / 自動更新ありなのに満了日が空","")&amp;IF(AND($I267="あり",ISNUMBER($H267),NOT(ISNUMBER($J267)))," / 更新期間が空（更新を計算できない）","")&amp;IF($AH267="","",IF(AND(DAY($AH267)&gt;=29,OR(MOD($J267,12)&lt;&gt;0,MONTH($AH267)=2))," / 更新の初日が29〜31日（更新を重ねると満了日が1日ずれることがある。満了日を今の期間の満了日に書き換えると直る）",""))&amp;IF(AND(ISNUMBER($K267),$L267="")," / 通知の単位が空（か月前で計算）","")&amp;IF(AND(ISNUMBER($M267),$N267="")," / 解約予告の単位が空（か月前で計算）","")&amp;IF(AND(ISNUMBER($O267),$P267="")," / 金額の区分が空","")&amp;IF(AND($T267&lt;&gt;"",NOT(ISNUMBER($U267)))," / 対応を決めた日が空","")&amp;IF(AND(ISNUMBER($U267),$T267="")," / 今期の対応が空","")&amp;IF(AND($T267="更新しない",NOT(ISNUMBER($V267)))," / 更新しないなら、解約・終了した日（契約が終わる日）を入れる",""),4,300)</f>
        <v/>
      </c>
      <c r="AG267" s="53" t="n"/>
      <c r="AH267" s="71">
        <f>IF(AND(ISNUMBER($H267),$I267="あり",ISNUMBER($J267)),IF($J267&gt;=1,$H267+1,""),"")</f>
        <v/>
      </c>
      <c r="AI267" s="32">
        <f>IF($AH267="","",(YEAR('設定'!$B$6)-YEAR($AH267))*12+MONTH('設定'!$B$6)-MONTH($AH267))</f>
        <v/>
      </c>
      <c r="AJ267" s="32">
        <f>IF($AH267="","",MAX(1,ROUNDUP($AI267/$J267,0)))</f>
        <v/>
      </c>
      <c r="AK267" s="71">
        <f>IF($AJ267="","",IF(DAY(EDATE($AH267,$AJ267*$J267))&lt;DAY($AH267),EDATE($AH267,$AJ267*$J267),EDATE($AH267,$AJ267*$J267)-1))</f>
        <v/>
      </c>
      <c r="AL267" s="71">
        <f>IF($AJ267="","",IF(DAY(EDATE($AH267,($AJ267+1)*$J267))&lt;DAY($AH267),EDATE($AH267,($AJ267+1)*$J267),EDATE($AH267,($AJ267+1)*$J267)-1))</f>
        <v/>
      </c>
      <c r="AM267" s="71">
        <f>IF($AJ267="","",IF($AJ267=1,$H267,IF(DAY(EDATE($AH267,($AJ267-1)*$J267))&lt;DAY($AH267),EDATE($AH267,($AJ267-1)*$J267),EDATE($AH267,($AJ267-1)*$J267)-1)))</f>
        <v/>
      </c>
      <c r="AN267" s="32">
        <f>IF(NOT(ISNUMBER($H267)),"",IF(OR($AH267="",$H267&gt;='設定'!$B$6),0,IF($AK267&gt;='設定'!$B$6,$AJ267,$AJ267+1)))</f>
        <v/>
      </c>
      <c r="AO267" s="71">
        <f>IF($AN267="","",IF($AN267=0,"",IF($AN267=$AJ267,$AM267,$AK267)))</f>
        <v/>
      </c>
      <c r="AP267" s="32">
        <f>IF(OR($AC267="要対応",$AC267="通知期限切れ",$AC267="確認済み",$AC267="有効",$AC267="終了予定"),1,0)</f>
        <v/>
      </c>
      <c r="AQ267" s="32">
        <f>IF(OR($AC267="要対応",$AC267="通知期限切れ"),1,0)</f>
        <v/>
      </c>
      <c r="AR267" s="72">
        <f>IF(AND(ISNUMBER($AB267),OR($AC267="要対応",$AC267="通知期限切れ",$AC267="確認済み",$AC267="有効")),$AB267+ROW()/100000,"")</f>
        <v/>
      </c>
      <c r="AS267" s="32">
        <f>IF($E267="","",IF(COUNTIF($E$5:$E267,$E267)=1,ROW(),""))</f>
        <v/>
      </c>
      <c r="AT267" s="32">
        <f>IF($S267="","",IF(COUNTIF($S$5:$S267,$S267)=1,ROW(),""))</f>
        <v/>
      </c>
    </row>
    <row r="268" ht="20" customHeight="1">
      <c r="A268" s="20" t="n">
        <v>264</v>
      </c>
      <c r="B268" s="21" t="n"/>
      <c r="C268" s="22" t="n"/>
      <c r="D268" s="22" t="n"/>
      <c r="E268" s="22" t="n"/>
      <c r="F268" s="66" t="n"/>
      <c r="G268" s="66" t="n"/>
      <c r="H268" s="66" t="n"/>
      <c r="I268" s="21" t="n"/>
      <c r="J268" s="24" t="n"/>
      <c r="K268" s="24" t="n"/>
      <c r="L268" s="21" t="n"/>
      <c r="M268" s="24" t="n"/>
      <c r="N268" s="21" t="n"/>
      <c r="O268" s="67" t="n"/>
      <c r="P268" s="21" t="n"/>
      <c r="Q268" s="21" t="n"/>
      <c r="R268" s="22" t="n"/>
      <c r="S268" s="22" t="n"/>
      <c r="T268" s="21" t="n"/>
      <c r="U268" s="66" t="n"/>
      <c r="V268" s="66" t="n"/>
      <c r="W268" s="66" t="n"/>
      <c r="X268" s="8" t="n"/>
      <c r="Y268" s="68">
        <f>IF($AN268="","",IF($AN268=0,$H268,IF($AN268=$AJ268,$AK268,$AL268)))</f>
        <v/>
      </c>
      <c r="Z268" s="68">
        <f>IF(OR($Y268="",NOT(ISNUMBER($K268))),"",IF($L268="日前",$Y268-$K268,EDATE($Y268,-$K268)))</f>
        <v/>
      </c>
      <c r="AA268" s="68">
        <f>IF(OR($Y268="",ISNUMBER($V268),N($Y268)&lt;'設定'!$B$6),"",IF($Z268&lt;&gt;"",$Z268,$Y268))</f>
        <v/>
      </c>
      <c r="AB268" s="69">
        <f>IF($AA268="","",$AA268-'設定'!$B$6)</f>
        <v/>
      </c>
      <c r="AC268" s="28">
        <f>IF(NOT(OR($B268&lt;&gt;"",$C268&lt;&gt;"")),"",IF(ISNUMBER($V268),IF($V268&lt;'設定'!$B$6,"終了","終了予定"),IF($Y268="","有効",IF($Y268&lt;'設定'!$B$6,"満了",IF(AND($T268="更新する",ISNUMBER($U268),N($U268)&lt;='設定'!$B$6,OR($AO268="",N($U268)&gt;N($AO268))),"確認済み",IF($AB268&lt;0,"通知期限切れ",IF($AB268&lt;=N('設定'!$B$7),"要対応","有効")))))))</f>
        <v/>
      </c>
      <c r="AD268" s="68">
        <f>IF(OR(NOT(ISNUMBER($M268)),$AC268="",$AC268="終了",$AC268="終了予定",$AC268="満了"),"",IF($N268="日前",'設定'!$B$6+$M268,EDATE('設定'!$B$6,$M268)))</f>
        <v/>
      </c>
      <c r="AE268" s="70">
        <f>IF(NOT(ISNUMBER($O268)),"",IF($P268="月額",$O268*12,IF($P268="年額",$O268,"")))</f>
        <v/>
      </c>
      <c r="AF268" s="30">
        <f>MID(IF(AND(ISNUMBER($G268),ISNUMBER($H268)),IF(N($H268)&lt;N($G268)," / 満了日が開始日より前",""),"")&amp;IF(AND($I268="あり",NOT(ISNUMBER($H268)))," / 自動更新ありなのに満了日が空","")&amp;IF(AND($I268="あり",ISNUMBER($H268),NOT(ISNUMBER($J268)))," / 更新期間が空（更新を計算できない）","")&amp;IF($AH268="","",IF(AND(DAY($AH268)&gt;=29,OR(MOD($J268,12)&lt;&gt;0,MONTH($AH268)=2))," / 更新の初日が29〜31日（更新を重ねると満了日が1日ずれることがある。満了日を今の期間の満了日に書き換えると直る）",""))&amp;IF(AND(ISNUMBER($K268),$L268="")," / 通知の単位が空（か月前で計算）","")&amp;IF(AND(ISNUMBER($M268),$N268="")," / 解約予告の単位が空（か月前で計算）","")&amp;IF(AND(ISNUMBER($O268),$P268="")," / 金額の区分が空","")&amp;IF(AND($T268&lt;&gt;"",NOT(ISNUMBER($U268)))," / 対応を決めた日が空","")&amp;IF(AND(ISNUMBER($U268),$T268="")," / 今期の対応が空","")&amp;IF(AND($T268="更新しない",NOT(ISNUMBER($V268)))," / 更新しないなら、解約・終了した日（契約が終わる日）を入れる",""),4,300)</f>
        <v/>
      </c>
      <c r="AG268" s="53" t="n"/>
      <c r="AH268" s="71">
        <f>IF(AND(ISNUMBER($H268),$I268="あり",ISNUMBER($J268)),IF($J268&gt;=1,$H268+1,""),"")</f>
        <v/>
      </c>
      <c r="AI268" s="32">
        <f>IF($AH268="","",(YEAR('設定'!$B$6)-YEAR($AH268))*12+MONTH('設定'!$B$6)-MONTH($AH268))</f>
        <v/>
      </c>
      <c r="AJ268" s="32">
        <f>IF($AH268="","",MAX(1,ROUNDUP($AI268/$J268,0)))</f>
        <v/>
      </c>
      <c r="AK268" s="71">
        <f>IF($AJ268="","",IF(DAY(EDATE($AH268,$AJ268*$J268))&lt;DAY($AH268),EDATE($AH268,$AJ268*$J268),EDATE($AH268,$AJ268*$J268)-1))</f>
        <v/>
      </c>
      <c r="AL268" s="71">
        <f>IF($AJ268="","",IF(DAY(EDATE($AH268,($AJ268+1)*$J268))&lt;DAY($AH268),EDATE($AH268,($AJ268+1)*$J268),EDATE($AH268,($AJ268+1)*$J268)-1))</f>
        <v/>
      </c>
      <c r="AM268" s="71">
        <f>IF($AJ268="","",IF($AJ268=1,$H268,IF(DAY(EDATE($AH268,($AJ268-1)*$J268))&lt;DAY($AH268),EDATE($AH268,($AJ268-1)*$J268),EDATE($AH268,($AJ268-1)*$J268)-1)))</f>
        <v/>
      </c>
      <c r="AN268" s="32">
        <f>IF(NOT(ISNUMBER($H268)),"",IF(OR($AH268="",$H268&gt;='設定'!$B$6),0,IF($AK268&gt;='設定'!$B$6,$AJ268,$AJ268+1)))</f>
        <v/>
      </c>
      <c r="AO268" s="71">
        <f>IF($AN268="","",IF($AN268=0,"",IF($AN268=$AJ268,$AM268,$AK268)))</f>
        <v/>
      </c>
      <c r="AP268" s="32">
        <f>IF(OR($AC268="要対応",$AC268="通知期限切れ",$AC268="確認済み",$AC268="有効",$AC268="終了予定"),1,0)</f>
        <v/>
      </c>
      <c r="AQ268" s="32">
        <f>IF(OR($AC268="要対応",$AC268="通知期限切れ"),1,0)</f>
        <v/>
      </c>
      <c r="AR268" s="72">
        <f>IF(AND(ISNUMBER($AB268),OR($AC268="要対応",$AC268="通知期限切れ",$AC268="確認済み",$AC268="有効")),$AB268+ROW()/100000,"")</f>
        <v/>
      </c>
      <c r="AS268" s="32">
        <f>IF($E268="","",IF(COUNTIF($E$5:$E268,$E268)=1,ROW(),""))</f>
        <v/>
      </c>
      <c r="AT268" s="32">
        <f>IF($S268="","",IF(COUNTIF($S$5:$S268,$S268)=1,ROW(),""))</f>
        <v/>
      </c>
    </row>
    <row r="269" ht="20" customHeight="1">
      <c r="A269" s="20" t="n">
        <v>265</v>
      </c>
      <c r="B269" s="21" t="n"/>
      <c r="C269" s="22" t="n"/>
      <c r="D269" s="22" t="n"/>
      <c r="E269" s="22" t="n"/>
      <c r="F269" s="66" t="n"/>
      <c r="G269" s="66" t="n"/>
      <c r="H269" s="66" t="n"/>
      <c r="I269" s="21" t="n"/>
      <c r="J269" s="24" t="n"/>
      <c r="K269" s="24" t="n"/>
      <c r="L269" s="21" t="n"/>
      <c r="M269" s="24" t="n"/>
      <c r="N269" s="21" t="n"/>
      <c r="O269" s="67" t="n"/>
      <c r="P269" s="21" t="n"/>
      <c r="Q269" s="21" t="n"/>
      <c r="R269" s="22" t="n"/>
      <c r="S269" s="22" t="n"/>
      <c r="T269" s="21" t="n"/>
      <c r="U269" s="66" t="n"/>
      <c r="V269" s="66" t="n"/>
      <c r="W269" s="66" t="n"/>
      <c r="X269" s="8" t="n"/>
      <c r="Y269" s="68">
        <f>IF($AN269="","",IF($AN269=0,$H269,IF($AN269=$AJ269,$AK269,$AL269)))</f>
        <v/>
      </c>
      <c r="Z269" s="68">
        <f>IF(OR($Y269="",NOT(ISNUMBER($K269))),"",IF($L269="日前",$Y269-$K269,EDATE($Y269,-$K269)))</f>
        <v/>
      </c>
      <c r="AA269" s="68">
        <f>IF(OR($Y269="",ISNUMBER($V269),N($Y269)&lt;'設定'!$B$6),"",IF($Z269&lt;&gt;"",$Z269,$Y269))</f>
        <v/>
      </c>
      <c r="AB269" s="69">
        <f>IF($AA269="","",$AA269-'設定'!$B$6)</f>
        <v/>
      </c>
      <c r="AC269" s="28">
        <f>IF(NOT(OR($B269&lt;&gt;"",$C269&lt;&gt;"")),"",IF(ISNUMBER($V269),IF($V269&lt;'設定'!$B$6,"終了","終了予定"),IF($Y269="","有効",IF($Y269&lt;'設定'!$B$6,"満了",IF(AND($T269="更新する",ISNUMBER($U269),N($U269)&lt;='設定'!$B$6,OR($AO269="",N($U269)&gt;N($AO269))),"確認済み",IF($AB269&lt;0,"通知期限切れ",IF($AB269&lt;=N('設定'!$B$7),"要対応","有効")))))))</f>
        <v/>
      </c>
      <c r="AD269" s="68">
        <f>IF(OR(NOT(ISNUMBER($M269)),$AC269="",$AC269="終了",$AC269="終了予定",$AC269="満了"),"",IF($N269="日前",'設定'!$B$6+$M269,EDATE('設定'!$B$6,$M269)))</f>
        <v/>
      </c>
      <c r="AE269" s="70">
        <f>IF(NOT(ISNUMBER($O269)),"",IF($P269="月額",$O269*12,IF($P269="年額",$O269,"")))</f>
        <v/>
      </c>
      <c r="AF269" s="30">
        <f>MID(IF(AND(ISNUMBER($G269),ISNUMBER($H269)),IF(N($H269)&lt;N($G269)," / 満了日が開始日より前",""),"")&amp;IF(AND($I269="あり",NOT(ISNUMBER($H269)))," / 自動更新ありなのに満了日が空","")&amp;IF(AND($I269="あり",ISNUMBER($H269),NOT(ISNUMBER($J269)))," / 更新期間が空（更新を計算できない）","")&amp;IF($AH269="","",IF(AND(DAY($AH269)&gt;=29,OR(MOD($J269,12)&lt;&gt;0,MONTH($AH269)=2))," / 更新の初日が29〜31日（更新を重ねると満了日が1日ずれることがある。満了日を今の期間の満了日に書き換えると直る）",""))&amp;IF(AND(ISNUMBER($K269),$L269="")," / 通知の単位が空（か月前で計算）","")&amp;IF(AND(ISNUMBER($M269),$N269="")," / 解約予告の単位が空（か月前で計算）","")&amp;IF(AND(ISNUMBER($O269),$P269="")," / 金額の区分が空","")&amp;IF(AND($T269&lt;&gt;"",NOT(ISNUMBER($U269)))," / 対応を決めた日が空","")&amp;IF(AND(ISNUMBER($U269),$T269="")," / 今期の対応が空","")&amp;IF(AND($T269="更新しない",NOT(ISNUMBER($V269)))," / 更新しないなら、解約・終了した日（契約が終わる日）を入れる",""),4,300)</f>
        <v/>
      </c>
      <c r="AG269" s="53" t="n"/>
      <c r="AH269" s="71">
        <f>IF(AND(ISNUMBER($H269),$I269="あり",ISNUMBER($J269)),IF($J269&gt;=1,$H269+1,""),"")</f>
        <v/>
      </c>
      <c r="AI269" s="32">
        <f>IF($AH269="","",(YEAR('設定'!$B$6)-YEAR($AH269))*12+MONTH('設定'!$B$6)-MONTH($AH269))</f>
        <v/>
      </c>
      <c r="AJ269" s="32">
        <f>IF($AH269="","",MAX(1,ROUNDUP($AI269/$J269,0)))</f>
        <v/>
      </c>
      <c r="AK269" s="71">
        <f>IF($AJ269="","",IF(DAY(EDATE($AH269,$AJ269*$J269))&lt;DAY($AH269),EDATE($AH269,$AJ269*$J269),EDATE($AH269,$AJ269*$J269)-1))</f>
        <v/>
      </c>
      <c r="AL269" s="71">
        <f>IF($AJ269="","",IF(DAY(EDATE($AH269,($AJ269+1)*$J269))&lt;DAY($AH269),EDATE($AH269,($AJ269+1)*$J269),EDATE($AH269,($AJ269+1)*$J269)-1))</f>
        <v/>
      </c>
      <c r="AM269" s="71">
        <f>IF($AJ269="","",IF($AJ269=1,$H269,IF(DAY(EDATE($AH269,($AJ269-1)*$J269))&lt;DAY($AH269),EDATE($AH269,($AJ269-1)*$J269),EDATE($AH269,($AJ269-1)*$J269)-1)))</f>
        <v/>
      </c>
      <c r="AN269" s="32">
        <f>IF(NOT(ISNUMBER($H269)),"",IF(OR($AH269="",$H269&gt;='設定'!$B$6),0,IF($AK269&gt;='設定'!$B$6,$AJ269,$AJ269+1)))</f>
        <v/>
      </c>
      <c r="AO269" s="71">
        <f>IF($AN269="","",IF($AN269=0,"",IF($AN269=$AJ269,$AM269,$AK269)))</f>
        <v/>
      </c>
      <c r="AP269" s="32">
        <f>IF(OR($AC269="要対応",$AC269="通知期限切れ",$AC269="確認済み",$AC269="有効",$AC269="終了予定"),1,0)</f>
        <v/>
      </c>
      <c r="AQ269" s="32">
        <f>IF(OR($AC269="要対応",$AC269="通知期限切れ"),1,0)</f>
        <v/>
      </c>
      <c r="AR269" s="72">
        <f>IF(AND(ISNUMBER($AB269),OR($AC269="要対応",$AC269="通知期限切れ",$AC269="確認済み",$AC269="有効")),$AB269+ROW()/100000,"")</f>
        <v/>
      </c>
      <c r="AS269" s="32">
        <f>IF($E269="","",IF(COUNTIF($E$5:$E269,$E269)=1,ROW(),""))</f>
        <v/>
      </c>
      <c r="AT269" s="32">
        <f>IF($S269="","",IF(COUNTIF($S$5:$S269,$S269)=1,ROW(),""))</f>
        <v/>
      </c>
    </row>
    <row r="270" ht="20" customHeight="1">
      <c r="A270" s="20" t="n">
        <v>266</v>
      </c>
      <c r="B270" s="21" t="n"/>
      <c r="C270" s="22" t="n"/>
      <c r="D270" s="22" t="n"/>
      <c r="E270" s="22" t="n"/>
      <c r="F270" s="66" t="n"/>
      <c r="G270" s="66" t="n"/>
      <c r="H270" s="66" t="n"/>
      <c r="I270" s="21" t="n"/>
      <c r="J270" s="24" t="n"/>
      <c r="K270" s="24" t="n"/>
      <c r="L270" s="21" t="n"/>
      <c r="M270" s="24" t="n"/>
      <c r="N270" s="21" t="n"/>
      <c r="O270" s="67" t="n"/>
      <c r="P270" s="21" t="n"/>
      <c r="Q270" s="21" t="n"/>
      <c r="R270" s="22" t="n"/>
      <c r="S270" s="22" t="n"/>
      <c r="T270" s="21" t="n"/>
      <c r="U270" s="66" t="n"/>
      <c r="V270" s="66" t="n"/>
      <c r="W270" s="66" t="n"/>
      <c r="X270" s="8" t="n"/>
      <c r="Y270" s="68">
        <f>IF($AN270="","",IF($AN270=0,$H270,IF($AN270=$AJ270,$AK270,$AL270)))</f>
        <v/>
      </c>
      <c r="Z270" s="68">
        <f>IF(OR($Y270="",NOT(ISNUMBER($K270))),"",IF($L270="日前",$Y270-$K270,EDATE($Y270,-$K270)))</f>
        <v/>
      </c>
      <c r="AA270" s="68">
        <f>IF(OR($Y270="",ISNUMBER($V270),N($Y270)&lt;'設定'!$B$6),"",IF($Z270&lt;&gt;"",$Z270,$Y270))</f>
        <v/>
      </c>
      <c r="AB270" s="69">
        <f>IF($AA270="","",$AA270-'設定'!$B$6)</f>
        <v/>
      </c>
      <c r="AC270" s="28">
        <f>IF(NOT(OR($B270&lt;&gt;"",$C270&lt;&gt;"")),"",IF(ISNUMBER($V270),IF($V270&lt;'設定'!$B$6,"終了","終了予定"),IF($Y270="","有効",IF($Y270&lt;'設定'!$B$6,"満了",IF(AND($T270="更新する",ISNUMBER($U270),N($U270)&lt;='設定'!$B$6,OR($AO270="",N($U270)&gt;N($AO270))),"確認済み",IF($AB270&lt;0,"通知期限切れ",IF($AB270&lt;=N('設定'!$B$7),"要対応","有効")))))))</f>
        <v/>
      </c>
      <c r="AD270" s="68">
        <f>IF(OR(NOT(ISNUMBER($M270)),$AC270="",$AC270="終了",$AC270="終了予定",$AC270="満了"),"",IF($N270="日前",'設定'!$B$6+$M270,EDATE('設定'!$B$6,$M270)))</f>
        <v/>
      </c>
      <c r="AE270" s="70">
        <f>IF(NOT(ISNUMBER($O270)),"",IF($P270="月額",$O270*12,IF($P270="年額",$O270,"")))</f>
        <v/>
      </c>
      <c r="AF270" s="30">
        <f>MID(IF(AND(ISNUMBER($G270),ISNUMBER($H270)),IF(N($H270)&lt;N($G270)," / 満了日が開始日より前",""),"")&amp;IF(AND($I270="あり",NOT(ISNUMBER($H270)))," / 自動更新ありなのに満了日が空","")&amp;IF(AND($I270="あり",ISNUMBER($H270),NOT(ISNUMBER($J270)))," / 更新期間が空（更新を計算できない）","")&amp;IF($AH270="","",IF(AND(DAY($AH270)&gt;=29,OR(MOD($J270,12)&lt;&gt;0,MONTH($AH270)=2))," / 更新の初日が29〜31日（更新を重ねると満了日が1日ずれることがある。満了日を今の期間の満了日に書き換えると直る）",""))&amp;IF(AND(ISNUMBER($K270),$L270="")," / 通知の単位が空（か月前で計算）","")&amp;IF(AND(ISNUMBER($M270),$N270="")," / 解約予告の単位が空（か月前で計算）","")&amp;IF(AND(ISNUMBER($O270),$P270="")," / 金額の区分が空","")&amp;IF(AND($T270&lt;&gt;"",NOT(ISNUMBER($U270)))," / 対応を決めた日が空","")&amp;IF(AND(ISNUMBER($U270),$T270="")," / 今期の対応が空","")&amp;IF(AND($T270="更新しない",NOT(ISNUMBER($V270)))," / 更新しないなら、解約・終了した日（契約が終わる日）を入れる",""),4,300)</f>
        <v/>
      </c>
      <c r="AG270" s="53" t="n"/>
      <c r="AH270" s="71">
        <f>IF(AND(ISNUMBER($H270),$I270="あり",ISNUMBER($J270)),IF($J270&gt;=1,$H270+1,""),"")</f>
        <v/>
      </c>
      <c r="AI270" s="32">
        <f>IF($AH270="","",(YEAR('設定'!$B$6)-YEAR($AH270))*12+MONTH('設定'!$B$6)-MONTH($AH270))</f>
        <v/>
      </c>
      <c r="AJ270" s="32">
        <f>IF($AH270="","",MAX(1,ROUNDUP($AI270/$J270,0)))</f>
        <v/>
      </c>
      <c r="AK270" s="71">
        <f>IF($AJ270="","",IF(DAY(EDATE($AH270,$AJ270*$J270))&lt;DAY($AH270),EDATE($AH270,$AJ270*$J270),EDATE($AH270,$AJ270*$J270)-1))</f>
        <v/>
      </c>
      <c r="AL270" s="71">
        <f>IF($AJ270="","",IF(DAY(EDATE($AH270,($AJ270+1)*$J270))&lt;DAY($AH270),EDATE($AH270,($AJ270+1)*$J270),EDATE($AH270,($AJ270+1)*$J270)-1))</f>
        <v/>
      </c>
      <c r="AM270" s="71">
        <f>IF($AJ270="","",IF($AJ270=1,$H270,IF(DAY(EDATE($AH270,($AJ270-1)*$J270))&lt;DAY($AH270),EDATE($AH270,($AJ270-1)*$J270),EDATE($AH270,($AJ270-1)*$J270)-1)))</f>
        <v/>
      </c>
      <c r="AN270" s="32">
        <f>IF(NOT(ISNUMBER($H270)),"",IF(OR($AH270="",$H270&gt;='設定'!$B$6),0,IF($AK270&gt;='設定'!$B$6,$AJ270,$AJ270+1)))</f>
        <v/>
      </c>
      <c r="AO270" s="71">
        <f>IF($AN270="","",IF($AN270=0,"",IF($AN270=$AJ270,$AM270,$AK270)))</f>
        <v/>
      </c>
      <c r="AP270" s="32">
        <f>IF(OR($AC270="要対応",$AC270="通知期限切れ",$AC270="確認済み",$AC270="有効",$AC270="終了予定"),1,0)</f>
        <v/>
      </c>
      <c r="AQ270" s="32">
        <f>IF(OR($AC270="要対応",$AC270="通知期限切れ"),1,0)</f>
        <v/>
      </c>
      <c r="AR270" s="72">
        <f>IF(AND(ISNUMBER($AB270),OR($AC270="要対応",$AC270="通知期限切れ",$AC270="確認済み",$AC270="有効")),$AB270+ROW()/100000,"")</f>
        <v/>
      </c>
      <c r="AS270" s="32">
        <f>IF($E270="","",IF(COUNTIF($E$5:$E270,$E270)=1,ROW(),""))</f>
        <v/>
      </c>
      <c r="AT270" s="32">
        <f>IF($S270="","",IF(COUNTIF($S$5:$S270,$S270)=1,ROW(),""))</f>
        <v/>
      </c>
    </row>
    <row r="271" ht="20" customHeight="1">
      <c r="A271" s="20" t="n">
        <v>267</v>
      </c>
      <c r="B271" s="21" t="n"/>
      <c r="C271" s="22" t="n"/>
      <c r="D271" s="22" t="n"/>
      <c r="E271" s="22" t="n"/>
      <c r="F271" s="66" t="n"/>
      <c r="G271" s="66" t="n"/>
      <c r="H271" s="66" t="n"/>
      <c r="I271" s="21" t="n"/>
      <c r="J271" s="24" t="n"/>
      <c r="K271" s="24" t="n"/>
      <c r="L271" s="21" t="n"/>
      <c r="M271" s="24" t="n"/>
      <c r="N271" s="21" t="n"/>
      <c r="O271" s="67" t="n"/>
      <c r="P271" s="21" t="n"/>
      <c r="Q271" s="21" t="n"/>
      <c r="R271" s="22" t="n"/>
      <c r="S271" s="22" t="n"/>
      <c r="T271" s="21" t="n"/>
      <c r="U271" s="66" t="n"/>
      <c r="V271" s="66" t="n"/>
      <c r="W271" s="66" t="n"/>
      <c r="X271" s="8" t="n"/>
      <c r="Y271" s="68">
        <f>IF($AN271="","",IF($AN271=0,$H271,IF($AN271=$AJ271,$AK271,$AL271)))</f>
        <v/>
      </c>
      <c r="Z271" s="68">
        <f>IF(OR($Y271="",NOT(ISNUMBER($K271))),"",IF($L271="日前",$Y271-$K271,EDATE($Y271,-$K271)))</f>
        <v/>
      </c>
      <c r="AA271" s="68">
        <f>IF(OR($Y271="",ISNUMBER($V271),N($Y271)&lt;'設定'!$B$6),"",IF($Z271&lt;&gt;"",$Z271,$Y271))</f>
        <v/>
      </c>
      <c r="AB271" s="69">
        <f>IF($AA271="","",$AA271-'設定'!$B$6)</f>
        <v/>
      </c>
      <c r="AC271" s="28">
        <f>IF(NOT(OR($B271&lt;&gt;"",$C271&lt;&gt;"")),"",IF(ISNUMBER($V271),IF($V271&lt;'設定'!$B$6,"終了","終了予定"),IF($Y271="","有効",IF($Y271&lt;'設定'!$B$6,"満了",IF(AND($T271="更新する",ISNUMBER($U271),N($U271)&lt;='設定'!$B$6,OR($AO271="",N($U271)&gt;N($AO271))),"確認済み",IF($AB271&lt;0,"通知期限切れ",IF($AB271&lt;=N('設定'!$B$7),"要対応","有効")))))))</f>
        <v/>
      </c>
      <c r="AD271" s="68">
        <f>IF(OR(NOT(ISNUMBER($M271)),$AC271="",$AC271="終了",$AC271="終了予定",$AC271="満了"),"",IF($N271="日前",'設定'!$B$6+$M271,EDATE('設定'!$B$6,$M271)))</f>
        <v/>
      </c>
      <c r="AE271" s="70">
        <f>IF(NOT(ISNUMBER($O271)),"",IF($P271="月額",$O271*12,IF($P271="年額",$O271,"")))</f>
        <v/>
      </c>
      <c r="AF271" s="30">
        <f>MID(IF(AND(ISNUMBER($G271),ISNUMBER($H271)),IF(N($H271)&lt;N($G271)," / 満了日が開始日より前",""),"")&amp;IF(AND($I271="あり",NOT(ISNUMBER($H271)))," / 自動更新ありなのに満了日が空","")&amp;IF(AND($I271="あり",ISNUMBER($H271),NOT(ISNUMBER($J271)))," / 更新期間が空（更新を計算できない）","")&amp;IF($AH271="","",IF(AND(DAY($AH271)&gt;=29,OR(MOD($J271,12)&lt;&gt;0,MONTH($AH271)=2))," / 更新の初日が29〜31日（更新を重ねると満了日が1日ずれることがある。満了日を今の期間の満了日に書き換えると直る）",""))&amp;IF(AND(ISNUMBER($K271),$L271="")," / 通知の単位が空（か月前で計算）","")&amp;IF(AND(ISNUMBER($M271),$N271="")," / 解約予告の単位が空（か月前で計算）","")&amp;IF(AND(ISNUMBER($O271),$P271="")," / 金額の区分が空","")&amp;IF(AND($T271&lt;&gt;"",NOT(ISNUMBER($U271)))," / 対応を決めた日が空","")&amp;IF(AND(ISNUMBER($U271),$T271="")," / 今期の対応が空","")&amp;IF(AND($T271="更新しない",NOT(ISNUMBER($V271)))," / 更新しないなら、解約・終了した日（契約が終わる日）を入れる",""),4,300)</f>
        <v/>
      </c>
      <c r="AG271" s="53" t="n"/>
      <c r="AH271" s="71">
        <f>IF(AND(ISNUMBER($H271),$I271="あり",ISNUMBER($J271)),IF($J271&gt;=1,$H271+1,""),"")</f>
        <v/>
      </c>
      <c r="AI271" s="32">
        <f>IF($AH271="","",(YEAR('設定'!$B$6)-YEAR($AH271))*12+MONTH('設定'!$B$6)-MONTH($AH271))</f>
        <v/>
      </c>
      <c r="AJ271" s="32">
        <f>IF($AH271="","",MAX(1,ROUNDUP($AI271/$J271,0)))</f>
        <v/>
      </c>
      <c r="AK271" s="71">
        <f>IF($AJ271="","",IF(DAY(EDATE($AH271,$AJ271*$J271))&lt;DAY($AH271),EDATE($AH271,$AJ271*$J271),EDATE($AH271,$AJ271*$J271)-1))</f>
        <v/>
      </c>
      <c r="AL271" s="71">
        <f>IF($AJ271="","",IF(DAY(EDATE($AH271,($AJ271+1)*$J271))&lt;DAY($AH271),EDATE($AH271,($AJ271+1)*$J271),EDATE($AH271,($AJ271+1)*$J271)-1))</f>
        <v/>
      </c>
      <c r="AM271" s="71">
        <f>IF($AJ271="","",IF($AJ271=1,$H271,IF(DAY(EDATE($AH271,($AJ271-1)*$J271))&lt;DAY($AH271),EDATE($AH271,($AJ271-1)*$J271),EDATE($AH271,($AJ271-1)*$J271)-1)))</f>
        <v/>
      </c>
      <c r="AN271" s="32">
        <f>IF(NOT(ISNUMBER($H271)),"",IF(OR($AH271="",$H271&gt;='設定'!$B$6),0,IF($AK271&gt;='設定'!$B$6,$AJ271,$AJ271+1)))</f>
        <v/>
      </c>
      <c r="AO271" s="71">
        <f>IF($AN271="","",IF($AN271=0,"",IF($AN271=$AJ271,$AM271,$AK271)))</f>
        <v/>
      </c>
      <c r="AP271" s="32">
        <f>IF(OR($AC271="要対応",$AC271="通知期限切れ",$AC271="確認済み",$AC271="有効",$AC271="終了予定"),1,0)</f>
        <v/>
      </c>
      <c r="AQ271" s="32">
        <f>IF(OR($AC271="要対応",$AC271="通知期限切れ"),1,0)</f>
        <v/>
      </c>
      <c r="AR271" s="72">
        <f>IF(AND(ISNUMBER($AB271),OR($AC271="要対応",$AC271="通知期限切れ",$AC271="確認済み",$AC271="有効")),$AB271+ROW()/100000,"")</f>
        <v/>
      </c>
      <c r="AS271" s="32">
        <f>IF($E271="","",IF(COUNTIF($E$5:$E271,$E271)=1,ROW(),""))</f>
        <v/>
      </c>
      <c r="AT271" s="32">
        <f>IF($S271="","",IF(COUNTIF($S$5:$S271,$S271)=1,ROW(),""))</f>
        <v/>
      </c>
    </row>
    <row r="272" ht="20" customHeight="1">
      <c r="A272" s="20" t="n">
        <v>268</v>
      </c>
      <c r="B272" s="21" t="n"/>
      <c r="C272" s="22" t="n"/>
      <c r="D272" s="22" t="n"/>
      <c r="E272" s="22" t="n"/>
      <c r="F272" s="66" t="n"/>
      <c r="G272" s="66" t="n"/>
      <c r="H272" s="66" t="n"/>
      <c r="I272" s="21" t="n"/>
      <c r="J272" s="24" t="n"/>
      <c r="K272" s="24" t="n"/>
      <c r="L272" s="21" t="n"/>
      <c r="M272" s="24" t="n"/>
      <c r="N272" s="21" t="n"/>
      <c r="O272" s="67" t="n"/>
      <c r="P272" s="21" t="n"/>
      <c r="Q272" s="21" t="n"/>
      <c r="R272" s="22" t="n"/>
      <c r="S272" s="22" t="n"/>
      <c r="T272" s="21" t="n"/>
      <c r="U272" s="66" t="n"/>
      <c r="V272" s="66" t="n"/>
      <c r="W272" s="66" t="n"/>
      <c r="X272" s="8" t="n"/>
      <c r="Y272" s="68">
        <f>IF($AN272="","",IF($AN272=0,$H272,IF($AN272=$AJ272,$AK272,$AL272)))</f>
        <v/>
      </c>
      <c r="Z272" s="68">
        <f>IF(OR($Y272="",NOT(ISNUMBER($K272))),"",IF($L272="日前",$Y272-$K272,EDATE($Y272,-$K272)))</f>
        <v/>
      </c>
      <c r="AA272" s="68">
        <f>IF(OR($Y272="",ISNUMBER($V272),N($Y272)&lt;'設定'!$B$6),"",IF($Z272&lt;&gt;"",$Z272,$Y272))</f>
        <v/>
      </c>
      <c r="AB272" s="69">
        <f>IF($AA272="","",$AA272-'設定'!$B$6)</f>
        <v/>
      </c>
      <c r="AC272" s="28">
        <f>IF(NOT(OR($B272&lt;&gt;"",$C272&lt;&gt;"")),"",IF(ISNUMBER($V272),IF($V272&lt;'設定'!$B$6,"終了","終了予定"),IF($Y272="","有効",IF($Y272&lt;'設定'!$B$6,"満了",IF(AND($T272="更新する",ISNUMBER($U272),N($U272)&lt;='設定'!$B$6,OR($AO272="",N($U272)&gt;N($AO272))),"確認済み",IF($AB272&lt;0,"通知期限切れ",IF($AB272&lt;=N('設定'!$B$7),"要対応","有効")))))))</f>
        <v/>
      </c>
      <c r="AD272" s="68">
        <f>IF(OR(NOT(ISNUMBER($M272)),$AC272="",$AC272="終了",$AC272="終了予定",$AC272="満了"),"",IF($N272="日前",'設定'!$B$6+$M272,EDATE('設定'!$B$6,$M272)))</f>
        <v/>
      </c>
      <c r="AE272" s="70">
        <f>IF(NOT(ISNUMBER($O272)),"",IF($P272="月額",$O272*12,IF($P272="年額",$O272,"")))</f>
        <v/>
      </c>
      <c r="AF272" s="30">
        <f>MID(IF(AND(ISNUMBER($G272),ISNUMBER($H272)),IF(N($H272)&lt;N($G272)," / 満了日が開始日より前",""),"")&amp;IF(AND($I272="あり",NOT(ISNUMBER($H272)))," / 自動更新ありなのに満了日が空","")&amp;IF(AND($I272="あり",ISNUMBER($H272),NOT(ISNUMBER($J272)))," / 更新期間が空（更新を計算できない）","")&amp;IF($AH272="","",IF(AND(DAY($AH272)&gt;=29,OR(MOD($J272,12)&lt;&gt;0,MONTH($AH272)=2))," / 更新の初日が29〜31日（更新を重ねると満了日が1日ずれることがある。満了日を今の期間の満了日に書き換えると直る）",""))&amp;IF(AND(ISNUMBER($K272),$L272="")," / 通知の単位が空（か月前で計算）","")&amp;IF(AND(ISNUMBER($M272),$N272="")," / 解約予告の単位が空（か月前で計算）","")&amp;IF(AND(ISNUMBER($O272),$P272="")," / 金額の区分が空","")&amp;IF(AND($T272&lt;&gt;"",NOT(ISNUMBER($U272)))," / 対応を決めた日が空","")&amp;IF(AND(ISNUMBER($U272),$T272="")," / 今期の対応が空","")&amp;IF(AND($T272="更新しない",NOT(ISNUMBER($V272)))," / 更新しないなら、解約・終了した日（契約が終わる日）を入れる",""),4,300)</f>
        <v/>
      </c>
      <c r="AG272" s="53" t="n"/>
      <c r="AH272" s="71">
        <f>IF(AND(ISNUMBER($H272),$I272="あり",ISNUMBER($J272)),IF($J272&gt;=1,$H272+1,""),"")</f>
        <v/>
      </c>
      <c r="AI272" s="32">
        <f>IF($AH272="","",(YEAR('設定'!$B$6)-YEAR($AH272))*12+MONTH('設定'!$B$6)-MONTH($AH272))</f>
        <v/>
      </c>
      <c r="AJ272" s="32">
        <f>IF($AH272="","",MAX(1,ROUNDUP($AI272/$J272,0)))</f>
        <v/>
      </c>
      <c r="AK272" s="71">
        <f>IF($AJ272="","",IF(DAY(EDATE($AH272,$AJ272*$J272))&lt;DAY($AH272),EDATE($AH272,$AJ272*$J272),EDATE($AH272,$AJ272*$J272)-1))</f>
        <v/>
      </c>
      <c r="AL272" s="71">
        <f>IF($AJ272="","",IF(DAY(EDATE($AH272,($AJ272+1)*$J272))&lt;DAY($AH272),EDATE($AH272,($AJ272+1)*$J272),EDATE($AH272,($AJ272+1)*$J272)-1))</f>
        <v/>
      </c>
      <c r="AM272" s="71">
        <f>IF($AJ272="","",IF($AJ272=1,$H272,IF(DAY(EDATE($AH272,($AJ272-1)*$J272))&lt;DAY($AH272),EDATE($AH272,($AJ272-1)*$J272),EDATE($AH272,($AJ272-1)*$J272)-1)))</f>
        <v/>
      </c>
      <c r="AN272" s="32">
        <f>IF(NOT(ISNUMBER($H272)),"",IF(OR($AH272="",$H272&gt;='設定'!$B$6),0,IF($AK272&gt;='設定'!$B$6,$AJ272,$AJ272+1)))</f>
        <v/>
      </c>
      <c r="AO272" s="71">
        <f>IF($AN272="","",IF($AN272=0,"",IF($AN272=$AJ272,$AM272,$AK272)))</f>
        <v/>
      </c>
      <c r="AP272" s="32">
        <f>IF(OR($AC272="要対応",$AC272="通知期限切れ",$AC272="確認済み",$AC272="有効",$AC272="終了予定"),1,0)</f>
        <v/>
      </c>
      <c r="AQ272" s="32">
        <f>IF(OR($AC272="要対応",$AC272="通知期限切れ"),1,0)</f>
        <v/>
      </c>
      <c r="AR272" s="72">
        <f>IF(AND(ISNUMBER($AB272),OR($AC272="要対応",$AC272="通知期限切れ",$AC272="確認済み",$AC272="有効")),$AB272+ROW()/100000,"")</f>
        <v/>
      </c>
      <c r="AS272" s="32">
        <f>IF($E272="","",IF(COUNTIF($E$5:$E272,$E272)=1,ROW(),""))</f>
        <v/>
      </c>
      <c r="AT272" s="32">
        <f>IF($S272="","",IF(COUNTIF($S$5:$S272,$S272)=1,ROW(),""))</f>
        <v/>
      </c>
    </row>
    <row r="273" ht="20" customHeight="1">
      <c r="A273" s="20" t="n">
        <v>269</v>
      </c>
      <c r="B273" s="21" t="n"/>
      <c r="C273" s="22" t="n"/>
      <c r="D273" s="22" t="n"/>
      <c r="E273" s="22" t="n"/>
      <c r="F273" s="66" t="n"/>
      <c r="G273" s="66" t="n"/>
      <c r="H273" s="66" t="n"/>
      <c r="I273" s="21" t="n"/>
      <c r="J273" s="24" t="n"/>
      <c r="K273" s="24" t="n"/>
      <c r="L273" s="21" t="n"/>
      <c r="M273" s="24" t="n"/>
      <c r="N273" s="21" t="n"/>
      <c r="O273" s="67" t="n"/>
      <c r="P273" s="21" t="n"/>
      <c r="Q273" s="21" t="n"/>
      <c r="R273" s="22" t="n"/>
      <c r="S273" s="22" t="n"/>
      <c r="T273" s="21" t="n"/>
      <c r="U273" s="66" t="n"/>
      <c r="V273" s="66" t="n"/>
      <c r="W273" s="66" t="n"/>
      <c r="X273" s="8" t="n"/>
      <c r="Y273" s="68">
        <f>IF($AN273="","",IF($AN273=0,$H273,IF($AN273=$AJ273,$AK273,$AL273)))</f>
        <v/>
      </c>
      <c r="Z273" s="68">
        <f>IF(OR($Y273="",NOT(ISNUMBER($K273))),"",IF($L273="日前",$Y273-$K273,EDATE($Y273,-$K273)))</f>
        <v/>
      </c>
      <c r="AA273" s="68">
        <f>IF(OR($Y273="",ISNUMBER($V273),N($Y273)&lt;'設定'!$B$6),"",IF($Z273&lt;&gt;"",$Z273,$Y273))</f>
        <v/>
      </c>
      <c r="AB273" s="69">
        <f>IF($AA273="","",$AA273-'設定'!$B$6)</f>
        <v/>
      </c>
      <c r="AC273" s="28">
        <f>IF(NOT(OR($B273&lt;&gt;"",$C273&lt;&gt;"")),"",IF(ISNUMBER($V273),IF($V273&lt;'設定'!$B$6,"終了","終了予定"),IF($Y273="","有効",IF($Y273&lt;'設定'!$B$6,"満了",IF(AND($T273="更新する",ISNUMBER($U273),N($U273)&lt;='設定'!$B$6,OR($AO273="",N($U273)&gt;N($AO273))),"確認済み",IF($AB273&lt;0,"通知期限切れ",IF($AB273&lt;=N('設定'!$B$7),"要対応","有効")))))))</f>
        <v/>
      </c>
      <c r="AD273" s="68">
        <f>IF(OR(NOT(ISNUMBER($M273)),$AC273="",$AC273="終了",$AC273="終了予定",$AC273="満了"),"",IF($N273="日前",'設定'!$B$6+$M273,EDATE('設定'!$B$6,$M273)))</f>
        <v/>
      </c>
      <c r="AE273" s="70">
        <f>IF(NOT(ISNUMBER($O273)),"",IF($P273="月額",$O273*12,IF($P273="年額",$O273,"")))</f>
        <v/>
      </c>
      <c r="AF273" s="30">
        <f>MID(IF(AND(ISNUMBER($G273),ISNUMBER($H273)),IF(N($H273)&lt;N($G273)," / 満了日が開始日より前",""),"")&amp;IF(AND($I273="あり",NOT(ISNUMBER($H273)))," / 自動更新ありなのに満了日が空","")&amp;IF(AND($I273="あり",ISNUMBER($H273),NOT(ISNUMBER($J273)))," / 更新期間が空（更新を計算できない）","")&amp;IF($AH273="","",IF(AND(DAY($AH273)&gt;=29,OR(MOD($J273,12)&lt;&gt;0,MONTH($AH273)=2))," / 更新の初日が29〜31日（更新を重ねると満了日が1日ずれることがある。満了日を今の期間の満了日に書き換えると直る）",""))&amp;IF(AND(ISNUMBER($K273),$L273="")," / 通知の単位が空（か月前で計算）","")&amp;IF(AND(ISNUMBER($M273),$N273="")," / 解約予告の単位が空（か月前で計算）","")&amp;IF(AND(ISNUMBER($O273),$P273="")," / 金額の区分が空","")&amp;IF(AND($T273&lt;&gt;"",NOT(ISNUMBER($U273)))," / 対応を決めた日が空","")&amp;IF(AND(ISNUMBER($U273),$T273="")," / 今期の対応が空","")&amp;IF(AND($T273="更新しない",NOT(ISNUMBER($V273)))," / 更新しないなら、解約・終了した日（契約が終わる日）を入れる",""),4,300)</f>
        <v/>
      </c>
      <c r="AG273" s="53" t="n"/>
      <c r="AH273" s="71">
        <f>IF(AND(ISNUMBER($H273),$I273="あり",ISNUMBER($J273)),IF($J273&gt;=1,$H273+1,""),"")</f>
        <v/>
      </c>
      <c r="AI273" s="32">
        <f>IF($AH273="","",(YEAR('設定'!$B$6)-YEAR($AH273))*12+MONTH('設定'!$B$6)-MONTH($AH273))</f>
        <v/>
      </c>
      <c r="AJ273" s="32">
        <f>IF($AH273="","",MAX(1,ROUNDUP($AI273/$J273,0)))</f>
        <v/>
      </c>
      <c r="AK273" s="71">
        <f>IF($AJ273="","",IF(DAY(EDATE($AH273,$AJ273*$J273))&lt;DAY($AH273),EDATE($AH273,$AJ273*$J273),EDATE($AH273,$AJ273*$J273)-1))</f>
        <v/>
      </c>
      <c r="AL273" s="71">
        <f>IF($AJ273="","",IF(DAY(EDATE($AH273,($AJ273+1)*$J273))&lt;DAY($AH273),EDATE($AH273,($AJ273+1)*$J273),EDATE($AH273,($AJ273+1)*$J273)-1))</f>
        <v/>
      </c>
      <c r="AM273" s="71">
        <f>IF($AJ273="","",IF($AJ273=1,$H273,IF(DAY(EDATE($AH273,($AJ273-1)*$J273))&lt;DAY($AH273),EDATE($AH273,($AJ273-1)*$J273),EDATE($AH273,($AJ273-1)*$J273)-1)))</f>
        <v/>
      </c>
      <c r="AN273" s="32">
        <f>IF(NOT(ISNUMBER($H273)),"",IF(OR($AH273="",$H273&gt;='設定'!$B$6),0,IF($AK273&gt;='設定'!$B$6,$AJ273,$AJ273+1)))</f>
        <v/>
      </c>
      <c r="AO273" s="71">
        <f>IF($AN273="","",IF($AN273=0,"",IF($AN273=$AJ273,$AM273,$AK273)))</f>
        <v/>
      </c>
      <c r="AP273" s="32">
        <f>IF(OR($AC273="要対応",$AC273="通知期限切れ",$AC273="確認済み",$AC273="有効",$AC273="終了予定"),1,0)</f>
        <v/>
      </c>
      <c r="AQ273" s="32">
        <f>IF(OR($AC273="要対応",$AC273="通知期限切れ"),1,0)</f>
        <v/>
      </c>
      <c r="AR273" s="72">
        <f>IF(AND(ISNUMBER($AB273),OR($AC273="要対応",$AC273="通知期限切れ",$AC273="確認済み",$AC273="有効")),$AB273+ROW()/100000,"")</f>
        <v/>
      </c>
      <c r="AS273" s="32">
        <f>IF($E273="","",IF(COUNTIF($E$5:$E273,$E273)=1,ROW(),""))</f>
        <v/>
      </c>
      <c r="AT273" s="32">
        <f>IF($S273="","",IF(COUNTIF($S$5:$S273,$S273)=1,ROW(),""))</f>
        <v/>
      </c>
    </row>
    <row r="274" ht="20" customHeight="1">
      <c r="A274" s="20" t="n">
        <v>270</v>
      </c>
      <c r="B274" s="21" t="n"/>
      <c r="C274" s="22" t="n"/>
      <c r="D274" s="22" t="n"/>
      <c r="E274" s="22" t="n"/>
      <c r="F274" s="66" t="n"/>
      <c r="G274" s="66" t="n"/>
      <c r="H274" s="66" t="n"/>
      <c r="I274" s="21" t="n"/>
      <c r="J274" s="24" t="n"/>
      <c r="K274" s="24" t="n"/>
      <c r="L274" s="21" t="n"/>
      <c r="M274" s="24" t="n"/>
      <c r="N274" s="21" t="n"/>
      <c r="O274" s="67" t="n"/>
      <c r="P274" s="21" t="n"/>
      <c r="Q274" s="21" t="n"/>
      <c r="R274" s="22" t="n"/>
      <c r="S274" s="22" t="n"/>
      <c r="T274" s="21" t="n"/>
      <c r="U274" s="66" t="n"/>
      <c r="V274" s="66" t="n"/>
      <c r="W274" s="66" t="n"/>
      <c r="X274" s="8" t="n"/>
      <c r="Y274" s="68">
        <f>IF($AN274="","",IF($AN274=0,$H274,IF($AN274=$AJ274,$AK274,$AL274)))</f>
        <v/>
      </c>
      <c r="Z274" s="68">
        <f>IF(OR($Y274="",NOT(ISNUMBER($K274))),"",IF($L274="日前",$Y274-$K274,EDATE($Y274,-$K274)))</f>
        <v/>
      </c>
      <c r="AA274" s="68">
        <f>IF(OR($Y274="",ISNUMBER($V274),N($Y274)&lt;'設定'!$B$6),"",IF($Z274&lt;&gt;"",$Z274,$Y274))</f>
        <v/>
      </c>
      <c r="AB274" s="69">
        <f>IF($AA274="","",$AA274-'設定'!$B$6)</f>
        <v/>
      </c>
      <c r="AC274" s="28">
        <f>IF(NOT(OR($B274&lt;&gt;"",$C274&lt;&gt;"")),"",IF(ISNUMBER($V274),IF($V274&lt;'設定'!$B$6,"終了","終了予定"),IF($Y274="","有効",IF($Y274&lt;'設定'!$B$6,"満了",IF(AND($T274="更新する",ISNUMBER($U274),N($U274)&lt;='設定'!$B$6,OR($AO274="",N($U274)&gt;N($AO274))),"確認済み",IF($AB274&lt;0,"通知期限切れ",IF($AB274&lt;=N('設定'!$B$7),"要対応","有効")))))))</f>
        <v/>
      </c>
      <c r="AD274" s="68">
        <f>IF(OR(NOT(ISNUMBER($M274)),$AC274="",$AC274="終了",$AC274="終了予定",$AC274="満了"),"",IF($N274="日前",'設定'!$B$6+$M274,EDATE('設定'!$B$6,$M274)))</f>
        <v/>
      </c>
      <c r="AE274" s="70">
        <f>IF(NOT(ISNUMBER($O274)),"",IF($P274="月額",$O274*12,IF($P274="年額",$O274,"")))</f>
        <v/>
      </c>
      <c r="AF274" s="30">
        <f>MID(IF(AND(ISNUMBER($G274),ISNUMBER($H274)),IF(N($H274)&lt;N($G274)," / 満了日が開始日より前",""),"")&amp;IF(AND($I274="あり",NOT(ISNUMBER($H274)))," / 自動更新ありなのに満了日が空","")&amp;IF(AND($I274="あり",ISNUMBER($H274),NOT(ISNUMBER($J274)))," / 更新期間が空（更新を計算できない）","")&amp;IF($AH274="","",IF(AND(DAY($AH274)&gt;=29,OR(MOD($J274,12)&lt;&gt;0,MONTH($AH274)=2))," / 更新の初日が29〜31日（更新を重ねると満了日が1日ずれることがある。満了日を今の期間の満了日に書き換えると直る）",""))&amp;IF(AND(ISNUMBER($K274),$L274="")," / 通知の単位が空（か月前で計算）","")&amp;IF(AND(ISNUMBER($M274),$N274="")," / 解約予告の単位が空（か月前で計算）","")&amp;IF(AND(ISNUMBER($O274),$P274="")," / 金額の区分が空","")&amp;IF(AND($T274&lt;&gt;"",NOT(ISNUMBER($U274)))," / 対応を決めた日が空","")&amp;IF(AND(ISNUMBER($U274),$T274="")," / 今期の対応が空","")&amp;IF(AND($T274="更新しない",NOT(ISNUMBER($V274)))," / 更新しないなら、解約・終了した日（契約が終わる日）を入れる",""),4,300)</f>
        <v/>
      </c>
      <c r="AG274" s="53" t="n"/>
      <c r="AH274" s="71">
        <f>IF(AND(ISNUMBER($H274),$I274="あり",ISNUMBER($J274)),IF($J274&gt;=1,$H274+1,""),"")</f>
        <v/>
      </c>
      <c r="AI274" s="32">
        <f>IF($AH274="","",(YEAR('設定'!$B$6)-YEAR($AH274))*12+MONTH('設定'!$B$6)-MONTH($AH274))</f>
        <v/>
      </c>
      <c r="AJ274" s="32">
        <f>IF($AH274="","",MAX(1,ROUNDUP($AI274/$J274,0)))</f>
        <v/>
      </c>
      <c r="AK274" s="71">
        <f>IF($AJ274="","",IF(DAY(EDATE($AH274,$AJ274*$J274))&lt;DAY($AH274),EDATE($AH274,$AJ274*$J274),EDATE($AH274,$AJ274*$J274)-1))</f>
        <v/>
      </c>
      <c r="AL274" s="71">
        <f>IF($AJ274="","",IF(DAY(EDATE($AH274,($AJ274+1)*$J274))&lt;DAY($AH274),EDATE($AH274,($AJ274+1)*$J274),EDATE($AH274,($AJ274+1)*$J274)-1))</f>
        <v/>
      </c>
      <c r="AM274" s="71">
        <f>IF($AJ274="","",IF($AJ274=1,$H274,IF(DAY(EDATE($AH274,($AJ274-1)*$J274))&lt;DAY($AH274),EDATE($AH274,($AJ274-1)*$J274),EDATE($AH274,($AJ274-1)*$J274)-1)))</f>
        <v/>
      </c>
      <c r="AN274" s="32">
        <f>IF(NOT(ISNUMBER($H274)),"",IF(OR($AH274="",$H274&gt;='設定'!$B$6),0,IF($AK274&gt;='設定'!$B$6,$AJ274,$AJ274+1)))</f>
        <v/>
      </c>
      <c r="AO274" s="71">
        <f>IF($AN274="","",IF($AN274=0,"",IF($AN274=$AJ274,$AM274,$AK274)))</f>
        <v/>
      </c>
      <c r="AP274" s="32">
        <f>IF(OR($AC274="要対応",$AC274="通知期限切れ",$AC274="確認済み",$AC274="有効",$AC274="終了予定"),1,0)</f>
        <v/>
      </c>
      <c r="AQ274" s="32">
        <f>IF(OR($AC274="要対応",$AC274="通知期限切れ"),1,0)</f>
        <v/>
      </c>
      <c r="AR274" s="72">
        <f>IF(AND(ISNUMBER($AB274),OR($AC274="要対応",$AC274="通知期限切れ",$AC274="確認済み",$AC274="有効")),$AB274+ROW()/100000,"")</f>
        <v/>
      </c>
      <c r="AS274" s="32">
        <f>IF($E274="","",IF(COUNTIF($E$5:$E274,$E274)=1,ROW(),""))</f>
        <v/>
      </c>
      <c r="AT274" s="32">
        <f>IF($S274="","",IF(COUNTIF($S$5:$S274,$S274)=1,ROW(),""))</f>
        <v/>
      </c>
    </row>
    <row r="275" ht="20" customHeight="1">
      <c r="A275" s="20" t="n">
        <v>271</v>
      </c>
      <c r="B275" s="21" t="n"/>
      <c r="C275" s="22" t="n"/>
      <c r="D275" s="22" t="n"/>
      <c r="E275" s="22" t="n"/>
      <c r="F275" s="66" t="n"/>
      <c r="G275" s="66" t="n"/>
      <c r="H275" s="66" t="n"/>
      <c r="I275" s="21" t="n"/>
      <c r="J275" s="24" t="n"/>
      <c r="K275" s="24" t="n"/>
      <c r="L275" s="21" t="n"/>
      <c r="M275" s="24" t="n"/>
      <c r="N275" s="21" t="n"/>
      <c r="O275" s="67" t="n"/>
      <c r="P275" s="21" t="n"/>
      <c r="Q275" s="21" t="n"/>
      <c r="R275" s="22" t="n"/>
      <c r="S275" s="22" t="n"/>
      <c r="T275" s="21" t="n"/>
      <c r="U275" s="66" t="n"/>
      <c r="V275" s="66" t="n"/>
      <c r="W275" s="66" t="n"/>
      <c r="X275" s="8" t="n"/>
      <c r="Y275" s="68">
        <f>IF($AN275="","",IF($AN275=0,$H275,IF($AN275=$AJ275,$AK275,$AL275)))</f>
        <v/>
      </c>
      <c r="Z275" s="68">
        <f>IF(OR($Y275="",NOT(ISNUMBER($K275))),"",IF($L275="日前",$Y275-$K275,EDATE($Y275,-$K275)))</f>
        <v/>
      </c>
      <c r="AA275" s="68">
        <f>IF(OR($Y275="",ISNUMBER($V275),N($Y275)&lt;'設定'!$B$6),"",IF($Z275&lt;&gt;"",$Z275,$Y275))</f>
        <v/>
      </c>
      <c r="AB275" s="69">
        <f>IF($AA275="","",$AA275-'設定'!$B$6)</f>
        <v/>
      </c>
      <c r="AC275" s="28">
        <f>IF(NOT(OR($B275&lt;&gt;"",$C275&lt;&gt;"")),"",IF(ISNUMBER($V275),IF($V275&lt;'設定'!$B$6,"終了","終了予定"),IF($Y275="","有効",IF($Y275&lt;'設定'!$B$6,"満了",IF(AND($T275="更新する",ISNUMBER($U275),N($U275)&lt;='設定'!$B$6,OR($AO275="",N($U275)&gt;N($AO275))),"確認済み",IF($AB275&lt;0,"通知期限切れ",IF($AB275&lt;=N('設定'!$B$7),"要対応","有効")))))))</f>
        <v/>
      </c>
      <c r="AD275" s="68">
        <f>IF(OR(NOT(ISNUMBER($M275)),$AC275="",$AC275="終了",$AC275="終了予定",$AC275="満了"),"",IF($N275="日前",'設定'!$B$6+$M275,EDATE('設定'!$B$6,$M275)))</f>
        <v/>
      </c>
      <c r="AE275" s="70">
        <f>IF(NOT(ISNUMBER($O275)),"",IF($P275="月額",$O275*12,IF($P275="年額",$O275,"")))</f>
        <v/>
      </c>
      <c r="AF275" s="30">
        <f>MID(IF(AND(ISNUMBER($G275),ISNUMBER($H275)),IF(N($H275)&lt;N($G275)," / 満了日が開始日より前",""),"")&amp;IF(AND($I275="あり",NOT(ISNUMBER($H275)))," / 自動更新ありなのに満了日が空","")&amp;IF(AND($I275="あり",ISNUMBER($H275),NOT(ISNUMBER($J275)))," / 更新期間が空（更新を計算できない）","")&amp;IF($AH275="","",IF(AND(DAY($AH275)&gt;=29,OR(MOD($J275,12)&lt;&gt;0,MONTH($AH275)=2))," / 更新の初日が29〜31日（更新を重ねると満了日が1日ずれることがある。満了日を今の期間の満了日に書き換えると直る）",""))&amp;IF(AND(ISNUMBER($K275),$L275="")," / 通知の単位が空（か月前で計算）","")&amp;IF(AND(ISNUMBER($M275),$N275="")," / 解約予告の単位が空（か月前で計算）","")&amp;IF(AND(ISNUMBER($O275),$P275="")," / 金額の区分が空","")&amp;IF(AND($T275&lt;&gt;"",NOT(ISNUMBER($U275)))," / 対応を決めた日が空","")&amp;IF(AND(ISNUMBER($U275),$T275="")," / 今期の対応が空","")&amp;IF(AND($T275="更新しない",NOT(ISNUMBER($V275)))," / 更新しないなら、解約・終了した日（契約が終わる日）を入れる",""),4,300)</f>
        <v/>
      </c>
      <c r="AG275" s="53" t="n"/>
      <c r="AH275" s="71">
        <f>IF(AND(ISNUMBER($H275),$I275="あり",ISNUMBER($J275)),IF($J275&gt;=1,$H275+1,""),"")</f>
        <v/>
      </c>
      <c r="AI275" s="32">
        <f>IF($AH275="","",(YEAR('設定'!$B$6)-YEAR($AH275))*12+MONTH('設定'!$B$6)-MONTH($AH275))</f>
        <v/>
      </c>
      <c r="AJ275" s="32">
        <f>IF($AH275="","",MAX(1,ROUNDUP($AI275/$J275,0)))</f>
        <v/>
      </c>
      <c r="AK275" s="71">
        <f>IF($AJ275="","",IF(DAY(EDATE($AH275,$AJ275*$J275))&lt;DAY($AH275),EDATE($AH275,$AJ275*$J275),EDATE($AH275,$AJ275*$J275)-1))</f>
        <v/>
      </c>
      <c r="AL275" s="71">
        <f>IF($AJ275="","",IF(DAY(EDATE($AH275,($AJ275+1)*$J275))&lt;DAY($AH275),EDATE($AH275,($AJ275+1)*$J275),EDATE($AH275,($AJ275+1)*$J275)-1))</f>
        <v/>
      </c>
      <c r="AM275" s="71">
        <f>IF($AJ275="","",IF($AJ275=1,$H275,IF(DAY(EDATE($AH275,($AJ275-1)*$J275))&lt;DAY($AH275),EDATE($AH275,($AJ275-1)*$J275),EDATE($AH275,($AJ275-1)*$J275)-1)))</f>
        <v/>
      </c>
      <c r="AN275" s="32">
        <f>IF(NOT(ISNUMBER($H275)),"",IF(OR($AH275="",$H275&gt;='設定'!$B$6),0,IF($AK275&gt;='設定'!$B$6,$AJ275,$AJ275+1)))</f>
        <v/>
      </c>
      <c r="AO275" s="71">
        <f>IF($AN275="","",IF($AN275=0,"",IF($AN275=$AJ275,$AM275,$AK275)))</f>
        <v/>
      </c>
      <c r="AP275" s="32">
        <f>IF(OR($AC275="要対応",$AC275="通知期限切れ",$AC275="確認済み",$AC275="有効",$AC275="終了予定"),1,0)</f>
        <v/>
      </c>
      <c r="AQ275" s="32">
        <f>IF(OR($AC275="要対応",$AC275="通知期限切れ"),1,0)</f>
        <v/>
      </c>
      <c r="AR275" s="72">
        <f>IF(AND(ISNUMBER($AB275),OR($AC275="要対応",$AC275="通知期限切れ",$AC275="確認済み",$AC275="有効")),$AB275+ROW()/100000,"")</f>
        <v/>
      </c>
      <c r="AS275" s="32">
        <f>IF($E275="","",IF(COUNTIF($E$5:$E275,$E275)=1,ROW(),""))</f>
        <v/>
      </c>
      <c r="AT275" s="32">
        <f>IF($S275="","",IF(COUNTIF($S$5:$S275,$S275)=1,ROW(),""))</f>
        <v/>
      </c>
    </row>
    <row r="276" ht="20" customHeight="1">
      <c r="A276" s="20" t="n">
        <v>272</v>
      </c>
      <c r="B276" s="21" t="n"/>
      <c r="C276" s="22" t="n"/>
      <c r="D276" s="22" t="n"/>
      <c r="E276" s="22" t="n"/>
      <c r="F276" s="66" t="n"/>
      <c r="G276" s="66" t="n"/>
      <c r="H276" s="66" t="n"/>
      <c r="I276" s="21" t="n"/>
      <c r="J276" s="24" t="n"/>
      <c r="K276" s="24" t="n"/>
      <c r="L276" s="21" t="n"/>
      <c r="M276" s="24" t="n"/>
      <c r="N276" s="21" t="n"/>
      <c r="O276" s="67" t="n"/>
      <c r="P276" s="21" t="n"/>
      <c r="Q276" s="21" t="n"/>
      <c r="R276" s="22" t="n"/>
      <c r="S276" s="22" t="n"/>
      <c r="T276" s="21" t="n"/>
      <c r="U276" s="66" t="n"/>
      <c r="V276" s="66" t="n"/>
      <c r="W276" s="66" t="n"/>
      <c r="X276" s="8" t="n"/>
      <c r="Y276" s="68">
        <f>IF($AN276="","",IF($AN276=0,$H276,IF($AN276=$AJ276,$AK276,$AL276)))</f>
        <v/>
      </c>
      <c r="Z276" s="68">
        <f>IF(OR($Y276="",NOT(ISNUMBER($K276))),"",IF($L276="日前",$Y276-$K276,EDATE($Y276,-$K276)))</f>
        <v/>
      </c>
      <c r="AA276" s="68">
        <f>IF(OR($Y276="",ISNUMBER($V276),N($Y276)&lt;'設定'!$B$6),"",IF($Z276&lt;&gt;"",$Z276,$Y276))</f>
        <v/>
      </c>
      <c r="AB276" s="69">
        <f>IF($AA276="","",$AA276-'設定'!$B$6)</f>
        <v/>
      </c>
      <c r="AC276" s="28">
        <f>IF(NOT(OR($B276&lt;&gt;"",$C276&lt;&gt;"")),"",IF(ISNUMBER($V276),IF($V276&lt;'設定'!$B$6,"終了","終了予定"),IF($Y276="","有効",IF($Y276&lt;'設定'!$B$6,"満了",IF(AND($T276="更新する",ISNUMBER($U276),N($U276)&lt;='設定'!$B$6,OR($AO276="",N($U276)&gt;N($AO276))),"確認済み",IF($AB276&lt;0,"通知期限切れ",IF($AB276&lt;=N('設定'!$B$7),"要対応","有効")))))))</f>
        <v/>
      </c>
      <c r="AD276" s="68">
        <f>IF(OR(NOT(ISNUMBER($M276)),$AC276="",$AC276="終了",$AC276="終了予定",$AC276="満了"),"",IF($N276="日前",'設定'!$B$6+$M276,EDATE('設定'!$B$6,$M276)))</f>
        <v/>
      </c>
      <c r="AE276" s="70">
        <f>IF(NOT(ISNUMBER($O276)),"",IF($P276="月額",$O276*12,IF($P276="年額",$O276,"")))</f>
        <v/>
      </c>
      <c r="AF276" s="30">
        <f>MID(IF(AND(ISNUMBER($G276),ISNUMBER($H276)),IF(N($H276)&lt;N($G276)," / 満了日が開始日より前",""),"")&amp;IF(AND($I276="あり",NOT(ISNUMBER($H276)))," / 自動更新ありなのに満了日が空","")&amp;IF(AND($I276="あり",ISNUMBER($H276),NOT(ISNUMBER($J276)))," / 更新期間が空（更新を計算できない）","")&amp;IF($AH276="","",IF(AND(DAY($AH276)&gt;=29,OR(MOD($J276,12)&lt;&gt;0,MONTH($AH276)=2))," / 更新の初日が29〜31日（更新を重ねると満了日が1日ずれることがある。満了日を今の期間の満了日に書き換えると直る）",""))&amp;IF(AND(ISNUMBER($K276),$L276="")," / 通知の単位が空（か月前で計算）","")&amp;IF(AND(ISNUMBER($M276),$N276="")," / 解約予告の単位が空（か月前で計算）","")&amp;IF(AND(ISNUMBER($O276),$P276="")," / 金額の区分が空","")&amp;IF(AND($T276&lt;&gt;"",NOT(ISNUMBER($U276)))," / 対応を決めた日が空","")&amp;IF(AND(ISNUMBER($U276),$T276="")," / 今期の対応が空","")&amp;IF(AND($T276="更新しない",NOT(ISNUMBER($V276)))," / 更新しないなら、解約・終了した日（契約が終わる日）を入れる",""),4,300)</f>
        <v/>
      </c>
      <c r="AG276" s="53" t="n"/>
      <c r="AH276" s="71">
        <f>IF(AND(ISNUMBER($H276),$I276="あり",ISNUMBER($J276)),IF($J276&gt;=1,$H276+1,""),"")</f>
        <v/>
      </c>
      <c r="AI276" s="32">
        <f>IF($AH276="","",(YEAR('設定'!$B$6)-YEAR($AH276))*12+MONTH('設定'!$B$6)-MONTH($AH276))</f>
        <v/>
      </c>
      <c r="AJ276" s="32">
        <f>IF($AH276="","",MAX(1,ROUNDUP($AI276/$J276,0)))</f>
        <v/>
      </c>
      <c r="AK276" s="71">
        <f>IF($AJ276="","",IF(DAY(EDATE($AH276,$AJ276*$J276))&lt;DAY($AH276),EDATE($AH276,$AJ276*$J276),EDATE($AH276,$AJ276*$J276)-1))</f>
        <v/>
      </c>
      <c r="AL276" s="71">
        <f>IF($AJ276="","",IF(DAY(EDATE($AH276,($AJ276+1)*$J276))&lt;DAY($AH276),EDATE($AH276,($AJ276+1)*$J276),EDATE($AH276,($AJ276+1)*$J276)-1))</f>
        <v/>
      </c>
      <c r="AM276" s="71">
        <f>IF($AJ276="","",IF($AJ276=1,$H276,IF(DAY(EDATE($AH276,($AJ276-1)*$J276))&lt;DAY($AH276),EDATE($AH276,($AJ276-1)*$J276),EDATE($AH276,($AJ276-1)*$J276)-1)))</f>
        <v/>
      </c>
      <c r="AN276" s="32">
        <f>IF(NOT(ISNUMBER($H276)),"",IF(OR($AH276="",$H276&gt;='設定'!$B$6),0,IF($AK276&gt;='設定'!$B$6,$AJ276,$AJ276+1)))</f>
        <v/>
      </c>
      <c r="AO276" s="71">
        <f>IF($AN276="","",IF($AN276=0,"",IF($AN276=$AJ276,$AM276,$AK276)))</f>
        <v/>
      </c>
      <c r="AP276" s="32">
        <f>IF(OR($AC276="要対応",$AC276="通知期限切れ",$AC276="確認済み",$AC276="有効",$AC276="終了予定"),1,0)</f>
        <v/>
      </c>
      <c r="AQ276" s="32">
        <f>IF(OR($AC276="要対応",$AC276="通知期限切れ"),1,0)</f>
        <v/>
      </c>
      <c r="AR276" s="72">
        <f>IF(AND(ISNUMBER($AB276),OR($AC276="要対応",$AC276="通知期限切れ",$AC276="確認済み",$AC276="有効")),$AB276+ROW()/100000,"")</f>
        <v/>
      </c>
      <c r="AS276" s="32">
        <f>IF($E276="","",IF(COUNTIF($E$5:$E276,$E276)=1,ROW(),""))</f>
        <v/>
      </c>
      <c r="AT276" s="32">
        <f>IF($S276="","",IF(COUNTIF($S$5:$S276,$S276)=1,ROW(),""))</f>
        <v/>
      </c>
    </row>
    <row r="277" ht="20" customHeight="1">
      <c r="A277" s="20" t="n">
        <v>273</v>
      </c>
      <c r="B277" s="21" t="n"/>
      <c r="C277" s="22" t="n"/>
      <c r="D277" s="22" t="n"/>
      <c r="E277" s="22" t="n"/>
      <c r="F277" s="66" t="n"/>
      <c r="G277" s="66" t="n"/>
      <c r="H277" s="66" t="n"/>
      <c r="I277" s="21" t="n"/>
      <c r="J277" s="24" t="n"/>
      <c r="K277" s="24" t="n"/>
      <c r="L277" s="21" t="n"/>
      <c r="M277" s="24" t="n"/>
      <c r="N277" s="21" t="n"/>
      <c r="O277" s="67" t="n"/>
      <c r="P277" s="21" t="n"/>
      <c r="Q277" s="21" t="n"/>
      <c r="R277" s="22" t="n"/>
      <c r="S277" s="22" t="n"/>
      <c r="T277" s="21" t="n"/>
      <c r="U277" s="66" t="n"/>
      <c r="V277" s="66" t="n"/>
      <c r="W277" s="66" t="n"/>
      <c r="X277" s="8" t="n"/>
      <c r="Y277" s="68">
        <f>IF($AN277="","",IF($AN277=0,$H277,IF($AN277=$AJ277,$AK277,$AL277)))</f>
        <v/>
      </c>
      <c r="Z277" s="68">
        <f>IF(OR($Y277="",NOT(ISNUMBER($K277))),"",IF($L277="日前",$Y277-$K277,EDATE($Y277,-$K277)))</f>
        <v/>
      </c>
      <c r="AA277" s="68">
        <f>IF(OR($Y277="",ISNUMBER($V277),N($Y277)&lt;'設定'!$B$6),"",IF($Z277&lt;&gt;"",$Z277,$Y277))</f>
        <v/>
      </c>
      <c r="AB277" s="69">
        <f>IF($AA277="","",$AA277-'設定'!$B$6)</f>
        <v/>
      </c>
      <c r="AC277" s="28">
        <f>IF(NOT(OR($B277&lt;&gt;"",$C277&lt;&gt;"")),"",IF(ISNUMBER($V277),IF($V277&lt;'設定'!$B$6,"終了","終了予定"),IF($Y277="","有効",IF($Y277&lt;'設定'!$B$6,"満了",IF(AND($T277="更新する",ISNUMBER($U277),N($U277)&lt;='設定'!$B$6,OR($AO277="",N($U277)&gt;N($AO277))),"確認済み",IF($AB277&lt;0,"通知期限切れ",IF($AB277&lt;=N('設定'!$B$7),"要対応","有効")))))))</f>
        <v/>
      </c>
      <c r="AD277" s="68">
        <f>IF(OR(NOT(ISNUMBER($M277)),$AC277="",$AC277="終了",$AC277="終了予定",$AC277="満了"),"",IF($N277="日前",'設定'!$B$6+$M277,EDATE('設定'!$B$6,$M277)))</f>
        <v/>
      </c>
      <c r="AE277" s="70">
        <f>IF(NOT(ISNUMBER($O277)),"",IF($P277="月額",$O277*12,IF($P277="年額",$O277,"")))</f>
        <v/>
      </c>
      <c r="AF277" s="30">
        <f>MID(IF(AND(ISNUMBER($G277),ISNUMBER($H277)),IF(N($H277)&lt;N($G277)," / 満了日が開始日より前",""),"")&amp;IF(AND($I277="あり",NOT(ISNUMBER($H277)))," / 自動更新ありなのに満了日が空","")&amp;IF(AND($I277="あり",ISNUMBER($H277),NOT(ISNUMBER($J277)))," / 更新期間が空（更新を計算できない）","")&amp;IF($AH277="","",IF(AND(DAY($AH277)&gt;=29,OR(MOD($J277,12)&lt;&gt;0,MONTH($AH277)=2))," / 更新の初日が29〜31日（更新を重ねると満了日が1日ずれることがある。満了日を今の期間の満了日に書き換えると直る）",""))&amp;IF(AND(ISNUMBER($K277),$L277="")," / 通知の単位が空（か月前で計算）","")&amp;IF(AND(ISNUMBER($M277),$N277="")," / 解約予告の単位が空（か月前で計算）","")&amp;IF(AND(ISNUMBER($O277),$P277="")," / 金額の区分が空","")&amp;IF(AND($T277&lt;&gt;"",NOT(ISNUMBER($U277)))," / 対応を決めた日が空","")&amp;IF(AND(ISNUMBER($U277),$T277="")," / 今期の対応が空","")&amp;IF(AND($T277="更新しない",NOT(ISNUMBER($V277)))," / 更新しないなら、解約・終了した日（契約が終わる日）を入れる",""),4,300)</f>
        <v/>
      </c>
      <c r="AG277" s="53" t="n"/>
      <c r="AH277" s="71">
        <f>IF(AND(ISNUMBER($H277),$I277="あり",ISNUMBER($J277)),IF($J277&gt;=1,$H277+1,""),"")</f>
        <v/>
      </c>
      <c r="AI277" s="32">
        <f>IF($AH277="","",(YEAR('設定'!$B$6)-YEAR($AH277))*12+MONTH('設定'!$B$6)-MONTH($AH277))</f>
        <v/>
      </c>
      <c r="AJ277" s="32">
        <f>IF($AH277="","",MAX(1,ROUNDUP($AI277/$J277,0)))</f>
        <v/>
      </c>
      <c r="AK277" s="71">
        <f>IF($AJ277="","",IF(DAY(EDATE($AH277,$AJ277*$J277))&lt;DAY($AH277),EDATE($AH277,$AJ277*$J277),EDATE($AH277,$AJ277*$J277)-1))</f>
        <v/>
      </c>
      <c r="AL277" s="71">
        <f>IF($AJ277="","",IF(DAY(EDATE($AH277,($AJ277+1)*$J277))&lt;DAY($AH277),EDATE($AH277,($AJ277+1)*$J277),EDATE($AH277,($AJ277+1)*$J277)-1))</f>
        <v/>
      </c>
      <c r="AM277" s="71">
        <f>IF($AJ277="","",IF($AJ277=1,$H277,IF(DAY(EDATE($AH277,($AJ277-1)*$J277))&lt;DAY($AH277),EDATE($AH277,($AJ277-1)*$J277),EDATE($AH277,($AJ277-1)*$J277)-1)))</f>
        <v/>
      </c>
      <c r="AN277" s="32">
        <f>IF(NOT(ISNUMBER($H277)),"",IF(OR($AH277="",$H277&gt;='設定'!$B$6),0,IF($AK277&gt;='設定'!$B$6,$AJ277,$AJ277+1)))</f>
        <v/>
      </c>
      <c r="AO277" s="71">
        <f>IF($AN277="","",IF($AN277=0,"",IF($AN277=$AJ277,$AM277,$AK277)))</f>
        <v/>
      </c>
      <c r="AP277" s="32">
        <f>IF(OR($AC277="要対応",$AC277="通知期限切れ",$AC277="確認済み",$AC277="有効",$AC277="終了予定"),1,0)</f>
        <v/>
      </c>
      <c r="AQ277" s="32">
        <f>IF(OR($AC277="要対応",$AC277="通知期限切れ"),1,0)</f>
        <v/>
      </c>
      <c r="AR277" s="72">
        <f>IF(AND(ISNUMBER($AB277),OR($AC277="要対応",$AC277="通知期限切れ",$AC277="確認済み",$AC277="有効")),$AB277+ROW()/100000,"")</f>
        <v/>
      </c>
      <c r="AS277" s="32">
        <f>IF($E277="","",IF(COUNTIF($E$5:$E277,$E277)=1,ROW(),""))</f>
        <v/>
      </c>
      <c r="AT277" s="32">
        <f>IF($S277="","",IF(COUNTIF($S$5:$S277,$S277)=1,ROW(),""))</f>
        <v/>
      </c>
    </row>
    <row r="278" ht="20" customHeight="1">
      <c r="A278" s="20" t="n">
        <v>274</v>
      </c>
      <c r="B278" s="21" t="n"/>
      <c r="C278" s="22" t="n"/>
      <c r="D278" s="22" t="n"/>
      <c r="E278" s="22" t="n"/>
      <c r="F278" s="66" t="n"/>
      <c r="G278" s="66" t="n"/>
      <c r="H278" s="66" t="n"/>
      <c r="I278" s="21" t="n"/>
      <c r="J278" s="24" t="n"/>
      <c r="K278" s="24" t="n"/>
      <c r="L278" s="21" t="n"/>
      <c r="M278" s="24" t="n"/>
      <c r="N278" s="21" t="n"/>
      <c r="O278" s="67" t="n"/>
      <c r="P278" s="21" t="n"/>
      <c r="Q278" s="21" t="n"/>
      <c r="R278" s="22" t="n"/>
      <c r="S278" s="22" t="n"/>
      <c r="T278" s="21" t="n"/>
      <c r="U278" s="66" t="n"/>
      <c r="V278" s="66" t="n"/>
      <c r="W278" s="66" t="n"/>
      <c r="X278" s="8" t="n"/>
      <c r="Y278" s="68">
        <f>IF($AN278="","",IF($AN278=0,$H278,IF($AN278=$AJ278,$AK278,$AL278)))</f>
        <v/>
      </c>
      <c r="Z278" s="68">
        <f>IF(OR($Y278="",NOT(ISNUMBER($K278))),"",IF($L278="日前",$Y278-$K278,EDATE($Y278,-$K278)))</f>
        <v/>
      </c>
      <c r="AA278" s="68">
        <f>IF(OR($Y278="",ISNUMBER($V278),N($Y278)&lt;'設定'!$B$6),"",IF($Z278&lt;&gt;"",$Z278,$Y278))</f>
        <v/>
      </c>
      <c r="AB278" s="69">
        <f>IF($AA278="","",$AA278-'設定'!$B$6)</f>
        <v/>
      </c>
      <c r="AC278" s="28">
        <f>IF(NOT(OR($B278&lt;&gt;"",$C278&lt;&gt;"")),"",IF(ISNUMBER($V278),IF($V278&lt;'設定'!$B$6,"終了","終了予定"),IF($Y278="","有効",IF($Y278&lt;'設定'!$B$6,"満了",IF(AND($T278="更新する",ISNUMBER($U278),N($U278)&lt;='設定'!$B$6,OR($AO278="",N($U278)&gt;N($AO278))),"確認済み",IF($AB278&lt;0,"通知期限切れ",IF($AB278&lt;=N('設定'!$B$7),"要対応","有効")))))))</f>
        <v/>
      </c>
      <c r="AD278" s="68">
        <f>IF(OR(NOT(ISNUMBER($M278)),$AC278="",$AC278="終了",$AC278="終了予定",$AC278="満了"),"",IF($N278="日前",'設定'!$B$6+$M278,EDATE('設定'!$B$6,$M278)))</f>
        <v/>
      </c>
      <c r="AE278" s="70">
        <f>IF(NOT(ISNUMBER($O278)),"",IF($P278="月額",$O278*12,IF($P278="年額",$O278,"")))</f>
        <v/>
      </c>
      <c r="AF278" s="30">
        <f>MID(IF(AND(ISNUMBER($G278),ISNUMBER($H278)),IF(N($H278)&lt;N($G278)," / 満了日が開始日より前",""),"")&amp;IF(AND($I278="あり",NOT(ISNUMBER($H278)))," / 自動更新ありなのに満了日が空","")&amp;IF(AND($I278="あり",ISNUMBER($H278),NOT(ISNUMBER($J278)))," / 更新期間が空（更新を計算できない）","")&amp;IF($AH278="","",IF(AND(DAY($AH278)&gt;=29,OR(MOD($J278,12)&lt;&gt;0,MONTH($AH278)=2))," / 更新の初日が29〜31日（更新を重ねると満了日が1日ずれることがある。満了日を今の期間の満了日に書き換えると直る）",""))&amp;IF(AND(ISNUMBER($K278),$L278="")," / 通知の単位が空（か月前で計算）","")&amp;IF(AND(ISNUMBER($M278),$N278="")," / 解約予告の単位が空（か月前で計算）","")&amp;IF(AND(ISNUMBER($O278),$P278="")," / 金額の区分が空","")&amp;IF(AND($T278&lt;&gt;"",NOT(ISNUMBER($U278)))," / 対応を決めた日が空","")&amp;IF(AND(ISNUMBER($U278),$T278="")," / 今期の対応が空","")&amp;IF(AND($T278="更新しない",NOT(ISNUMBER($V278)))," / 更新しないなら、解約・終了した日（契約が終わる日）を入れる",""),4,300)</f>
        <v/>
      </c>
      <c r="AG278" s="53" t="n"/>
      <c r="AH278" s="71">
        <f>IF(AND(ISNUMBER($H278),$I278="あり",ISNUMBER($J278)),IF($J278&gt;=1,$H278+1,""),"")</f>
        <v/>
      </c>
      <c r="AI278" s="32">
        <f>IF($AH278="","",(YEAR('設定'!$B$6)-YEAR($AH278))*12+MONTH('設定'!$B$6)-MONTH($AH278))</f>
        <v/>
      </c>
      <c r="AJ278" s="32">
        <f>IF($AH278="","",MAX(1,ROUNDUP($AI278/$J278,0)))</f>
        <v/>
      </c>
      <c r="AK278" s="71">
        <f>IF($AJ278="","",IF(DAY(EDATE($AH278,$AJ278*$J278))&lt;DAY($AH278),EDATE($AH278,$AJ278*$J278),EDATE($AH278,$AJ278*$J278)-1))</f>
        <v/>
      </c>
      <c r="AL278" s="71">
        <f>IF($AJ278="","",IF(DAY(EDATE($AH278,($AJ278+1)*$J278))&lt;DAY($AH278),EDATE($AH278,($AJ278+1)*$J278),EDATE($AH278,($AJ278+1)*$J278)-1))</f>
        <v/>
      </c>
      <c r="AM278" s="71">
        <f>IF($AJ278="","",IF($AJ278=1,$H278,IF(DAY(EDATE($AH278,($AJ278-1)*$J278))&lt;DAY($AH278),EDATE($AH278,($AJ278-1)*$J278),EDATE($AH278,($AJ278-1)*$J278)-1)))</f>
        <v/>
      </c>
      <c r="AN278" s="32">
        <f>IF(NOT(ISNUMBER($H278)),"",IF(OR($AH278="",$H278&gt;='設定'!$B$6),0,IF($AK278&gt;='設定'!$B$6,$AJ278,$AJ278+1)))</f>
        <v/>
      </c>
      <c r="AO278" s="71">
        <f>IF($AN278="","",IF($AN278=0,"",IF($AN278=$AJ278,$AM278,$AK278)))</f>
        <v/>
      </c>
      <c r="AP278" s="32">
        <f>IF(OR($AC278="要対応",$AC278="通知期限切れ",$AC278="確認済み",$AC278="有効",$AC278="終了予定"),1,0)</f>
        <v/>
      </c>
      <c r="AQ278" s="32">
        <f>IF(OR($AC278="要対応",$AC278="通知期限切れ"),1,0)</f>
        <v/>
      </c>
      <c r="AR278" s="72">
        <f>IF(AND(ISNUMBER($AB278),OR($AC278="要対応",$AC278="通知期限切れ",$AC278="確認済み",$AC278="有効")),$AB278+ROW()/100000,"")</f>
        <v/>
      </c>
      <c r="AS278" s="32">
        <f>IF($E278="","",IF(COUNTIF($E$5:$E278,$E278)=1,ROW(),""))</f>
        <v/>
      </c>
      <c r="AT278" s="32">
        <f>IF($S278="","",IF(COUNTIF($S$5:$S278,$S278)=1,ROW(),""))</f>
        <v/>
      </c>
    </row>
    <row r="279" ht="20" customHeight="1">
      <c r="A279" s="20" t="n">
        <v>275</v>
      </c>
      <c r="B279" s="21" t="n"/>
      <c r="C279" s="22" t="n"/>
      <c r="D279" s="22" t="n"/>
      <c r="E279" s="22" t="n"/>
      <c r="F279" s="66" t="n"/>
      <c r="G279" s="66" t="n"/>
      <c r="H279" s="66" t="n"/>
      <c r="I279" s="21" t="n"/>
      <c r="J279" s="24" t="n"/>
      <c r="K279" s="24" t="n"/>
      <c r="L279" s="21" t="n"/>
      <c r="M279" s="24" t="n"/>
      <c r="N279" s="21" t="n"/>
      <c r="O279" s="67" t="n"/>
      <c r="P279" s="21" t="n"/>
      <c r="Q279" s="21" t="n"/>
      <c r="R279" s="22" t="n"/>
      <c r="S279" s="22" t="n"/>
      <c r="T279" s="21" t="n"/>
      <c r="U279" s="66" t="n"/>
      <c r="V279" s="66" t="n"/>
      <c r="W279" s="66" t="n"/>
      <c r="X279" s="8" t="n"/>
      <c r="Y279" s="68">
        <f>IF($AN279="","",IF($AN279=0,$H279,IF($AN279=$AJ279,$AK279,$AL279)))</f>
        <v/>
      </c>
      <c r="Z279" s="68">
        <f>IF(OR($Y279="",NOT(ISNUMBER($K279))),"",IF($L279="日前",$Y279-$K279,EDATE($Y279,-$K279)))</f>
        <v/>
      </c>
      <c r="AA279" s="68">
        <f>IF(OR($Y279="",ISNUMBER($V279),N($Y279)&lt;'設定'!$B$6),"",IF($Z279&lt;&gt;"",$Z279,$Y279))</f>
        <v/>
      </c>
      <c r="AB279" s="69">
        <f>IF($AA279="","",$AA279-'設定'!$B$6)</f>
        <v/>
      </c>
      <c r="AC279" s="28">
        <f>IF(NOT(OR($B279&lt;&gt;"",$C279&lt;&gt;"")),"",IF(ISNUMBER($V279),IF($V279&lt;'設定'!$B$6,"終了","終了予定"),IF($Y279="","有効",IF($Y279&lt;'設定'!$B$6,"満了",IF(AND($T279="更新する",ISNUMBER($U279),N($U279)&lt;='設定'!$B$6,OR($AO279="",N($U279)&gt;N($AO279))),"確認済み",IF($AB279&lt;0,"通知期限切れ",IF($AB279&lt;=N('設定'!$B$7),"要対応","有効")))))))</f>
        <v/>
      </c>
      <c r="AD279" s="68">
        <f>IF(OR(NOT(ISNUMBER($M279)),$AC279="",$AC279="終了",$AC279="終了予定",$AC279="満了"),"",IF($N279="日前",'設定'!$B$6+$M279,EDATE('設定'!$B$6,$M279)))</f>
        <v/>
      </c>
      <c r="AE279" s="70">
        <f>IF(NOT(ISNUMBER($O279)),"",IF($P279="月額",$O279*12,IF($P279="年額",$O279,"")))</f>
        <v/>
      </c>
      <c r="AF279" s="30">
        <f>MID(IF(AND(ISNUMBER($G279),ISNUMBER($H279)),IF(N($H279)&lt;N($G279)," / 満了日が開始日より前",""),"")&amp;IF(AND($I279="あり",NOT(ISNUMBER($H279)))," / 自動更新ありなのに満了日が空","")&amp;IF(AND($I279="あり",ISNUMBER($H279),NOT(ISNUMBER($J279)))," / 更新期間が空（更新を計算できない）","")&amp;IF($AH279="","",IF(AND(DAY($AH279)&gt;=29,OR(MOD($J279,12)&lt;&gt;0,MONTH($AH279)=2))," / 更新の初日が29〜31日（更新を重ねると満了日が1日ずれることがある。満了日を今の期間の満了日に書き換えると直る）",""))&amp;IF(AND(ISNUMBER($K279),$L279="")," / 通知の単位が空（か月前で計算）","")&amp;IF(AND(ISNUMBER($M279),$N279="")," / 解約予告の単位が空（か月前で計算）","")&amp;IF(AND(ISNUMBER($O279),$P279="")," / 金額の区分が空","")&amp;IF(AND($T279&lt;&gt;"",NOT(ISNUMBER($U279)))," / 対応を決めた日が空","")&amp;IF(AND(ISNUMBER($U279),$T279="")," / 今期の対応が空","")&amp;IF(AND($T279="更新しない",NOT(ISNUMBER($V279)))," / 更新しないなら、解約・終了した日（契約が終わる日）を入れる",""),4,300)</f>
        <v/>
      </c>
      <c r="AG279" s="53" t="n"/>
      <c r="AH279" s="71">
        <f>IF(AND(ISNUMBER($H279),$I279="あり",ISNUMBER($J279)),IF($J279&gt;=1,$H279+1,""),"")</f>
        <v/>
      </c>
      <c r="AI279" s="32">
        <f>IF($AH279="","",(YEAR('設定'!$B$6)-YEAR($AH279))*12+MONTH('設定'!$B$6)-MONTH($AH279))</f>
        <v/>
      </c>
      <c r="AJ279" s="32">
        <f>IF($AH279="","",MAX(1,ROUNDUP($AI279/$J279,0)))</f>
        <v/>
      </c>
      <c r="AK279" s="71">
        <f>IF($AJ279="","",IF(DAY(EDATE($AH279,$AJ279*$J279))&lt;DAY($AH279),EDATE($AH279,$AJ279*$J279),EDATE($AH279,$AJ279*$J279)-1))</f>
        <v/>
      </c>
      <c r="AL279" s="71">
        <f>IF($AJ279="","",IF(DAY(EDATE($AH279,($AJ279+1)*$J279))&lt;DAY($AH279),EDATE($AH279,($AJ279+1)*$J279),EDATE($AH279,($AJ279+1)*$J279)-1))</f>
        <v/>
      </c>
      <c r="AM279" s="71">
        <f>IF($AJ279="","",IF($AJ279=1,$H279,IF(DAY(EDATE($AH279,($AJ279-1)*$J279))&lt;DAY($AH279),EDATE($AH279,($AJ279-1)*$J279),EDATE($AH279,($AJ279-1)*$J279)-1)))</f>
        <v/>
      </c>
      <c r="AN279" s="32">
        <f>IF(NOT(ISNUMBER($H279)),"",IF(OR($AH279="",$H279&gt;='設定'!$B$6),0,IF($AK279&gt;='設定'!$B$6,$AJ279,$AJ279+1)))</f>
        <v/>
      </c>
      <c r="AO279" s="71">
        <f>IF($AN279="","",IF($AN279=0,"",IF($AN279=$AJ279,$AM279,$AK279)))</f>
        <v/>
      </c>
      <c r="AP279" s="32">
        <f>IF(OR($AC279="要対応",$AC279="通知期限切れ",$AC279="確認済み",$AC279="有効",$AC279="終了予定"),1,0)</f>
        <v/>
      </c>
      <c r="AQ279" s="32">
        <f>IF(OR($AC279="要対応",$AC279="通知期限切れ"),1,0)</f>
        <v/>
      </c>
      <c r="AR279" s="72">
        <f>IF(AND(ISNUMBER($AB279),OR($AC279="要対応",$AC279="通知期限切れ",$AC279="確認済み",$AC279="有効")),$AB279+ROW()/100000,"")</f>
        <v/>
      </c>
      <c r="AS279" s="32">
        <f>IF($E279="","",IF(COUNTIF($E$5:$E279,$E279)=1,ROW(),""))</f>
        <v/>
      </c>
      <c r="AT279" s="32">
        <f>IF($S279="","",IF(COUNTIF($S$5:$S279,$S279)=1,ROW(),""))</f>
        <v/>
      </c>
    </row>
    <row r="280" ht="20" customHeight="1">
      <c r="A280" s="20" t="n">
        <v>276</v>
      </c>
      <c r="B280" s="21" t="n"/>
      <c r="C280" s="22" t="n"/>
      <c r="D280" s="22" t="n"/>
      <c r="E280" s="22" t="n"/>
      <c r="F280" s="66" t="n"/>
      <c r="G280" s="66" t="n"/>
      <c r="H280" s="66" t="n"/>
      <c r="I280" s="21" t="n"/>
      <c r="J280" s="24" t="n"/>
      <c r="K280" s="24" t="n"/>
      <c r="L280" s="21" t="n"/>
      <c r="M280" s="24" t="n"/>
      <c r="N280" s="21" t="n"/>
      <c r="O280" s="67" t="n"/>
      <c r="P280" s="21" t="n"/>
      <c r="Q280" s="21" t="n"/>
      <c r="R280" s="22" t="n"/>
      <c r="S280" s="22" t="n"/>
      <c r="T280" s="21" t="n"/>
      <c r="U280" s="66" t="n"/>
      <c r="V280" s="66" t="n"/>
      <c r="W280" s="66" t="n"/>
      <c r="X280" s="8" t="n"/>
      <c r="Y280" s="68">
        <f>IF($AN280="","",IF($AN280=0,$H280,IF($AN280=$AJ280,$AK280,$AL280)))</f>
        <v/>
      </c>
      <c r="Z280" s="68">
        <f>IF(OR($Y280="",NOT(ISNUMBER($K280))),"",IF($L280="日前",$Y280-$K280,EDATE($Y280,-$K280)))</f>
        <v/>
      </c>
      <c r="AA280" s="68">
        <f>IF(OR($Y280="",ISNUMBER($V280),N($Y280)&lt;'設定'!$B$6),"",IF($Z280&lt;&gt;"",$Z280,$Y280))</f>
        <v/>
      </c>
      <c r="AB280" s="69">
        <f>IF($AA280="","",$AA280-'設定'!$B$6)</f>
        <v/>
      </c>
      <c r="AC280" s="28">
        <f>IF(NOT(OR($B280&lt;&gt;"",$C280&lt;&gt;"")),"",IF(ISNUMBER($V280),IF($V280&lt;'設定'!$B$6,"終了","終了予定"),IF($Y280="","有効",IF($Y280&lt;'設定'!$B$6,"満了",IF(AND($T280="更新する",ISNUMBER($U280),N($U280)&lt;='設定'!$B$6,OR($AO280="",N($U280)&gt;N($AO280))),"確認済み",IF($AB280&lt;0,"通知期限切れ",IF($AB280&lt;=N('設定'!$B$7),"要対応","有効")))))))</f>
        <v/>
      </c>
      <c r="AD280" s="68">
        <f>IF(OR(NOT(ISNUMBER($M280)),$AC280="",$AC280="終了",$AC280="終了予定",$AC280="満了"),"",IF($N280="日前",'設定'!$B$6+$M280,EDATE('設定'!$B$6,$M280)))</f>
        <v/>
      </c>
      <c r="AE280" s="70">
        <f>IF(NOT(ISNUMBER($O280)),"",IF($P280="月額",$O280*12,IF($P280="年額",$O280,"")))</f>
        <v/>
      </c>
      <c r="AF280" s="30">
        <f>MID(IF(AND(ISNUMBER($G280),ISNUMBER($H280)),IF(N($H280)&lt;N($G280)," / 満了日が開始日より前",""),"")&amp;IF(AND($I280="あり",NOT(ISNUMBER($H280)))," / 自動更新ありなのに満了日が空","")&amp;IF(AND($I280="あり",ISNUMBER($H280),NOT(ISNUMBER($J280)))," / 更新期間が空（更新を計算できない）","")&amp;IF($AH280="","",IF(AND(DAY($AH280)&gt;=29,OR(MOD($J280,12)&lt;&gt;0,MONTH($AH280)=2))," / 更新の初日が29〜31日（更新を重ねると満了日が1日ずれることがある。満了日を今の期間の満了日に書き換えると直る）",""))&amp;IF(AND(ISNUMBER($K280),$L280="")," / 通知の単位が空（か月前で計算）","")&amp;IF(AND(ISNUMBER($M280),$N280="")," / 解約予告の単位が空（か月前で計算）","")&amp;IF(AND(ISNUMBER($O280),$P280="")," / 金額の区分が空","")&amp;IF(AND($T280&lt;&gt;"",NOT(ISNUMBER($U280)))," / 対応を決めた日が空","")&amp;IF(AND(ISNUMBER($U280),$T280="")," / 今期の対応が空","")&amp;IF(AND($T280="更新しない",NOT(ISNUMBER($V280)))," / 更新しないなら、解約・終了した日（契約が終わる日）を入れる",""),4,300)</f>
        <v/>
      </c>
      <c r="AG280" s="53" t="n"/>
      <c r="AH280" s="71">
        <f>IF(AND(ISNUMBER($H280),$I280="あり",ISNUMBER($J280)),IF($J280&gt;=1,$H280+1,""),"")</f>
        <v/>
      </c>
      <c r="AI280" s="32">
        <f>IF($AH280="","",(YEAR('設定'!$B$6)-YEAR($AH280))*12+MONTH('設定'!$B$6)-MONTH($AH280))</f>
        <v/>
      </c>
      <c r="AJ280" s="32">
        <f>IF($AH280="","",MAX(1,ROUNDUP($AI280/$J280,0)))</f>
        <v/>
      </c>
      <c r="AK280" s="71">
        <f>IF($AJ280="","",IF(DAY(EDATE($AH280,$AJ280*$J280))&lt;DAY($AH280),EDATE($AH280,$AJ280*$J280),EDATE($AH280,$AJ280*$J280)-1))</f>
        <v/>
      </c>
      <c r="AL280" s="71">
        <f>IF($AJ280="","",IF(DAY(EDATE($AH280,($AJ280+1)*$J280))&lt;DAY($AH280),EDATE($AH280,($AJ280+1)*$J280),EDATE($AH280,($AJ280+1)*$J280)-1))</f>
        <v/>
      </c>
      <c r="AM280" s="71">
        <f>IF($AJ280="","",IF($AJ280=1,$H280,IF(DAY(EDATE($AH280,($AJ280-1)*$J280))&lt;DAY($AH280),EDATE($AH280,($AJ280-1)*$J280),EDATE($AH280,($AJ280-1)*$J280)-1)))</f>
        <v/>
      </c>
      <c r="AN280" s="32">
        <f>IF(NOT(ISNUMBER($H280)),"",IF(OR($AH280="",$H280&gt;='設定'!$B$6),0,IF($AK280&gt;='設定'!$B$6,$AJ280,$AJ280+1)))</f>
        <v/>
      </c>
      <c r="AO280" s="71">
        <f>IF($AN280="","",IF($AN280=0,"",IF($AN280=$AJ280,$AM280,$AK280)))</f>
        <v/>
      </c>
      <c r="AP280" s="32">
        <f>IF(OR($AC280="要対応",$AC280="通知期限切れ",$AC280="確認済み",$AC280="有効",$AC280="終了予定"),1,0)</f>
        <v/>
      </c>
      <c r="AQ280" s="32">
        <f>IF(OR($AC280="要対応",$AC280="通知期限切れ"),1,0)</f>
        <v/>
      </c>
      <c r="AR280" s="72">
        <f>IF(AND(ISNUMBER($AB280),OR($AC280="要対応",$AC280="通知期限切れ",$AC280="確認済み",$AC280="有効")),$AB280+ROW()/100000,"")</f>
        <v/>
      </c>
      <c r="AS280" s="32">
        <f>IF($E280="","",IF(COUNTIF($E$5:$E280,$E280)=1,ROW(),""))</f>
        <v/>
      </c>
      <c r="AT280" s="32">
        <f>IF($S280="","",IF(COUNTIF($S$5:$S280,$S280)=1,ROW(),""))</f>
        <v/>
      </c>
    </row>
    <row r="281" ht="20" customHeight="1">
      <c r="A281" s="20" t="n">
        <v>277</v>
      </c>
      <c r="B281" s="21" t="n"/>
      <c r="C281" s="22" t="n"/>
      <c r="D281" s="22" t="n"/>
      <c r="E281" s="22" t="n"/>
      <c r="F281" s="66" t="n"/>
      <c r="G281" s="66" t="n"/>
      <c r="H281" s="66" t="n"/>
      <c r="I281" s="21" t="n"/>
      <c r="J281" s="24" t="n"/>
      <c r="K281" s="24" t="n"/>
      <c r="L281" s="21" t="n"/>
      <c r="M281" s="24" t="n"/>
      <c r="N281" s="21" t="n"/>
      <c r="O281" s="67" t="n"/>
      <c r="P281" s="21" t="n"/>
      <c r="Q281" s="21" t="n"/>
      <c r="R281" s="22" t="n"/>
      <c r="S281" s="22" t="n"/>
      <c r="T281" s="21" t="n"/>
      <c r="U281" s="66" t="n"/>
      <c r="V281" s="66" t="n"/>
      <c r="W281" s="66" t="n"/>
      <c r="X281" s="8" t="n"/>
      <c r="Y281" s="68">
        <f>IF($AN281="","",IF($AN281=0,$H281,IF($AN281=$AJ281,$AK281,$AL281)))</f>
        <v/>
      </c>
      <c r="Z281" s="68">
        <f>IF(OR($Y281="",NOT(ISNUMBER($K281))),"",IF($L281="日前",$Y281-$K281,EDATE($Y281,-$K281)))</f>
        <v/>
      </c>
      <c r="AA281" s="68">
        <f>IF(OR($Y281="",ISNUMBER($V281),N($Y281)&lt;'設定'!$B$6),"",IF($Z281&lt;&gt;"",$Z281,$Y281))</f>
        <v/>
      </c>
      <c r="AB281" s="69">
        <f>IF($AA281="","",$AA281-'設定'!$B$6)</f>
        <v/>
      </c>
      <c r="AC281" s="28">
        <f>IF(NOT(OR($B281&lt;&gt;"",$C281&lt;&gt;"")),"",IF(ISNUMBER($V281),IF($V281&lt;'設定'!$B$6,"終了","終了予定"),IF($Y281="","有効",IF($Y281&lt;'設定'!$B$6,"満了",IF(AND($T281="更新する",ISNUMBER($U281),N($U281)&lt;='設定'!$B$6,OR($AO281="",N($U281)&gt;N($AO281))),"確認済み",IF($AB281&lt;0,"通知期限切れ",IF($AB281&lt;=N('設定'!$B$7),"要対応","有効")))))))</f>
        <v/>
      </c>
      <c r="AD281" s="68">
        <f>IF(OR(NOT(ISNUMBER($M281)),$AC281="",$AC281="終了",$AC281="終了予定",$AC281="満了"),"",IF($N281="日前",'設定'!$B$6+$M281,EDATE('設定'!$B$6,$M281)))</f>
        <v/>
      </c>
      <c r="AE281" s="70">
        <f>IF(NOT(ISNUMBER($O281)),"",IF($P281="月額",$O281*12,IF($P281="年額",$O281,"")))</f>
        <v/>
      </c>
      <c r="AF281" s="30">
        <f>MID(IF(AND(ISNUMBER($G281),ISNUMBER($H281)),IF(N($H281)&lt;N($G281)," / 満了日が開始日より前",""),"")&amp;IF(AND($I281="あり",NOT(ISNUMBER($H281)))," / 自動更新ありなのに満了日が空","")&amp;IF(AND($I281="あり",ISNUMBER($H281),NOT(ISNUMBER($J281)))," / 更新期間が空（更新を計算できない）","")&amp;IF($AH281="","",IF(AND(DAY($AH281)&gt;=29,OR(MOD($J281,12)&lt;&gt;0,MONTH($AH281)=2))," / 更新の初日が29〜31日（更新を重ねると満了日が1日ずれることがある。満了日を今の期間の満了日に書き換えると直る）",""))&amp;IF(AND(ISNUMBER($K281),$L281="")," / 通知の単位が空（か月前で計算）","")&amp;IF(AND(ISNUMBER($M281),$N281="")," / 解約予告の単位が空（か月前で計算）","")&amp;IF(AND(ISNUMBER($O281),$P281="")," / 金額の区分が空","")&amp;IF(AND($T281&lt;&gt;"",NOT(ISNUMBER($U281)))," / 対応を決めた日が空","")&amp;IF(AND(ISNUMBER($U281),$T281="")," / 今期の対応が空","")&amp;IF(AND($T281="更新しない",NOT(ISNUMBER($V281)))," / 更新しないなら、解約・終了した日（契約が終わる日）を入れる",""),4,300)</f>
        <v/>
      </c>
      <c r="AG281" s="53" t="n"/>
      <c r="AH281" s="71">
        <f>IF(AND(ISNUMBER($H281),$I281="あり",ISNUMBER($J281)),IF($J281&gt;=1,$H281+1,""),"")</f>
        <v/>
      </c>
      <c r="AI281" s="32">
        <f>IF($AH281="","",(YEAR('設定'!$B$6)-YEAR($AH281))*12+MONTH('設定'!$B$6)-MONTH($AH281))</f>
        <v/>
      </c>
      <c r="AJ281" s="32">
        <f>IF($AH281="","",MAX(1,ROUNDUP($AI281/$J281,0)))</f>
        <v/>
      </c>
      <c r="AK281" s="71">
        <f>IF($AJ281="","",IF(DAY(EDATE($AH281,$AJ281*$J281))&lt;DAY($AH281),EDATE($AH281,$AJ281*$J281),EDATE($AH281,$AJ281*$J281)-1))</f>
        <v/>
      </c>
      <c r="AL281" s="71">
        <f>IF($AJ281="","",IF(DAY(EDATE($AH281,($AJ281+1)*$J281))&lt;DAY($AH281),EDATE($AH281,($AJ281+1)*$J281),EDATE($AH281,($AJ281+1)*$J281)-1))</f>
        <v/>
      </c>
      <c r="AM281" s="71">
        <f>IF($AJ281="","",IF($AJ281=1,$H281,IF(DAY(EDATE($AH281,($AJ281-1)*$J281))&lt;DAY($AH281),EDATE($AH281,($AJ281-1)*$J281),EDATE($AH281,($AJ281-1)*$J281)-1)))</f>
        <v/>
      </c>
      <c r="AN281" s="32">
        <f>IF(NOT(ISNUMBER($H281)),"",IF(OR($AH281="",$H281&gt;='設定'!$B$6),0,IF($AK281&gt;='設定'!$B$6,$AJ281,$AJ281+1)))</f>
        <v/>
      </c>
      <c r="AO281" s="71">
        <f>IF($AN281="","",IF($AN281=0,"",IF($AN281=$AJ281,$AM281,$AK281)))</f>
        <v/>
      </c>
      <c r="AP281" s="32">
        <f>IF(OR($AC281="要対応",$AC281="通知期限切れ",$AC281="確認済み",$AC281="有効",$AC281="終了予定"),1,0)</f>
        <v/>
      </c>
      <c r="AQ281" s="32">
        <f>IF(OR($AC281="要対応",$AC281="通知期限切れ"),1,0)</f>
        <v/>
      </c>
      <c r="AR281" s="72">
        <f>IF(AND(ISNUMBER($AB281),OR($AC281="要対応",$AC281="通知期限切れ",$AC281="確認済み",$AC281="有効")),$AB281+ROW()/100000,"")</f>
        <v/>
      </c>
      <c r="AS281" s="32">
        <f>IF($E281="","",IF(COUNTIF($E$5:$E281,$E281)=1,ROW(),""))</f>
        <v/>
      </c>
      <c r="AT281" s="32">
        <f>IF($S281="","",IF(COUNTIF($S$5:$S281,$S281)=1,ROW(),""))</f>
        <v/>
      </c>
    </row>
    <row r="282" ht="20" customHeight="1">
      <c r="A282" s="20" t="n">
        <v>278</v>
      </c>
      <c r="B282" s="21" t="n"/>
      <c r="C282" s="22" t="n"/>
      <c r="D282" s="22" t="n"/>
      <c r="E282" s="22" t="n"/>
      <c r="F282" s="66" t="n"/>
      <c r="G282" s="66" t="n"/>
      <c r="H282" s="66" t="n"/>
      <c r="I282" s="21" t="n"/>
      <c r="J282" s="24" t="n"/>
      <c r="K282" s="24" t="n"/>
      <c r="L282" s="21" t="n"/>
      <c r="M282" s="24" t="n"/>
      <c r="N282" s="21" t="n"/>
      <c r="O282" s="67" t="n"/>
      <c r="P282" s="21" t="n"/>
      <c r="Q282" s="21" t="n"/>
      <c r="R282" s="22" t="n"/>
      <c r="S282" s="22" t="n"/>
      <c r="T282" s="21" t="n"/>
      <c r="U282" s="66" t="n"/>
      <c r="V282" s="66" t="n"/>
      <c r="W282" s="66" t="n"/>
      <c r="X282" s="8" t="n"/>
      <c r="Y282" s="68">
        <f>IF($AN282="","",IF($AN282=0,$H282,IF($AN282=$AJ282,$AK282,$AL282)))</f>
        <v/>
      </c>
      <c r="Z282" s="68">
        <f>IF(OR($Y282="",NOT(ISNUMBER($K282))),"",IF($L282="日前",$Y282-$K282,EDATE($Y282,-$K282)))</f>
        <v/>
      </c>
      <c r="AA282" s="68">
        <f>IF(OR($Y282="",ISNUMBER($V282),N($Y282)&lt;'設定'!$B$6),"",IF($Z282&lt;&gt;"",$Z282,$Y282))</f>
        <v/>
      </c>
      <c r="AB282" s="69">
        <f>IF($AA282="","",$AA282-'設定'!$B$6)</f>
        <v/>
      </c>
      <c r="AC282" s="28">
        <f>IF(NOT(OR($B282&lt;&gt;"",$C282&lt;&gt;"")),"",IF(ISNUMBER($V282),IF($V282&lt;'設定'!$B$6,"終了","終了予定"),IF($Y282="","有効",IF($Y282&lt;'設定'!$B$6,"満了",IF(AND($T282="更新する",ISNUMBER($U282),N($U282)&lt;='設定'!$B$6,OR($AO282="",N($U282)&gt;N($AO282))),"確認済み",IF($AB282&lt;0,"通知期限切れ",IF($AB282&lt;=N('設定'!$B$7),"要対応","有効")))))))</f>
        <v/>
      </c>
      <c r="AD282" s="68">
        <f>IF(OR(NOT(ISNUMBER($M282)),$AC282="",$AC282="終了",$AC282="終了予定",$AC282="満了"),"",IF($N282="日前",'設定'!$B$6+$M282,EDATE('設定'!$B$6,$M282)))</f>
        <v/>
      </c>
      <c r="AE282" s="70">
        <f>IF(NOT(ISNUMBER($O282)),"",IF($P282="月額",$O282*12,IF($P282="年額",$O282,"")))</f>
        <v/>
      </c>
      <c r="AF282" s="30">
        <f>MID(IF(AND(ISNUMBER($G282),ISNUMBER($H282)),IF(N($H282)&lt;N($G282)," / 満了日が開始日より前",""),"")&amp;IF(AND($I282="あり",NOT(ISNUMBER($H282)))," / 自動更新ありなのに満了日が空","")&amp;IF(AND($I282="あり",ISNUMBER($H282),NOT(ISNUMBER($J282)))," / 更新期間が空（更新を計算できない）","")&amp;IF($AH282="","",IF(AND(DAY($AH282)&gt;=29,OR(MOD($J282,12)&lt;&gt;0,MONTH($AH282)=2))," / 更新の初日が29〜31日（更新を重ねると満了日が1日ずれることがある。満了日を今の期間の満了日に書き換えると直る）",""))&amp;IF(AND(ISNUMBER($K282),$L282="")," / 通知の単位が空（か月前で計算）","")&amp;IF(AND(ISNUMBER($M282),$N282="")," / 解約予告の単位が空（か月前で計算）","")&amp;IF(AND(ISNUMBER($O282),$P282="")," / 金額の区分が空","")&amp;IF(AND($T282&lt;&gt;"",NOT(ISNUMBER($U282)))," / 対応を決めた日が空","")&amp;IF(AND(ISNUMBER($U282),$T282="")," / 今期の対応が空","")&amp;IF(AND($T282="更新しない",NOT(ISNUMBER($V282)))," / 更新しないなら、解約・終了した日（契約が終わる日）を入れる",""),4,300)</f>
        <v/>
      </c>
      <c r="AG282" s="53" t="n"/>
      <c r="AH282" s="71">
        <f>IF(AND(ISNUMBER($H282),$I282="あり",ISNUMBER($J282)),IF($J282&gt;=1,$H282+1,""),"")</f>
        <v/>
      </c>
      <c r="AI282" s="32">
        <f>IF($AH282="","",(YEAR('設定'!$B$6)-YEAR($AH282))*12+MONTH('設定'!$B$6)-MONTH($AH282))</f>
        <v/>
      </c>
      <c r="AJ282" s="32">
        <f>IF($AH282="","",MAX(1,ROUNDUP($AI282/$J282,0)))</f>
        <v/>
      </c>
      <c r="AK282" s="71">
        <f>IF($AJ282="","",IF(DAY(EDATE($AH282,$AJ282*$J282))&lt;DAY($AH282),EDATE($AH282,$AJ282*$J282),EDATE($AH282,$AJ282*$J282)-1))</f>
        <v/>
      </c>
      <c r="AL282" s="71">
        <f>IF($AJ282="","",IF(DAY(EDATE($AH282,($AJ282+1)*$J282))&lt;DAY($AH282),EDATE($AH282,($AJ282+1)*$J282),EDATE($AH282,($AJ282+1)*$J282)-1))</f>
        <v/>
      </c>
      <c r="AM282" s="71">
        <f>IF($AJ282="","",IF($AJ282=1,$H282,IF(DAY(EDATE($AH282,($AJ282-1)*$J282))&lt;DAY($AH282),EDATE($AH282,($AJ282-1)*$J282),EDATE($AH282,($AJ282-1)*$J282)-1)))</f>
        <v/>
      </c>
      <c r="AN282" s="32">
        <f>IF(NOT(ISNUMBER($H282)),"",IF(OR($AH282="",$H282&gt;='設定'!$B$6),0,IF($AK282&gt;='設定'!$B$6,$AJ282,$AJ282+1)))</f>
        <v/>
      </c>
      <c r="AO282" s="71">
        <f>IF($AN282="","",IF($AN282=0,"",IF($AN282=$AJ282,$AM282,$AK282)))</f>
        <v/>
      </c>
      <c r="AP282" s="32">
        <f>IF(OR($AC282="要対応",$AC282="通知期限切れ",$AC282="確認済み",$AC282="有効",$AC282="終了予定"),1,0)</f>
        <v/>
      </c>
      <c r="AQ282" s="32">
        <f>IF(OR($AC282="要対応",$AC282="通知期限切れ"),1,0)</f>
        <v/>
      </c>
      <c r="AR282" s="72">
        <f>IF(AND(ISNUMBER($AB282),OR($AC282="要対応",$AC282="通知期限切れ",$AC282="確認済み",$AC282="有効")),$AB282+ROW()/100000,"")</f>
        <v/>
      </c>
      <c r="AS282" s="32">
        <f>IF($E282="","",IF(COUNTIF($E$5:$E282,$E282)=1,ROW(),""))</f>
        <v/>
      </c>
      <c r="AT282" s="32">
        <f>IF($S282="","",IF(COUNTIF($S$5:$S282,$S282)=1,ROW(),""))</f>
        <v/>
      </c>
    </row>
    <row r="283" ht="20" customHeight="1">
      <c r="A283" s="20" t="n">
        <v>279</v>
      </c>
      <c r="B283" s="21" t="n"/>
      <c r="C283" s="22" t="n"/>
      <c r="D283" s="22" t="n"/>
      <c r="E283" s="22" t="n"/>
      <c r="F283" s="66" t="n"/>
      <c r="G283" s="66" t="n"/>
      <c r="H283" s="66" t="n"/>
      <c r="I283" s="21" t="n"/>
      <c r="J283" s="24" t="n"/>
      <c r="K283" s="24" t="n"/>
      <c r="L283" s="21" t="n"/>
      <c r="M283" s="24" t="n"/>
      <c r="N283" s="21" t="n"/>
      <c r="O283" s="67" t="n"/>
      <c r="P283" s="21" t="n"/>
      <c r="Q283" s="21" t="n"/>
      <c r="R283" s="22" t="n"/>
      <c r="S283" s="22" t="n"/>
      <c r="T283" s="21" t="n"/>
      <c r="U283" s="66" t="n"/>
      <c r="V283" s="66" t="n"/>
      <c r="W283" s="66" t="n"/>
      <c r="X283" s="8" t="n"/>
      <c r="Y283" s="68">
        <f>IF($AN283="","",IF($AN283=0,$H283,IF($AN283=$AJ283,$AK283,$AL283)))</f>
        <v/>
      </c>
      <c r="Z283" s="68">
        <f>IF(OR($Y283="",NOT(ISNUMBER($K283))),"",IF($L283="日前",$Y283-$K283,EDATE($Y283,-$K283)))</f>
        <v/>
      </c>
      <c r="AA283" s="68">
        <f>IF(OR($Y283="",ISNUMBER($V283),N($Y283)&lt;'設定'!$B$6),"",IF($Z283&lt;&gt;"",$Z283,$Y283))</f>
        <v/>
      </c>
      <c r="AB283" s="69">
        <f>IF($AA283="","",$AA283-'設定'!$B$6)</f>
        <v/>
      </c>
      <c r="AC283" s="28">
        <f>IF(NOT(OR($B283&lt;&gt;"",$C283&lt;&gt;"")),"",IF(ISNUMBER($V283),IF($V283&lt;'設定'!$B$6,"終了","終了予定"),IF($Y283="","有効",IF($Y283&lt;'設定'!$B$6,"満了",IF(AND($T283="更新する",ISNUMBER($U283),N($U283)&lt;='設定'!$B$6,OR($AO283="",N($U283)&gt;N($AO283))),"確認済み",IF($AB283&lt;0,"通知期限切れ",IF($AB283&lt;=N('設定'!$B$7),"要対応","有効")))))))</f>
        <v/>
      </c>
      <c r="AD283" s="68">
        <f>IF(OR(NOT(ISNUMBER($M283)),$AC283="",$AC283="終了",$AC283="終了予定",$AC283="満了"),"",IF($N283="日前",'設定'!$B$6+$M283,EDATE('設定'!$B$6,$M283)))</f>
        <v/>
      </c>
      <c r="AE283" s="70">
        <f>IF(NOT(ISNUMBER($O283)),"",IF($P283="月額",$O283*12,IF($P283="年額",$O283,"")))</f>
        <v/>
      </c>
      <c r="AF283" s="30">
        <f>MID(IF(AND(ISNUMBER($G283),ISNUMBER($H283)),IF(N($H283)&lt;N($G283)," / 満了日が開始日より前",""),"")&amp;IF(AND($I283="あり",NOT(ISNUMBER($H283)))," / 自動更新ありなのに満了日が空","")&amp;IF(AND($I283="あり",ISNUMBER($H283),NOT(ISNUMBER($J283)))," / 更新期間が空（更新を計算できない）","")&amp;IF($AH283="","",IF(AND(DAY($AH283)&gt;=29,OR(MOD($J283,12)&lt;&gt;0,MONTH($AH283)=2))," / 更新の初日が29〜31日（更新を重ねると満了日が1日ずれることがある。満了日を今の期間の満了日に書き換えると直る）",""))&amp;IF(AND(ISNUMBER($K283),$L283="")," / 通知の単位が空（か月前で計算）","")&amp;IF(AND(ISNUMBER($M283),$N283="")," / 解約予告の単位が空（か月前で計算）","")&amp;IF(AND(ISNUMBER($O283),$P283="")," / 金額の区分が空","")&amp;IF(AND($T283&lt;&gt;"",NOT(ISNUMBER($U283)))," / 対応を決めた日が空","")&amp;IF(AND(ISNUMBER($U283),$T283="")," / 今期の対応が空","")&amp;IF(AND($T283="更新しない",NOT(ISNUMBER($V283)))," / 更新しないなら、解約・終了した日（契約が終わる日）を入れる",""),4,300)</f>
        <v/>
      </c>
      <c r="AG283" s="53" t="n"/>
      <c r="AH283" s="71">
        <f>IF(AND(ISNUMBER($H283),$I283="あり",ISNUMBER($J283)),IF($J283&gt;=1,$H283+1,""),"")</f>
        <v/>
      </c>
      <c r="AI283" s="32">
        <f>IF($AH283="","",(YEAR('設定'!$B$6)-YEAR($AH283))*12+MONTH('設定'!$B$6)-MONTH($AH283))</f>
        <v/>
      </c>
      <c r="AJ283" s="32">
        <f>IF($AH283="","",MAX(1,ROUNDUP($AI283/$J283,0)))</f>
        <v/>
      </c>
      <c r="AK283" s="71">
        <f>IF($AJ283="","",IF(DAY(EDATE($AH283,$AJ283*$J283))&lt;DAY($AH283),EDATE($AH283,$AJ283*$J283),EDATE($AH283,$AJ283*$J283)-1))</f>
        <v/>
      </c>
      <c r="AL283" s="71">
        <f>IF($AJ283="","",IF(DAY(EDATE($AH283,($AJ283+1)*$J283))&lt;DAY($AH283),EDATE($AH283,($AJ283+1)*$J283),EDATE($AH283,($AJ283+1)*$J283)-1))</f>
        <v/>
      </c>
      <c r="AM283" s="71">
        <f>IF($AJ283="","",IF($AJ283=1,$H283,IF(DAY(EDATE($AH283,($AJ283-1)*$J283))&lt;DAY($AH283),EDATE($AH283,($AJ283-1)*$J283),EDATE($AH283,($AJ283-1)*$J283)-1)))</f>
        <v/>
      </c>
      <c r="AN283" s="32">
        <f>IF(NOT(ISNUMBER($H283)),"",IF(OR($AH283="",$H283&gt;='設定'!$B$6),0,IF($AK283&gt;='設定'!$B$6,$AJ283,$AJ283+1)))</f>
        <v/>
      </c>
      <c r="AO283" s="71">
        <f>IF($AN283="","",IF($AN283=0,"",IF($AN283=$AJ283,$AM283,$AK283)))</f>
        <v/>
      </c>
      <c r="AP283" s="32">
        <f>IF(OR($AC283="要対応",$AC283="通知期限切れ",$AC283="確認済み",$AC283="有効",$AC283="終了予定"),1,0)</f>
        <v/>
      </c>
      <c r="AQ283" s="32">
        <f>IF(OR($AC283="要対応",$AC283="通知期限切れ"),1,0)</f>
        <v/>
      </c>
      <c r="AR283" s="72">
        <f>IF(AND(ISNUMBER($AB283),OR($AC283="要対応",$AC283="通知期限切れ",$AC283="確認済み",$AC283="有効")),$AB283+ROW()/100000,"")</f>
        <v/>
      </c>
      <c r="AS283" s="32">
        <f>IF($E283="","",IF(COUNTIF($E$5:$E283,$E283)=1,ROW(),""))</f>
        <v/>
      </c>
      <c r="AT283" s="32">
        <f>IF($S283="","",IF(COUNTIF($S$5:$S283,$S283)=1,ROW(),""))</f>
        <v/>
      </c>
    </row>
    <row r="284" ht="20" customHeight="1">
      <c r="A284" s="20" t="n">
        <v>280</v>
      </c>
      <c r="B284" s="21" t="n"/>
      <c r="C284" s="22" t="n"/>
      <c r="D284" s="22" t="n"/>
      <c r="E284" s="22" t="n"/>
      <c r="F284" s="66" t="n"/>
      <c r="G284" s="66" t="n"/>
      <c r="H284" s="66" t="n"/>
      <c r="I284" s="21" t="n"/>
      <c r="J284" s="24" t="n"/>
      <c r="K284" s="24" t="n"/>
      <c r="L284" s="21" t="n"/>
      <c r="M284" s="24" t="n"/>
      <c r="N284" s="21" t="n"/>
      <c r="O284" s="67" t="n"/>
      <c r="P284" s="21" t="n"/>
      <c r="Q284" s="21" t="n"/>
      <c r="R284" s="22" t="n"/>
      <c r="S284" s="22" t="n"/>
      <c r="T284" s="21" t="n"/>
      <c r="U284" s="66" t="n"/>
      <c r="V284" s="66" t="n"/>
      <c r="W284" s="66" t="n"/>
      <c r="X284" s="8" t="n"/>
      <c r="Y284" s="68">
        <f>IF($AN284="","",IF($AN284=0,$H284,IF($AN284=$AJ284,$AK284,$AL284)))</f>
        <v/>
      </c>
      <c r="Z284" s="68">
        <f>IF(OR($Y284="",NOT(ISNUMBER($K284))),"",IF($L284="日前",$Y284-$K284,EDATE($Y284,-$K284)))</f>
        <v/>
      </c>
      <c r="AA284" s="68">
        <f>IF(OR($Y284="",ISNUMBER($V284),N($Y284)&lt;'設定'!$B$6),"",IF($Z284&lt;&gt;"",$Z284,$Y284))</f>
        <v/>
      </c>
      <c r="AB284" s="69">
        <f>IF($AA284="","",$AA284-'設定'!$B$6)</f>
        <v/>
      </c>
      <c r="AC284" s="28">
        <f>IF(NOT(OR($B284&lt;&gt;"",$C284&lt;&gt;"")),"",IF(ISNUMBER($V284),IF($V284&lt;'設定'!$B$6,"終了","終了予定"),IF($Y284="","有効",IF($Y284&lt;'設定'!$B$6,"満了",IF(AND($T284="更新する",ISNUMBER($U284),N($U284)&lt;='設定'!$B$6,OR($AO284="",N($U284)&gt;N($AO284))),"確認済み",IF($AB284&lt;0,"通知期限切れ",IF($AB284&lt;=N('設定'!$B$7),"要対応","有効")))))))</f>
        <v/>
      </c>
      <c r="AD284" s="68">
        <f>IF(OR(NOT(ISNUMBER($M284)),$AC284="",$AC284="終了",$AC284="終了予定",$AC284="満了"),"",IF($N284="日前",'設定'!$B$6+$M284,EDATE('設定'!$B$6,$M284)))</f>
        <v/>
      </c>
      <c r="AE284" s="70">
        <f>IF(NOT(ISNUMBER($O284)),"",IF($P284="月額",$O284*12,IF($P284="年額",$O284,"")))</f>
        <v/>
      </c>
      <c r="AF284" s="30">
        <f>MID(IF(AND(ISNUMBER($G284),ISNUMBER($H284)),IF(N($H284)&lt;N($G284)," / 満了日が開始日より前",""),"")&amp;IF(AND($I284="あり",NOT(ISNUMBER($H284)))," / 自動更新ありなのに満了日が空","")&amp;IF(AND($I284="あり",ISNUMBER($H284),NOT(ISNUMBER($J284)))," / 更新期間が空（更新を計算できない）","")&amp;IF($AH284="","",IF(AND(DAY($AH284)&gt;=29,OR(MOD($J284,12)&lt;&gt;0,MONTH($AH284)=2))," / 更新の初日が29〜31日（更新を重ねると満了日が1日ずれることがある。満了日を今の期間の満了日に書き換えると直る）",""))&amp;IF(AND(ISNUMBER($K284),$L284="")," / 通知の単位が空（か月前で計算）","")&amp;IF(AND(ISNUMBER($M284),$N284="")," / 解約予告の単位が空（か月前で計算）","")&amp;IF(AND(ISNUMBER($O284),$P284="")," / 金額の区分が空","")&amp;IF(AND($T284&lt;&gt;"",NOT(ISNUMBER($U284)))," / 対応を決めた日が空","")&amp;IF(AND(ISNUMBER($U284),$T284="")," / 今期の対応が空","")&amp;IF(AND($T284="更新しない",NOT(ISNUMBER($V284)))," / 更新しないなら、解約・終了した日（契約が終わる日）を入れる",""),4,300)</f>
        <v/>
      </c>
      <c r="AG284" s="53" t="n"/>
      <c r="AH284" s="71">
        <f>IF(AND(ISNUMBER($H284),$I284="あり",ISNUMBER($J284)),IF($J284&gt;=1,$H284+1,""),"")</f>
        <v/>
      </c>
      <c r="AI284" s="32">
        <f>IF($AH284="","",(YEAR('設定'!$B$6)-YEAR($AH284))*12+MONTH('設定'!$B$6)-MONTH($AH284))</f>
        <v/>
      </c>
      <c r="AJ284" s="32">
        <f>IF($AH284="","",MAX(1,ROUNDUP($AI284/$J284,0)))</f>
        <v/>
      </c>
      <c r="AK284" s="71">
        <f>IF($AJ284="","",IF(DAY(EDATE($AH284,$AJ284*$J284))&lt;DAY($AH284),EDATE($AH284,$AJ284*$J284),EDATE($AH284,$AJ284*$J284)-1))</f>
        <v/>
      </c>
      <c r="AL284" s="71">
        <f>IF($AJ284="","",IF(DAY(EDATE($AH284,($AJ284+1)*$J284))&lt;DAY($AH284),EDATE($AH284,($AJ284+1)*$J284),EDATE($AH284,($AJ284+1)*$J284)-1))</f>
        <v/>
      </c>
      <c r="AM284" s="71">
        <f>IF($AJ284="","",IF($AJ284=1,$H284,IF(DAY(EDATE($AH284,($AJ284-1)*$J284))&lt;DAY($AH284),EDATE($AH284,($AJ284-1)*$J284),EDATE($AH284,($AJ284-1)*$J284)-1)))</f>
        <v/>
      </c>
      <c r="AN284" s="32">
        <f>IF(NOT(ISNUMBER($H284)),"",IF(OR($AH284="",$H284&gt;='設定'!$B$6),0,IF($AK284&gt;='設定'!$B$6,$AJ284,$AJ284+1)))</f>
        <v/>
      </c>
      <c r="AO284" s="71">
        <f>IF($AN284="","",IF($AN284=0,"",IF($AN284=$AJ284,$AM284,$AK284)))</f>
        <v/>
      </c>
      <c r="AP284" s="32">
        <f>IF(OR($AC284="要対応",$AC284="通知期限切れ",$AC284="確認済み",$AC284="有効",$AC284="終了予定"),1,0)</f>
        <v/>
      </c>
      <c r="AQ284" s="32">
        <f>IF(OR($AC284="要対応",$AC284="通知期限切れ"),1,0)</f>
        <v/>
      </c>
      <c r="AR284" s="72">
        <f>IF(AND(ISNUMBER($AB284),OR($AC284="要対応",$AC284="通知期限切れ",$AC284="確認済み",$AC284="有効")),$AB284+ROW()/100000,"")</f>
        <v/>
      </c>
      <c r="AS284" s="32">
        <f>IF($E284="","",IF(COUNTIF($E$5:$E284,$E284)=1,ROW(),""))</f>
        <v/>
      </c>
      <c r="AT284" s="32">
        <f>IF($S284="","",IF(COUNTIF($S$5:$S284,$S284)=1,ROW(),""))</f>
        <v/>
      </c>
    </row>
    <row r="285" ht="20" customHeight="1">
      <c r="A285" s="20" t="n">
        <v>281</v>
      </c>
      <c r="B285" s="21" t="n"/>
      <c r="C285" s="22" t="n"/>
      <c r="D285" s="22" t="n"/>
      <c r="E285" s="22" t="n"/>
      <c r="F285" s="66" t="n"/>
      <c r="G285" s="66" t="n"/>
      <c r="H285" s="66" t="n"/>
      <c r="I285" s="21" t="n"/>
      <c r="J285" s="24" t="n"/>
      <c r="K285" s="24" t="n"/>
      <c r="L285" s="21" t="n"/>
      <c r="M285" s="24" t="n"/>
      <c r="N285" s="21" t="n"/>
      <c r="O285" s="67" t="n"/>
      <c r="P285" s="21" t="n"/>
      <c r="Q285" s="21" t="n"/>
      <c r="R285" s="22" t="n"/>
      <c r="S285" s="22" t="n"/>
      <c r="T285" s="21" t="n"/>
      <c r="U285" s="66" t="n"/>
      <c r="V285" s="66" t="n"/>
      <c r="W285" s="66" t="n"/>
      <c r="X285" s="8" t="n"/>
      <c r="Y285" s="68">
        <f>IF($AN285="","",IF($AN285=0,$H285,IF($AN285=$AJ285,$AK285,$AL285)))</f>
        <v/>
      </c>
      <c r="Z285" s="68">
        <f>IF(OR($Y285="",NOT(ISNUMBER($K285))),"",IF($L285="日前",$Y285-$K285,EDATE($Y285,-$K285)))</f>
        <v/>
      </c>
      <c r="AA285" s="68">
        <f>IF(OR($Y285="",ISNUMBER($V285),N($Y285)&lt;'設定'!$B$6),"",IF($Z285&lt;&gt;"",$Z285,$Y285))</f>
        <v/>
      </c>
      <c r="AB285" s="69">
        <f>IF($AA285="","",$AA285-'設定'!$B$6)</f>
        <v/>
      </c>
      <c r="AC285" s="28">
        <f>IF(NOT(OR($B285&lt;&gt;"",$C285&lt;&gt;"")),"",IF(ISNUMBER($V285),IF($V285&lt;'設定'!$B$6,"終了","終了予定"),IF($Y285="","有効",IF($Y285&lt;'設定'!$B$6,"満了",IF(AND($T285="更新する",ISNUMBER($U285),N($U285)&lt;='設定'!$B$6,OR($AO285="",N($U285)&gt;N($AO285))),"確認済み",IF($AB285&lt;0,"通知期限切れ",IF($AB285&lt;=N('設定'!$B$7),"要対応","有効")))))))</f>
        <v/>
      </c>
      <c r="AD285" s="68">
        <f>IF(OR(NOT(ISNUMBER($M285)),$AC285="",$AC285="終了",$AC285="終了予定",$AC285="満了"),"",IF($N285="日前",'設定'!$B$6+$M285,EDATE('設定'!$B$6,$M285)))</f>
        <v/>
      </c>
      <c r="AE285" s="70">
        <f>IF(NOT(ISNUMBER($O285)),"",IF($P285="月額",$O285*12,IF($P285="年額",$O285,"")))</f>
        <v/>
      </c>
      <c r="AF285" s="30">
        <f>MID(IF(AND(ISNUMBER($G285),ISNUMBER($H285)),IF(N($H285)&lt;N($G285)," / 満了日が開始日より前",""),"")&amp;IF(AND($I285="あり",NOT(ISNUMBER($H285)))," / 自動更新ありなのに満了日が空","")&amp;IF(AND($I285="あり",ISNUMBER($H285),NOT(ISNUMBER($J285)))," / 更新期間が空（更新を計算できない）","")&amp;IF($AH285="","",IF(AND(DAY($AH285)&gt;=29,OR(MOD($J285,12)&lt;&gt;0,MONTH($AH285)=2))," / 更新の初日が29〜31日（更新を重ねると満了日が1日ずれることがある。満了日を今の期間の満了日に書き換えると直る）",""))&amp;IF(AND(ISNUMBER($K285),$L285="")," / 通知の単位が空（か月前で計算）","")&amp;IF(AND(ISNUMBER($M285),$N285="")," / 解約予告の単位が空（か月前で計算）","")&amp;IF(AND(ISNUMBER($O285),$P285="")," / 金額の区分が空","")&amp;IF(AND($T285&lt;&gt;"",NOT(ISNUMBER($U285)))," / 対応を決めた日が空","")&amp;IF(AND(ISNUMBER($U285),$T285="")," / 今期の対応が空","")&amp;IF(AND($T285="更新しない",NOT(ISNUMBER($V285)))," / 更新しないなら、解約・終了した日（契約が終わる日）を入れる",""),4,300)</f>
        <v/>
      </c>
      <c r="AG285" s="53" t="n"/>
      <c r="AH285" s="71">
        <f>IF(AND(ISNUMBER($H285),$I285="あり",ISNUMBER($J285)),IF($J285&gt;=1,$H285+1,""),"")</f>
        <v/>
      </c>
      <c r="AI285" s="32">
        <f>IF($AH285="","",(YEAR('設定'!$B$6)-YEAR($AH285))*12+MONTH('設定'!$B$6)-MONTH($AH285))</f>
        <v/>
      </c>
      <c r="AJ285" s="32">
        <f>IF($AH285="","",MAX(1,ROUNDUP($AI285/$J285,0)))</f>
        <v/>
      </c>
      <c r="AK285" s="71">
        <f>IF($AJ285="","",IF(DAY(EDATE($AH285,$AJ285*$J285))&lt;DAY($AH285),EDATE($AH285,$AJ285*$J285),EDATE($AH285,$AJ285*$J285)-1))</f>
        <v/>
      </c>
      <c r="AL285" s="71">
        <f>IF($AJ285="","",IF(DAY(EDATE($AH285,($AJ285+1)*$J285))&lt;DAY($AH285),EDATE($AH285,($AJ285+1)*$J285),EDATE($AH285,($AJ285+1)*$J285)-1))</f>
        <v/>
      </c>
      <c r="AM285" s="71">
        <f>IF($AJ285="","",IF($AJ285=1,$H285,IF(DAY(EDATE($AH285,($AJ285-1)*$J285))&lt;DAY($AH285),EDATE($AH285,($AJ285-1)*$J285),EDATE($AH285,($AJ285-1)*$J285)-1)))</f>
        <v/>
      </c>
      <c r="AN285" s="32">
        <f>IF(NOT(ISNUMBER($H285)),"",IF(OR($AH285="",$H285&gt;='設定'!$B$6),0,IF($AK285&gt;='設定'!$B$6,$AJ285,$AJ285+1)))</f>
        <v/>
      </c>
      <c r="AO285" s="71">
        <f>IF($AN285="","",IF($AN285=0,"",IF($AN285=$AJ285,$AM285,$AK285)))</f>
        <v/>
      </c>
      <c r="AP285" s="32">
        <f>IF(OR($AC285="要対応",$AC285="通知期限切れ",$AC285="確認済み",$AC285="有効",$AC285="終了予定"),1,0)</f>
        <v/>
      </c>
      <c r="AQ285" s="32">
        <f>IF(OR($AC285="要対応",$AC285="通知期限切れ"),1,0)</f>
        <v/>
      </c>
      <c r="AR285" s="72">
        <f>IF(AND(ISNUMBER($AB285),OR($AC285="要対応",$AC285="通知期限切れ",$AC285="確認済み",$AC285="有効")),$AB285+ROW()/100000,"")</f>
        <v/>
      </c>
      <c r="AS285" s="32">
        <f>IF($E285="","",IF(COUNTIF($E$5:$E285,$E285)=1,ROW(),""))</f>
        <v/>
      </c>
      <c r="AT285" s="32">
        <f>IF($S285="","",IF(COUNTIF($S$5:$S285,$S285)=1,ROW(),""))</f>
        <v/>
      </c>
    </row>
    <row r="286" ht="20" customHeight="1">
      <c r="A286" s="20" t="n">
        <v>282</v>
      </c>
      <c r="B286" s="21" t="n"/>
      <c r="C286" s="22" t="n"/>
      <c r="D286" s="22" t="n"/>
      <c r="E286" s="22" t="n"/>
      <c r="F286" s="66" t="n"/>
      <c r="G286" s="66" t="n"/>
      <c r="H286" s="66" t="n"/>
      <c r="I286" s="21" t="n"/>
      <c r="J286" s="24" t="n"/>
      <c r="K286" s="24" t="n"/>
      <c r="L286" s="21" t="n"/>
      <c r="M286" s="24" t="n"/>
      <c r="N286" s="21" t="n"/>
      <c r="O286" s="67" t="n"/>
      <c r="P286" s="21" t="n"/>
      <c r="Q286" s="21" t="n"/>
      <c r="R286" s="22" t="n"/>
      <c r="S286" s="22" t="n"/>
      <c r="T286" s="21" t="n"/>
      <c r="U286" s="66" t="n"/>
      <c r="V286" s="66" t="n"/>
      <c r="W286" s="66" t="n"/>
      <c r="X286" s="8" t="n"/>
      <c r="Y286" s="68">
        <f>IF($AN286="","",IF($AN286=0,$H286,IF($AN286=$AJ286,$AK286,$AL286)))</f>
        <v/>
      </c>
      <c r="Z286" s="68">
        <f>IF(OR($Y286="",NOT(ISNUMBER($K286))),"",IF($L286="日前",$Y286-$K286,EDATE($Y286,-$K286)))</f>
        <v/>
      </c>
      <c r="AA286" s="68">
        <f>IF(OR($Y286="",ISNUMBER($V286),N($Y286)&lt;'設定'!$B$6),"",IF($Z286&lt;&gt;"",$Z286,$Y286))</f>
        <v/>
      </c>
      <c r="AB286" s="69">
        <f>IF($AA286="","",$AA286-'設定'!$B$6)</f>
        <v/>
      </c>
      <c r="AC286" s="28">
        <f>IF(NOT(OR($B286&lt;&gt;"",$C286&lt;&gt;"")),"",IF(ISNUMBER($V286),IF($V286&lt;'設定'!$B$6,"終了","終了予定"),IF($Y286="","有効",IF($Y286&lt;'設定'!$B$6,"満了",IF(AND($T286="更新する",ISNUMBER($U286),N($U286)&lt;='設定'!$B$6,OR($AO286="",N($U286)&gt;N($AO286))),"確認済み",IF($AB286&lt;0,"通知期限切れ",IF($AB286&lt;=N('設定'!$B$7),"要対応","有効")))))))</f>
        <v/>
      </c>
      <c r="AD286" s="68">
        <f>IF(OR(NOT(ISNUMBER($M286)),$AC286="",$AC286="終了",$AC286="終了予定",$AC286="満了"),"",IF($N286="日前",'設定'!$B$6+$M286,EDATE('設定'!$B$6,$M286)))</f>
        <v/>
      </c>
      <c r="AE286" s="70">
        <f>IF(NOT(ISNUMBER($O286)),"",IF($P286="月額",$O286*12,IF($P286="年額",$O286,"")))</f>
        <v/>
      </c>
      <c r="AF286" s="30">
        <f>MID(IF(AND(ISNUMBER($G286),ISNUMBER($H286)),IF(N($H286)&lt;N($G286)," / 満了日が開始日より前",""),"")&amp;IF(AND($I286="あり",NOT(ISNUMBER($H286)))," / 自動更新ありなのに満了日が空","")&amp;IF(AND($I286="あり",ISNUMBER($H286),NOT(ISNUMBER($J286)))," / 更新期間が空（更新を計算できない）","")&amp;IF($AH286="","",IF(AND(DAY($AH286)&gt;=29,OR(MOD($J286,12)&lt;&gt;0,MONTH($AH286)=2))," / 更新の初日が29〜31日（更新を重ねると満了日が1日ずれることがある。満了日を今の期間の満了日に書き換えると直る）",""))&amp;IF(AND(ISNUMBER($K286),$L286="")," / 通知の単位が空（か月前で計算）","")&amp;IF(AND(ISNUMBER($M286),$N286="")," / 解約予告の単位が空（か月前で計算）","")&amp;IF(AND(ISNUMBER($O286),$P286="")," / 金額の区分が空","")&amp;IF(AND($T286&lt;&gt;"",NOT(ISNUMBER($U286)))," / 対応を決めた日が空","")&amp;IF(AND(ISNUMBER($U286),$T286="")," / 今期の対応が空","")&amp;IF(AND($T286="更新しない",NOT(ISNUMBER($V286)))," / 更新しないなら、解約・終了した日（契約が終わる日）を入れる",""),4,300)</f>
        <v/>
      </c>
      <c r="AG286" s="53" t="n"/>
      <c r="AH286" s="71">
        <f>IF(AND(ISNUMBER($H286),$I286="あり",ISNUMBER($J286)),IF($J286&gt;=1,$H286+1,""),"")</f>
        <v/>
      </c>
      <c r="AI286" s="32">
        <f>IF($AH286="","",(YEAR('設定'!$B$6)-YEAR($AH286))*12+MONTH('設定'!$B$6)-MONTH($AH286))</f>
        <v/>
      </c>
      <c r="AJ286" s="32">
        <f>IF($AH286="","",MAX(1,ROUNDUP($AI286/$J286,0)))</f>
        <v/>
      </c>
      <c r="AK286" s="71">
        <f>IF($AJ286="","",IF(DAY(EDATE($AH286,$AJ286*$J286))&lt;DAY($AH286),EDATE($AH286,$AJ286*$J286),EDATE($AH286,$AJ286*$J286)-1))</f>
        <v/>
      </c>
      <c r="AL286" s="71">
        <f>IF($AJ286="","",IF(DAY(EDATE($AH286,($AJ286+1)*$J286))&lt;DAY($AH286),EDATE($AH286,($AJ286+1)*$J286),EDATE($AH286,($AJ286+1)*$J286)-1))</f>
        <v/>
      </c>
      <c r="AM286" s="71">
        <f>IF($AJ286="","",IF($AJ286=1,$H286,IF(DAY(EDATE($AH286,($AJ286-1)*$J286))&lt;DAY($AH286),EDATE($AH286,($AJ286-1)*$J286),EDATE($AH286,($AJ286-1)*$J286)-1)))</f>
        <v/>
      </c>
      <c r="AN286" s="32">
        <f>IF(NOT(ISNUMBER($H286)),"",IF(OR($AH286="",$H286&gt;='設定'!$B$6),0,IF($AK286&gt;='設定'!$B$6,$AJ286,$AJ286+1)))</f>
        <v/>
      </c>
      <c r="AO286" s="71">
        <f>IF($AN286="","",IF($AN286=0,"",IF($AN286=$AJ286,$AM286,$AK286)))</f>
        <v/>
      </c>
      <c r="AP286" s="32">
        <f>IF(OR($AC286="要対応",$AC286="通知期限切れ",$AC286="確認済み",$AC286="有効",$AC286="終了予定"),1,0)</f>
        <v/>
      </c>
      <c r="AQ286" s="32">
        <f>IF(OR($AC286="要対応",$AC286="通知期限切れ"),1,0)</f>
        <v/>
      </c>
      <c r="AR286" s="72">
        <f>IF(AND(ISNUMBER($AB286),OR($AC286="要対応",$AC286="通知期限切れ",$AC286="確認済み",$AC286="有効")),$AB286+ROW()/100000,"")</f>
        <v/>
      </c>
      <c r="AS286" s="32">
        <f>IF($E286="","",IF(COUNTIF($E$5:$E286,$E286)=1,ROW(),""))</f>
        <v/>
      </c>
      <c r="AT286" s="32">
        <f>IF($S286="","",IF(COUNTIF($S$5:$S286,$S286)=1,ROW(),""))</f>
        <v/>
      </c>
    </row>
    <row r="287" ht="20" customHeight="1">
      <c r="A287" s="20" t="n">
        <v>283</v>
      </c>
      <c r="B287" s="21" t="n"/>
      <c r="C287" s="22" t="n"/>
      <c r="D287" s="22" t="n"/>
      <c r="E287" s="22" t="n"/>
      <c r="F287" s="66" t="n"/>
      <c r="G287" s="66" t="n"/>
      <c r="H287" s="66" t="n"/>
      <c r="I287" s="21" t="n"/>
      <c r="J287" s="24" t="n"/>
      <c r="K287" s="24" t="n"/>
      <c r="L287" s="21" t="n"/>
      <c r="M287" s="24" t="n"/>
      <c r="N287" s="21" t="n"/>
      <c r="O287" s="67" t="n"/>
      <c r="P287" s="21" t="n"/>
      <c r="Q287" s="21" t="n"/>
      <c r="R287" s="22" t="n"/>
      <c r="S287" s="22" t="n"/>
      <c r="T287" s="21" t="n"/>
      <c r="U287" s="66" t="n"/>
      <c r="V287" s="66" t="n"/>
      <c r="W287" s="66" t="n"/>
      <c r="X287" s="8" t="n"/>
      <c r="Y287" s="68">
        <f>IF($AN287="","",IF($AN287=0,$H287,IF($AN287=$AJ287,$AK287,$AL287)))</f>
        <v/>
      </c>
      <c r="Z287" s="68">
        <f>IF(OR($Y287="",NOT(ISNUMBER($K287))),"",IF($L287="日前",$Y287-$K287,EDATE($Y287,-$K287)))</f>
        <v/>
      </c>
      <c r="AA287" s="68">
        <f>IF(OR($Y287="",ISNUMBER($V287),N($Y287)&lt;'設定'!$B$6),"",IF($Z287&lt;&gt;"",$Z287,$Y287))</f>
        <v/>
      </c>
      <c r="AB287" s="69">
        <f>IF($AA287="","",$AA287-'設定'!$B$6)</f>
        <v/>
      </c>
      <c r="AC287" s="28">
        <f>IF(NOT(OR($B287&lt;&gt;"",$C287&lt;&gt;"")),"",IF(ISNUMBER($V287),IF($V287&lt;'設定'!$B$6,"終了","終了予定"),IF($Y287="","有効",IF($Y287&lt;'設定'!$B$6,"満了",IF(AND($T287="更新する",ISNUMBER($U287),N($U287)&lt;='設定'!$B$6,OR($AO287="",N($U287)&gt;N($AO287))),"確認済み",IF($AB287&lt;0,"通知期限切れ",IF($AB287&lt;=N('設定'!$B$7),"要対応","有効")))))))</f>
        <v/>
      </c>
      <c r="AD287" s="68">
        <f>IF(OR(NOT(ISNUMBER($M287)),$AC287="",$AC287="終了",$AC287="終了予定",$AC287="満了"),"",IF($N287="日前",'設定'!$B$6+$M287,EDATE('設定'!$B$6,$M287)))</f>
        <v/>
      </c>
      <c r="AE287" s="70">
        <f>IF(NOT(ISNUMBER($O287)),"",IF($P287="月額",$O287*12,IF($P287="年額",$O287,"")))</f>
        <v/>
      </c>
      <c r="AF287" s="30">
        <f>MID(IF(AND(ISNUMBER($G287),ISNUMBER($H287)),IF(N($H287)&lt;N($G287)," / 満了日が開始日より前",""),"")&amp;IF(AND($I287="あり",NOT(ISNUMBER($H287)))," / 自動更新ありなのに満了日が空","")&amp;IF(AND($I287="あり",ISNUMBER($H287),NOT(ISNUMBER($J287)))," / 更新期間が空（更新を計算できない）","")&amp;IF($AH287="","",IF(AND(DAY($AH287)&gt;=29,OR(MOD($J287,12)&lt;&gt;0,MONTH($AH287)=2))," / 更新の初日が29〜31日（更新を重ねると満了日が1日ずれることがある。満了日を今の期間の満了日に書き換えると直る）",""))&amp;IF(AND(ISNUMBER($K287),$L287="")," / 通知の単位が空（か月前で計算）","")&amp;IF(AND(ISNUMBER($M287),$N287="")," / 解約予告の単位が空（か月前で計算）","")&amp;IF(AND(ISNUMBER($O287),$P287="")," / 金額の区分が空","")&amp;IF(AND($T287&lt;&gt;"",NOT(ISNUMBER($U287)))," / 対応を決めた日が空","")&amp;IF(AND(ISNUMBER($U287),$T287="")," / 今期の対応が空","")&amp;IF(AND($T287="更新しない",NOT(ISNUMBER($V287)))," / 更新しないなら、解約・終了した日（契約が終わる日）を入れる",""),4,300)</f>
        <v/>
      </c>
      <c r="AG287" s="53" t="n"/>
      <c r="AH287" s="71">
        <f>IF(AND(ISNUMBER($H287),$I287="あり",ISNUMBER($J287)),IF($J287&gt;=1,$H287+1,""),"")</f>
        <v/>
      </c>
      <c r="AI287" s="32">
        <f>IF($AH287="","",(YEAR('設定'!$B$6)-YEAR($AH287))*12+MONTH('設定'!$B$6)-MONTH($AH287))</f>
        <v/>
      </c>
      <c r="AJ287" s="32">
        <f>IF($AH287="","",MAX(1,ROUNDUP($AI287/$J287,0)))</f>
        <v/>
      </c>
      <c r="AK287" s="71">
        <f>IF($AJ287="","",IF(DAY(EDATE($AH287,$AJ287*$J287))&lt;DAY($AH287),EDATE($AH287,$AJ287*$J287),EDATE($AH287,$AJ287*$J287)-1))</f>
        <v/>
      </c>
      <c r="AL287" s="71">
        <f>IF($AJ287="","",IF(DAY(EDATE($AH287,($AJ287+1)*$J287))&lt;DAY($AH287),EDATE($AH287,($AJ287+1)*$J287),EDATE($AH287,($AJ287+1)*$J287)-1))</f>
        <v/>
      </c>
      <c r="AM287" s="71">
        <f>IF($AJ287="","",IF($AJ287=1,$H287,IF(DAY(EDATE($AH287,($AJ287-1)*$J287))&lt;DAY($AH287),EDATE($AH287,($AJ287-1)*$J287),EDATE($AH287,($AJ287-1)*$J287)-1)))</f>
        <v/>
      </c>
      <c r="AN287" s="32">
        <f>IF(NOT(ISNUMBER($H287)),"",IF(OR($AH287="",$H287&gt;='設定'!$B$6),0,IF($AK287&gt;='設定'!$B$6,$AJ287,$AJ287+1)))</f>
        <v/>
      </c>
      <c r="AO287" s="71">
        <f>IF($AN287="","",IF($AN287=0,"",IF($AN287=$AJ287,$AM287,$AK287)))</f>
        <v/>
      </c>
      <c r="AP287" s="32">
        <f>IF(OR($AC287="要対応",$AC287="通知期限切れ",$AC287="確認済み",$AC287="有効",$AC287="終了予定"),1,0)</f>
        <v/>
      </c>
      <c r="AQ287" s="32">
        <f>IF(OR($AC287="要対応",$AC287="通知期限切れ"),1,0)</f>
        <v/>
      </c>
      <c r="AR287" s="72">
        <f>IF(AND(ISNUMBER($AB287),OR($AC287="要対応",$AC287="通知期限切れ",$AC287="確認済み",$AC287="有効")),$AB287+ROW()/100000,"")</f>
        <v/>
      </c>
      <c r="AS287" s="32">
        <f>IF($E287="","",IF(COUNTIF($E$5:$E287,$E287)=1,ROW(),""))</f>
        <v/>
      </c>
      <c r="AT287" s="32">
        <f>IF($S287="","",IF(COUNTIF($S$5:$S287,$S287)=1,ROW(),""))</f>
        <v/>
      </c>
    </row>
    <row r="288" ht="20" customHeight="1">
      <c r="A288" s="20" t="n">
        <v>284</v>
      </c>
      <c r="B288" s="21" t="n"/>
      <c r="C288" s="22" t="n"/>
      <c r="D288" s="22" t="n"/>
      <c r="E288" s="22" t="n"/>
      <c r="F288" s="66" t="n"/>
      <c r="G288" s="66" t="n"/>
      <c r="H288" s="66" t="n"/>
      <c r="I288" s="21" t="n"/>
      <c r="J288" s="24" t="n"/>
      <c r="K288" s="24" t="n"/>
      <c r="L288" s="21" t="n"/>
      <c r="M288" s="24" t="n"/>
      <c r="N288" s="21" t="n"/>
      <c r="O288" s="67" t="n"/>
      <c r="P288" s="21" t="n"/>
      <c r="Q288" s="21" t="n"/>
      <c r="R288" s="22" t="n"/>
      <c r="S288" s="22" t="n"/>
      <c r="T288" s="21" t="n"/>
      <c r="U288" s="66" t="n"/>
      <c r="V288" s="66" t="n"/>
      <c r="W288" s="66" t="n"/>
      <c r="X288" s="8" t="n"/>
      <c r="Y288" s="68">
        <f>IF($AN288="","",IF($AN288=0,$H288,IF($AN288=$AJ288,$AK288,$AL288)))</f>
        <v/>
      </c>
      <c r="Z288" s="68">
        <f>IF(OR($Y288="",NOT(ISNUMBER($K288))),"",IF($L288="日前",$Y288-$K288,EDATE($Y288,-$K288)))</f>
        <v/>
      </c>
      <c r="AA288" s="68">
        <f>IF(OR($Y288="",ISNUMBER($V288),N($Y288)&lt;'設定'!$B$6),"",IF($Z288&lt;&gt;"",$Z288,$Y288))</f>
        <v/>
      </c>
      <c r="AB288" s="69">
        <f>IF($AA288="","",$AA288-'設定'!$B$6)</f>
        <v/>
      </c>
      <c r="AC288" s="28">
        <f>IF(NOT(OR($B288&lt;&gt;"",$C288&lt;&gt;"")),"",IF(ISNUMBER($V288),IF($V288&lt;'設定'!$B$6,"終了","終了予定"),IF($Y288="","有効",IF($Y288&lt;'設定'!$B$6,"満了",IF(AND($T288="更新する",ISNUMBER($U288),N($U288)&lt;='設定'!$B$6,OR($AO288="",N($U288)&gt;N($AO288))),"確認済み",IF($AB288&lt;0,"通知期限切れ",IF($AB288&lt;=N('設定'!$B$7),"要対応","有効")))))))</f>
        <v/>
      </c>
      <c r="AD288" s="68">
        <f>IF(OR(NOT(ISNUMBER($M288)),$AC288="",$AC288="終了",$AC288="終了予定",$AC288="満了"),"",IF($N288="日前",'設定'!$B$6+$M288,EDATE('設定'!$B$6,$M288)))</f>
        <v/>
      </c>
      <c r="AE288" s="70">
        <f>IF(NOT(ISNUMBER($O288)),"",IF($P288="月額",$O288*12,IF($P288="年額",$O288,"")))</f>
        <v/>
      </c>
      <c r="AF288" s="30">
        <f>MID(IF(AND(ISNUMBER($G288),ISNUMBER($H288)),IF(N($H288)&lt;N($G288)," / 満了日が開始日より前",""),"")&amp;IF(AND($I288="あり",NOT(ISNUMBER($H288)))," / 自動更新ありなのに満了日が空","")&amp;IF(AND($I288="あり",ISNUMBER($H288),NOT(ISNUMBER($J288)))," / 更新期間が空（更新を計算できない）","")&amp;IF($AH288="","",IF(AND(DAY($AH288)&gt;=29,OR(MOD($J288,12)&lt;&gt;0,MONTH($AH288)=2))," / 更新の初日が29〜31日（更新を重ねると満了日が1日ずれることがある。満了日を今の期間の満了日に書き換えると直る）",""))&amp;IF(AND(ISNUMBER($K288),$L288="")," / 通知の単位が空（か月前で計算）","")&amp;IF(AND(ISNUMBER($M288),$N288="")," / 解約予告の単位が空（か月前で計算）","")&amp;IF(AND(ISNUMBER($O288),$P288="")," / 金額の区分が空","")&amp;IF(AND($T288&lt;&gt;"",NOT(ISNUMBER($U288)))," / 対応を決めた日が空","")&amp;IF(AND(ISNUMBER($U288),$T288="")," / 今期の対応が空","")&amp;IF(AND($T288="更新しない",NOT(ISNUMBER($V288)))," / 更新しないなら、解約・終了した日（契約が終わる日）を入れる",""),4,300)</f>
        <v/>
      </c>
      <c r="AG288" s="53" t="n"/>
      <c r="AH288" s="71">
        <f>IF(AND(ISNUMBER($H288),$I288="あり",ISNUMBER($J288)),IF($J288&gt;=1,$H288+1,""),"")</f>
        <v/>
      </c>
      <c r="AI288" s="32">
        <f>IF($AH288="","",(YEAR('設定'!$B$6)-YEAR($AH288))*12+MONTH('設定'!$B$6)-MONTH($AH288))</f>
        <v/>
      </c>
      <c r="AJ288" s="32">
        <f>IF($AH288="","",MAX(1,ROUNDUP($AI288/$J288,0)))</f>
        <v/>
      </c>
      <c r="AK288" s="71">
        <f>IF($AJ288="","",IF(DAY(EDATE($AH288,$AJ288*$J288))&lt;DAY($AH288),EDATE($AH288,$AJ288*$J288),EDATE($AH288,$AJ288*$J288)-1))</f>
        <v/>
      </c>
      <c r="AL288" s="71">
        <f>IF($AJ288="","",IF(DAY(EDATE($AH288,($AJ288+1)*$J288))&lt;DAY($AH288),EDATE($AH288,($AJ288+1)*$J288),EDATE($AH288,($AJ288+1)*$J288)-1))</f>
        <v/>
      </c>
      <c r="AM288" s="71">
        <f>IF($AJ288="","",IF($AJ288=1,$H288,IF(DAY(EDATE($AH288,($AJ288-1)*$J288))&lt;DAY($AH288),EDATE($AH288,($AJ288-1)*$J288),EDATE($AH288,($AJ288-1)*$J288)-1)))</f>
        <v/>
      </c>
      <c r="AN288" s="32">
        <f>IF(NOT(ISNUMBER($H288)),"",IF(OR($AH288="",$H288&gt;='設定'!$B$6),0,IF($AK288&gt;='設定'!$B$6,$AJ288,$AJ288+1)))</f>
        <v/>
      </c>
      <c r="AO288" s="71">
        <f>IF($AN288="","",IF($AN288=0,"",IF($AN288=$AJ288,$AM288,$AK288)))</f>
        <v/>
      </c>
      <c r="AP288" s="32">
        <f>IF(OR($AC288="要対応",$AC288="通知期限切れ",$AC288="確認済み",$AC288="有効",$AC288="終了予定"),1,0)</f>
        <v/>
      </c>
      <c r="AQ288" s="32">
        <f>IF(OR($AC288="要対応",$AC288="通知期限切れ"),1,0)</f>
        <v/>
      </c>
      <c r="AR288" s="72">
        <f>IF(AND(ISNUMBER($AB288),OR($AC288="要対応",$AC288="通知期限切れ",$AC288="確認済み",$AC288="有効")),$AB288+ROW()/100000,"")</f>
        <v/>
      </c>
      <c r="AS288" s="32">
        <f>IF($E288="","",IF(COUNTIF($E$5:$E288,$E288)=1,ROW(),""))</f>
        <v/>
      </c>
      <c r="AT288" s="32">
        <f>IF($S288="","",IF(COUNTIF($S$5:$S288,$S288)=1,ROW(),""))</f>
        <v/>
      </c>
    </row>
    <row r="289" ht="20" customHeight="1">
      <c r="A289" s="20" t="n">
        <v>285</v>
      </c>
      <c r="B289" s="21" t="n"/>
      <c r="C289" s="22" t="n"/>
      <c r="D289" s="22" t="n"/>
      <c r="E289" s="22" t="n"/>
      <c r="F289" s="66" t="n"/>
      <c r="G289" s="66" t="n"/>
      <c r="H289" s="66" t="n"/>
      <c r="I289" s="21" t="n"/>
      <c r="J289" s="24" t="n"/>
      <c r="K289" s="24" t="n"/>
      <c r="L289" s="21" t="n"/>
      <c r="M289" s="24" t="n"/>
      <c r="N289" s="21" t="n"/>
      <c r="O289" s="67" t="n"/>
      <c r="P289" s="21" t="n"/>
      <c r="Q289" s="21" t="n"/>
      <c r="R289" s="22" t="n"/>
      <c r="S289" s="22" t="n"/>
      <c r="T289" s="21" t="n"/>
      <c r="U289" s="66" t="n"/>
      <c r="V289" s="66" t="n"/>
      <c r="W289" s="66" t="n"/>
      <c r="X289" s="8" t="n"/>
      <c r="Y289" s="68">
        <f>IF($AN289="","",IF($AN289=0,$H289,IF($AN289=$AJ289,$AK289,$AL289)))</f>
        <v/>
      </c>
      <c r="Z289" s="68">
        <f>IF(OR($Y289="",NOT(ISNUMBER($K289))),"",IF($L289="日前",$Y289-$K289,EDATE($Y289,-$K289)))</f>
        <v/>
      </c>
      <c r="AA289" s="68">
        <f>IF(OR($Y289="",ISNUMBER($V289),N($Y289)&lt;'設定'!$B$6),"",IF($Z289&lt;&gt;"",$Z289,$Y289))</f>
        <v/>
      </c>
      <c r="AB289" s="69">
        <f>IF($AA289="","",$AA289-'設定'!$B$6)</f>
        <v/>
      </c>
      <c r="AC289" s="28">
        <f>IF(NOT(OR($B289&lt;&gt;"",$C289&lt;&gt;"")),"",IF(ISNUMBER($V289),IF($V289&lt;'設定'!$B$6,"終了","終了予定"),IF($Y289="","有効",IF($Y289&lt;'設定'!$B$6,"満了",IF(AND($T289="更新する",ISNUMBER($U289),N($U289)&lt;='設定'!$B$6,OR($AO289="",N($U289)&gt;N($AO289))),"確認済み",IF($AB289&lt;0,"通知期限切れ",IF($AB289&lt;=N('設定'!$B$7),"要対応","有効")))))))</f>
        <v/>
      </c>
      <c r="AD289" s="68">
        <f>IF(OR(NOT(ISNUMBER($M289)),$AC289="",$AC289="終了",$AC289="終了予定",$AC289="満了"),"",IF($N289="日前",'設定'!$B$6+$M289,EDATE('設定'!$B$6,$M289)))</f>
        <v/>
      </c>
      <c r="AE289" s="70">
        <f>IF(NOT(ISNUMBER($O289)),"",IF($P289="月額",$O289*12,IF($P289="年額",$O289,"")))</f>
        <v/>
      </c>
      <c r="AF289" s="30">
        <f>MID(IF(AND(ISNUMBER($G289),ISNUMBER($H289)),IF(N($H289)&lt;N($G289)," / 満了日が開始日より前",""),"")&amp;IF(AND($I289="あり",NOT(ISNUMBER($H289)))," / 自動更新ありなのに満了日が空","")&amp;IF(AND($I289="あり",ISNUMBER($H289),NOT(ISNUMBER($J289)))," / 更新期間が空（更新を計算できない）","")&amp;IF($AH289="","",IF(AND(DAY($AH289)&gt;=29,OR(MOD($J289,12)&lt;&gt;0,MONTH($AH289)=2))," / 更新の初日が29〜31日（更新を重ねると満了日が1日ずれることがある。満了日を今の期間の満了日に書き換えると直る）",""))&amp;IF(AND(ISNUMBER($K289),$L289="")," / 通知の単位が空（か月前で計算）","")&amp;IF(AND(ISNUMBER($M289),$N289="")," / 解約予告の単位が空（か月前で計算）","")&amp;IF(AND(ISNUMBER($O289),$P289="")," / 金額の区分が空","")&amp;IF(AND($T289&lt;&gt;"",NOT(ISNUMBER($U289)))," / 対応を決めた日が空","")&amp;IF(AND(ISNUMBER($U289),$T289="")," / 今期の対応が空","")&amp;IF(AND($T289="更新しない",NOT(ISNUMBER($V289)))," / 更新しないなら、解約・終了した日（契約が終わる日）を入れる",""),4,300)</f>
        <v/>
      </c>
      <c r="AG289" s="53" t="n"/>
      <c r="AH289" s="71">
        <f>IF(AND(ISNUMBER($H289),$I289="あり",ISNUMBER($J289)),IF($J289&gt;=1,$H289+1,""),"")</f>
        <v/>
      </c>
      <c r="AI289" s="32">
        <f>IF($AH289="","",(YEAR('設定'!$B$6)-YEAR($AH289))*12+MONTH('設定'!$B$6)-MONTH($AH289))</f>
        <v/>
      </c>
      <c r="AJ289" s="32">
        <f>IF($AH289="","",MAX(1,ROUNDUP($AI289/$J289,0)))</f>
        <v/>
      </c>
      <c r="AK289" s="71">
        <f>IF($AJ289="","",IF(DAY(EDATE($AH289,$AJ289*$J289))&lt;DAY($AH289),EDATE($AH289,$AJ289*$J289),EDATE($AH289,$AJ289*$J289)-1))</f>
        <v/>
      </c>
      <c r="AL289" s="71">
        <f>IF($AJ289="","",IF(DAY(EDATE($AH289,($AJ289+1)*$J289))&lt;DAY($AH289),EDATE($AH289,($AJ289+1)*$J289),EDATE($AH289,($AJ289+1)*$J289)-1))</f>
        <v/>
      </c>
      <c r="AM289" s="71">
        <f>IF($AJ289="","",IF($AJ289=1,$H289,IF(DAY(EDATE($AH289,($AJ289-1)*$J289))&lt;DAY($AH289),EDATE($AH289,($AJ289-1)*$J289),EDATE($AH289,($AJ289-1)*$J289)-1)))</f>
        <v/>
      </c>
      <c r="AN289" s="32">
        <f>IF(NOT(ISNUMBER($H289)),"",IF(OR($AH289="",$H289&gt;='設定'!$B$6),0,IF($AK289&gt;='設定'!$B$6,$AJ289,$AJ289+1)))</f>
        <v/>
      </c>
      <c r="AO289" s="71">
        <f>IF($AN289="","",IF($AN289=0,"",IF($AN289=$AJ289,$AM289,$AK289)))</f>
        <v/>
      </c>
      <c r="AP289" s="32">
        <f>IF(OR($AC289="要対応",$AC289="通知期限切れ",$AC289="確認済み",$AC289="有効",$AC289="終了予定"),1,0)</f>
        <v/>
      </c>
      <c r="AQ289" s="32">
        <f>IF(OR($AC289="要対応",$AC289="通知期限切れ"),1,0)</f>
        <v/>
      </c>
      <c r="AR289" s="72">
        <f>IF(AND(ISNUMBER($AB289),OR($AC289="要対応",$AC289="通知期限切れ",$AC289="確認済み",$AC289="有効")),$AB289+ROW()/100000,"")</f>
        <v/>
      </c>
      <c r="AS289" s="32">
        <f>IF($E289="","",IF(COUNTIF($E$5:$E289,$E289)=1,ROW(),""))</f>
        <v/>
      </c>
      <c r="AT289" s="32">
        <f>IF($S289="","",IF(COUNTIF($S$5:$S289,$S289)=1,ROW(),""))</f>
        <v/>
      </c>
    </row>
    <row r="290" ht="20" customHeight="1">
      <c r="A290" s="20" t="n">
        <v>286</v>
      </c>
      <c r="B290" s="21" t="n"/>
      <c r="C290" s="22" t="n"/>
      <c r="D290" s="22" t="n"/>
      <c r="E290" s="22" t="n"/>
      <c r="F290" s="66" t="n"/>
      <c r="G290" s="66" t="n"/>
      <c r="H290" s="66" t="n"/>
      <c r="I290" s="21" t="n"/>
      <c r="J290" s="24" t="n"/>
      <c r="K290" s="24" t="n"/>
      <c r="L290" s="21" t="n"/>
      <c r="M290" s="24" t="n"/>
      <c r="N290" s="21" t="n"/>
      <c r="O290" s="67" t="n"/>
      <c r="P290" s="21" t="n"/>
      <c r="Q290" s="21" t="n"/>
      <c r="R290" s="22" t="n"/>
      <c r="S290" s="22" t="n"/>
      <c r="T290" s="21" t="n"/>
      <c r="U290" s="66" t="n"/>
      <c r="V290" s="66" t="n"/>
      <c r="W290" s="66" t="n"/>
      <c r="X290" s="8" t="n"/>
      <c r="Y290" s="68">
        <f>IF($AN290="","",IF($AN290=0,$H290,IF($AN290=$AJ290,$AK290,$AL290)))</f>
        <v/>
      </c>
      <c r="Z290" s="68">
        <f>IF(OR($Y290="",NOT(ISNUMBER($K290))),"",IF($L290="日前",$Y290-$K290,EDATE($Y290,-$K290)))</f>
        <v/>
      </c>
      <c r="AA290" s="68">
        <f>IF(OR($Y290="",ISNUMBER($V290),N($Y290)&lt;'設定'!$B$6),"",IF($Z290&lt;&gt;"",$Z290,$Y290))</f>
        <v/>
      </c>
      <c r="AB290" s="69">
        <f>IF($AA290="","",$AA290-'設定'!$B$6)</f>
        <v/>
      </c>
      <c r="AC290" s="28">
        <f>IF(NOT(OR($B290&lt;&gt;"",$C290&lt;&gt;"")),"",IF(ISNUMBER($V290),IF($V290&lt;'設定'!$B$6,"終了","終了予定"),IF($Y290="","有効",IF($Y290&lt;'設定'!$B$6,"満了",IF(AND($T290="更新する",ISNUMBER($U290),N($U290)&lt;='設定'!$B$6,OR($AO290="",N($U290)&gt;N($AO290))),"確認済み",IF($AB290&lt;0,"通知期限切れ",IF($AB290&lt;=N('設定'!$B$7),"要対応","有効")))))))</f>
        <v/>
      </c>
      <c r="AD290" s="68">
        <f>IF(OR(NOT(ISNUMBER($M290)),$AC290="",$AC290="終了",$AC290="終了予定",$AC290="満了"),"",IF($N290="日前",'設定'!$B$6+$M290,EDATE('設定'!$B$6,$M290)))</f>
        <v/>
      </c>
      <c r="AE290" s="70">
        <f>IF(NOT(ISNUMBER($O290)),"",IF($P290="月額",$O290*12,IF($P290="年額",$O290,"")))</f>
        <v/>
      </c>
      <c r="AF290" s="30">
        <f>MID(IF(AND(ISNUMBER($G290),ISNUMBER($H290)),IF(N($H290)&lt;N($G290)," / 満了日が開始日より前",""),"")&amp;IF(AND($I290="あり",NOT(ISNUMBER($H290)))," / 自動更新ありなのに満了日が空","")&amp;IF(AND($I290="あり",ISNUMBER($H290),NOT(ISNUMBER($J290)))," / 更新期間が空（更新を計算できない）","")&amp;IF($AH290="","",IF(AND(DAY($AH290)&gt;=29,OR(MOD($J290,12)&lt;&gt;0,MONTH($AH290)=2))," / 更新の初日が29〜31日（更新を重ねると満了日が1日ずれることがある。満了日を今の期間の満了日に書き換えると直る）",""))&amp;IF(AND(ISNUMBER($K290),$L290="")," / 通知の単位が空（か月前で計算）","")&amp;IF(AND(ISNUMBER($M290),$N290="")," / 解約予告の単位が空（か月前で計算）","")&amp;IF(AND(ISNUMBER($O290),$P290="")," / 金額の区分が空","")&amp;IF(AND($T290&lt;&gt;"",NOT(ISNUMBER($U290)))," / 対応を決めた日が空","")&amp;IF(AND(ISNUMBER($U290),$T290="")," / 今期の対応が空","")&amp;IF(AND($T290="更新しない",NOT(ISNUMBER($V290)))," / 更新しないなら、解約・終了した日（契約が終わる日）を入れる",""),4,300)</f>
        <v/>
      </c>
      <c r="AG290" s="53" t="n"/>
      <c r="AH290" s="71">
        <f>IF(AND(ISNUMBER($H290),$I290="あり",ISNUMBER($J290)),IF($J290&gt;=1,$H290+1,""),"")</f>
        <v/>
      </c>
      <c r="AI290" s="32">
        <f>IF($AH290="","",(YEAR('設定'!$B$6)-YEAR($AH290))*12+MONTH('設定'!$B$6)-MONTH($AH290))</f>
        <v/>
      </c>
      <c r="AJ290" s="32">
        <f>IF($AH290="","",MAX(1,ROUNDUP($AI290/$J290,0)))</f>
        <v/>
      </c>
      <c r="AK290" s="71">
        <f>IF($AJ290="","",IF(DAY(EDATE($AH290,$AJ290*$J290))&lt;DAY($AH290),EDATE($AH290,$AJ290*$J290),EDATE($AH290,$AJ290*$J290)-1))</f>
        <v/>
      </c>
      <c r="AL290" s="71">
        <f>IF($AJ290="","",IF(DAY(EDATE($AH290,($AJ290+1)*$J290))&lt;DAY($AH290),EDATE($AH290,($AJ290+1)*$J290),EDATE($AH290,($AJ290+1)*$J290)-1))</f>
        <v/>
      </c>
      <c r="AM290" s="71">
        <f>IF($AJ290="","",IF($AJ290=1,$H290,IF(DAY(EDATE($AH290,($AJ290-1)*$J290))&lt;DAY($AH290),EDATE($AH290,($AJ290-1)*$J290),EDATE($AH290,($AJ290-1)*$J290)-1)))</f>
        <v/>
      </c>
      <c r="AN290" s="32">
        <f>IF(NOT(ISNUMBER($H290)),"",IF(OR($AH290="",$H290&gt;='設定'!$B$6),0,IF($AK290&gt;='設定'!$B$6,$AJ290,$AJ290+1)))</f>
        <v/>
      </c>
      <c r="AO290" s="71">
        <f>IF($AN290="","",IF($AN290=0,"",IF($AN290=$AJ290,$AM290,$AK290)))</f>
        <v/>
      </c>
      <c r="AP290" s="32">
        <f>IF(OR($AC290="要対応",$AC290="通知期限切れ",$AC290="確認済み",$AC290="有効",$AC290="終了予定"),1,0)</f>
        <v/>
      </c>
      <c r="AQ290" s="32">
        <f>IF(OR($AC290="要対応",$AC290="通知期限切れ"),1,0)</f>
        <v/>
      </c>
      <c r="AR290" s="72">
        <f>IF(AND(ISNUMBER($AB290),OR($AC290="要対応",$AC290="通知期限切れ",$AC290="確認済み",$AC290="有効")),$AB290+ROW()/100000,"")</f>
        <v/>
      </c>
      <c r="AS290" s="32">
        <f>IF($E290="","",IF(COUNTIF($E$5:$E290,$E290)=1,ROW(),""))</f>
        <v/>
      </c>
      <c r="AT290" s="32">
        <f>IF($S290="","",IF(COUNTIF($S$5:$S290,$S290)=1,ROW(),""))</f>
        <v/>
      </c>
    </row>
    <row r="291" ht="20" customHeight="1">
      <c r="A291" s="20" t="n">
        <v>287</v>
      </c>
      <c r="B291" s="21" t="n"/>
      <c r="C291" s="22" t="n"/>
      <c r="D291" s="22" t="n"/>
      <c r="E291" s="22" t="n"/>
      <c r="F291" s="66" t="n"/>
      <c r="G291" s="66" t="n"/>
      <c r="H291" s="66" t="n"/>
      <c r="I291" s="21" t="n"/>
      <c r="J291" s="24" t="n"/>
      <c r="K291" s="24" t="n"/>
      <c r="L291" s="21" t="n"/>
      <c r="M291" s="24" t="n"/>
      <c r="N291" s="21" t="n"/>
      <c r="O291" s="67" t="n"/>
      <c r="P291" s="21" t="n"/>
      <c r="Q291" s="21" t="n"/>
      <c r="R291" s="22" t="n"/>
      <c r="S291" s="22" t="n"/>
      <c r="T291" s="21" t="n"/>
      <c r="U291" s="66" t="n"/>
      <c r="V291" s="66" t="n"/>
      <c r="W291" s="66" t="n"/>
      <c r="X291" s="8" t="n"/>
      <c r="Y291" s="68">
        <f>IF($AN291="","",IF($AN291=0,$H291,IF($AN291=$AJ291,$AK291,$AL291)))</f>
        <v/>
      </c>
      <c r="Z291" s="68">
        <f>IF(OR($Y291="",NOT(ISNUMBER($K291))),"",IF($L291="日前",$Y291-$K291,EDATE($Y291,-$K291)))</f>
        <v/>
      </c>
      <c r="AA291" s="68">
        <f>IF(OR($Y291="",ISNUMBER($V291),N($Y291)&lt;'設定'!$B$6),"",IF($Z291&lt;&gt;"",$Z291,$Y291))</f>
        <v/>
      </c>
      <c r="AB291" s="69">
        <f>IF($AA291="","",$AA291-'設定'!$B$6)</f>
        <v/>
      </c>
      <c r="AC291" s="28">
        <f>IF(NOT(OR($B291&lt;&gt;"",$C291&lt;&gt;"")),"",IF(ISNUMBER($V291),IF($V291&lt;'設定'!$B$6,"終了","終了予定"),IF($Y291="","有効",IF($Y291&lt;'設定'!$B$6,"満了",IF(AND($T291="更新する",ISNUMBER($U291),N($U291)&lt;='設定'!$B$6,OR($AO291="",N($U291)&gt;N($AO291))),"確認済み",IF($AB291&lt;0,"通知期限切れ",IF($AB291&lt;=N('設定'!$B$7),"要対応","有効")))))))</f>
        <v/>
      </c>
      <c r="AD291" s="68">
        <f>IF(OR(NOT(ISNUMBER($M291)),$AC291="",$AC291="終了",$AC291="終了予定",$AC291="満了"),"",IF($N291="日前",'設定'!$B$6+$M291,EDATE('設定'!$B$6,$M291)))</f>
        <v/>
      </c>
      <c r="AE291" s="70">
        <f>IF(NOT(ISNUMBER($O291)),"",IF($P291="月額",$O291*12,IF($P291="年額",$O291,"")))</f>
        <v/>
      </c>
      <c r="AF291" s="30">
        <f>MID(IF(AND(ISNUMBER($G291),ISNUMBER($H291)),IF(N($H291)&lt;N($G291)," / 満了日が開始日より前",""),"")&amp;IF(AND($I291="あり",NOT(ISNUMBER($H291)))," / 自動更新ありなのに満了日が空","")&amp;IF(AND($I291="あり",ISNUMBER($H291),NOT(ISNUMBER($J291)))," / 更新期間が空（更新を計算できない）","")&amp;IF($AH291="","",IF(AND(DAY($AH291)&gt;=29,OR(MOD($J291,12)&lt;&gt;0,MONTH($AH291)=2))," / 更新の初日が29〜31日（更新を重ねると満了日が1日ずれることがある。満了日を今の期間の満了日に書き換えると直る）",""))&amp;IF(AND(ISNUMBER($K291),$L291="")," / 通知の単位が空（か月前で計算）","")&amp;IF(AND(ISNUMBER($M291),$N291="")," / 解約予告の単位が空（か月前で計算）","")&amp;IF(AND(ISNUMBER($O291),$P291="")," / 金額の区分が空","")&amp;IF(AND($T291&lt;&gt;"",NOT(ISNUMBER($U291)))," / 対応を決めた日が空","")&amp;IF(AND(ISNUMBER($U291),$T291="")," / 今期の対応が空","")&amp;IF(AND($T291="更新しない",NOT(ISNUMBER($V291)))," / 更新しないなら、解約・終了した日（契約が終わる日）を入れる",""),4,300)</f>
        <v/>
      </c>
      <c r="AG291" s="53" t="n"/>
      <c r="AH291" s="71">
        <f>IF(AND(ISNUMBER($H291),$I291="あり",ISNUMBER($J291)),IF($J291&gt;=1,$H291+1,""),"")</f>
        <v/>
      </c>
      <c r="AI291" s="32">
        <f>IF($AH291="","",(YEAR('設定'!$B$6)-YEAR($AH291))*12+MONTH('設定'!$B$6)-MONTH($AH291))</f>
        <v/>
      </c>
      <c r="AJ291" s="32">
        <f>IF($AH291="","",MAX(1,ROUNDUP($AI291/$J291,0)))</f>
        <v/>
      </c>
      <c r="AK291" s="71">
        <f>IF($AJ291="","",IF(DAY(EDATE($AH291,$AJ291*$J291))&lt;DAY($AH291),EDATE($AH291,$AJ291*$J291),EDATE($AH291,$AJ291*$J291)-1))</f>
        <v/>
      </c>
      <c r="AL291" s="71">
        <f>IF($AJ291="","",IF(DAY(EDATE($AH291,($AJ291+1)*$J291))&lt;DAY($AH291),EDATE($AH291,($AJ291+1)*$J291),EDATE($AH291,($AJ291+1)*$J291)-1))</f>
        <v/>
      </c>
      <c r="AM291" s="71">
        <f>IF($AJ291="","",IF($AJ291=1,$H291,IF(DAY(EDATE($AH291,($AJ291-1)*$J291))&lt;DAY($AH291),EDATE($AH291,($AJ291-1)*$J291),EDATE($AH291,($AJ291-1)*$J291)-1)))</f>
        <v/>
      </c>
      <c r="AN291" s="32">
        <f>IF(NOT(ISNUMBER($H291)),"",IF(OR($AH291="",$H291&gt;='設定'!$B$6),0,IF($AK291&gt;='設定'!$B$6,$AJ291,$AJ291+1)))</f>
        <v/>
      </c>
      <c r="AO291" s="71">
        <f>IF($AN291="","",IF($AN291=0,"",IF($AN291=$AJ291,$AM291,$AK291)))</f>
        <v/>
      </c>
      <c r="AP291" s="32">
        <f>IF(OR($AC291="要対応",$AC291="通知期限切れ",$AC291="確認済み",$AC291="有効",$AC291="終了予定"),1,0)</f>
        <v/>
      </c>
      <c r="AQ291" s="32">
        <f>IF(OR($AC291="要対応",$AC291="通知期限切れ"),1,0)</f>
        <v/>
      </c>
      <c r="AR291" s="72">
        <f>IF(AND(ISNUMBER($AB291),OR($AC291="要対応",$AC291="通知期限切れ",$AC291="確認済み",$AC291="有効")),$AB291+ROW()/100000,"")</f>
        <v/>
      </c>
      <c r="AS291" s="32">
        <f>IF($E291="","",IF(COUNTIF($E$5:$E291,$E291)=1,ROW(),""))</f>
        <v/>
      </c>
      <c r="AT291" s="32">
        <f>IF($S291="","",IF(COUNTIF($S$5:$S291,$S291)=1,ROW(),""))</f>
        <v/>
      </c>
    </row>
    <row r="292" ht="20" customHeight="1">
      <c r="A292" s="20" t="n">
        <v>288</v>
      </c>
      <c r="B292" s="21" t="n"/>
      <c r="C292" s="22" t="n"/>
      <c r="D292" s="22" t="n"/>
      <c r="E292" s="22" t="n"/>
      <c r="F292" s="66" t="n"/>
      <c r="G292" s="66" t="n"/>
      <c r="H292" s="66" t="n"/>
      <c r="I292" s="21" t="n"/>
      <c r="J292" s="24" t="n"/>
      <c r="K292" s="24" t="n"/>
      <c r="L292" s="21" t="n"/>
      <c r="M292" s="24" t="n"/>
      <c r="N292" s="21" t="n"/>
      <c r="O292" s="67" t="n"/>
      <c r="P292" s="21" t="n"/>
      <c r="Q292" s="21" t="n"/>
      <c r="R292" s="22" t="n"/>
      <c r="S292" s="22" t="n"/>
      <c r="T292" s="21" t="n"/>
      <c r="U292" s="66" t="n"/>
      <c r="V292" s="66" t="n"/>
      <c r="W292" s="66" t="n"/>
      <c r="X292" s="8" t="n"/>
      <c r="Y292" s="68">
        <f>IF($AN292="","",IF($AN292=0,$H292,IF($AN292=$AJ292,$AK292,$AL292)))</f>
        <v/>
      </c>
      <c r="Z292" s="68">
        <f>IF(OR($Y292="",NOT(ISNUMBER($K292))),"",IF($L292="日前",$Y292-$K292,EDATE($Y292,-$K292)))</f>
        <v/>
      </c>
      <c r="AA292" s="68">
        <f>IF(OR($Y292="",ISNUMBER($V292),N($Y292)&lt;'設定'!$B$6),"",IF($Z292&lt;&gt;"",$Z292,$Y292))</f>
        <v/>
      </c>
      <c r="AB292" s="69">
        <f>IF($AA292="","",$AA292-'設定'!$B$6)</f>
        <v/>
      </c>
      <c r="AC292" s="28">
        <f>IF(NOT(OR($B292&lt;&gt;"",$C292&lt;&gt;"")),"",IF(ISNUMBER($V292),IF($V292&lt;'設定'!$B$6,"終了","終了予定"),IF($Y292="","有効",IF($Y292&lt;'設定'!$B$6,"満了",IF(AND($T292="更新する",ISNUMBER($U292),N($U292)&lt;='設定'!$B$6,OR($AO292="",N($U292)&gt;N($AO292))),"確認済み",IF($AB292&lt;0,"通知期限切れ",IF($AB292&lt;=N('設定'!$B$7),"要対応","有効")))))))</f>
        <v/>
      </c>
      <c r="AD292" s="68">
        <f>IF(OR(NOT(ISNUMBER($M292)),$AC292="",$AC292="終了",$AC292="終了予定",$AC292="満了"),"",IF($N292="日前",'設定'!$B$6+$M292,EDATE('設定'!$B$6,$M292)))</f>
        <v/>
      </c>
      <c r="AE292" s="70">
        <f>IF(NOT(ISNUMBER($O292)),"",IF($P292="月額",$O292*12,IF($P292="年額",$O292,"")))</f>
        <v/>
      </c>
      <c r="AF292" s="30">
        <f>MID(IF(AND(ISNUMBER($G292),ISNUMBER($H292)),IF(N($H292)&lt;N($G292)," / 満了日が開始日より前",""),"")&amp;IF(AND($I292="あり",NOT(ISNUMBER($H292)))," / 自動更新ありなのに満了日が空","")&amp;IF(AND($I292="あり",ISNUMBER($H292),NOT(ISNUMBER($J292)))," / 更新期間が空（更新を計算できない）","")&amp;IF($AH292="","",IF(AND(DAY($AH292)&gt;=29,OR(MOD($J292,12)&lt;&gt;0,MONTH($AH292)=2))," / 更新の初日が29〜31日（更新を重ねると満了日が1日ずれることがある。満了日を今の期間の満了日に書き換えると直る）",""))&amp;IF(AND(ISNUMBER($K292),$L292="")," / 通知の単位が空（か月前で計算）","")&amp;IF(AND(ISNUMBER($M292),$N292="")," / 解約予告の単位が空（か月前で計算）","")&amp;IF(AND(ISNUMBER($O292),$P292="")," / 金額の区分が空","")&amp;IF(AND($T292&lt;&gt;"",NOT(ISNUMBER($U292)))," / 対応を決めた日が空","")&amp;IF(AND(ISNUMBER($U292),$T292="")," / 今期の対応が空","")&amp;IF(AND($T292="更新しない",NOT(ISNUMBER($V292)))," / 更新しないなら、解約・終了した日（契約が終わる日）を入れる",""),4,300)</f>
        <v/>
      </c>
      <c r="AG292" s="53" t="n"/>
      <c r="AH292" s="71">
        <f>IF(AND(ISNUMBER($H292),$I292="あり",ISNUMBER($J292)),IF($J292&gt;=1,$H292+1,""),"")</f>
        <v/>
      </c>
      <c r="AI292" s="32">
        <f>IF($AH292="","",(YEAR('設定'!$B$6)-YEAR($AH292))*12+MONTH('設定'!$B$6)-MONTH($AH292))</f>
        <v/>
      </c>
      <c r="AJ292" s="32">
        <f>IF($AH292="","",MAX(1,ROUNDUP($AI292/$J292,0)))</f>
        <v/>
      </c>
      <c r="AK292" s="71">
        <f>IF($AJ292="","",IF(DAY(EDATE($AH292,$AJ292*$J292))&lt;DAY($AH292),EDATE($AH292,$AJ292*$J292),EDATE($AH292,$AJ292*$J292)-1))</f>
        <v/>
      </c>
      <c r="AL292" s="71">
        <f>IF($AJ292="","",IF(DAY(EDATE($AH292,($AJ292+1)*$J292))&lt;DAY($AH292),EDATE($AH292,($AJ292+1)*$J292),EDATE($AH292,($AJ292+1)*$J292)-1))</f>
        <v/>
      </c>
      <c r="AM292" s="71">
        <f>IF($AJ292="","",IF($AJ292=1,$H292,IF(DAY(EDATE($AH292,($AJ292-1)*$J292))&lt;DAY($AH292),EDATE($AH292,($AJ292-1)*$J292),EDATE($AH292,($AJ292-1)*$J292)-1)))</f>
        <v/>
      </c>
      <c r="AN292" s="32">
        <f>IF(NOT(ISNUMBER($H292)),"",IF(OR($AH292="",$H292&gt;='設定'!$B$6),0,IF($AK292&gt;='設定'!$B$6,$AJ292,$AJ292+1)))</f>
        <v/>
      </c>
      <c r="AO292" s="71">
        <f>IF($AN292="","",IF($AN292=0,"",IF($AN292=$AJ292,$AM292,$AK292)))</f>
        <v/>
      </c>
      <c r="AP292" s="32">
        <f>IF(OR($AC292="要対応",$AC292="通知期限切れ",$AC292="確認済み",$AC292="有効",$AC292="終了予定"),1,0)</f>
        <v/>
      </c>
      <c r="AQ292" s="32">
        <f>IF(OR($AC292="要対応",$AC292="通知期限切れ"),1,0)</f>
        <v/>
      </c>
      <c r="AR292" s="72">
        <f>IF(AND(ISNUMBER($AB292),OR($AC292="要対応",$AC292="通知期限切れ",$AC292="確認済み",$AC292="有効")),$AB292+ROW()/100000,"")</f>
        <v/>
      </c>
      <c r="AS292" s="32">
        <f>IF($E292="","",IF(COUNTIF($E$5:$E292,$E292)=1,ROW(),""))</f>
        <v/>
      </c>
      <c r="AT292" s="32">
        <f>IF($S292="","",IF(COUNTIF($S$5:$S292,$S292)=1,ROW(),""))</f>
        <v/>
      </c>
    </row>
    <row r="293" ht="20" customHeight="1">
      <c r="A293" s="20" t="n">
        <v>289</v>
      </c>
      <c r="B293" s="21" t="n"/>
      <c r="C293" s="22" t="n"/>
      <c r="D293" s="22" t="n"/>
      <c r="E293" s="22" t="n"/>
      <c r="F293" s="66" t="n"/>
      <c r="G293" s="66" t="n"/>
      <c r="H293" s="66" t="n"/>
      <c r="I293" s="21" t="n"/>
      <c r="J293" s="24" t="n"/>
      <c r="K293" s="24" t="n"/>
      <c r="L293" s="21" t="n"/>
      <c r="M293" s="24" t="n"/>
      <c r="N293" s="21" t="n"/>
      <c r="O293" s="67" t="n"/>
      <c r="P293" s="21" t="n"/>
      <c r="Q293" s="21" t="n"/>
      <c r="R293" s="22" t="n"/>
      <c r="S293" s="22" t="n"/>
      <c r="T293" s="21" t="n"/>
      <c r="U293" s="66" t="n"/>
      <c r="V293" s="66" t="n"/>
      <c r="W293" s="66" t="n"/>
      <c r="X293" s="8" t="n"/>
      <c r="Y293" s="68">
        <f>IF($AN293="","",IF($AN293=0,$H293,IF($AN293=$AJ293,$AK293,$AL293)))</f>
        <v/>
      </c>
      <c r="Z293" s="68">
        <f>IF(OR($Y293="",NOT(ISNUMBER($K293))),"",IF($L293="日前",$Y293-$K293,EDATE($Y293,-$K293)))</f>
        <v/>
      </c>
      <c r="AA293" s="68">
        <f>IF(OR($Y293="",ISNUMBER($V293),N($Y293)&lt;'設定'!$B$6),"",IF($Z293&lt;&gt;"",$Z293,$Y293))</f>
        <v/>
      </c>
      <c r="AB293" s="69">
        <f>IF($AA293="","",$AA293-'設定'!$B$6)</f>
        <v/>
      </c>
      <c r="AC293" s="28">
        <f>IF(NOT(OR($B293&lt;&gt;"",$C293&lt;&gt;"")),"",IF(ISNUMBER($V293),IF($V293&lt;'設定'!$B$6,"終了","終了予定"),IF($Y293="","有効",IF($Y293&lt;'設定'!$B$6,"満了",IF(AND($T293="更新する",ISNUMBER($U293),N($U293)&lt;='設定'!$B$6,OR($AO293="",N($U293)&gt;N($AO293))),"確認済み",IF($AB293&lt;0,"通知期限切れ",IF($AB293&lt;=N('設定'!$B$7),"要対応","有効")))))))</f>
        <v/>
      </c>
      <c r="AD293" s="68">
        <f>IF(OR(NOT(ISNUMBER($M293)),$AC293="",$AC293="終了",$AC293="終了予定",$AC293="満了"),"",IF($N293="日前",'設定'!$B$6+$M293,EDATE('設定'!$B$6,$M293)))</f>
        <v/>
      </c>
      <c r="AE293" s="70">
        <f>IF(NOT(ISNUMBER($O293)),"",IF($P293="月額",$O293*12,IF($P293="年額",$O293,"")))</f>
        <v/>
      </c>
      <c r="AF293" s="30">
        <f>MID(IF(AND(ISNUMBER($G293),ISNUMBER($H293)),IF(N($H293)&lt;N($G293)," / 満了日が開始日より前",""),"")&amp;IF(AND($I293="あり",NOT(ISNUMBER($H293)))," / 自動更新ありなのに満了日が空","")&amp;IF(AND($I293="あり",ISNUMBER($H293),NOT(ISNUMBER($J293)))," / 更新期間が空（更新を計算できない）","")&amp;IF($AH293="","",IF(AND(DAY($AH293)&gt;=29,OR(MOD($J293,12)&lt;&gt;0,MONTH($AH293)=2))," / 更新の初日が29〜31日（更新を重ねると満了日が1日ずれることがある。満了日を今の期間の満了日に書き換えると直る）",""))&amp;IF(AND(ISNUMBER($K293),$L293="")," / 通知の単位が空（か月前で計算）","")&amp;IF(AND(ISNUMBER($M293),$N293="")," / 解約予告の単位が空（か月前で計算）","")&amp;IF(AND(ISNUMBER($O293),$P293="")," / 金額の区分が空","")&amp;IF(AND($T293&lt;&gt;"",NOT(ISNUMBER($U293)))," / 対応を決めた日が空","")&amp;IF(AND(ISNUMBER($U293),$T293="")," / 今期の対応が空","")&amp;IF(AND($T293="更新しない",NOT(ISNUMBER($V293)))," / 更新しないなら、解約・終了した日（契約が終わる日）を入れる",""),4,300)</f>
        <v/>
      </c>
      <c r="AG293" s="53" t="n"/>
      <c r="AH293" s="71">
        <f>IF(AND(ISNUMBER($H293),$I293="あり",ISNUMBER($J293)),IF($J293&gt;=1,$H293+1,""),"")</f>
        <v/>
      </c>
      <c r="AI293" s="32">
        <f>IF($AH293="","",(YEAR('設定'!$B$6)-YEAR($AH293))*12+MONTH('設定'!$B$6)-MONTH($AH293))</f>
        <v/>
      </c>
      <c r="AJ293" s="32">
        <f>IF($AH293="","",MAX(1,ROUNDUP($AI293/$J293,0)))</f>
        <v/>
      </c>
      <c r="AK293" s="71">
        <f>IF($AJ293="","",IF(DAY(EDATE($AH293,$AJ293*$J293))&lt;DAY($AH293),EDATE($AH293,$AJ293*$J293),EDATE($AH293,$AJ293*$J293)-1))</f>
        <v/>
      </c>
      <c r="AL293" s="71">
        <f>IF($AJ293="","",IF(DAY(EDATE($AH293,($AJ293+1)*$J293))&lt;DAY($AH293),EDATE($AH293,($AJ293+1)*$J293),EDATE($AH293,($AJ293+1)*$J293)-1))</f>
        <v/>
      </c>
      <c r="AM293" s="71">
        <f>IF($AJ293="","",IF($AJ293=1,$H293,IF(DAY(EDATE($AH293,($AJ293-1)*$J293))&lt;DAY($AH293),EDATE($AH293,($AJ293-1)*$J293),EDATE($AH293,($AJ293-1)*$J293)-1)))</f>
        <v/>
      </c>
      <c r="AN293" s="32">
        <f>IF(NOT(ISNUMBER($H293)),"",IF(OR($AH293="",$H293&gt;='設定'!$B$6),0,IF($AK293&gt;='設定'!$B$6,$AJ293,$AJ293+1)))</f>
        <v/>
      </c>
      <c r="AO293" s="71">
        <f>IF($AN293="","",IF($AN293=0,"",IF($AN293=$AJ293,$AM293,$AK293)))</f>
        <v/>
      </c>
      <c r="AP293" s="32">
        <f>IF(OR($AC293="要対応",$AC293="通知期限切れ",$AC293="確認済み",$AC293="有効",$AC293="終了予定"),1,0)</f>
        <v/>
      </c>
      <c r="AQ293" s="32">
        <f>IF(OR($AC293="要対応",$AC293="通知期限切れ"),1,0)</f>
        <v/>
      </c>
      <c r="AR293" s="72">
        <f>IF(AND(ISNUMBER($AB293),OR($AC293="要対応",$AC293="通知期限切れ",$AC293="確認済み",$AC293="有効")),$AB293+ROW()/100000,"")</f>
        <v/>
      </c>
      <c r="AS293" s="32">
        <f>IF($E293="","",IF(COUNTIF($E$5:$E293,$E293)=1,ROW(),""))</f>
        <v/>
      </c>
      <c r="AT293" s="32">
        <f>IF($S293="","",IF(COUNTIF($S$5:$S293,$S293)=1,ROW(),""))</f>
        <v/>
      </c>
    </row>
    <row r="294" ht="20" customHeight="1">
      <c r="A294" s="20" t="n">
        <v>290</v>
      </c>
      <c r="B294" s="21" t="n"/>
      <c r="C294" s="22" t="n"/>
      <c r="D294" s="22" t="n"/>
      <c r="E294" s="22" t="n"/>
      <c r="F294" s="66" t="n"/>
      <c r="G294" s="66" t="n"/>
      <c r="H294" s="66" t="n"/>
      <c r="I294" s="21" t="n"/>
      <c r="J294" s="24" t="n"/>
      <c r="K294" s="24" t="n"/>
      <c r="L294" s="21" t="n"/>
      <c r="M294" s="24" t="n"/>
      <c r="N294" s="21" t="n"/>
      <c r="O294" s="67" t="n"/>
      <c r="P294" s="21" t="n"/>
      <c r="Q294" s="21" t="n"/>
      <c r="R294" s="22" t="n"/>
      <c r="S294" s="22" t="n"/>
      <c r="T294" s="21" t="n"/>
      <c r="U294" s="66" t="n"/>
      <c r="V294" s="66" t="n"/>
      <c r="W294" s="66" t="n"/>
      <c r="X294" s="8" t="n"/>
      <c r="Y294" s="68">
        <f>IF($AN294="","",IF($AN294=0,$H294,IF($AN294=$AJ294,$AK294,$AL294)))</f>
        <v/>
      </c>
      <c r="Z294" s="68">
        <f>IF(OR($Y294="",NOT(ISNUMBER($K294))),"",IF($L294="日前",$Y294-$K294,EDATE($Y294,-$K294)))</f>
        <v/>
      </c>
      <c r="AA294" s="68">
        <f>IF(OR($Y294="",ISNUMBER($V294),N($Y294)&lt;'設定'!$B$6),"",IF($Z294&lt;&gt;"",$Z294,$Y294))</f>
        <v/>
      </c>
      <c r="AB294" s="69">
        <f>IF($AA294="","",$AA294-'設定'!$B$6)</f>
        <v/>
      </c>
      <c r="AC294" s="28">
        <f>IF(NOT(OR($B294&lt;&gt;"",$C294&lt;&gt;"")),"",IF(ISNUMBER($V294),IF($V294&lt;'設定'!$B$6,"終了","終了予定"),IF($Y294="","有効",IF($Y294&lt;'設定'!$B$6,"満了",IF(AND($T294="更新する",ISNUMBER($U294),N($U294)&lt;='設定'!$B$6,OR($AO294="",N($U294)&gt;N($AO294))),"確認済み",IF($AB294&lt;0,"通知期限切れ",IF($AB294&lt;=N('設定'!$B$7),"要対応","有効")))))))</f>
        <v/>
      </c>
      <c r="AD294" s="68">
        <f>IF(OR(NOT(ISNUMBER($M294)),$AC294="",$AC294="終了",$AC294="終了予定",$AC294="満了"),"",IF($N294="日前",'設定'!$B$6+$M294,EDATE('設定'!$B$6,$M294)))</f>
        <v/>
      </c>
      <c r="AE294" s="70">
        <f>IF(NOT(ISNUMBER($O294)),"",IF($P294="月額",$O294*12,IF($P294="年額",$O294,"")))</f>
        <v/>
      </c>
      <c r="AF294" s="30">
        <f>MID(IF(AND(ISNUMBER($G294),ISNUMBER($H294)),IF(N($H294)&lt;N($G294)," / 満了日が開始日より前",""),"")&amp;IF(AND($I294="あり",NOT(ISNUMBER($H294)))," / 自動更新ありなのに満了日が空","")&amp;IF(AND($I294="あり",ISNUMBER($H294),NOT(ISNUMBER($J294)))," / 更新期間が空（更新を計算できない）","")&amp;IF($AH294="","",IF(AND(DAY($AH294)&gt;=29,OR(MOD($J294,12)&lt;&gt;0,MONTH($AH294)=2))," / 更新の初日が29〜31日（更新を重ねると満了日が1日ずれることがある。満了日を今の期間の満了日に書き換えると直る）",""))&amp;IF(AND(ISNUMBER($K294),$L294="")," / 通知の単位が空（か月前で計算）","")&amp;IF(AND(ISNUMBER($M294),$N294="")," / 解約予告の単位が空（か月前で計算）","")&amp;IF(AND(ISNUMBER($O294),$P294="")," / 金額の区分が空","")&amp;IF(AND($T294&lt;&gt;"",NOT(ISNUMBER($U294)))," / 対応を決めた日が空","")&amp;IF(AND(ISNUMBER($U294),$T294="")," / 今期の対応が空","")&amp;IF(AND($T294="更新しない",NOT(ISNUMBER($V294)))," / 更新しないなら、解約・終了した日（契約が終わる日）を入れる",""),4,300)</f>
        <v/>
      </c>
      <c r="AG294" s="53" t="n"/>
      <c r="AH294" s="71">
        <f>IF(AND(ISNUMBER($H294),$I294="あり",ISNUMBER($J294)),IF($J294&gt;=1,$H294+1,""),"")</f>
        <v/>
      </c>
      <c r="AI294" s="32">
        <f>IF($AH294="","",(YEAR('設定'!$B$6)-YEAR($AH294))*12+MONTH('設定'!$B$6)-MONTH($AH294))</f>
        <v/>
      </c>
      <c r="AJ294" s="32">
        <f>IF($AH294="","",MAX(1,ROUNDUP($AI294/$J294,0)))</f>
        <v/>
      </c>
      <c r="AK294" s="71">
        <f>IF($AJ294="","",IF(DAY(EDATE($AH294,$AJ294*$J294))&lt;DAY($AH294),EDATE($AH294,$AJ294*$J294),EDATE($AH294,$AJ294*$J294)-1))</f>
        <v/>
      </c>
      <c r="AL294" s="71">
        <f>IF($AJ294="","",IF(DAY(EDATE($AH294,($AJ294+1)*$J294))&lt;DAY($AH294),EDATE($AH294,($AJ294+1)*$J294),EDATE($AH294,($AJ294+1)*$J294)-1))</f>
        <v/>
      </c>
      <c r="AM294" s="71">
        <f>IF($AJ294="","",IF($AJ294=1,$H294,IF(DAY(EDATE($AH294,($AJ294-1)*$J294))&lt;DAY($AH294),EDATE($AH294,($AJ294-1)*$J294),EDATE($AH294,($AJ294-1)*$J294)-1)))</f>
        <v/>
      </c>
      <c r="AN294" s="32">
        <f>IF(NOT(ISNUMBER($H294)),"",IF(OR($AH294="",$H294&gt;='設定'!$B$6),0,IF($AK294&gt;='設定'!$B$6,$AJ294,$AJ294+1)))</f>
        <v/>
      </c>
      <c r="AO294" s="71">
        <f>IF($AN294="","",IF($AN294=0,"",IF($AN294=$AJ294,$AM294,$AK294)))</f>
        <v/>
      </c>
      <c r="AP294" s="32">
        <f>IF(OR($AC294="要対応",$AC294="通知期限切れ",$AC294="確認済み",$AC294="有効",$AC294="終了予定"),1,0)</f>
        <v/>
      </c>
      <c r="AQ294" s="32">
        <f>IF(OR($AC294="要対応",$AC294="通知期限切れ"),1,0)</f>
        <v/>
      </c>
      <c r="AR294" s="72">
        <f>IF(AND(ISNUMBER($AB294),OR($AC294="要対応",$AC294="通知期限切れ",$AC294="確認済み",$AC294="有効")),$AB294+ROW()/100000,"")</f>
        <v/>
      </c>
      <c r="AS294" s="32">
        <f>IF($E294="","",IF(COUNTIF($E$5:$E294,$E294)=1,ROW(),""))</f>
        <v/>
      </c>
      <c r="AT294" s="32">
        <f>IF($S294="","",IF(COUNTIF($S$5:$S294,$S294)=1,ROW(),""))</f>
        <v/>
      </c>
    </row>
    <row r="295" ht="20" customHeight="1">
      <c r="A295" s="20" t="n">
        <v>291</v>
      </c>
      <c r="B295" s="21" t="n"/>
      <c r="C295" s="22" t="n"/>
      <c r="D295" s="22" t="n"/>
      <c r="E295" s="22" t="n"/>
      <c r="F295" s="66" t="n"/>
      <c r="G295" s="66" t="n"/>
      <c r="H295" s="66" t="n"/>
      <c r="I295" s="21" t="n"/>
      <c r="J295" s="24" t="n"/>
      <c r="K295" s="24" t="n"/>
      <c r="L295" s="21" t="n"/>
      <c r="M295" s="24" t="n"/>
      <c r="N295" s="21" t="n"/>
      <c r="O295" s="67" t="n"/>
      <c r="P295" s="21" t="n"/>
      <c r="Q295" s="21" t="n"/>
      <c r="R295" s="22" t="n"/>
      <c r="S295" s="22" t="n"/>
      <c r="T295" s="21" t="n"/>
      <c r="U295" s="66" t="n"/>
      <c r="V295" s="66" t="n"/>
      <c r="W295" s="66" t="n"/>
      <c r="X295" s="8" t="n"/>
      <c r="Y295" s="68">
        <f>IF($AN295="","",IF($AN295=0,$H295,IF($AN295=$AJ295,$AK295,$AL295)))</f>
        <v/>
      </c>
      <c r="Z295" s="68">
        <f>IF(OR($Y295="",NOT(ISNUMBER($K295))),"",IF($L295="日前",$Y295-$K295,EDATE($Y295,-$K295)))</f>
        <v/>
      </c>
      <c r="AA295" s="68">
        <f>IF(OR($Y295="",ISNUMBER($V295),N($Y295)&lt;'設定'!$B$6),"",IF($Z295&lt;&gt;"",$Z295,$Y295))</f>
        <v/>
      </c>
      <c r="AB295" s="69">
        <f>IF($AA295="","",$AA295-'設定'!$B$6)</f>
        <v/>
      </c>
      <c r="AC295" s="28">
        <f>IF(NOT(OR($B295&lt;&gt;"",$C295&lt;&gt;"")),"",IF(ISNUMBER($V295),IF($V295&lt;'設定'!$B$6,"終了","終了予定"),IF($Y295="","有効",IF($Y295&lt;'設定'!$B$6,"満了",IF(AND($T295="更新する",ISNUMBER($U295),N($U295)&lt;='設定'!$B$6,OR($AO295="",N($U295)&gt;N($AO295))),"確認済み",IF($AB295&lt;0,"通知期限切れ",IF($AB295&lt;=N('設定'!$B$7),"要対応","有効")))))))</f>
        <v/>
      </c>
      <c r="AD295" s="68">
        <f>IF(OR(NOT(ISNUMBER($M295)),$AC295="",$AC295="終了",$AC295="終了予定",$AC295="満了"),"",IF($N295="日前",'設定'!$B$6+$M295,EDATE('設定'!$B$6,$M295)))</f>
        <v/>
      </c>
      <c r="AE295" s="70">
        <f>IF(NOT(ISNUMBER($O295)),"",IF($P295="月額",$O295*12,IF($P295="年額",$O295,"")))</f>
        <v/>
      </c>
      <c r="AF295" s="30">
        <f>MID(IF(AND(ISNUMBER($G295),ISNUMBER($H295)),IF(N($H295)&lt;N($G295)," / 満了日が開始日より前",""),"")&amp;IF(AND($I295="あり",NOT(ISNUMBER($H295)))," / 自動更新ありなのに満了日が空","")&amp;IF(AND($I295="あり",ISNUMBER($H295),NOT(ISNUMBER($J295)))," / 更新期間が空（更新を計算できない）","")&amp;IF($AH295="","",IF(AND(DAY($AH295)&gt;=29,OR(MOD($J295,12)&lt;&gt;0,MONTH($AH295)=2))," / 更新の初日が29〜31日（更新を重ねると満了日が1日ずれることがある。満了日を今の期間の満了日に書き換えると直る）",""))&amp;IF(AND(ISNUMBER($K295),$L295="")," / 通知の単位が空（か月前で計算）","")&amp;IF(AND(ISNUMBER($M295),$N295="")," / 解約予告の単位が空（か月前で計算）","")&amp;IF(AND(ISNUMBER($O295),$P295="")," / 金額の区分が空","")&amp;IF(AND($T295&lt;&gt;"",NOT(ISNUMBER($U295)))," / 対応を決めた日が空","")&amp;IF(AND(ISNUMBER($U295),$T295="")," / 今期の対応が空","")&amp;IF(AND($T295="更新しない",NOT(ISNUMBER($V295)))," / 更新しないなら、解約・終了した日（契約が終わる日）を入れる",""),4,300)</f>
        <v/>
      </c>
      <c r="AG295" s="53" t="n"/>
      <c r="AH295" s="71">
        <f>IF(AND(ISNUMBER($H295),$I295="あり",ISNUMBER($J295)),IF($J295&gt;=1,$H295+1,""),"")</f>
        <v/>
      </c>
      <c r="AI295" s="32">
        <f>IF($AH295="","",(YEAR('設定'!$B$6)-YEAR($AH295))*12+MONTH('設定'!$B$6)-MONTH($AH295))</f>
        <v/>
      </c>
      <c r="AJ295" s="32">
        <f>IF($AH295="","",MAX(1,ROUNDUP($AI295/$J295,0)))</f>
        <v/>
      </c>
      <c r="AK295" s="71">
        <f>IF($AJ295="","",IF(DAY(EDATE($AH295,$AJ295*$J295))&lt;DAY($AH295),EDATE($AH295,$AJ295*$J295),EDATE($AH295,$AJ295*$J295)-1))</f>
        <v/>
      </c>
      <c r="AL295" s="71">
        <f>IF($AJ295="","",IF(DAY(EDATE($AH295,($AJ295+1)*$J295))&lt;DAY($AH295),EDATE($AH295,($AJ295+1)*$J295),EDATE($AH295,($AJ295+1)*$J295)-1))</f>
        <v/>
      </c>
      <c r="AM295" s="71">
        <f>IF($AJ295="","",IF($AJ295=1,$H295,IF(DAY(EDATE($AH295,($AJ295-1)*$J295))&lt;DAY($AH295),EDATE($AH295,($AJ295-1)*$J295),EDATE($AH295,($AJ295-1)*$J295)-1)))</f>
        <v/>
      </c>
      <c r="AN295" s="32">
        <f>IF(NOT(ISNUMBER($H295)),"",IF(OR($AH295="",$H295&gt;='設定'!$B$6),0,IF($AK295&gt;='設定'!$B$6,$AJ295,$AJ295+1)))</f>
        <v/>
      </c>
      <c r="AO295" s="71">
        <f>IF($AN295="","",IF($AN295=0,"",IF($AN295=$AJ295,$AM295,$AK295)))</f>
        <v/>
      </c>
      <c r="AP295" s="32">
        <f>IF(OR($AC295="要対応",$AC295="通知期限切れ",$AC295="確認済み",$AC295="有効",$AC295="終了予定"),1,0)</f>
        <v/>
      </c>
      <c r="AQ295" s="32">
        <f>IF(OR($AC295="要対応",$AC295="通知期限切れ"),1,0)</f>
        <v/>
      </c>
      <c r="AR295" s="72">
        <f>IF(AND(ISNUMBER($AB295),OR($AC295="要対応",$AC295="通知期限切れ",$AC295="確認済み",$AC295="有効")),$AB295+ROW()/100000,"")</f>
        <v/>
      </c>
      <c r="AS295" s="32">
        <f>IF($E295="","",IF(COUNTIF($E$5:$E295,$E295)=1,ROW(),""))</f>
        <v/>
      </c>
      <c r="AT295" s="32">
        <f>IF($S295="","",IF(COUNTIF($S$5:$S295,$S295)=1,ROW(),""))</f>
        <v/>
      </c>
    </row>
    <row r="296" ht="20" customHeight="1">
      <c r="A296" s="20" t="n">
        <v>292</v>
      </c>
      <c r="B296" s="21" t="n"/>
      <c r="C296" s="22" t="n"/>
      <c r="D296" s="22" t="n"/>
      <c r="E296" s="22" t="n"/>
      <c r="F296" s="66" t="n"/>
      <c r="G296" s="66" t="n"/>
      <c r="H296" s="66" t="n"/>
      <c r="I296" s="21" t="n"/>
      <c r="J296" s="24" t="n"/>
      <c r="K296" s="24" t="n"/>
      <c r="L296" s="21" t="n"/>
      <c r="M296" s="24" t="n"/>
      <c r="N296" s="21" t="n"/>
      <c r="O296" s="67" t="n"/>
      <c r="P296" s="21" t="n"/>
      <c r="Q296" s="21" t="n"/>
      <c r="R296" s="22" t="n"/>
      <c r="S296" s="22" t="n"/>
      <c r="T296" s="21" t="n"/>
      <c r="U296" s="66" t="n"/>
      <c r="V296" s="66" t="n"/>
      <c r="W296" s="66" t="n"/>
      <c r="X296" s="8" t="n"/>
      <c r="Y296" s="68">
        <f>IF($AN296="","",IF($AN296=0,$H296,IF($AN296=$AJ296,$AK296,$AL296)))</f>
        <v/>
      </c>
      <c r="Z296" s="68">
        <f>IF(OR($Y296="",NOT(ISNUMBER($K296))),"",IF($L296="日前",$Y296-$K296,EDATE($Y296,-$K296)))</f>
        <v/>
      </c>
      <c r="AA296" s="68">
        <f>IF(OR($Y296="",ISNUMBER($V296),N($Y296)&lt;'設定'!$B$6),"",IF($Z296&lt;&gt;"",$Z296,$Y296))</f>
        <v/>
      </c>
      <c r="AB296" s="69">
        <f>IF($AA296="","",$AA296-'設定'!$B$6)</f>
        <v/>
      </c>
      <c r="AC296" s="28">
        <f>IF(NOT(OR($B296&lt;&gt;"",$C296&lt;&gt;"")),"",IF(ISNUMBER($V296),IF($V296&lt;'設定'!$B$6,"終了","終了予定"),IF($Y296="","有効",IF($Y296&lt;'設定'!$B$6,"満了",IF(AND($T296="更新する",ISNUMBER($U296),N($U296)&lt;='設定'!$B$6,OR($AO296="",N($U296)&gt;N($AO296))),"確認済み",IF($AB296&lt;0,"通知期限切れ",IF($AB296&lt;=N('設定'!$B$7),"要対応","有効")))))))</f>
        <v/>
      </c>
      <c r="AD296" s="68">
        <f>IF(OR(NOT(ISNUMBER($M296)),$AC296="",$AC296="終了",$AC296="終了予定",$AC296="満了"),"",IF($N296="日前",'設定'!$B$6+$M296,EDATE('設定'!$B$6,$M296)))</f>
        <v/>
      </c>
      <c r="AE296" s="70">
        <f>IF(NOT(ISNUMBER($O296)),"",IF($P296="月額",$O296*12,IF($P296="年額",$O296,"")))</f>
        <v/>
      </c>
      <c r="AF296" s="30">
        <f>MID(IF(AND(ISNUMBER($G296),ISNUMBER($H296)),IF(N($H296)&lt;N($G296)," / 満了日が開始日より前",""),"")&amp;IF(AND($I296="あり",NOT(ISNUMBER($H296)))," / 自動更新ありなのに満了日が空","")&amp;IF(AND($I296="あり",ISNUMBER($H296),NOT(ISNUMBER($J296)))," / 更新期間が空（更新を計算できない）","")&amp;IF($AH296="","",IF(AND(DAY($AH296)&gt;=29,OR(MOD($J296,12)&lt;&gt;0,MONTH($AH296)=2))," / 更新の初日が29〜31日（更新を重ねると満了日が1日ずれることがある。満了日を今の期間の満了日に書き換えると直る）",""))&amp;IF(AND(ISNUMBER($K296),$L296="")," / 通知の単位が空（か月前で計算）","")&amp;IF(AND(ISNUMBER($M296),$N296="")," / 解約予告の単位が空（か月前で計算）","")&amp;IF(AND(ISNUMBER($O296),$P296="")," / 金額の区分が空","")&amp;IF(AND($T296&lt;&gt;"",NOT(ISNUMBER($U296)))," / 対応を決めた日が空","")&amp;IF(AND(ISNUMBER($U296),$T296="")," / 今期の対応が空","")&amp;IF(AND($T296="更新しない",NOT(ISNUMBER($V296)))," / 更新しないなら、解約・終了した日（契約が終わる日）を入れる",""),4,300)</f>
        <v/>
      </c>
      <c r="AG296" s="53" t="n"/>
      <c r="AH296" s="71">
        <f>IF(AND(ISNUMBER($H296),$I296="あり",ISNUMBER($J296)),IF($J296&gt;=1,$H296+1,""),"")</f>
        <v/>
      </c>
      <c r="AI296" s="32">
        <f>IF($AH296="","",(YEAR('設定'!$B$6)-YEAR($AH296))*12+MONTH('設定'!$B$6)-MONTH($AH296))</f>
        <v/>
      </c>
      <c r="AJ296" s="32">
        <f>IF($AH296="","",MAX(1,ROUNDUP($AI296/$J296,0)))</f>
        <v/>
      </c>
      <c r="AK296" s="71">
        <f>IF($AJ296="","",IF(DAY(EDATE($AH296,$AJ296*$J296))&lt;DAY($AH296),EDATE($AH296,$AJ296*$J296),EDATE($AH296,$AJ296*$J296)-1))</f>
        <v/>
      </c>
      <c r="AL296" s="71">
        <f>IF($AJ296="","",IF(DAY(EDATE($AH296,($AJ296+1)*$J296))&lt;DAY($AH296),EDATE($AH296,($AJ296+1)*$J296),EDATE($AH296,($AJ296+1)*$J296)-1))</f>
        <v/>
      </c>
      <c r="AM296" s="71">
        <f>IF($AJ296="","",IF($AJ296=1,$H296,IF(DAY(EDATE($AH296,($AJ296-1)*$J296))&lt;DAY($AH296),EDATE($AH296,($AJ296-1)*$J296),EDATE($AH296,($AJ296-1)*$J296)-1)))</f>
        <v/>
      </c>
      <c r="AN296" s="32">
        <f>IF(NOT(ISNUMBER($H296)),"",IF(OR($AH296="",$H296&gt;='設定'!$B$6),0,IF($AK296&gt;='設定'!$B$6,$AJ296,$AJ296+1)))</f>
        <v/>
      </c>
      <c r="AO296" s="71">
        <f>IF($AN296="","",IF($AN296=0,"",IF($AN296=$AJ296,$AM296,$AK296)))</f>
        <v/>
      </c>
      <c r="AP296" s="32">
        <f>IF(OR($AC296="要対応",$AC296="通知期限切れ",$AC296="確認済み",$AC296="有効",$AC296="終了予定"),1,0)</f>
        <v/>
      </c>
      <c r="AQ296" s="32">
        <f>IF(OR($AC296="要対応",$AC296="通知期限切れ"),1,0)</f>
        <v/>
      </c>
      <c r="AR296" s="72">
        <f>IF(AND(ISNUMBER($AB296),OR($AC296="要対応",$AC296="通知期限切れ",$AC296="確認済み",$AC296="有効")),$AB296+ROW()/100000,"")</f>
        <v/>
      </c>
      <c r="AS296" s="32">
        <f>IF($E296="","",IF(COUNTIF($E$5:$E296,$E296)=1,ROW(),""))</f>
        <v/>
      </c>
      <c r="AT296" s="32">
        <f>IF($S296="","",IF(COUNTIF($S$5:$S296,$S296)=1,ROW(),""))</f>
        <v/>
      </c>
    </row>
    <row r="297" ht="20" customHeight="1">
      <c r="A297" s="20" t="n">
        <v>293</v>
      </c>
      <c r="B297" s="21" t="n"/>
      <c r="C297" s="22" t="n"/>
      <c r="D297" s="22" t="n"/>
      <c r="E297" s="22" t="n"/>
      <c r="F297" s="66" t="n"/>
      <c r="G297" s="66" t="n"/>
      <c r="H297" s="66" t="n"/>
      <c r="I297" s="21" t="n"/>
      <c r="J297" s="24" t="n"/>
      <c r="K297" s="24" t="n"/>
      <c r="L297" s="21" t="n"/>
      <c r="M297" s="24" t="n"/>
      <c r="N297" s="21" t="n"/>
      <c r="O297" s="67" t="n"/>
      <c r="P297" s="21" t="n"/>
      <c r="Q297" s="21" t="n"/>
      <c r="R297" s="22" t="n"/>
      <c r="S297" s="22" t="n"/>
      <c r="T297" s="21" t="n"/>
      <c r="U297" s="66" t="n"/>
      <c r="V297" s="66" t="n"/>
      <c r="W297" s="66" t="n"/>
      <c r="X297" s="8" t="n"/>
      <c r="Y297" s="68">
        <f>IF($AN297="","",IF($AN297=0,$H297,IF($AN297=$AJ297,$AK297,$AL297)))</f>
        <v/>
      </c>
      <c r="Z297" s="68">
        <f>IF(OR($Y297="",NOT(ISNUMBER($K297))),"",IF($L297="日前",$Y297-$K297,EDATE($Y297,-$K297)))</f>
        <v/>
      </c>
      <c r="AA297" s="68">
        <f>IF(OR($Y297="",ISNUMBER($V297),N($Y297)&lt;'設定'!$B$6),"",IF($Z297&lt;&gt;"",$Z297,$Y297))</f>
        <v/>
      </c>
      <c r="AB297" s="69">
        <f>IF($AA297="","",$AA297-'設定'!$B$6)</f>
        <v/>
      </c>
      <c r="AC297" s="28">
        <f>IF(NOT(OR($B297&lt;&gt;"",$C297&lt;&gt;"")),"",IF(ISNUMBER($V297),IF($V297&lt;'設定'!$B$6,"終了","終了予定"),IF($Y297="","有効",IF($Y297&lt;'設定'!$B$6,"満了",IF(AND($T297="更新する",ISNUMBER($U297),N($U297)&lt;='設定'!$B$6,OR($AO297="",N($U297)&gt;N($AO297))),"確認済み",IF($AB297&lt;0,"通知期限切れ",IF($AB297&lt;=N('設定'!$B$7),"要対応","有効")))))))</f>
        <v/>
      </c>
      <c r="AD297" s="68">
        <f>IF(OR(NOT(ISNUMBER($M297)),$AC297="",$AC297="終了",$AC297="終了予定",$AC297="満了"),"",IF($N297="日前",'設定'!$B$6+$M297,EDATE('設定'!$B$6,$M297)))</f>
        <v/>
      </c>
      <c r="AE297" s="70">
        <f>IF(NOT(ISNUMBER($O297)),"",IF($P297="月額",$O297*12,IF($P297="年額",$O297,"")))</f>
        <v/>
      </c>
      <c r="AF297" s="30">
        <f>MID(IF(AND(ISNUMBER($G297),ISNUMBER($H297)),IF(N($H297)&lt;N($G297)," / 満了日が開始日より前",""),"")&amp;IF(AND($I297="あり",NOT(ISNUMBER($H297)))," / 自動更新ありなのに満了日が空","")&amp;IF(AND($I297="あり",ISNUMBER($H297),NOT(ISNUMBER($J297)))," / 更新期間が空（更新を計算できない）","")&amp;IF($AH297="","",IF(AND(DAY($AH297)&gt;=29,OR(MOD($J297,12)&lt;&gt;0,MONTH($AH297)=2))," / 更新の初日が29〜31日（更新を重ねると満了日が1日ずれることがある。満了日を今の期間の満了日に書き換えると直る）",""))&amp;IF(AND(ISNUMBER($K297),$L297="")," / 通知の単位が空（か月前で計算）","")&amp;IF(AND(ISNUMBER($M297),$N297="")," / 解約予告の単位が空（か月前で計算）","")&amp;IF(AND(ISNUMBER($O297),$P297="")," / 金額の区分が空","")&amp;IF(AND($T297&lt;&gt;"",NOT(ISNUMBER($U297)))," / 対応を決めた日が空","")&amp;IF(AND(ISNUMBER($U297),$T297="")," / 今期の対応が空","")&amp;IF(AND($T297="更新しない",NOT(ISNUMBER($V297)))," / 更新しないなら、解約・終了した日（契約が終わる日）を入れる",""),4,300)</f>
        <v/>
      </c>
      <c r="AG297" s="53" t="n"/>
      <c r="AH297" s="71">
        <f>IF(AND(ISNUMBER($H297),$I297="あり",ISNUMBER($J297)),IF($J297&gt;=1,$H297+1,""),"")</f>
        <v/>
      </c>
      <c r="AI297" s="32">
        <f>IF($AH297="","",(YEAR('設定'!$B$6)-YEAR($AH297))*12+MONTH('設定'!$B$6)-MONTH($AH297))</f>
        <v/>
      </c>
      <c r="AJ297" s="32">
        <f>IF($AH297="","",MAX(1,ROUNDUP($AI297/$J297,0)))</f>
        <v/>
      </c>
      <c r="AK297" s="71">
        <f>IF($AJ297="","",IF(DAY(EDATE($AH297,$AJ297*$J297))&lt;DAY($AH297),EDATE($AH297,$AJ297*$J297),EDATE($AH297,$AJ297*$J297)-1))</f>
        <v/>
      </c>
      <c r="AL297" s="71">
        <f>IF($AJ297="","",IF(DAY(EDATE($AH297,($AJ297+1)*$J297))&lt;DAY($AH297),EDATE($AH297,($AJ297+1)*$J297),EDATE($AH297,($AJ297+1)*$J297)-1))</f>
        <v/>
      </c>
      <c r="AM297" s="71">
        <f>IF($AJ297="","",IF($AJ297=1,$H297,IF(DAY(EDATE($AH297,($AJ297-1)*$J297))&lt;DAY($AH297),EDATE($AH297,($AJ297-1)*$J297),EDATE($AH297,($AJ297-1)*$J297)-1)))</f>
        <v/>
      </c>
      <c r="AN297" s="32">
        <f>IF(NOT(ISNUMBER($H297)),"",IF(OR($AH297="",$H297&gt;='設定'!$B$6),0,IF($AK297&gt;='設定'!$B$6,$AJ297,$AJ297+1)))</f>
        <v/>
      </c>
      <c r="AO297" s="71">
        <f>IF($AN297="","",IF($AN297=0,"",IF($AN297=$AJ297,$AM297,$AK297)))</f>
        <v/>
      </c>
      <c r="AP297" s="32">
        <f>IF(OR($AC297="要対応",$AC297="通知期限切れ",$AC297="確認済み",$AC297="有効",$AC297="終了予定"),1,0)</f>
        <v/>
      </c>
      <c r="AQ297" s="32">
        <f>IF(OR($AC297="要対応",$AC297="通知期限切れ"),1,0)</f>
        <v/>
      </c>
      <c r="AR297" s="72">
        <f>IF(AND(ISNUMBER($AB297),OR($AC297="要対応",$AC297="通知期限切れ",$AC297="確認済み",$AC297="有効")),$AB297+ROW()/100000,"")</f>
        <v/>
      </c>
      <c r="AS297" s="32">
        <f>IF($E297="","",IF(COUNTIF($E$5:$E297,$E297)=1,ROW(),""))</f>
        <v/>
      </c>
      <c r="AT297" s="32">
        <f>IF($S297="","",IF(COUNTIF($S$5:$S297,$S297)=1,ROW(),""))</f>
        <v/>
      </c>
    </row>
    <row r="298" ht="20" customHeight="1">
      <c r="A298" s="20" t="n">
        <v>294</v>
      </c>
      <c r="B298" s="21" t="n"/>
      <c r="C298" s="22" t="n"/>
      <c r="D298" s="22" t="n"/>
      <c r="E298" s="22" t="n"/>
      <c r="F298" s="66" t="n"/>
      <c r="G298" s="66" t="n"/>
      <c r="H298" s="66" t="n"/>
      <c r="I298" s="21" t="n"/>
      <c r="J298" s="24" t="n"/>
      <c r="K298" s="24" t="n"/>
      <c r="L298" s="21" t="n"/>
      <c r="M298" s="24" t="n"/>
      <c r="N298" s="21" t="n"/>
      <c r="O298" s="67" t="n"/>
      <c r="P298" s="21" t="n"/>
      <c r="Q298" s="21" t="n"/>
      <c r="R298" s="22" t="n"/>
      <c r="S298" s="22" t="n"/>
      <c r="T298" s="21" t="n"/>
      <c r="U298" s="66" t="n"/>
      <c r="V298" s="66" t="n"/>
      <c r="W298" s="66" t="n"/>
      <c r="X298" s="8" t="n"/>
      <c r="Y298" s="68">
        <f>IF($AN298="","",IF($AN298=0,$H298,IF($AN298=$AJ298,$AK298,$AL298)))</f>
        <v/>
      </c>
      <c r="Z298" s="68">
        <f>IF(OR($Y298="",NOT(ISNUMBER($K298))),"",IF($L298="日前",$Y298-$K298,EDATE($Y298,-$K298)))</f>
        <v/>
      </c>
      <c r="AA298" s="68">
        <f>IF(OR($Y298="",ISNUMBER($V298),N($Y298)&lt;'設定'!$B$6),"",IF($Z298&lt;&gt;"",$Z298,$Y298))</f>
        <v/>
      </c>
      <c r="AB298" s="69">
        <f>IF($AA298="","",$AA298-'設定'!$B$6)</f>
        <v/>
      </c>
      <c r="AC298" s="28">
        <f>IF(NOT(OR($B298&lt;&gt;"",$C298&lt;&gt;"")),"",IF(ISNUMBER($V298),IF($V298&lt;'設定'!$B$6,"終了","終了予定"),IF($Y298="","有効",IF($Y298&lt;'設定'!$B$6,"満了",IF(AND($T298="更新する",ISNUMBER($U298),N($U298)&lt;='設定'!$B$6,OR($AO298="",N($U298)&gt;N($AO298))),"確認済み",IF($AB298&lt;0,"通知期限切れ",IF($AB298&lt;=N('設定'!$B$7),"要対応","有効")))))))</f>
        <v/>
      </c>
      <c r="AD298" s="68">
        <f>IF(OR(NOT(ISNUMBER($M298)),$AC298="",$AC298="終了",$AC298="終了予定",$AC298="満了"),"",IF($N298="日前",'設定'!$B$6+$M298,EDATE('設定'!$B$6,$M298)))</f>
        <v/>
      </c>
      <c r="AE298" s="70">
        <f>IF(NOT(ISNUMBER($O298)),"",IF($P298="月額",$O298*12,IF($P298="年額",$O298,"")))</f>
        <v/>
      </c>
      <c r="AF298" s="30">
        <f>MID(IF(AND(ISNUMBER($G298),ISNUMBER($H298)),IF(N($H298)&lt;N($G298)," / 満了日が開始日より前",""),"")&amp;IF(AND($I298="あり",NOT(ISNUMBER($H298)))," / 自動更新ありなのに満了日が空","")&amp;IF(AND($I298="あり",ISNUMBER($H298),NOT(ISNUMBER($J298)))," / 更新期間が空（更新を計算できない）","")&amp;IF($AH298="","",IF(AND(DAY($AH298)&gt;=29,OR(MOD($J298,12)&lt;&gt;0,MONTH($AH298)=2))," / 更新の初日が29〜31日（更新を重ねると満了日が1日ずれることがある。満了日を今の期間の満了日に書き換えると直る）",""))&amp;IF(AND(ISNUMBER($K298),$L298="")," / 通知の単位が空（か月前で計算）","")&amp;IF(AND(ISNUMBER($M298),$N298="")," / 解約予告の単位が空（か月前で計算）","")&amp;IF(AND(ISNUMBER($O298),$P298="")," / 金額の区分が空","")&amp;IF(AND($T298&lt;&gt;"",NOT(ISNUMBER($U298)))," / 対応を決めた日が空","")&amp;IF(AND(ISNUMBER($U298),$T298="")," / 今期の対応が空","")&amp;IF(AND($T298="更新しない",NOT(ISNUMBER($V298)))," / 更新しないなら、解約・終了した日（契約が終わる日）を入れる",""),4,300)</f>
        <v/>
      </c>
      <c r="AG298" s="53" t="n"/>
      <c r="AH298" s="71">
        <f>IF(AND(ISNUMBER($H298),$I298="あり",ISNUMBER($J298)),IF($J298&gt;=1,$H298+1,""),"")</f>
        <v/>
      </c>
      <c r="AI298" s="32">
        <f>IF($AH298="","",(YEAR('設定'!$B$6)-YEAR($AH298))*12+MONTH('設定'!$B$6)-MONTH($AH298))</f>
        <v/>
      </c>
      <c r="AJ298" s="32">
        <f>IF($AH298="","",MAX(1,ROUNDUP($AI298/$J298,0)))</f>
        <v/>
      </c>
      <c r="AK298" s="71">
        <f>IF($AJ298="","",IF(DAY(EDATE($AH298,$AJ298*$J298))&lt;DAY($AH298),EDATE($AH298,$AJ298*$J298),EDATE($AH298,$AJ298*$J298)-1))</f>
        <v/>
      </c>
      <c r="AL298" s="71">
        <f>IF($AJ298="","",IF(DAY(EDATE($AH298,($AJ298+1)*$J298))&lt;DAY($AH298),EDATE($AH298,($AJ298+1)*$J298),EDATE($AH298,($AJ298+1)*$J298)-1))</f>
        <v/>
      </c>
      <c r="AM298" s="71">
        <f>IF($AJ298="","",IF($AJ298=1,$H298,IF(DAY(EDATE($AH298,($AJ298-1)*$J298))&lt;DAY($AH298),EDATE($AH298,($AJ298-1)*$J298),EDATE($AH298,($AJ298-1)*$J298)-1)))</f>
        <v/>
      </c>
      <c r="AN298" s="32">
        <f>IF(NOT(ISNUMBER($H298)),"",IF(OR($AH298="",$H298&gt;='設定'!$B$6),0,IF($AK298&gt;='設定'!$B$6,$AJ298,$AJ298+1)))</f>
        <v/>
      </c>
      <c r="AO298" s="71">
        <f>IF($AN298="","",IF($AN298=0,"",IF($AN298=$AJ298,$AM298,$AK298)))</f>
        <v/>
      </c>
      <c r="AP298" s="32">
        <f>IF(OR($AC298="要対応",$AC298="通知期限切れ",$AC298="確認済み",$AC298="有効",$AC298="終了予定"),1,0)</f>
        <v/>
      </c>
      <c r="AQ298" s="32">
        <f>IF(OR($AC298="要対応",$AC298="通知期限切れ"),1,0)</f>
        <v/>
      </c>
      <c r="AR298" s="72">
        <f>IF(AND(ISNUMBER($AB298),OR($AC298="要対応",$AC298="通知期限切れ",$AC298="確認済み",$AC298="有効")),$AB298+ROW()/100000,"")</f>
        <v/>
      </c>
      <c r="AS298" s="32">
        <f>IF($E298="","",IF(COUNTIF($E$5:$E298,$E298)=1,ROW(),""))</f>
        <v/>
      </c>
      <c r="AT298" s="32">
        <f>IF($S298="","",IF(COUNTIF($S$5:$S298,$S298)=1,ROW(),""))</f>
        <v/>
      </c>
    </row>
    <row r="299" ht="20" customHeight="1">
      <c r="A299" s="20" t="n">
        <v>295</v>
      </c>
      <c r="B299" s="21" t="n"/>
      <c r="C299" s="22" t="n"/>
      <c r="D299" s="22" t="n"/>
      <c r="E299" s="22" t="n"/>
      <c r="F299" s="66" t="n"/>
      <c r="G299" s="66" t="n"/>
      <c r="H299" s="66" t="n"/>
      <c r="I299" s="21" t="n"/>
      <c r="J299" s="24" t="n"/>
      <c r="K299" s="24" t="n"/>
      <c r="L299" s="21" t="n"/>
      <c r="M299" s="24" t="n"/>
      <c r="N299" s="21" t="n"/>
      <c r="O299" s="67" t="n"/>
      <c r="P299" s="21" t="n"/>
      <c r="Q299" s="21" t="n"/>
      <c r="R299" s="22" t="n"/>
      <c r="S299" s="22" t="n"/>
      <c r="T299" s="21" t="n"/>
      <c r="U299" s="66" t="n"/>
      <c r="V299" s="66" t="n"/>
      <c r="W299" s="66" t="n"/>
      <c r="X299" s="8" t="n"/>
      <c r="Y299" s="68">
        <f>IF($AN299="","",IF($AN299=0,$H299,IF($AN299=$AJ299,$AK299,$AL299)))</f>
        <v/>
      </c>
      <c r="Z299" s="68">
        <f>IF(OR($Y299="",NOT(ISNUMBER($K299))),"",IF($L299="日前",$Y299-$K299,EDATE($Y299,-$K299)))</f>
        <v/>
      </c>
      <c r="AA299" s="68">
        <f>IF(OR($Y299="",ISNUMBER($V299),N($Y299)&lt;'設定'!$B$6),"",IF($Z299&lt;&gt;"",$Z299,$Y299))</f>
        <v/>
      </c>
      <c r="AB299" s="69">
        <f>IF($AA299="","",$AA299-'設定'!$B$6)</f>
        <v/>
      </c>
      <c r="AC299" s="28">
        <f>IF(NOT(OR($B299&lt;&gt;"",$C299&lt;&gt;"")),"",IF(ISNUMBER($V299),IF($V299&lt;'設定'!$B$6,"終了","終了予定"),IF($Y299="","有効",IF($Y299&lt;'設定'!$B$6,"満了",IF(AND($T299="更新する",ISNUMBER($U299),N($U299)&lt;='設定'!$B$6,OR($AO299="",N($U299)&gt;N($AO299))),"確認済み",IF($AB299&lt;0,"通知期限切れ",IF($AB299&lt;=N('設定'!$B$7),"要対応","有効")))))))</f>
        <v/>
      </c>
      <c r="AD299" s="68">
        <f>IF(OR(NOT(ISNUMBER($M299)),$AC299="",$AC299="終了",$AC299="終了予定",$AC299="満了"),"",IF($N299="日前",'設定'!$B$6+$M299,EDATE('設定'!$B$6,$M299)))</f>
        <v/>
      </c>
      <c r="AE299" s="70">
        <f>IF(NOT(ISNUMBER($O299)),"",IF($P299="月額",$O299*12,IF($P299="年額",$O299,"")))</f>
        <v/>
      </c>
      <c r="AF299" s="30">
        <f>MID(IF(AND(ISNUMBER($G299),ISNUMBER($H299)),IF(N($H299)&lt;N($G299)," / 満了日が開始日より前",""),"")&amp;IF(AND($I299="あり",NOT(ISNUMBER($H299)))," / 自動更新ありなのに満了日が空","")&amp;IF(AND($I299="あり",ISNUMBER($H299),NOT(ISNUMBER($J299)))," / 更新期間が空（更新を計算できない）","")&amp;IF($AH299="","",IF(AND(DAY($AH299)&gt;=29,OR(MOD($J299,12)&lt;&gt;0,MONTH($AH299)=2))," / 更新の初日が29〜31日（更新を重ねると満了日が1日ずれることがある。満了日を今の期間の満了日に書き換えると直る）",""))&amp;IF(AND(ISNUMBER($K299),$L299="")," / 通知の単位が空（か月前で計算）","")&amp;IF(AND(ISNUMBER($M299),$N299="")," / 解約予告の単位が空（か月前で計算）","")&amp;IF(AND(ISNUMBER($O299),$P299="")," / 金額の区分が空","")&amp;IF(AND($T299&lt;&gt;"",NOT(ISNUMBER($U299)))," / 対応を決めた日が空","")&amp;IF(AND(ISNUMBER($U299),$T299="")," / 今期の対応が空","")&amp;IF(AND($T299="更新しない",NOT(ISNUMBER($V299)))," / 更新しないなら、解約・終了した日（契約が終わる日）を入れる",""),4,300)</f>
        <v/>
      </c>
      <c r="AG299" s="53" t="n"/>
      <c r="AH299" s="71">
        <f>IF(AND(ISNUMBER($H299),$I299="あり",ISNUMBER($J299)),IF($J299&gt;=1,$H299+1,""),"")</f>
        <v/>
      </c>
      <c r="AI299" s="32">
        <f>IF($AH299="","",(YEAR('設定'!$B$6)-YEAR($AH299))*12+MONTH('設定'!$B$6)-MONTH($AH299))</f>
        <v/>
      </c>
      <c r="AJ299" s="32">
        <f>IF($AH299="","",MAX(1,ROUNDUP($AI299/$J299,0)))</f>
        <v/>
      </c>
      <c r="AK299" s="71">
        <f>IF($AJ299="","",IF(DAY(EDATE($AH299,$AJ299*$J299))&lt;DAY($AH299),EDATE($AH299,$AJ299*$J299),EDATE($AH299,$AJ299*$J299)-1))</f>
        <v/>
      </c>
      <c r="AL299" s="71">
        <f>IF($AJ299="","",IF(DAY(EDATE($AH299,($AJ299+1)*$J299))&lt;DAY($AH299),EDATE($AH299,($AJ299+1)*$J299),EDATE($AH299,($AJ299+1)*$J299)-1))</f>
        <v/>
      </c>
      <c r="AM299" s="71">
        <f>IF($AJ299="","",IF($AJ299=1,$H299,IF(DAY(EDATE($AH299,($AJ299-1)*$J299))&lt;DAY($AH299),EDATE($AH299,($AJ299-1)*$J299),EDATE($AH299,($AJ299-1)*$J299)-1)))</f>
        <v/>
      </c>
      <c r="AN299" s="32">
        <f>IF(NOT(ISNUMBER($H299)),"",IF(OR($AH299="",$H299&gt;='設定'!$B$6),0,IF($AK299&gt;='設定'!$B$6,$AJ299,$AJ299+1)))</f>
        <v/>
      </c>
      <c r="AO299" s="71">
        <f>IF($AN299="","",IF($AN299=0,"",IF($AN299=$AJ299,$AM299,$AK299)))</f>
        <v/>
      </c>
      <c r="AP299" s="32">
        <f>IF(OR($AC299="要対応",$AC299="通知期限切れ",$AC299="確認済み",$AC299="有効",$AC299="終了予定"),1,0)</f>
        <v/>
      </c>
      <c r="AQ299" s="32">
        <f>IF(OR($AC299="要対応",$AC299="通知期限切れ"),1,0)</f>
        <v/>
      </c>
      <c r="AR299" s="72">
        <f>IF(AND(ISNUMBER($AB299),OR($AC299="要対応",$AC299="通知期限切れ",$AC299="確認済み",$AC299="有効")),$AB299+ROW()/100000,"")</f>
        <v/>
      </c>
      <c r="AS299" s="32">
        <f>IF($E299="","",IF(COUNTIF($E$5:$E299,$E299)=1,ROW(),""))</f>
        <v/>
      </c>
      <c r="AT299" s="32">
        <f>IF($S299="","",IF(COUNTIF($S$5:$S299,$S299)=1,ROW(),""))</f>
        <v/>
      </c>
    </row>
    <row r="300" ht="20" customHeight="1">
      <c r="A300" s="20" t="n">
        <v>296</v>
      </c>
      <c r="B300" s="21" t="n"/>
      <c r="C300" s="22" t="n"/>
      <c r="D300" s="22" t="n"/>
      <c r="E300" s="22" t="n"/>
      <c r="F300" s="66" t="n"/>
      <c r="G300" s="66" t="n"/>
      <c r="H300" s="66" t="n"/>
      <c r="I300" s="21" t="n"/>
      <c r="J300" s="24" t="n"/>
      <c r="K300" s="24" t="n"/>
      <c r="L300" s="21" t="n"/>
      <c r="M300" s="24" t="n"/>
      <c r="N300" s="21" t="n"/>
      <c r="O300" s="67" t="n"/>
      <c r="P300" s="21" t="n"/>
      <c r="Q300" s="21" t="n"/>
      <c r="R300" s="22" t="n"/>
      <c r="S300" s="22" t="n"/>
      <c r="T300" s="21" t="n"/>
      <c r="U300" s="66" t="n"/>
      <c r="V300" s="66" t="n"/>
      <c r="W300" s="66" t="n"/>
      <c r="X300" s="8" t="n"/>
      <c r="Y300" s="68">
        <f>IF($AN300="","",IF($AN300=0,$H300,IF($AN300=$AJ300,$AK300,$AL300)))</f>
        <v/>
      </c>
      <c r="Z300" s="68">
        <f>IF(OR($Y300="",NOT(ISNUMBER($K300))),"",IF($L300="日前",$Y300-$K300,EDATE($Y300,-$K300)))</f>
        <v/>
      </c>
      <c r="AA300" s="68">
        <f>IF(OR($Y300="",ISNUMBER($V300),N($Y300)&lt;'設定'!$B$6),"",IF($Z300&lt;&gt;"",$Z300,$Y300))</f>
        <v/>
      </c>
      <c r="AB300" s="69">
        <f>IF($AA300="","",$AA300-'設定'!$B$6)</f>
        <v/>
      </c>
      <c r="AC300" s="28">
        <f>IF(NOT(OR($B300&lt;&gt;"",$C300&lt;&gt;"")),"",IF(ISNUMBER($V300),IF($V300&lt;'設定'!$B$6,"終了","終了予定"),IF($Y300="","有効",IF($Y300&lt;'設定'!$B$6,"満了",IF(AND($T300="更新する",ISNUMBER($U300),N($U300)&lt;='設定'!$B$6,OR($AO300="",N($U300)&gt;N($AO300))),"確認済み",IF($AB300&lt;0,"通知期限切れ",IF($AB300&lt;=N('設定'!$B$7),"要対応","有効")))))))</f>
        <v/>
      </c>
      <c r="AD300" s="68">
        <f>IF(OR(NOT(ISNUMBER($M300)),$AC300="",$AC300="終了",$AC300="終了予定",$AC300="満了"),"",IF($N300="日前",'設定'!$B$6+$M300,EDATE('設定'!$B$6,$M300)))</f>
        <v/>
      </c>
      <c r="AE300" s="70">
        <f>IF(NOT(ISNUMBER($O300)),"",IF($P300="月額",$O300*12,IF($P300="年額",$O300,"")))</f>
        <v/>
      </c>
      <c r="AF300" s="30">
        <f>MID(IF(AND(ISNUMBER($G300),ISNUMBER($H300)),IF(N($H300)&lt;N($G300)," / 満了日が開始日より前",""),"")&amp;IF(AND($I300="あり",NOT(ISNUMBER($H300)))," / 自動更新ありなのに満了日が空","")&amp;IF(AND($I300="あり",ISNUMBER($H300),NOT(ISNUMBER($J300)))," / 更新期間が空（更新を計算できない）","")&amp;IF($AH300="","",IF(AND(DAY($AH300)&gt;=29,OR(MOD($J300,12)&lt;&gt;0,MONTH($AH300)=2))," / 更新の初日が29〜31日（更新を重ねると満了日が1日ずれることがある。満了日を今の期間の満了日に書き換えると直る）",""))&amp;IF(AND(ISNUMBER($K300),$L300="")," / 通知の単位が空（か月前で計算）","")&amp;IF(AND(ISNUMBER($M300),$N300="")," / 解約予告の単位が空（か月前で計算）","")&amp;IF(AND(ISNUMBER($O300),$P300="")," / 金額の区分が空","")&amp;IF(AND($T300&lt;&gt;"",NOT(ISNUMBER($U300)))," / 対応を決めた日が空","")&amp;IF(AND(ISNUMBER($U300),$T300="")," / 今期の対応が空","")&amp;IF(AND($T300="更新しない",NOT(ISNUMBER($V300)))," / 更新しないなら、解約・終了した日（契約が終わる日）を入れる",""),4,300)</f>
        <v/>
      </c>
      <c r="AG300" s="53" t="n"/>
      <c r="AH300" s="71">
        <f>IF(AND(ISNUMBER($H300),$I300="あり",ISNUMBER($J300)),IF($J300&gt;=1,$H300+1,""),"")</f>
        <v/>
      </c>
      <c r="AI300" s="32">
        <f>IF($AH300="","",(YEAR('設定'!$B$6)-YEAR($AH300))*12+MONTH('設定'!$B$6)-MONTH($AH300))</f>
        <v/>
      </c>
      <c r="AJ300" s="32">
        <f>IF($AH300="","",MAX(1,ROUNDUP($AI300/$J300,0)))</f>
        <v/>
      </c>
      <c r="AK300" s="71">
        <f>IF($AJ300="","",IF(DAY(EDATE($AH300,$AJ300*$J300))&lt;DAY($AH300),EDATE($AH300,$AJ300*$J300),EDATE($AH300,$AJ300*$J300)-1))</f>
        <v/>
      </c>
      <c r="AL300" s="71">
        <f>IF($AJ300="","",IF(DAY(EDATE($AH300,($AJ300+1)*$J300))&lt;DAY($AH300),EDATE($AH300,($AJ300+1)*$J300),EDATE($AH300,($AJ300+1)*$J300)-1))</f>
        <v/>
      </c>
      <c r="AM300" s="71">
        <f>IF($AJ300="","",IF($AJ300=1,$H300,IF(DAY(EDATE($AH300,($AJ300-1)*$J300))&lt;DAY($AH300),EDATE($AH300,($AJ300-1)*$J300),EDATE($AH300,($AJ300-1)*$J300)-1)))</f>
        <v/>
      </c>
      <c r="AN300" s="32">
        <f>IF(NOT(ISNUMBER($H300)),"",IF(OR($AH300="",$H300&gt;='設定'!$B$6),0,IF($AK300&gt;='設定'!$B$6,$AJ300,$AJ300+1)))</f>
        <v/>
      </c>
      <c r="AO300" s="71">
        <f>IF($AN300="","",IF($AN300=0,"",IF($AN300=$AJ300,$AM300,$AK300)))</f>
        <v/>
      </c>
      <c r="AP300" s="32">
        <f>IF(OR($AC300="要対応",$AC300="通知期限切れ",$AC300="確認済み",$AC300="有効",$AC300="終了予定"),1,0)</f>
        <v/>
      </c>
      <c r="AQ300" s="32">
        <f>IF(OR($AC300="要対応",$AC300="通知期限切れ"),1,0)</f>
        <v/>
      </c>
      <c r="AR300" s="72">
        <f>IF(AND(ISNUMBER($AB300),OR($AC300="要対応",$AC300="通知期限切れ",$AC300="確認済み",$AC300="有効")),$AB300+ROW()/100000,"")</f>
        <v/>
      </c>
      <c r="AS300" s="32">
        <f>IF($E300="","",IF(COUNTIF($E$5:$E300,$E300)=1,ROW(),""))</f>
        <v/>
      </c>
      <c r="AT300" s="32">
        <f>IF($S300="","",IF(COUNTIF($S$5:$S300,$S300)=1,ROW(),""))</f>
        <v/>
      </c>
    </row>
    <row r="301" ht="20" customHeight="1">
      <c r="A301" s="20" t="n">
        <v>297</v>
      </c>
      <c r="B301" s="21" t="n"/>
      <c r="C301" s="22" t="n"/>
      <c r="D301" s="22" t="n"/>
      <c r="E301" s="22" t="n"/>
      <c r="F301" s="66" t="n"/>
      <c r="G301" s="66" t="n"/>
      <c r="H301" s="66" t="n"/>
      <c r="I301" s="21" t="n"/>
      <c r="J301" s="24" t="n"/>
      <c r="K301" s="24" t="n"/>
      <c r="L301" s="21" t="n"/>
      <c r="M301" s="24" t="n"/>
      <c r="N301" s="21" t="n"/>
      <c r="O301" s="67" t="n"/>
      <c r="P301" s="21" t="n"/>
      <c r="Q301" s="21" t="n"/>
      <c r="R301" s="22" t="n"/>
      <c r="S301" s="22" t="n"/>
      <c r="T301" s="21" t="n"/>
      <c r="U301" s="66" t="n"/>
      <c r="V301" s="66" t="n"/>
      <c r="W301" s="66" t="n"/>
      <c r="X301" s="8" t="n"/>
      <c r="Y301" s="68">
        <f>IF($AN301="","",IF($AN301=0,$H301,IF($AN301=$AJ301,$AK301,$AL301)))</f>
        <v/>
      </c>
      <c r="Z301" s="68">
        <f>IF(OR($Y301="",NOT(ISNUMBER($K301))),"",IF($L301="日前",$Y301-$K301,EDATE($Y301,-$K301)))</f>
        <v/>
      </c>
      <c r="AA301" s="68">
        <f>IF(OR($Y301="",ISNUMBER($V301),N($Y301)&lt;'設定'!$B$6),"",IF($Z301&lt;&gt;"",$Z301,$Y301))</f>
        <v/>
      </c>
      <c r="AB301" s="69">
        <f>IF($AA301="","",$AA301-'設定'!$B$6)</f>
        <v/>
      </c>
      <c r="AC301" s="28">
        <f>IF(NOT(OR($B301&lt;&gt;"",$C301&lt;&gt;"")),"",IF(ISNUMBER($V301),IF($V301&lt;'設定'!$B$6,"終了","終了予定"),IF($Y301="","有効",IF($Y301&lt;'設定'!$B$6,"満了",IF(AND($T301="更新する",ISNUMBER($U301),N($U301)&lt;='設定'!$B$6,OR($AO301="",N($U301)&gt;N($AO301))),"確認済み",IF($AB301&lt;0,"通知期限切れ",IF($AB301&lt;=N('設定'!$B$7),"要対応","有効")))))))</f>
        <v/>
      </c>
      <c r="AD301" s="68">
        <f>IF(OR(NOT(ISNUMBER($M301)),$AC301="",$AC301="終了",$AC301="終了予定",$AC301="満了"),"",IF($N301="日前",'設定'!$B$6+$M301,EDATE('設定'!$B$6,$M301)))</f>
        <v/>
      </c>
      <c r="AE301" s="70">
        <f>IF(NOT(ISNUMBER($O301)),"",IF($P301="月額",$O301*12,IF($P301="年額",$O301,"")))</f>
        <v/>
      </c>
      <c r="AF301" s="30">
        <f>MID(IF(AND(ISNUMBER($G301),ISNUMBER($H301)),IF(N($H301)&lt;N($G301)," / 満了日が開始日より前",""),"")&amp;IF(AND($I301="あり",NOT(ISNUMBER($H301)))," / 自動更新ありなのに満了日が空","")&amp;IF(AND($I301="あり",ISNUMBER($H301),NOT(ISNUMBER($J301)))," / 更新期間が空（更新を計算できない）","")&amp;IF($AH301="","",IF(AND(DAY($AH301)&gt;=29,OR(MOD($J301,12)&lt;&gt;0,MONTH($AH301)=2))," / 更新の初日が29〜31日（更新を重ねると満了日が1日ずれることがある。満了日を今の期間の満了日に書き換えると直る）",""))&amp;IF(AND(ISNUMBER($K301),$L301="")," / 通知の単位が空（か月前で計算）","")&amp;IF(AND(ISNUMBER($M301),$N301="")," / 解約予告の単位が空（か月前で計算）","")&amp;IF(AND(ISNUMBER($O301),$P301="")," / 金額の区分が空","")&amp;IF(AND($T301&lt;&gt;"",NOT(ISNUMBER($U301)))," / 対応を決めた日が空","")&amp;IF(AND(ISNUMBER($U301),$T301="")," / 今期の対応が空","")&amp;IF(AND($T301="更新しない",NOT(ISNUMBER($V301)))," / 更新しないなら、解約・終了した日（契約が終わる日）を入れる",""),4,300)</f>
        <v/>
      </c>
      <c r="AG301" s="53" t="n"/>
      <c r="AH301" s="71">
        <f>IF(AND(ISNUMBER($H301),$I301="あり",ISNUMBER($J301)),IF($J301&gt;=1,$H301+1,""),"")</f>
        <v/>
      </c>
      <c r="AI301" s="32">
        <f>IF($AH301="","",(YEAR('設定'!$B$6)-YEAR($AH301))*12+MONTH('設定'!$B$6)-MONTH($AH301))</f>
        <v/>
      </c>
      <c r="AJ301" s="32">
        <f>IF($AH301="","",MAX(1,ROUNDUP($AI301/$J301,0)))</f>
        <v/>
      </c>
      <c r="AK301" s="71">
        <f>IF($AJ301="","",IF(DAY(EDATE($AH301,$AJ301*$J301))&lt;DAY($AH301),EDATE($AH301,$AJ301*$J301),EDATE($AH301,$AJ301*$J301)-1))</f>
        <v/>
      </c>
      <c r="AL301" s="71">
        <f>IF($AJ301="","",IF(DAY(EDATE($AH301,($AJ301+1)*$J301))&lt;DAY($AH301),EDATE($AH301,($AJ301+1)*$J301),EDATE($AH301,($AJ301+1)*$J301)-1))</f>
        <v/>
      </c>
      <c r="AM301" s="71">
        <f>IF($AJ301="","",IF($AJ301=1,$H301,IF(DAY(EDATE($AH301,($AJ301-1)*$J301))&lt;DAY($AH301),EDATE($AH301,($AJ301-1)*$J301),EDATE($AH301,($AJ301-1)*$J301)-1)))</f>
        <v/>
      </c>
      <c r="AN301" s="32">
        <f>IF(NOT(ISNUMBER($H301)),"",IF(OR($AH301="",$H301&gt;='設定'!$B$6),0,IF($AK301&gt;='設定'!$B$6,$AJ301,$AJ301+1)))</f>
        <v/>
      </c>
      <c r="AO301" s="71">
        <f>IF($AN301="","",IF($AN301=0,"",IF($AN301=$AJ301,$AM301,$AK301)))</f>
        <v/>
      </c>
      <c r="AP301" s="32">
        <f>IF(OR($AC301="要対応",$AC301="通知期限切れ",$AC301="確認済み",$AC301="有効",$AC301="終了予定"),1,0)</f>
        <v/>
      </c>
      <c r="AQ301" s="32">
        <f>IF(OR($AC301="要対応",$AC301="通知期限切れ"),1,0)</f>
        <v/>
      </c>
      <c r="AR301" s="72">
        <f>IF(AND(ISNUMBER($AB301),OR($AC301="要対応",$AC301="通知期限切れ",$AC301="確認済み",$AC301="有効")),$AB301+ROW()/100000,"")</f>
        <v/>
      </c>
      <c r="AS301" s="32">
        <f>IF($E301="","",IF(COUNTIF($E$5:$E301,$E301)=1,ROW(),""))</f>
        <v/>
      </c>
      <c r="AT301" s="32">
        <f>IF($S301="","",IF(COUNTIF($S$5:$S301,$S301)=1,ROW(),""))</f>
        <v/>
      </c>
    </row>
    <row r="302" ht="20" customHeight="1">
      <c r="A302" s="20" t="n">
        <v>298</v>
      </c>
      <c r="B302" s="21" t="n"/>
      <c r="C302" s="22" t="n"/>
      <c r="D302" s="22" t="n"/>
      <c r="E302" s="22" t="n"/>
      <c r="F302" s="66" t="n"/>
      <c r="G302" s="66" t="n"/>
      <c r="H302" s="66" t="n"/>
      <c r="I302" s="21" t="n"/>
      <c r="J302" s="24" t="n"/>
      <c r="K302" s="24" t="n"/>
      <c r="L302" s="21" t="n"/>
      <c r="M302" s="24" t="n"/>
      <c r="N302" s="21" t="n"/>
      <c r="O302" s="67" t="n"/>
      <c r="P302" s="21" t="n"/>
      <c r="Q302" s="21" t="n"/>
      <c r="R302" s="22" t="n"/>
      <c r="S302" s="22" t="n"/>
      <c r="T302" s="21" t="n"/>
      <c r="U302" s="66" t="n"/>
      <c r="V302" s="66" t="n"/>
      <c r="W302" s="66" t="n"/>
      <c r="X302" s="8" t="n"/>
      <c r="Y302" s="68">
        <f>IF($AN302="","",IF($AN302=0,$H302,IF($AN302=$AJ302,$AK302,$AL302)))</f>
        <v/>
      </c>
      <c r="Z302" s="68">
        <f>IF(OR($Y302="",NOT(ISNUMBER($K302))),"",IF($L302="日前",$Y302-$K302,EDATE($Y302,-$K302)))</f>
        <v/>
      </c>
      <c r="AA302" s="68">
        <f>IF(OR($Y302="",ISNUMBER($V302),N($Y302)&lt;'設定'!$B$6),"",IF($Z302&lt;&gt;"",$Z302,$Y302))</f>
        <v/>
      </c>
      <c r="AB302" s="69">
        <f>IF($AA302="","",$AA302-'設定'!$B$6)</f>
        <v/>
      </c>
      <c r="AC302" s="28">
        <f>IF(NOT(OR($B302&lt;&gt;"",$C302&lt;&gt;"")),"",IF(ISNUMBER($V302),IF($V302&lt;'設定'!$B$6,"終了","終了予定"),IF($Y302="","有効",IF($Y302&lt;'設定'!$B$6,"満了",IF(AND($T302="更新する",ISNUMBER($U302),N($U302)&lt;='設定'!$B$6,OR($AO302="",N($U302)&gt;N($AO302))),"確認済み",IF($AB302&lt;0,"通知期限切れ",IF($AB302&lt;=N('設定'!$B$7),"要対応","有効")))))))</f>
        <v/>
      </c>
      <c r="AD302" s="68">
        <f>IF(OR(NOT(ISNUMBER($M302)),$AC302="",$AC302="終了",$AC302="終了予定",$AC302="満了"),"",IF($N302="日前",'設定'!$B$6+$M302,EDATE('設定'!$B$6,$M302)))</f>
        <v/>
      </c>
      <c r="AE302" s="70">
        <f>IF(NOT(ISNUMBER($O302)),"",IF($P302="月額",$O302*12,IF($P302="年額",$O302,"")))</f>
        <v/>
      </c>
      <c r="AF302" s="30">
        <f>MID(IF(AND(ISNUMBER($G302),ISNUMBER($H302)),IF(N($H302)&lt;N($G302)," / 満了日が開始日より前",""),"")&amp;IF(AND($I302="あり",NOT(ISNUMBER($H302)))," / 自動更新ありなのに満了日が空","")&amp;IF(AND($I302="あり",ISNUMBER($H302),NOT(ISNUMBER($J302)))," / 更新期間が空（更新を計算できない）","")&amp;IF($AH302="","",IF(AND(DAY($AH302)&gt;=29,OR(MOD($J302,12)&lt;&gt;0,MONTH($AH302)=2))," / 更新の初日が29〜31日（更新を重ねると満了日が1日ずれることがある。満了日を今の期間の満了日に書き換えると直る）",""))&amp;IF(AND(ISNUMBER($K302),$L302="")," / 通知の単位が空（か月前で計算）","")&amp;IF(AND(ISNUMBER($M302),$N302="")," / 解約予告の単位が空（か月前で計算）","")&amp;IF(AND(ISNUMBER($O302),$P302="")," / 金額の区分が空","")&amp;IF(AND($T302&lt;&gt;"",NOT(ISNUMBER($U302)))," / 対応を決めた日が空","")&amp;IF(AND(ISNUMBER($U302),$T302="")," / 今期の対応が空","")&amp;IF(AND($T302="更新しない",NOT(ISNUMBER($V302)))," / 更新しないなら、解約・終了した日（契約が終わる日）を入れる",""),4,300)</f>
        <v/>
      </c>
      <c r="AG302" s="53" t="n"/>
      <c r="AH302" s="71">
        <f>IF(AND(ISNUMBER($H302),$I302="あり",ISNUMBER($J302)),IF($J302&gt;=1,$H302+1,""),"")</f>
        <v/>
      </c>
      <c r="AI302" s="32">
        <f>IF($AH302="","",(YEAR('設定'!$B$6)-YEAR($AH302))*12+MONTH('設定'!$B$6)-MONTH($AH302))</f>
        <v/>
      </c>
      <c r="AJ302" s="32">
        <f>IF($AH302="","",MAX(1,ROUNDUP($AI302/$J302,0)))</f>
        <v/>
      </c>
      <c r="AK302" s="71">
        <f>IF($AJ302="","",IF(DAY(EDATE($AH302,$AJ302*$J302))&lt;DAY($AH302),EDATE($AH302,$AJ302*$J302),EDATE($AH302,$AJ302*$J302)-1))</f>
        <v/>
      </c>
      <c r="AL302" s="71">
        <f>IF($AJ302="","",IF(DAY(EDATE($AH302,($AJ302+1)*$J302))&lt;DAY($AH302),EDATE($AH302,($AJ302+1)*$J302),EDATE($AH302,($AJ302+1)*$J302)-1))</f>
        <v/>
      </c>
      <c r="AM302" s="71">
        <f>IF($AJ302="","",IF($AJ302=1,$H302,IF(DAY(EDATE($AH302,($AJ302-1)*$J302))&lt;DAY($AH302),EDATE($AH302,($AJ302-1)*$J302),EDATE($AH302,($AJ302-1)*$J302)-1)))</f>
        <v/>
      </c>
      <c r="AN302" s="32">
        <f>IF(NOT(ISNUMBER($H302)),"",IF(OR($AH302="",$H302&gt;='設定'!$B$6),0,IF($AK302&gt;='設定'!$B$6,$AJ302,$AJ302+1)))</f>
        <v/>
      </c>
      <c r="AO302" s="71">
        <f>IF($AN302="","",IF($AN302=0,"",IF($AN302=$AJ302,$AM302,$AK302)))</f>
        <v/>
      </c>
      <c r="AP302" s="32">
        <f>IF(OR($AC302="要対応",$AC302="通知期限切れ",$AC302="確認済み",$AC302="有効",$AC302="終了予定"),1,0)</f>
        <v/>
      </c>
      <c r="AQ302" s="32">
        <f>IF(OR($AC302="要対応",$AC302="通知期限切れ"),1,0)</f>
        <v/>
      </c>
      <c r="AR302" s="72">
        <f>IF(AND(ISNUMBER($AB302),OR($AC302="要対応",$AC302="通知期限切れ",$AC302="確認済み",$AC302="有効")),$AB302+ROW()/100000,"")</f>
        <v/>
      </c>
      <c r="AS302" s="32">
        <f>IF($E302="","",IF(COUNTIF($E$5:$E302,$E302)=1,ROW(),""))</f>
        <v/>
      </c>
      <c r="AT302" s="32">
        <f>IF($S302="","",IF(COUNTIF($S$5:$S302,$S302)=1,ROW(),""))</f>
        <v/>
      </c>
    </row>
    <row r="303" ht="20" customHeight="1">
      <c r="A303" s="20" t="n">
        <v>299</v>
      </c>
      <c r="B303" s="21" t="n"/>
      <c r="C303" s="22" t="n"/>
      <c r="D303" s="22" t="n"/>
      <c r="E303" s="22" t="n"/>
      <c r="F303" s="66" t="n"/>
      <c r="G303" s="66" t="n"/>
      <c r="H303" s="66" t="n"/>
      <c r="I303" s="21" t="n"/>
      <c r="J303" s="24" t="n"/>
      <c r="K303" s="24" t="n"/>
      <c r="L303" s="21" t="n"/>
      <c r="M303" s="24" t="n"/>
      <c r="N303" s="21" t="n"/>
      <c r="O303" s="67" t="n"/>
      <c r="P303" s="21" t="n"/>
      <c r="Q303" s="21" t="n"/>
      <c r="R303" s="22" t="n"/>
      <c r="S303" s="22" t="n"/>
      <c r="T303" s="21" t="n"/>
      <c r="U303" s="66" t="n"/>
      <c r="V303" s="66" t="n"/>
      <c r="W303" s="66" t="n"/>
      <c r="X303" s="8" t="n"/>
      <c r="Y303" s="68">
        <f>IF($AN303="","",IF($AN303=0,$H303,IF($AN303=$AJ303,$AK303,$AL303)))</f>
        <v/>
      </c>
      <c r="Z303" s="68">
        <f>IF(OR($Y303="",NOT(ISNUMBER($K303))),"",IF($L303="日前",$Y303-$K303,EDATE($Y303,-$K303)))</f>
        <v/>
      </c>
      <c r="AA303" s="68">
        <f>IF(OR($Y303="",ISNUMBER($V303),N($Y303)&lt;'設定'!$B$6),"",IF($Z303&lt;&gt;"",$Z303,$Y303))</f>
        <v/>
      </c>
      <c r="AB303" s="69">
        <f>IF($AA303="","",$AA303-'設定'!$B$6)</f>
        <v/>
      </c>
      <c r="AC303" s="28">
        <f>IF(NOT(OR($B303&lt;&gt;"",$C303&lt;&gt;"")),"",IF(ISNUMBER($V303),IF($V303&lt;'設定'!$B$6,"終了","終了予定"),IF($Y303="","有効",IF($Y303&lt;'設定'!$B$6,"満了",IF(AND($T303="更新する",ISNUMBER($U303),N($U303)&lt;='設定'!$B$6,OR($AO303="",N($U303)&gt;N($AO303))),"確認済み",IF($AB303&lt;0,"通知期限切れ",IF($AB303&lt;=N('設定'!$B$7),"要対応","有効")))))))</f>
        <v/>
      </c>
      <c r="AD303" s="68">
        <f>IF(OR(NOT(ISNUMBER($M303)),$AC303="",$AC303="終了",$AC303="終了予定",$AC303="満了"),"",IF($N303="日前",'設定'!$B$6+$M303,EDATE('設定'!$B$6,$M303)))</f>
        <v/>
      </c>
      <c r="AE303" s="70">
        <f>IF(NOT(ISNUMBER($O303)),"",IF($P303="月額",$O303*12,IF($P303="年額",$O303,"")))</f>
        <v/>
      </c>
      <c r="AF303" s="30">
        <f>MID(IF(AND(ISNUMBER($G303),ISNUMBER($H303)),IF(N($H303)&lt;N($G303)," / 満了日が開始日より前",""),"")&amp;IF(AND($I303="あり",NOT(ISNUMBER($H303)))," / 自動更新ありなのに満了日が空","")&amp;IF(AND($I303="あり",ISNUMBER($H303),NOT(ISNUMBER($J303)))," / 更新期間が空（更新を計算できない）","")&amp;IF($AH303="","",IF(AND(DAY($AH303)&gt;=29,OR(MOD($J303,12)&lt;&gt;0,MONTH($AH303)=2))," / 更新の初日が29〜31日（更新を重ねると満了日が1日ずれることがある。満了日を今の期間の満了日に書き換えると直る）",""))&amp;IF(AND(ISNUMBER($K303),$L303="")," / 通知の単位が空（か月前で計算）","")&amp;IF(AND(ISNUMBER($M303),$N303="")," / 解約予告の単位が空（か月前で計算）","")&amp;IF(AND(ISNUMBER($O303),$P303="")," / 金額の区分が空","")&amp;IF(AND($T303&lt;&gt;"",NOT(ISNUMBER($U303)))," / 対応を決めた日が空","")&amp;IF(AND(ISNUMBER($U303),$T303="")," / 今期の対応が空","")&amp;IF(AND($T303="更新しない",NOT(ISNUMBER($V303)))," / 更新しないなら、解約・終了した日（契約が終わる日）を入れる",""),4,300)</f>
        <v/>
      </c>
      <c r="AG303" s="53" t="n"/>
      <c r="AH303" s="71">
        <f>IF(AND(ISNUMBER($H303),$I303="あり",ISNUMBER($J303)),IF($J303&gt;=1,$H303+1,""),"")</f>
        <v/>
      </c>
      <c r="AI303" s="32">
        <f>IF($AH303="","",(YEAR('設定'!$B$6)-YEAR($AH303))*12+MONTH('設定'!$B$6)-MONTH($AH303))</f>
        <v/>
      </c>
      <c r="AJ303" s="32">
        <f>IF($AH303="","",MAX(1,ROUNDUP($AI303/$J303,0)))</f>
        <v/>
      </c>
      <c r="AK303" s="71">
        <f>IF($AJ303="","",IF(DAY(EDATE($AH303,$AJ303*$J303))&lt;DAY($AH303),EDATE($AH303,$AJ303*$J303),EDATE($AH303,$AJ303*$J303)-1))</f>
        <v/>
      </c>
      <c r="AL303" s="71">
        <f>IF($AJ303="","",IF(DAY(EDATE($AH303,($AJ303+1)*$J303))&lt;DAY($AH303),EDATE($AH303,($AJ303+1)*$J303),EDATE($AH303,($AJ303+1)*$J303)-1))</f>
        <v/>
      </c>
      <c r="AM303" s="71">
        <f>IF($AJ303="","",IF($AJ303=1,$H303,IF(DAY(EDATE($AH303,($AJ303-1)*$J303))&lt;DAY($AH303),EDATE($AH303,($AJ303-1)*$J303),EDATE($AH303,($AJ303-1)*$J303)-1)))</f>
        <v/>
      </c>
      <c r="AN303" s="32">
        <f>IF(NOT(ISNUMBER($H303)),"",IF(OR($AH303="",$H303&gt;='設定'!$B$6),0,IF($AK303&gt;='設定'!$B$6,$AJ303,$AJ303+1)))</f>
        <v/>
      </c>
      <c r="AO303" s="71">
        <f>IF($AN303="","",IF($AN303=0,"",IF($AN303=$AJ303,$AM303,$AK303)))</f>
        <v/>
      </c>
      <c r="AP303" s="32">
        <f>IF(OR($AC303="要対応",$AC303="通知期限切れ",$AC303="確認済み",$AC303="有効",$AC303="終了予定"),1,0)</f>
        <v/>
      </c>
      <c r="AQ303" s="32">
        <f>IF(OR($AC303="要対応",$AC303="通知期限切れ"),1,0)</f>
        <v/>
      </c>
      <c r="AR303" s="72">
        <f>IF(AND(ISNUMBER($AB303),OR($AC303="要対応",$AC303="通知期限切れ",$AC303="確認済み",$AC303="有効")),$AB303+ROW()/100000,"")</f>
        <v/>
      </c>
      <c r="AS303" s="32">
        <f>IF($E303="","",IF(COUNTIF($E$5:$E303,$E303)=1,ROW(),""))</f>
        <v/>
      </c>
      <c r="AT303" s="32">
        <f>IF($S303="","",IF(COUNTIF($S$5:$S303,$S303)=1,ROW(),""))</f>
        <v/>
      </c>
    </row>
    <row r="304" ht="20" customHeight="1">
      <c r="A304" s="20" t="n">
        <v>300</v>
      </c>
      <c r="B304" s="21" t="n"/>
      <c r="C304" s="22" t="n"/>
      <c r="D304" s="22" t="n"/>
      <c r="E304" s="22" t="n"/>
      <c r="F304" s="66" t="n"/>
      <c r="G304" s="66" t="n"/>
      <c r="H304" s="66" t="n"/>
      <c r="I304" s="21" t="n"/>
      <c r="J304" s="24" t="n"/>
      <c r="K304" s="24" t="n"/>
      <c r="L304" s="21" t="n"/>
      <c r="M304" s="24" t="n"/>
      <c r="N304" s="21" t="n"/>
      <c r="O304" s="67" t="n"/>
      <c r="P304" s="21" t="n"/>
      <c r="Q304" s="21" t="n"/>
      <c r="R304" s="22" t="n"/>
      <c r="S304" s="22" t="n"/>
      <c r="T304" s="21" t="n"/>
      <c r="U304" s="66" t="n"/>
      <c r="V304" s="66" t="n"/>
      <c r="W304" s="66" t="n"/>
      <c r="X304" s="8" t="n"/>
      <c r="Y304" s="68">
        <f>IF($AN304="","",IF($AN304=0,$H304,IF($AN304=$AJ304,$AK304,$AL304)))</f>
        <v/>
      </c>
      <c r="Z304" s="68">
        <f>IF(OR($Y304="",NOT(ISNUMBER($K304))),"",IF($L304="日前",$Y304-$K304,EDATE($Y304,-$K304)))</f>
        <v/>
      </c>
      <c r="AA304" s="68">
        <f>IF(OR($Y304="",ISNUMBER($V304),N($Y304)&lt;'設定'!$B$6),"",IF($Z304&lt;&gt;"",$Z304,$Y304))</f>
        <v/>
      </c>
      <c r="AB304" s="69">
        <f>IF($AA304="","",$AA304-'設定'!$B$6)</f>
        <v/>
      </c>
      <c r="AC304" s="28">
        <f>IF(NOT(OR($B304&lt;&gt;"",$C304&lt;&gt;"")),"",IF(ISNUMBER($V304),IF($V304&lt;'設定'!$B$6,"終了","終了予定"),IF($Y304="","有効",IF($Y304&lt;'設定'!$B$6,"満了",IF(AND($T304="更新する",ISNUMBER($U304),N($U304)&lt;='設定'!$B$6,OR($AO304="",N($U304)&gt;N($AO304))),"確認済み",IF($AB304&lt;0,"通知期限切れ",IF($AB304&lt;=N('設定'!$B$7),"要対応","有効")))))))</f>
        <v/>
      </c>
      <c r="AD304" s="68">
        <f>IF(OR(NOT(ISNUMBER($M304)),$AC304="",$AC304="終了",$AC304="終了予定",$AC304="満了"),"",IF($N304="日前",'設定'!$B$6+$M304,EDATE('設定'!$B$6,$M304)))</f>
        <v/>
      </c>
      <c r="AE304" s="70">
        <f>IF(NOT(ISNUMBER($O304)),"",IF($P304="月額",$O304*12,IF($P304="年額",$O304,"")))</f>
        <v/>
      </c>
      <c r="AF304" s="30">
        <f>MID(IF(AND(ISNUMBER($G304),ISNUMBER($H304)),IF(N($H304)&lt;N($G304)," / 満了日が開始日より前",""),"")&amp;IF(AND($I304="あり",NOT(ISNUMBER($H304)))," / 自動更新ありなのに満了日が空","")&amp;IF(AND($I304="あり",ISNUMBER($H304),NOT(ISNUMBER($J304)))," / 更新期間が空（更新を計算できない）","")&amp;IF($AH304="","",IF(AND(DAY($AH304)&gt;=29,OR(MOD($J304,12)&lt;&gt;0,MONTH($AH304)=2))," / 更新の初日が29〜31日（更新を重ねると満了日が1日ずれることがある。満了日を今の期間の満了日に書き換えると直る）",""))&amp;IF(AND(ISNUMBER($K304),$L304="")," / 通知の単位が空（か月前で計算）","")&amp;IF(AND(ISNUMBER($M304),$N304="")," / 解約予告の単位が空（か月前で計算）","")&amp;IF(AND(ISNUMBER($O304),$P304="")," / 金額の区分が空","")&amp;IF(AND($T304&lt;&gt;"",NOT(ISNUMBER($U304)))," / 対応を決めた日が空","")&amp;IF(AND(ISNUMBER($U304),$T304="")," / 今期の対応が空","")&amp;IF(AND($T304="更新しない",NOT(ISNUMBER($V304)))," / 更新しないなら、解約・終了した日（契約が終わる日）を入れる",""),4,300)</f>
        <v/>
      </c>
      <c r="AG304" s="53" t="n"/>
      <c r="AH304" s="71">
        <f>IF(AND(ISNUMBER($H304),$I304="あり",ISNUMBER($J304)),IF($J304&gt;=1,$H304+1,""),"")</f>
        <v/>
      </c>
      <c r="AI304" s="32">
        <f>IF($AH304="","",(YEAR('設定'!$B$6)-YEAR($AH304))*12+MONTH('設定'!$B$6)-MONTH($AH304))</f>
        <v/>
      </c>
      <c r="AJ304" s="32">
        <f>IF($AH304="","",MAX(1,ROUNDUP($AI304/$J304,0)))</f>
        <v/>
      </c>
      <c r="AK304" s="71">
        <f>IF($AJ304="","",IF(DAY(EDATE($AH304,$AJ304*$J304))&lt;DAY($AH304),EDATE($AH304,$AJ304*$J304),EDATE($AH304,$AJ304*$J304)-1))</f>
        <v/>
      </c>
      <c r="AL304" s="71">
        <f>IF($AJ304="","",IF(DAY(EDATE($AH304,($AJ304+1)*$J304))&lt;DAY($AH304),EDATE($AH304,($AJ304+1)*$J304),EDATE($AH304,($AJ304+1)*$J304)-1))</f>
        <v/>
      </c>
      <c r="AM304" s="71">
        <f>IF($AJ304="","",IF($AJ304=1,$H304,IF(DAY(EDATE($AH304,($AJ304-1)*$J304))&lt;DAY($AH304),EDATE($AH304,($AJ304-1)*$J304),EDATE($AH304,($AJ304-1)*$J304)-1)))</f>
        <v/>
      </c>
      <c r="AN304" s="32">
        <f>IF(NOT(ISNUMBER($H304)),"",IF(OR($AH304="",$H304&gt;='設定'!$B$6),0,IF($AK304&gt;='設定'!$B$6,$AJ304,$AJ304+1)))</f>
        <v/>
      </c>
      <c r="AO304" s="71">
        <f>IF($AN304="","",IF($AN304=0,"",IF($AN304=$AJ304,$AM304,$AK304)))</f>
        <v/>
      </c>
      <c r="AP304" s="32">
        <f>IF(OR($AC304="要対応",$AC304="通知期限切れ",$AC304="確認済み",$AC304="有効",$AC304="終了予定"),1,0)</f>
        <v/>
      </c>
      <c r="AQ304" s="32">
        <f>IF(OR($AC304="要対応",$AC304="通知期限切れ"),1,0)</f>
        <v/>
      </c>
      <c r="AR304" s="72">
        <f>IF(AND(ISNUMBER($AB304),OR($AC304="要対応",$AC304="通知期限切れ",$AC304="確認済み",$AC304="有効")),$AB304+ROW()/100000,"")</f>
        <v/>
      </c>
      <c r="AS304" s="32">
        <f>IF($E304="","",IF(COUNTIF($E$5:$E304,$E304)=1,ROW(),""))</f>
        <v/>
      </c>
      <c r="AT304" s="32">
        <f>IF($S304="","",IF(COUNTIF($S$5:$S304,$S304)=1,ROW(),""))</f>
        <v/>
      </c>
    </row>
  </sheetData>
  <autoFilter ref="A4:AF304"/>
  <mergeCells count="3">
    <mergeCell ref="A1:AF1"/>
    <mergeCell ref="D3:H3"/>
    <mergeCell ref="A2:AF2"/>
  </mergeCells>
  <conditionalFormatting sqref="B5:B304">
    <cfRule type="expression" priority="1" dxfId="0">
      <formula>AND($B5&lt;&gt;"",COUNTIF($B$5:$B$304,$B5)&gt;1)</formula>
    </cfRule>
  </conditionalFormatting>
  <conditionalFormatting sqref="AC5:AC304">
    <cfRule type="expression" priority="2" dxfId="0">
      <formula>$AC5="通知期限切れ"</formula>
    </cfRule>
    <cfRule type="expression" priority="3" dxfId="1">
      <formula>$AC5="要対応"</formula>
    </cfRule>
  </conditionalFormatting>
  <conditionalFormatting sqref="AB5:AB304">
    <cfRule type="expression" priority="4" dxfId="0">
      <formula>AND(ISNUMBER($AB5),$AB5&lt;0,$AC5="通知期限切れ")</formula>
    </cfRule>
  </conditionalFormatting>
  <conditionalFormatting sqref="AF5:AF304">
    <cfRule type="expression" priority="5" dxfId="1">
      <formula>$AF5&lt;&gt;""</formula>
    </cfRule>
  </conditionalFormatting>
  <conditionalFormatting sqref="B5:X304">
    <cfRule type="expression" priority="6" dxfId="2">
      <formula>OR($AC5="終了",$AC5="満了")</formula>
    </cfRule>
  </conditionalFormatting>
  <dataValidations count="19">
    <dataValidation sqref="B5:B304" showDropDown="0" showInputMessage="0" showErrorMessage="1" allowBlank="1" errorTitle="管理番号が重なっています" error="同じ管理番号がすでにあります。管理番号は1件に1つです。" type="custom">
      <formula1>COUNTIF($B$5:$B$304,B5)=1</formula1>
    </dataValidation>
    <dataValidation sqref="D5:D304" showDropDown="0" showInputMessage="0" showErrorMessage="1" allowBlank="1" errorTitle="一覧から選んでください" error="「設定」シートの契約の種類から選んでください。" type="list">
      <formula1>='設定'!$B$10:$B$24</formula1>
    </dataValidation>
    <dataValidation sqref="F5:F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G5:G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H5:H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U5:U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V5:V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W5:W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I5:I304" showDropDown="0" showInputMessage="0" showErrorMessage="1" allowBlank="1" errorTitle="一覧から選んでください" error="一覧から選んでください" type="list">
      <formula1>"あり,なし"</formula1>
    </dataValidation>
    <dataValidation sqref="J5:J304" showDropDown="0" showInputMessage="0" showErrorMessage="1" allowBlank="1" errorTitle="更新期間" error="1〜120 のか月数を入れてください（1年なら 12）。" type="whole" operator="between">
      <formula1>1</formula1>
      <formula2>120</formula2>
    </dataValidation>
    <dataValidation sqref="K5:K304" showDropDown="0" showInputMessage="0" showErrorMessage="1" allowBlank="1" errorTitle="通知期間" error="0〜999 の数を入れてください（単位は右の列で選ぶ）。" type="whole" operator="between">
      <formula1>0</formula1>
      <formula2>999</formula2>
    </dataValidation>
    <dataValidation sqref="L5:L304" showDropDown="0" showInputMessage="0" showErrorMessage="1" allowBlank="1" errorTitle="一覧から選んでください" error="一覧から選んでください" type="list">
      <formula1>"か月前,日前"</formula1>
    </dataValidation>
    <dataValidation sqref="M5:M304" showDropDown="0" showInputMessage="0" showErrorMessage="1" allowBlank="1" errorTitle="解約予告" error="0〜999 の数を入れてください（単位は右の列で選ぶ）。" type="whole" operator="between">
      <formula1>0</formula1>
      <formula2>999</formula2>
    </dataValidation>
    <dataValidation sqref="N5:N304" showDropDown="0" showInputMessage="0" showErrorMessage="1" allowBlank="1" errorTitle="一覧から選んでください" error="一覧から選んでください" type="list">
      <formula1>"か月前,日前"</formula1>
    </dataValidation>
    <dataValidation sqref="O5:O304" showDropDown="0" showInputMessage="0" showErrorMessage="1" allowBlank="1" errorTitle="金額" error="0以上の金額（円）を入れてください。" type="decimal" operator="between">
      <formula1>0</formula1>
      <formula2>99999999999</formula2>
    </dataValidation>
    <dataValidation sqref="P5:P304" showDropDown="0" showInputMessage="0" showErrorMessage="1" allowBlank="1" errorTitle="一覧から選んでください" error="一覧から選んでください" type="list">
      <formula1>"月額,年額,総額,単価・都度"</formula1>
    </dataValidation>
    <dataValidation sqref="Q5:Q304" showDropDown="0" showInputMessage="0" showErrorMessage="1" allowBlank="1" errorTitle="一覧から選んでください" error="一覧から選んでください" type="list">
      <formula1>"紙,電子"</formula1>
    </dataValidation>
    <dataValidation sqref="R5:R304" showDropDown="0" showInputMessage="0" showErrorMessage="1" allowBlank="1" errorTitle="一覧から選んでください" error="「設定」シートの保管場所の一覧から選んでください。" type="list">
      <formula1>='設定'!$B$27:$B$41</formula1>
    </dataValidation>
    <dataValidation sqref="T5:T304" showDropDown="0" showInputMessage="0" showErrorMessage="1" allowBlank="1" errorTitle="一覧から選んでください" error="一覧から選んでください" type="list">
      <formula1>"更新する,更新しない,見直す"</formula1>
    </dataValidation>
  </dataValidations>
  <pageMargins left="0.4" right="0.4" top="0.45" bottom="0.45" header="0.2" footer="0.2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O104"/>
  <sheetViews>
    <sheetView showGridLines="0" tabSelected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.5" customWidth="1" min="1" max="1"/>
    <col width="12.5" customWidth="1" min="2" max="2"/>
    <col width="10" customWidth="1" min="3" max="3"/>
    <col width="11" customWidth="1" min="4" max="4"/>
    <col width="9" customWidth="1" min="5" max="5"/>
    <col width="8.5" customWidth="1" min="6" max="6"/>
    <col width="22" customWidth="1" min="7" max="7"/>
    <col width="28" customWidth="1" min="8" max="8"/>
    <col width="14.5" customWidth="1" min="9" max="9"/>
    <col width="7" customWidth="1" min="10" max="10"/>
    <col width="11" customWidth="1" min="11" max="11"/>
    <col width="9" customWidth="1" min="12" max="12"/>
    <col width="13.5" customWidth="1" min="13" max="13"/>
    <col width="2" customWidth="1" min="14" max="14"/>
    <col width="7" customWidth="1" min="15" max="15"/>
  </cols>
  <sheetData>
    <row r="1" ht="26" customHeight="1">
      <c r="A1" s="52" t="inlineStr">
        <is>
          <t>期限一覧（判断の期限が近い順）（記入例）</t>
        </is>
      </c>
      <c r="B1" s="53" t="n"/>
      <c r="C1" s="53" t="n"/>
      <c r="D1" s="53" t="n"/>
      <c r="E1" s="53" t="n"/>
      <c r="F1" s="53" t="n"/>
      <c r="G1" s="53" t="n"/>
      <c r="H1" s="53" t="n"/>
      <c r="I1" s="53" t="n"/>
      <c r="J1" s="53" t="n"/>
      <c r="K1" s="53" t="n"/>
      <c r="L1" s="53" t="n"/>
      <c r="M1" s="53" t="n"/>
      <c r="N1" s="53" t="n"/>
      <c r="O1" s="53" t="n"/>
    </row>
    <row r="2" ht="20" customHeight="1">
      <c r="A2" s="57" t="inlineStr">
        <is>
          <t>基準日</t>
        </is>
      </c>
      <c r="B2" s="65" t="n"/>
      <c r="C2" s="68">
        <f>'設定'!$B$6</f>
        <v/>
      </c>
      <c r="D2" s="57" t="inlineStr">
        <is>
          <t>注意日数</t>
        </is>
      </c>
      <c r="E2" s="28">
        <f>N('設定'!$B$7)&amp;"日"</f>
        <v/>
      </c>
      <c r="F2" s="73">
        <f>"該当 "&amp;COUNT('契約台帳'!$AR$5:$AR$304)&amp;"件（要対応・通知期限切れ "&amp;SUM('契約台帳'!$AQ$5:$AQ$304)&amp;"件）"&amp;IF(COUNT('契約台帳'!$AR$5:$AR$304)&gt;100,"。101件目からは出ません","")</f>
        <v/>
      </c>
      <c r="G2" s="53" t="n"/>
      <c r="H2" s="53" t="n"/>
      <c r="I2" s="53" t="n"/>
      <c r="J2" s="53" t="n"/>
      <c r="K2" s="53" t="n"/>
      <c r="L2" s="53" t="n"/>
      <c r="M2" s="53" t="n"/>
      <c r="N2" s="53" t="n"/>
      <c r="O2" s="53" t="n"/>
    </row>
    <row r="3" ht="28" customHeight="1">
      <c r="A3" s="56" t="inlineStr">
        <is>
          <t>要対応・通知期限切れ・確認済み・有効の契約のうち、判断の期限（通知期限、なければ満了日）があるものが、期限の近い順に並びます。終了・満了した契約と、期間の定めのない契約は出ません。並びは自動で変わります（ここには入力しません）。</t>
        </is>
      </c>
      <c r="B3" s="53" t="n"/>
      <c r="C3" s="53" t="n"/>
      <c r="D3" s="53" t="n"/>
      <c r="E3" s="53" t="n"/>
      <c r="F3" s="53" t="n"/>
      <c r="G3" s="53" t="n"/>
      <c r="H3" s="53" t="n"/>
      <c r="I3" s="53" t="n"/>
      <c r="J3" s="53" t="n"/>
      <c r="K3" s="53" t="n"/>
      <c r="L3" s="53" t="n"/>
      <c r="M3" s="53" t="n"/>
      <c r="N3" s="53" t="n"/>
      <c r="O3" s="53" t="n"/>
    </row>
    <row r="4" ht="30" customHeight="1">
      <c r="A4" s="17" t="inlineStr">
        <is>
          <t>順</t>
        </is>
      </c>
      <c r="B4" s="17" t="inlineStr">
        <is>
          <t>状態</t>
        </is>
      </c>
      <c r="C4" s="17" t="inlineStr">
        <is>
          <t>期限まで</t>
        </is>
      </c>
      <c r="D4" s="17" t="inlineStr">
        <is>
          <t>判断の期限</t>
        </is>
      </c>
      <c r="E4" s="17" t="inlineStr">
        <is>
          <t>期限の種類</t>
        </is>
      </c>
      <c r="F4" s="17" t="inlineStr">
        <is>
          <t>管理番号</t>
        </is>
      </c>
      <c r="G4" s="17" t="inlineStr">
        <is>
          <t>契約先</t>
        </is>
      </c>
      <c r="H4" s="17" t="inlineStr">
        <is>
          <t>契約書の名称</t>
        </is>
      </c>
      <c r="I4" s="17" t="inlineStr">
        <is>
          <t>種類</t>
        </is>
      </c>
      <c r="J4" s="17" t="inlineStr">
        <is>
          <t>自動更新</t>
        </is>
      </c>
      <c r="K4" s="17" t="inlineStr">
        <is>
          <t>現在の満了日</t>
        </is>
      </c>
      <c r="L4" s="17" t="inlineStr">
        <is>
          <t>今期の対応</t>
        </is>
      </c>
      <c r="M4" s="17" t="inlineStr">
        <is>
          <t>担当者</t>
        </is>
      </c>
      <c r="N4" s="53" t="n"/>
      <c r="O4" s="19" t="inlineStr">
        <is>
          <t>作業列</t>
        </is>
      </c>
    </row>
    <row r="5" ht="18" customHeight="1">
      <c r="A5" s="36">
        <f>IF($O5="","",1)</f>
        <v/>
      </c>
      <c r="B5" s="36">
        <f>IF($O5="","",INDEX('契約台帳'!$AC$5:$AC$304,$O5)&amp;"")</f>
        <v/>
      </c>
      <c r="C5" s="74">
        <f>IF($O5="","",INDEX('契約台帳'!$AB$5:$AB$304,$O5))</f>
        <v/>
      </c>
      <c r="D5" s="75">
        <f>IF($O5="","",INDEX('契約台帳'!$AA$5:$AA$304,$O5))</f>
        <v/>
      </c>
      <c r="E5" s="36">
        <f>IF($O5="","",IF(ISNUMBER(INDEX('契約台帳'!$Z$5:$Z$304,$O5)),"通知期限","満了日"))</f>
        <v/>
      </c>
      <c r="F5" s="36">
        <f>IF($O5="","",INDEX('契約台帳'!$B$5:$B$304,$O5)&amp;"")</f>
        <v/>
      </c>
      <c r="G5" s="39">
        <f>IF($O5="","",INDEX('契約台帳'!$E$5:$E$304,$O5)&amp;"")</f>
        <v/>
      </c>
      <c r="H5" s="39">
        <f>IF($O5="","",INDEX('契約台帳'!$C$5:$C$304,$O5)&amp;"")</f>
        <v/>
      </c>
      <c r="I5" s="39">
        <f>IF($O5="","",INDEX('契約台帳'!$D$5:$D$304,$O5)&amp;"")</f>
        <v/>
      </c>
      <c r="J5" s="36">
        <f>IF($O5="","",INDEX('契約台帳'!$I$5:$I$304,$O5)&amp;"")</f>
        <v/>
      </c>
      <c r="K5" s="75">
        <f>IF($O5="","",INDEX('契約台帳'!$Y$5:$Y$304,$O5))</f>
        <v/>
      </c>
      <c r="L5" s="36">
        <f>IF($O5="","",INDEX('契約台帳'!$T$5:$T$304,$O5)&amp;"")</f>
        <v/>
      </c>
      <c r="M5" s="36">
        <f>IF($O5="","",INDEX('契約台帳'!$S$5:$S$304,$O5)&amp;"")</f>
        <v/>
      </c>
      <c r="N5" s="53" t="n"/>
      <c r="O5" s="76">
        <f>IFERROR(MATCH(SMALL('契約台帳'!$AR$5:$AR$304,1),'契約台帳'!$AR$5:$AR$304,0),"")</f>
        <v/>
      </c>
    </row>
    <row r="6" ht="18" customHeight="1">
      <c r="A6" s="36">
        <f>IF($O6="","",2)</f>
        <v/>
      </c>
      <c r="B6" s="36">
        <f>IF($O6="","",INDEX('契約台帳'!$AC$5:$AC$304,$O6)&amp;"")</f>
        <v/>
      </c>
      <c r="C6" s="74">
        <f>IF($O6="","",INDEX('契約台帳'!$AB$5:$AB$304,$O6))</f>
        <v/>
      </c>
      <c r="D6" s="75">
        <f>IF($O6="","",INDEX('契約台帳'!$AA$5:$AA$304,$O6))</f>
        <v/>
      </c>
      <c r="E6" s="36">
        <f>IF($O6="","",IF(ISNUMBER(INDEX('契約台帳'!$Z$5:$Z$304,$O6)),"通知期限","満了日"))</f>
        <v/>
      </c>
      <c r="F6" s="36">
        <f>IF($O6="","",INDEX('契約台帳'!$B$5:$B$304,$O6)&amp;"")</f>
        <v/>
      </c>
      <c r="G6" s="39">
        <f>IF($O6="","",INDEX('契約台帳'!$E$5:$E$304,$O6)&amp;"")</f>
        <v/>
      </c>
      <c r="H6" s="39">
        <f>IF($O6="","",INDEX('契約台帳'!$C$5:$C$304,$O6)&amp;"")</f>
        <v/>
      </c>
      <c r="I6" s="39">
        <f>IF($O6="","",INDEX('契約台帳'!$D$5:$D$304,$O6)&amp;"")</f>
        <v/>
      </c>
      <c r="J6" s="36">
        <f>IF($O6="","",INDEX('契約台帳'!$I$5:$I$304,$O6)&amp;"")</f>
        <v/>
      </c>
      <c r="K6" s="75">
        <f>IF($O6="","",INDEX('契約台帳'!$Y$5:$Y$304,$O6))</f>
        <v/>
      </c>
      <c r="L6" s="36">
        <f>IF($O6="","",INDEX('契約台帳'!$T$5:$T$304,$O6)&amp;"")</f>
        <v/>
      </c>
      <c r="M6" s="36">
        <f>IF($O6="","",INDEX('契約台帳'!$S$5:$S$304,$O6)&amp;"")</f>
        <v/>
      </c>
      <c r="N6" s="53" t="n"/>
      <c r="O6" s="76">
        <f>IFERROR(MATCH(SMALL('契約台帳'!$AR$5:$AR$304,2),'契約台帳'!$AR$5:$AR$304,0),"")</f>
        <v/>
      </c>
    </row>
    <row r="7" ht="18" customHeight="1">
      <c r="A7" s="36">
        <f>IF($O7="","",3)</f>
        <v/>
      </c>
      <c r="B7" s="36">
        <f>IF($O7="","",INDEX('契約台帳'!$AC$5:$AC$304,$O7)&amp;"")</f>
        <v/>
      </c>
      <c r="C7" s="74">
        <f>IF($O7="","",INDEX('契約台帳'!$AB$5:$AB$304,$O7))</f>
        <v/>
      </c>
      <c r="D7" s="75">
        <f>IF($O7="","",INDEX('契約台帳'!$AA$5:$AA$304,$O7))</f>
        <v/>
      </c>
      <c r="E7" s="36">
        <f>IF($O7="","",IF(ISNUMBER(INDEX('契約台帳'!$Z$5:$Z$304,$O7)),"通知期限","満了日"))</f>
        <v/>
      </c>
      <c r="F7" s="36">
        <f>IF($O7="","",INDEX('契約台帳'!$B$5:$B$304,$O7)&amp;"")</f>
        <v/>
      </c>
      <c r="G7" s="39">
        <f>IF($O7="","",INDEX('契約台帳'!$E$5:$E$304,$O7)&amp;"")</f>
        <v/>
      </c>
      <c r="H7" s="39">
        <f>IF($O7="","",INDEX('契約台帳'!$C$5:$C$304,$O7)&amp;"")</f>
        <v/>
      </c>
      <c r="I7" s="39">
        <f>IF($O7="","",INDEX('契約台帳'!$D$5:$D$304,$O7)&amp;"")</f>
        <v/>
      </c>
      <c r="J7" s="36">
        <f>IF($O7="","",INDEX('契約台帳'!$I$5:$I$304,$O7)&amp;"")</f>
        <v/>
      </c>
      <c r="K7" s="75">
        <f>IF($O7="","",INDEX('契約台帳'!$Y$5:$Y$304,$O7))</f>
        <v/>
      </c>
      <c r="L7" s="36">
        <f>IF($O7="","",INDEX('契約台帳'!$T$5:$T$304,$O7)&amp;"")</f>
        <v/>
      </c>
      <c r="M7" s="36">
        <f>IF($O7="","",INDEX('契約台帳'!$S$5:$S$304,$O7)&amp;"")</f>
        <v/>
      </c>
      <c r="N7" s="53" t="n"/>
      <c r="O7" s="76">
        <f>IFERROR(MATCH(SMALL('契約台帳'!$AR$5:$AR$304,3),'契約台帳'!$AR$5:$AR$304,0),"")</f>
        <v/>
      </c>
    </row>
    <row r="8" ht="18" customHeight="1">
      <c r="A8" s="36">
        <f>IF($O8="","",4)</f>
        <v/>
      </c>
      <c r="B8" s="36">
        <f>IF($O8="","",INDEX('契約台帳'!$AC$5:$AC$304,$O8)&amp;"")</f>
        <v/>
      </c>
      <c r="C8" s="74">
        <f>IF($O8="","",INDEX('契約台帳'!$AB$5:$AB$304,$O8))</f>
        <v/>
      </c>
      <c r="D8" s="75">
        <f>IF($O8="","",INDEX('契約台帳'!$AA$5:$AA$304,$O8))</f>
        <v/>
      </c>
      <c r="E8" s="36">
        <f>IF($O8="","",IF(ISNUMBER(INDEX('契約台帳'!$Z$5:$Z$304,$O8)),"通知期限","満了日"))</f>
        <v/>
      </c>
      <c r="F8" s="36">
        <f>IF($O8="","",INDEX('契約台帳'!$B$5:$B$304,$O8)&amp;"")</f>
        <v/>
      </c>
      <c r="G8" s="39">
        <f>IF($O8="","",INDEX('契約台帳'!$E$5:$E$304,$O8)&amp;"")</f>
        <v/>
      </c>
      <c r="H8" s="39">
        <f>IF($O8="","",INDEX('契約台帳'!$C$5:$C$304,$O8)&amp;"")</f>
        <v/>
      </c>
      <c r="I8" s="39">
        <f>IF($O8="","",INDEX('契約台帳'!$D$5:$D$304,$O8)&amp;"")</f>
        <v/>
      </c>
      <c r="J8" s="36">
        <f>IF($O8="","",INDEX('契約台帳'!$I$5:$I$304,$O8)&amp;"")</f>
        <v/>
      </c>
      <c r="K8" s="75">
        <f>IF($O8="","",INDEX('契約台帳'!$Y$5:$Y$304,$O8))</f>
        <v/>
      </c>
      <c r="L8" s="36">
        <f>IF($O8="","",INDEX('契約台帳'!$T$5:$T$304,$O8)&amp;"")</f>
        <v/>
      </c>
      <c r="M8" s="36">
        <f>IF($O8="","",INDEX('契約台帳'!$S$5:$S$304,$O8)&amp;"")</f>
        <v/>
      </c>
      <c r="N8" s="53" t="n"/>
      <c r="O8" s="76">
        <f>IFERROR(MATCH(SMALL('契約台帳'!$AR$5:$AR$304,4),'契約台帳'!$AR$5:$AR$304,0),"")</f>
        <v/>
      </c>
    </row>
    <row r="9" ht="18" customHeight="1">
      <c r="A9" s="36">
        <f>IF($O9="","",5)</f>
        <v/>
      </c>
      <c r="B9" s="36">
        <f>IF($O9="","",INDEX('契約台帳'!$AC$5:$AC$304,$O9)&amp;"")</f>
        <v/>
      </c>
      <c r="C9" s="74">
        <f>IF($O9="","",INDEX('契約台帳'!$AB$5:$AB$304,$O9))</f>
        <v/>
      </c>
      <c r="D9" s="75">
        <f>IF($O9="","",INDEX('契約台帳'!$AA$5:$AA$304,$O9))</f>
        <v/>
      </c>
      <c r="E9" s="36">
        <f>IF($O9="","",IF(ISNUMBER(INDEX('契約台帳'!$Z$5:$Z$304,$O9)),"通知期限","満了日"))</f>
        <v/>
      </c>
      <c r="F9" s="36">
        <f>IF($O9="","",INDEX('契約台帳'!$B$5:$B$304,$O9)&amp;"")</f>
        <v/>
      </c>
      <c r="G9" s="39">
        <f>IF($O9="","",INDEX('契約台帳'!$E$5:$E$304,$O9)&amp;"")</f>
        <v/>
      </c>
      <c r="H9" s="39">
        <f>IF($O9="","",INDEX('契約台帳'!$C$5:$C$304,$O9)&amp;"")</f>
        <v/>
      </c>
      <c r="I9" s="39">
        <f>IF($O9="","",INDEX('契約台帳'!$D$5:$D$304,$O9)&amp;"")</f>
        <v/>
      </c>
      <c r="J9" s="36">
        <f>IF($O9="","",INDEX('契約台帳'!$I$5:$I$304,$O9)&amp;"")</f>
        <v/>
      </c>
      <c r="K9" s="75">
        <f>IF($O9="","",INDEX('契約台帳'!$Y$5:$Y$304,$O9))</f>
        <v/>
      </c>
      <c r="L9" s="36">
        <f>IF($O9="","",INDEX('契約台帳'!$T$5:$T$304,$O9)&amp;"")</f>
        <v/>
      </c>
      <c r="M9" s="36">
        <f>IF($O9="","",INDEX('契約台帳'!$S$5:$S$304,$O9)&amp;"")</f>
        <v/>
      </c>
      <c r="N9" s="53" t="n"/>
      <c r="O9" s="76">
        <f>IFERROR(MATCH(SMALL('契約台帳'!$AR$5:$AR$304,5),'契約台帳'!$AR$5:$AR$304,0),"")</f>
        <v/>
      </c>
    </row>
    <row r="10" ht="18" customHeight="1">
      <c r="A10" s="36">
        <f>IF($O10="","",6)</f>
        <v/>
      </c>
      <c r="B10" s="36">
        <f>IF($O10="","",INDEX('契約台帳'!$AC$5:$AC$304,$O10)&amp;"")</f>
        <v/>
      </c>
      <c r="C10" s="74">
        <f>IF($O10="","",INDEX('契約台帳'!$AB$5:$AB$304,$O10))</f>
        <v/>
      </c>
      <c r="D10" s="75">
        <f>IF($O10="","",INDEX('契約台帳'!$AA$5:$AA$304,$O10))</f>
        <v/>
      </c>
      <c r="E10" s="36">
        <f>IF($O10="","",IF(ISNUMBER(INDEX('契約台帳'!$Z$5:$Z$304,$O10)),"通知期限","満了日"))</f>
        <v/>
      </c>
      <c r="F10" s="36">
        <f>IF($O10="","",INDEX('契約台帳'!$B$5:$B$304,$O10)&amp;"")</f>
        <v/>
      </c>
      <c r="G10" s="39">
        <f>IF($O10="","",INDEX('契約台帳'!$E$5:$E$304,$O10)&amp;"")</f>
        <v/>
      </c>
      <c r="H10" s="39">
        <f>IF($O10="","",INDEX('契約台帳'!$C$5:$C$304,$O10)&amp;"")</f>
        <v/>
      </c>
      <c r="I10" s="39">
        <f>IF($O10="","",INDEX('契約台帳'!$D$5:$D$304,$O10)&amp;"")</f>
        <v/>
      </c>
      <c r="J10" s="36">
        <f>IF($O10="","",INDEX('契約台帳'!$I$5:$I$304,$O10)&amp;"")</f>
        <v/>
      </c>
      <c r="K10" s="75">
        <f>IF($O10="","",INDEX('契約台帳'!$Y$5:$Y$304,$O10))</f>
        <v/>
      </c>
      <c r="L10" s="36">
        <f>IF($O10="","",INDEX('契約台帳'!$T$5:$T$304,$O10)&amp;"")</f>
        <v/>
      </c>
      <c r="M10" s="36">
        <f>IF($O10="","",INDEX('契約台帳'!$S$5:$S$304,$O10)&amp;"")</f>
        <v/>
      </c>
      <c r="N10" s="53" t="n"/>
      <c r="O10" s="76">
        <f>IFERROR(MATCH(SMALL('契約台帳'!$AR$5:$AR$304,6),'契約台帳'!$AR$5:$AR$304,0),"")</f>
        <v/>
      </c>
    </row>
    <row r="11" ht="18" customHeight="1">
      <c r="A11" s="36">
        <f>IF($O11="","",7)</f>
        <v/>
      </c>
      <c r="B11" s="36">
        <f>IF($O11="","",INDEX('契約台帳'!$AC$5:$AC$304,$O11)&amp;"")</f>
        <v/>
      </c>
      <c r="C11" s="74">
        <f>IF($O11="","",INDEX('契約台帳'!$AB$5:$AB$304,$O11))</f>
        <v/>
      </c>
      <c r="D11" s="75">
        <f>IF($O11="","",INDEX('契約台帳'!$AA$5:$AA$304,$O11))</f>
        <v/>
      </c>
      <c r="E11" s="36">
        <f>IF($O11="","",IF(ISNUMBER(INDEX('契約台帳'!$Z$5:$Z$304,$O11)),"通知期限","満了日"))</f>
        <v/>
      </c>
      <c r="F11" s="36">
        <f>IF($O11="","",INDEX('契約台帳'!$B$5:$B$304,$O11)&amp;"")</f>
        <v/>
      </c>
      <c r="G11" s="39">
        <f>IF($O11="","",INDEX('契約台帳'!$E$5:$E$304,$O11)&amp;"")</f>
        <v/>
      </c>
      <c r="H11" s="39">
        <f>IF($O11="","",INDEX('契約台帳'!$C$5:$C$304,$O11)&amp;"")</f>
        <v/>
      </c>
      <c r="I11" s="39">
        <f>IF($O11="","",INDEX('契約台帳'!$D$5:$D$304,$O11)&amp;"")</f>
        <v/>
      </c>
      <c r="J11" s="36">
        <f>IF($O11="","",INDEX('契約台帳'!$I$5:$I$304,$O11)&amp;"")</f>
        <v/>
      </c>
      <c r="K11" s="75">
        <f>IF($O11="","",INDEX('契約台帳'!$Y$5:$Y$304,$O11))</f>
        <v/>
      </c>
      <c r="L11" s="36">
        <f>IF($O11="","",INDEX('契約台帳'!$T$5:$T$304,$O11)&amp;"")</f>
        <v/>
      </c>
      <c r="M11" s="36">
        <f>IF($O11="","",INDEX('契約台帳'!$S$5:$S$304,$O11)&amp;"")</f>
        <v/>
      </c>
      <c r="N11" s="53" t="n"/>
      <c r="O11" s="76">
        <f>IFERROR(MATCH(SMALL('契約台帳'!$AR$5:$AR$304,7),'契約台帳'!$AR$5:$AR$304,0),"")</f>
        <v/>
      </c>
    </row>
    <row r="12" ht="18" customHeight="1">
      <c r="A12" s="36">
        <f>IF($O12="","",8)</f>
        <v/>
      </c>
      <c r="B12" s="36">
        <f>IF($O12="","",INDEX('契約台帳'!$AC$5:$AC$304,$O12)&amp;"")</f>
        <v/>
      </c>
      <c r="C12" s="74">
        <f>IF($O12="","",INDEX('契約台帳'!$AB$5:$AB$304,$O12))</f>
        <v/>
      </c>
      <c r="D12" s="75">
        <f>IF($O12="","",INDEX('契約台帳'!$AA$5:$AA$304,$O12))</f>
        <v/>
      </c>
      <c r="E12" s="36">
        <f>IF($O12="","",IF(ISNUMBER(INDEX('契約台帳'!$Z$5:$Z$304,$O12)),"通知期限","満了日"))</f>
        <v/>
      </c>
      <c r="F12" s="36">
        <f>IF($O12="","",INDEX('契約台帳'!$B$5:$B$304,$O12)&amp;"")</f>
        <v/>
      </c>
      <c r="G12" s="39">
        <f>IF($O12="","",INDEX('契約台帳'!$E$5:$E$304,$O12)&amp;"")</f>
        <v/>
      </c>
      <c r="H12" s="39">
        <f>IF($O12="","",INDEX('契約台帳'!$C$5:$C$304,$O12)&amp;"")</f>
        <v/>
      </c>
      <c r="I12" s="39">
        <f>IF($O12="","",INDEX('契約台帳'!$D$5:$D$304,$O12)&amp;"")</f>
        <v/>
      </c>
      <c r="J12" s="36">
        <f>IF($O12="","",INDEX('契約台帳'!$I$5:$I$304,$O12)&amp;"")</f>
        <v/>
      </c>
      <c r="K12" s="75">
        <f>IF($O12="","",INDEX('契約台帳'!$Y$5:$Y$304,$O12))</f>
        <v/>
      </c>
      <c r="L12" s="36">
        <f>IF($O12="","",INDEX('契約台帳'!$T$5:$T$304,$O12)&amp;"")</f>
        <v/>
      </c>
      <c r="M12" s="36">
        <f>IF($O12="","",INDEX('契約台帳'!$S$5:$S$304,$O12)&amp;"")</f>
        <v/>
      </c>
      <c r="N12" s="53" t="n"/>
      <c r="O12" s="76">
        <f>IFERROR(MATCH(SMALL('契約台帳'!$AR$5:$AR$304,8),'契約台帳'!$AR$5:$AR$304,0),"")</f>
        <v/>
      </c>
    </row>
    <row r="13" ht="18" customHeight="1">
      <c r="A13" s="36">
        <f>IF($O13="","",9)</f>
        <v/>
      </c>
      <c r="B13" s="36">
        <f>IF($O13="","",INDEX('契約台帳'!$AC$5:$AC$304,$O13)&amp;"")</f>
        <v/>
      </c>
      <c r="C13" s="74">
        <f>IF($O13="","",INDEX('契約台帳'!$AB$5:$AB$304,$O13))</f>
        <v/>
      </c>
      <c r="D13" s="75">
        <f>IF($O13="","",INDEX('契約台帳'!$AA$5:$AA$304,$O13))</f>
        <v/>
      </c>
      <c r="E13" s="36">
        <f>IF($O13="","",IF(ISNUMBER(INDEX('契約台帳'!$Z$5:$Z$304,$O13)),"通知期限","満了日"))</f>
        <v/>
      </c>
      <c r="F13" s="36">
        <f>IF($O13="","",INDEX('契約台帳'!$B$5:$B$304,$O13)&amp;"")</f>
        <v/>
      </c>
      <c r="G13" s="39">
        <f>IF($O13="","",INDEX('契約台帳'!$E$5:$E$304,$O13)&amp;"")</f>
        <v/>
      </c>
      <c r="H13" s="39">
        <f>IF($O13="","",INDEX('契約台帳'!$C$5:$C$304,$O13)&amp;"")</f>
        <v/>
      </c>
      <c r="I13" s="39">
        <f>IF($O13="","",INDEX('契約台帳'!$D$5:$D$304,$O13)&amp;"")</f>
        <v/>
      </c>
      <c r="J13" s="36">
        <f>IF($O13="","",INDEX('契約台帳'!$I$5:$I$304,$O13)&amp;"")</f>
        <v/>
      </c>
      <c r="K13" s="75">
        <f>IF($O13="","",INDEX('契約台帳'!$Y$5:$Y$304,$O13))</f>
        <v/>
      </c>
      <c r="L13" s="36">
        <f>IF($O13="","",INDEX('契約台帳'!$T$5:$T$304,$O13)&amp;"")</f>
        <v/>
      </c>
      <c r="M13" s="36">
        <f>IF($O13="","",INDEX('契約台帳'!$S$5:$S$304,$O13)&amp;"")</f>
        <v/>
      </c>
      <c r="N13" s="53" t="n"/>
      <c r="O13" s="76">
        <f>IFERROR(MATCH(SMALL('契約台帳'!$AR$5:$AR$304,9),'契約台帳'!$AR$5:$AR$304,0),"")</f>
        <v/>
      </c>
    </row>
    <row r="14" ht="18" customHeight="1">
      <c r="A14" s="36">
        <f>IF($O14="","",10)</f>
        <v/>
      </c>
      <c r="B14" s="36">
        <f>IF($O14="","",INDEX('契約台帳'!$AC$5:$AC$304,$O14)&amp;"")</f>
        <v/>
      </c>
      <c r="C14" s="74">
        <f>IF($O14="","",INDEX('契約台帳'!$AB$5:$AB$304,$O14))</f>
        <v/>
      </c>
      <c r="D14" s="75">
        <f>IF($O14="","",INDEX('契約台帳'!$AA$5:$AA$304,$O14))</f>
        <v/>
      </c>
      <c r="E14" s="36">
        <f>IF($O14="","",IF(ISNUMBER(INDEX('契約台帳'!$Z$5:$Z$304,$O14)),"通知期限","満了日"))</f>
        <v/>
      </c>
      <c r="F14" s="36">
        <f>IF($O14="","",INDEX('契約台帳'!$B$5:$B$304,$O14)&amp;"")</f>
        <v/>
      </c>
      <c r="G14" s="39">
        <f>IF($O14="","",INDEX('契約台帳'!$E$5:$E$304,$O14)&amp;"")</f>
        <v/>
      </c>
      <c r="H14" s="39">
        <f>IF($O14="","",INDEX('契約台帳'!$C$5:$C$304,$O14)&amp;"")</f>
        <v/>
      </c>
      <c r="I14" s="39">
        <f>IF($O14="","",INDEX('契約台帳'!$D$5:$D$304,$O14)&amp;"")</f>
        <v/>
      </c>
      <c r="J14" s="36">
        <f>IF($O14="","",INDEX('契約台帳'!$I$5:$I$304,$O14)&amp;"")</f>
        <v/>
      </c>
      <c r="K14" s="75">
        <f>IF($O14="","",INDEX('契約台帳'!$Y$5:$Y$304,$O14))</f>
        <v/>
      </c>
      <c r="L14" s="36">
        <f>IF($O14="","",INDEX('契約台帳'!$T$5:$T$304,$O14)&amp;"")</f>
        <v/>
      </c>
      <c r="M14" s="36">
        <f>IF($O14="","",INDEX('契約台帳'!$S$5:$S$304,$O14)&amp;"")</f>
        <v/>
      </c>
      <c r="N14" s="53" t="n"/>
      <c r="O14" s="76">
        <f>IFERROR(MATCH(SMALL('契約台帳'!$AR$5:$AR$304,10),'契約台帳'!$AR$5:$AR$304,0),"")</f>
        <v/>
      </c>
    </row>
    <row r="15" ht="18" customHeight="1">
      <c r="A15" s="36">
        <f>IF($O15="","",11)</f>
        <v/>
      </c>
      <c r="B15" s="36">
        <f>IF($O15="","",INDEX('契約台帳'!$AC$5:$AC$304,$O15)&amp;"")</f>
        <v/>
      </c>
      <c r="C15" s="74">
        <f>IF($O15="","",INDEX('契約台帳'!$AB$5:$AB$304,$O15))</f>
        <v/>
      </c>
      <c r="D15" s="75">
        <f>IF($O15="","",INDEX('契約台帳'!$AA$5:$AA$304,$O15))</f>
        <v/>
      </c>
      <c r="E15" s="36">
        <f>IF($O15="","",IF(ISNUMBER(INDEX('契約台帳'!$Z$5:$Z$304,$O15)),"通知期限","満了日"))</f>
        <v/>
      </c>
      <c r="F15" s="36">
        <f>IF($O15="","",INDEX('契約台帳'!$B$5:$B$304,$O15)&amp;"")</f>
        <v/>
      </c>
      <c r="G15" s="39">
        <f>IF($O15="","",INDEX('契約台帳'!$E$5:$E$304,$O15)&amp;"")</f>
        <v/>
      </c>
      <c r="H15" s="39">
        <f>IF($O15="","",INDEX('契約台帳'!$C$5:$C$304,$O15)&amp;"")</f>
        <v/>
      </c>
      <c r="I15" s="39">
        <f>IF($O15="","",INDEX('契約台帳'!$D$5:$D$304,$O15)&amp;"")</f>
        <v/>
      </c>
      <c r="J15" s="36">
        <f>IF($O15="","",INDEX('契約台帳'!$I$5:$I$304,$O15)&amp;"")</f>
        <v/>
      </c>
      <c r="K15" s="75">
        <f>IF($O15="","",INDEX('契約台帳'!$Y$5:$Y$304,$O15))</f>
        <v/>
      </c>
      <c r="L15" s="36">
        <f>IF($O15="","",INDEX('契約台帳'!$T$5:$T$304,$O15)&amp;"")</f>
        <v/>
      </c>
      <c r="M15" s="36">
        <f>IF($O15="","",INDEX('契約台帳'!$S$5:$S$304,$O15)&amp;"")</f>
        <v/>
      </c>
      <c r="N15" s="53" t="n"/>
      <c r="O15" s="76">
        <f>IFERROR(MATCH(SMALL('契約台帳'!$AR$5:$AR$304,11),'契約台帳'!$AR$5:$AR$304,0),"")</f>
        <v/>
      </c>
    </row>
    <row r="16" ht="18" customHeight="1">
      <c r="A16" s="36">
        <f>IF($O16="","",12)</f>
        <v/>
      </c>
      <c r="B16" s="36">
        <f>IF($O16="","",INDEX('契約台帳'!$AC$5:$AC$304,$O16)&amp;"")</f>
        <v/>
      </c>
      <c r="C16" s="74">
        <f>IF($O16="","",INDEX('契約台帳'!$AB$5:$AB$304,$O16))</f>
        <v/>
      </c>
      <c r="D16" s="75">
        <f>IF($O16="","",INDEX('契約台帳'!$AA$5:$AA$304,$O16))</f>
        <v/>
      </c>
      <c r="E16" s="36">
        <f>IF($O16="","",IF(ISNUMBER(INDEX('契約台帳'!$Z$5:$Z$304,$O16)),"通知期限","満了日"))</f>
        <v/>
      </c>
      <c r="F16" s="36">
        <f>IF($O16="","",INDEX('契約台帳'!$B$5:$B$304,$O16)&amp;"")</f>
        <v/>
      </c>
      <c r="G16" s="39">
        <f>IF($O16="","",INDEX('契約台帳'!$E$5:$E$304,$O16)&amp;"")</f>
        <v/>
      </c>
      <c r="H16" s="39">
        <f>IF($O16="","",INDEX('契約台帳'!$C$5:$C$304,$O16)&amp;"")</f>
        <v/>
      </c>
      <c r="I16" s="39">
        <f>IF($O16="","",INDEX('契約台帳'!$D$5:$D$304,$O16)&amp;"")</f>
        <v/>
      </c>
      <c r="J16" s="36">
        <f>IF($O16="","",INDEX('契約台帳'!$I$5:$I$304,$O16)&amp;"")</f>
        <v/>
      </c>
      <c r="K16" s="75">
        <f>IF($O16="","",INDEX('契約台帳'!$Y$5:$Y$304,$O16))</f>
        <v/>
      </c>
      <c r="L16" s="36">
        <f>IF($O16="","",INDEX('契約台帳'!$T$5:$T$304,$O16)&amp;"")</f>
        <v/>
      </c>
      <c r="M16" s="36">
        <f>IF($O16="","",INDEX('契約台帳'!$S$5:$S$304,$O16)&amp;"")</f>
        <v/>
      </c>
      <c r="N16" s="53" t="n"/>
      <c r="O16" s="76">
        <f>IFERROR(MATCH(SMALL('契約台帳'!$AR$5:$AR$304,12),'契約台帳'!$AR$5:$AR$304,0),"")</f>
        <v/>
      </c>
    </row>
    <row r="17" ht="18" customHeight="1">
      <c r="A17" s="36">
        <f>IF($O17="","",13)</f>
        <v/>
      </c>
      <c r="B17" s="36">
        <f>IF($O17="","",INDEX('契約台帳'!$AC$5:$AC$304,$O17)&amp;"")</f>
        <v/>
      </c>
      <c r="C17" s="74">
        <f>IF($O17="","",INDEX('契約台帳'!$AB$5:$AB$304,$O17))</f>
        <v/>
      </c>
      <c r="D17" s="75">
        <f>IF($O17="","",INDEX('契約台帳'!$AA$5:$AA$304,$O17))</f>
        <v/>
      </c>
      <c r="E17" s="36">
        <f>IF($O17="","",IF(ISNUMBER(INDEX('契約台帳'!$Z$5:$Z$304,$O17)),"通知期限","満了日"))</f>
        <v/>
      </c>
      <c r="F17" s="36">
        <f>IF($O17="","",INDEX('契約台帳'!$B$5:$B$304,$O17)&amp;"")</f>
        <v/>
      </c>
      <c r="G17" s="39">
        <f>IF($O17="","",INDEX('契約台帳'!$E$5:$E$304,$O17)&amp;"")</f>
        <v/>
      </c>
      <c r="H17" s="39">
        <f>IF($O17="","",INDEX('契約台帳'!$C$5:$C$304,$O17)&amp;"")</f>
        <v/>
      </c>
      <c r="I17" s="39">
        <f>IF($O17="","",INDEX('契約台帳'!$D$5:$D$304,$O17)&amp;"")</f>
        <v/>
      </c>
      <c r="J17" s="36">
        <f>IF($O17="","",INDEX('契約台帳'!$I$5:$I$304,$O17)&amp;"")</f>
        <v/>
      </c>
      <c r="K17" s="75">
        <f>IF($O17="","",INDEX('契約台帳'!$Y$5:$Y$304,$O17))</f>
        <v/>
      </c>
      <c r="L17" s="36">
        <f>IF($O17="","",INDEX('契約台帳'!$T$5:$T$304,$O17)&amp;"")</f>
        <v/>
      </c>
      <c r="M17" s="36">
        <f>IF($O17="","",INDEX('契約台帳'!$S$5:$S$304,$O17)&amp;"")</f>
        <v/>
      </c>
      <c r="N17" s="53" t="n"/>
      <c r="O17" s="76">
        <f>IFERROR(MATCH(SMALL('契約台帳'!$AR$5:$AR$304,13),'契約台帳'!$AR$5:$AR$304,0),"")</f>
        <v/>
      </c>
    </row>
    <row r="18" ht="18" customHeight="1">
      <c r="A18" s="36">
        <f>IF($O18="","",14)</f>
        <v/>
      </c>
      <c r="B18" s="36">
        <f>IF($O18="","",INDEX('契約台帳'!$AC$5:$AC$304,$O18)&amp;"")</f>
        <v/>
      </c>
      <c r="C18" s="74">
        <f>IF($O18="","",INDEX('契約台帳'!$AB$5:$AB$304,$O18))</f>
        <v/>
      </c>
      <c r="D18" s="75">
        <f>IF($O18="","",INDEX('契約台帳'!$AA$5:$AA$304,$O18))</f>
        <v/>
      </c>
      <c r="E18" s="36">
        <f>IF($O18="","",IF(ISNUMBER(INDEX('契約台帳'!$Z$5:$Z$304,$O18)),"通知期限","満了日"))</f>
        <v/>
      </c>
      <c r="F18" s="36">
        <f>IF($O18="","",INDEX('契約台帳'!$B$5:$B$304,$O18)&amp;"")</f>
        <v/>
      </c>
      <c r="G18" s="39">
        <f>IF($O18="","",INDEX('契約台帳'!$E$5:$E$304,$O18)&amp;"")</f>
        <v/>
      </c>
      <c r="H18" s="39">
        <f>IF($O18="","",INDEX('契約台帳'!$C$5:$C$304,$O18)&amp;"")</f>
        <v/>
      </c>
      <c r="I18" s="39">
        <f>IF($O18="","",INDEX('契約台帳'!$D$5:$D$304,$O18)&amp;"")</f>
        <v/>
      </c>
      <c r="J18" s="36">
        <f>IF($O18="","",INDEX('契約台帳'!$I$5:$I$304,$O18)&amp;"")</f>
        <v/>
      </c>
      <c r="K18" s="75">
        <f>IF($O18="","",INDEX('契約台帳'!$Y$5:$Y$304,$O18))</f>
        <v/>
      </c>
      <c r="L18" s="36">
        <f>IF($O18="","",INDEX('契約台帳'!$T$5:$T$304,$O18)&amp;"")</f>
        <v/>
      </c>
      <c r="M18" s="36">
        <f>IF($O18="","",INDEX('契約台帳'!$S$5:$S$304,$O18)&amp;"")</f>
        <v/>
      </c>
      <c r="N18" s="53" t="n"/>
      <c r="O18" s="76">
        <f>IFERROR(MATCH(SMALL('契約台帳'!$AR$5:$AR$304,14),'契約台帳'!$AR$5:$AR$304,0),"")</f>
        <v/>
      </c>
    </row>
    <row r="19" ht="18" customHeight="1">
      <c r="A19" s="36">
        <f>IF($O19="","",15)</f>
        <v/>
      </c>
      <c r="B19" s="36">
        <f>IF($O19="","",INDEX('契約台帳'!$AC$5:$AC$304,$O19)&amp;"")</f>
        <v/>
      </c>
      <c r="C19" s="74">
        <f>IF($O19="","",INDEX('契約台帳'!$AB$5:$AB$304,$O19))</f>
        <v/>
      </c>
      <c r="D19" s="75">
        <f>IF($O19="","",INDEX('契約台帳'!$AA$5:$AA$304,$O19))</f>
        <v/>
      </c>
      <c r="E19" s="36">
        <f>IF($O19="","",IF(ISNUMBER(INDEX('契約台帳'!$Z$5:$Z$304,$O19)),"通知期限","満了日"))</f>
        <v/>
      </c>
      <c r="F19" s="36">
        <f>IF($O19="","",INDEX('契約台帳'!$B$5:$B$304,$O19)&amp;"")</f>
        <v/>
      </c>
      <c r="G19" s="39">
        <f>IF($O19="","",INDEX('契約台帳'!$E$5:$E$304,$O19)&amp;"")</f>
        <v/>
      </c>
      <c r="H19" s="39">
        <f>IF($O19="","",INDEX('契約台帳'!$C$5:$C$304,$O19)&amp;"")</f>
        <v/>
      </c>
      <c r="I19" s="39">
        <f>IF($O19="","",INDEX('契約台帳'!$D$5:$D$304,$O19)&amp;"")</f>
        <v/>
      </c>
      <c r="J19" s="36">
        <f>IF($O19="","",INDEX('契約台帳'!$I$5:$I$304,$O19)&amp;"")</f>
        <v/>
      </c>
      <c r="K19" s="75">
        <f>IF($O19="","",INDEX('契約台帳'!$Y$5:$Y$304,$O19))</f>
        <v/>
      </c>
      <c r="L19" s="36">
        <f>IF($O19="","",INDEX('契約台帳'!$T$5:$T$304,$O19)&amp;"")</f>
        <v/>
      </c>
      <c r="M19" s="36">
        <f>IF($O19="","",INDEX('契約台帳'!$S$5:$S$304,$O19)&amp;"")</f>
        <v/>
      </c>
      <c r="N19" s="53" t="n"/>
      <c r="O19" s="76">
        <f>IFERROR(MATCH(SMALL('契約台帳'!$AR$5:$AR$304,15),'契約台帳'!$AR$5:$AR$304,0),"")</f>
        <v/>
      </c>
    </row>
    <row r="20" ht="18" customHeight="1">
      <c r="A20" s="36">
        <f>IF($O20="","",16)</f>
        <v/>
      </c>
      <c r="B20" s="36">
        <f>IF($O20="","",INDEX('契約台帳'!$AC$5:$AC$304,$O20)&amp;"")</f>
        <v/>
      </c>
      <c r="C20" s="74">
        <f>IF($O20="","",INDEX('契約台帳'!$AB$5:$AB$304,$O20))</f>
        <v/>
      </c>
      <c r="D20" s="75">
        <f>IF($O20="","",INDEX('契約台帳'!$AA$5:$AA$304,$O20))</f>
        <v/>
      </c>
      <c r="E20" s="36">
        <f>IF($O20="","",IF(ISNUMBER(INDEX('契約台帳'!$Z$5:$Z$304,$O20)),"通知期限","満了日"))</f>
        <v/>
      </c>
      <c r="F20" s="36">
        <f>IF($O20="","",INDEX('契約台帳'!$B$5:$B$304,$O20)&amp;"")</f>
        <v/>
      </c>
      <c r="G20" s="39">
        <f>IF($O20="","",INDEX('契約台帳'!$E$5:$E$304,$O20)&amp;"")</f>
        <v/>
      </c>
      <c r="H20" s="39">
        <f>IF($O20="","",INDEX('契約台帳'!$C$5:$C$304,$O20)&amp;"")</f>
        <v/>
      </c>
      <c r="I20" s="39">
        <f>IF($O20="","",INDEX('契約台帳'!$D$5:$D$304,$O20)&amp;"")</f>
        <v/>
      </c>
      <c r="J20" s="36">
        <f>IF($O20="","",INDEX('契約台帳'!$I$5:$I$304,$O20)&amp;"")</f>
        <v/>
      </c>
      <c r="K20" s="75">
        <f>IF($O20="","",INDEX('契約台帳'!$Y$5:$Y$304,$O20))</f>
        <v/>
      </c>
      <c r="L20" s="36">
        <f>IF($O20="","",INDEX('契約台帳'!$T$5:$T$304,$O20)&amp;"")</f>
        <v/>
      </c>
      <c r="M20" s="36">
        <f>IF($O20="","",INDEX('契約台帳'!$S$5:$S$304,$O20)&amp;"")</f>
        <v/>
      </c>
      <c r="N20" s="53" t="n"/>
      <c r="O20" s="76">
        <f>IFERROR(MATCH(SMALL('契約台帳'!$AR$5:$AR$304,16),'契約台帳'!$AR$5:$AR$304,0),"")</f>
        <v/>
      </c>
    </row>
    <row r="21" ht="18" customHeight="1">
      <c r="A21" s="36">
        <f>IF($O21="","",17)</f>
        <v/>
      </c>
      <c r="B21" s="36">
        <f>IF($O21="","",INDEX('契約台帳'!$AC$5:$AC$304,$O21)&amp;"")</f>
        <v/>
      </c>
      <c r="C21" s="74">
        <f>IF($O21="","",INDEX('契約台帳'!$AB$5:$AB$304,$O21))</f>
        <v/>
      </c>
      <c r="D21" s="75">
        <f>IF($O21="","",INDEX('契約台帳'!$AA$5:$AA$304,$O21))</f>
        <v/>
      </c>
      <c r="E21" s="36">
        <f>IF($O21="","",IF(ISNUMBER(INDEX('契約台帳'!$Z$5:$Z$304,$O21)),"通知期限","満了日"))</f>
        <v/>
      </c>
      <c r="F21" s="36">
        <f>IF($O21="","",INDEX('契約台帳'!$B$5:$B$304,$O21)&amp;"")</f>
        <v/>
      </c>
      <c r="G21" s="39">
        <f>IF($O21="","",INDEX('契約台帳'!$E$5:$E$304,$O21)&amp;"")</f>
        <v/>
      </c>
      <c r="H21" s="39">
        <f>IF($O21="","",INDEX('契約台帳'!$C$5:$C$304,$O21)&amp;"")</f>
        <v/>
      </c>
      <c r="I21" s="39">
        <f>IF($O21="","",INDEX('契約台帳'!$D$5:$D$304,$O21)&amp;"")</f>
        <v/>
      </c>
      <c r="J21" s="36">
        <f>IF($O21="","",INDEX('契約台帳'!$I$5:$I$304,$O21)&amp;"")</f>
        <v/>
      </c>
      <c r="K21" s="75">
        <f>IF($O21="","",INDEX('契約台帳'!$Y$5:$Y$304,$O21))</f>
        <v/>
      </c>
      <c r="L21" s="36">
        <f>IF($O21="","",INDEX('契約台帳'!$T$5:$T$304,$O21)&amp;"")</f>
        <v/>
      </c>
      <c r="M21" s="36">
        <f>IF($O21="","",INDEX('契約台帳'!$S$5:$S$304,$O21)&amp;"")</f>
        <v/>
      </c>
      <c r="N21" s="53" t="n"/>
      <c r="O21" s="76">
        <f>IFERROR(MATCH(SMALL('契約台帳'!$AR$5:$AR$304,17),'契約台帳'!$AR$5:$AR$304,0),"")</f>
        <v/>
      </c>
    </row>
    <row r="22" ht="18" customHeight="1">
      <c r="A22" s="36">
        <f>IF($O22="","",18)</f>
        <v/>
      </c>
      <c r="B22" s="36">
        <f>IF($O22="","",INDEX('契約台帳'!$AC$5:$AC$304,$O22)&amp;"")</f>
        <v/>
      </c>
      <c r="C22" s="74">
        <f>IF($O22="","",INDEX('契約台帳'!$AB$5:$AB$304,$O22))</f>
        <v/>
      </c>
      <c r="D22" s="75">
        <f>IF($O22="","",INDEX('契約台帳'!$AA$5:$AA$304,$O22))</f>
        <v/>
      </c>
      <c r="E22" s="36">
        <f>IF($O22="","",IF(ISNUMBER(INDEX('契約台帳'!$Z$5:$Z$304,$O22)),"通知期限","満了日"))</f>
        <v/>
      </c>
      <c r="F22" s="36">
        <f>IF($O22="","",INDEX('契約台帳'!$B$5:$B$304,$O22)&amp;"")</f>
        <v/>
      </c>
      <c r="G22" s="39">
        <f>IF($O22="","",INDEX('契約台帳'!$E$5:$E$304,$O22)&amp;"")</f>
        <v/>
      </c>
      <c r="H22" s="39">
        <f>IF($O22="","",INDEX('契約台帳'!$C$5:$C$304,$O22)&amp;"")</f>
        <v/>
      </c>
      <c r="I22" s="39">
        <f>IF($O22="","",INDEX('契約台帳'!$D$5:$D$304,$O22)&amp;"")</f>
        <v/>
      </c>
      <c r="J22" s="36">
        <f>IF($O22="","",INDEX('契約台帳'!$I$5:$I$304,$O22)&amp;"")</f>
        <v/>
      </c>
      <c r="K22" s="75">
        <f>IF($O22="","",INDEX('契約台帳'!$Y$5:$Y$304,$O22))</f>
        <v/>
      </c>
      <c r="L22" s="36">
        <f>IF($O22="","",INDEX('契約台帳'!$T$5:$T$304,$O22)&amp;"")</f>
        <v/>
      </c>
      <c r="M22" s="36">
        <f>IF($O22="","",INDEX('契約台帳'!$S$5:$S$304,$O22)&amp;"")</f>
        <v/>
      </c>
      <c r="N22" s="53" t="n"/>
      <c r="O22" s="76">
        <f>IFERROR(MATCH(SMALL('契約台帳'!$AR$5:$AR$304,18),'契約台帳'!$AR$5:$AR$304,0),"")</f>
        <v/>
      </c>
    </row>
    <row r="23" ht="18" customHeight="1">
      <c r="A23" s="36">
        <f>IF($O23="","",19)</f>
        <v/>
      </c>
      <c r="B23" s="36">
        <f>IF($O23="","",INDEX('契約台帳'!$AC$5:$AC$304,$O23)&amp;"")</f>
        <v/>
      </c>
      <c r="C23" s="74">
        <f>IF($O23="","",INDEX('契約台帳'!$AB$5:$AB$304,$O23))</f>
        <v/>
      </c>
      <c r="D23" s="75">
        <f>IF($O23="","",INDEX('契約台帳'!$AA$5:$AA$304,$O23))</f>
        <v/>
      </c>
      <c r="E23" s="36">
        <f>IF($O23="","",IF(ISNUMBER(INDEX('契約台帳'!$Z$5:$Z$304,$O23)),"通知期限","満了日"))</f>
        <v/>
      </c>
      <c r="F23" s="36">
        <f>IF($O23="","",INDEX('契約台帳'!$B$5:$B$304,$O23)&amp;"")</f>
        <v/>
      </c>
      <c r="G23" s="39">
        <f>IF($O23="","",INDEX('契約台帳'!$E$5:$E$304,$O23)&amp;"")</f>
        <v/>
      </c>
      <c r="H23" s="39">
        <f>IF($O23="","",INDEX('契約台帳'!$C$5:$C$304,$O23)&amp;"")</f>
        <v/>
      </c>
      <c r="I23" s="39">
        <f>IF($O23="","",INDEX('契約台帳'!$D$5:$D$304,$O23)&amp;"")</f>
        <v/>
      </c>
      <c r="J23" s="36">
        <f>IF($O23="","",INDEX('契約台帳'!$I$5:$I$304,$O23)&amp;"")</f>
        <v/>
      </c>
      <c r="K23" s="75">
        <f>IF($O23="","",INDEX('契約台帳'!$Y$5:$Y$304,$O23))</f>
        <v/>
      </c>
      <c r="L23" s="36">
        <f>IF($O23="","",INDEX('契約台帳'!$T$5:$T$304,$O23)&amp;"")</f>
        <v/>
      </c>
      <c r="M23" s="36">
        <f>IF($O23="","",INDEX('契約台帳'!$S$5:$S$304,$O23)&amp;"")</f>
        <v/>
      </c>
      <c r="N23" s="53" t="n"/>
      <c r="O23" s="76">
        <f>IFERROR(MATCH(SMALL('契約台帳'!$AR$5:$AR$304,19),'契約台帳'!$AR$5:$AR$304,0),"")</f>
        <v/>
      </c>
    </row>
    <row r="24" ht="18" customHeight="1">
      <c r="A24" s="36">
        <f>IF($O24="","",20)</f>
        <v/>
      </c>
      <c r="B24" s="36">
        <f>IF($O24="","",INDEX('契約台帳'!$AC$5:$AC$304,$O24)&amp;"")</f>
        <v/>
      </c>
      <c r="C24" s="74">
        <f>IF($O24="","",INDEX('契約台帳'!$AB$5:$AB$304,$O24))</f>
        <v/>
      </c>
      <c r="D24" s="75">
        <f>IF($O24="","",INDEX('契約台帳'!$AA$5:$AA$304,$O24))</f>
        <v/>
      </c>
      <c r="E24" s="36">
        <f>IF($O24="","",IF(ISNUMBER(INDEX('契約台帳'!$Z$5:$Z$304,$O24)),"通知期限","満了日"))</f>
        <v/>
      </c>
      <c r="F24" s="36">
        <f>IF($O24="","",INDEX('契約台帳'!$B$5:$B$304,$O24)&amp;"")</f>
        <v/>
      </c>
      <c r="G24" s="39">
        <f>IF($O24="","",INDEX('契約台帳'!$E$5:$E$304,$O24)&amp;"")</f>
        <v/>
      </c>
      <c r="H24" s="39">
        <f>IF($O24="","",INDEX('契約台帳'!$C$5:$C$304,$O24)&amp;"")</f>
        <v/>
      </c>
      <c r="I24" s="39">
        <f>IF($O24="","",INDEX('契約台帳'!$D$5:$D$304,$O24)&amp;"")</f>
        <v/>
      </c>
      <c r="J24" s="36">
        <f>IF($O24="","",INDEX('契約台帳'!$I$5:$I$304,$O24)&amp;"")</f>
        <v/>
      </c>
      <c r="K24" s="75">
        <f>IF($O24="","",INDEX('契約台帳'!$Y$5:$Y$304,$O24))</f>
        <v/>
      </c>
      <c r="L24" s="36">
        <f>IF($O24="","",INDEX('契約台帳'!$T$5:$T$304,$O24)&amp;"")</f>
        <v/>
      </c>
      <c r="M24" s="36">
        <f>IF($O24="","",INDEX('契約台帳'!$S$5:$S$304,$O24)&amp;"")</f>
        <v/>
      </c>
      <c r="N24" s="53" t="n"/>
      <c r="O24" s="76">
        <f>IFERROR(MATCH(SMALL('契約台帳'!$AR$5:$AR$304,20),'契約台帳'!$AR$5:$AR$304,0),"")</f>
        <v/>
      </c>
    </row>
    <row r="25" ht="18" customHeight="1">
      <c r="A25" s="36">
        <f>IF($O25="","",21)</f>
        <v/>
      </c>
      <c r="B25" s="36">
        <f>IF($O25="","",INDEX('契約台帳'!$AC$5:$AC$304,$O25)&amp;"")</f>
        <v/>
      </c>
      <c r="C25" s="74">
        <f>IF($O25="","",INDEX('契約台帳'!$AB$5:$AB$304,$O25))</f>
        <v/>
      </c>
      <c r="D25" s="75">
        <f>IF($O25="","",INDEX('契約台帳'!$AA$5:$AA$304,$O25))</f>
        <v/>
      </c>
      <c r="E25" s="36">
        <f>IF($O25="","",IF(ISNUMBER(INDEX('契約台帳'!$Z$5:$Z$304,$O25)),"通知期限","満了日"))</f>
        <v/>
      </c>
      <c r="F25" s="36">
        <f>IF($O25="","",INDEX('契約台帳'!$B$5:$B$304,$O25)&amp;"")</f>
        <v/>
      </c>
      <c r="G25" s="39">
        <f>IF($O25="","",INDEX('契約台帳'!$E$5:$E$304,$O25)&amp;"")</f>
        <v/>
      </c>
      <c r="H25" s="39">
        <f>IF($O25="","",INDEX('契約台帳'!$C$5:$C$304,$O25)&amp;"")</f>
        <v/>
      </c>
      <c r="I25" s="39">
        <f>IF($O25="","",INDEX('契約台帳'!$D$5:$D$304,$O25)&amp;"")</f>
        <v/>
      </c>
      <c r="J25" s="36">
        <f>IF($O25="","",INDEX('契約台帳'!$I$5:$I$304,$O25)&amp;"")</f>
        <v/>
      </c>
      <c r="K25" s="75">
        <f>IF($O25="","",INDEX('契約台帳'!$Y$5:$Y$304,$O25))</f>
        <v/>
      </c>
      <c r="L25" s="36">
        <f>IF($O25="","",INDEX('契約台帳'!$T$5:$T$304,$O25)&amp;"")</f>
        <v/>
      </c>
      <c r="M25" s="36">
        <f>IF($O25="","",INDEX('契約台帳'!$S$5:$S$304,$O25)&amp;"")</f>
        <v/>
      </c>
      <c r="N25" s="53" t="n"/>
      <c r="O25" s="76">
        <f>IFERROR(MATCH(SMALL('契約台帳'!$AR$5:$AR$304,21),'契約台帳'!$AR$5:$AR$304,0),"")</f>
        <v/>
      </c>
    </row>
    <row r="26" ht="18" customHeight="1">
      <c r="A26" s="36">
        <f>IF($O26="","",22)</f>
        <v/>
      </c>
      <c r="B26" s="36">
        <f>IF($O26="","",INDEX('契約台帳'!$AC$5:$AC$304,$O26)&amp;"")</f>
        <v/>
      </c>
      <c r="C26" s="74">
        <f>IF($O26="","",INDEX('契約台帳'!$AB$5:$AB$304,$O26))</f>
        <v/>
      </c>
      <c r="D26" s="75">
        <f>IF($O26="","",INDEX('契約台帳'!$AA$5:$AA$304,$O26))</f>
        <v/>
      </c>
      <c r="E26" s="36">
        <f>IF($O26="","",IF(ISNUMBER(INDEX('契約台帳'!$Z$5:$Z$304,$O26)),"通知期限","満了日"))</f>
        <v/>
      </c>
      <c r="F26" s="36">
        <f>IF($O26="","",INDEX('契約台帳'!$B$5:$B$304,$O26)&amp;"")</f>
        <v/>
      </c>
      <c r="G26" s="39">
        <f>IF($O26="","",INDEX('契約台帳'!$E$5:$E$304,$O26)&amp;"")</f>
        <v/>
      </c>
      <c r="H26" s="39">
        <f>IF($O26="","",INDEX('契約台帳'!$C$5:$C$304,$O26)&amp;"")</f>
        <v/>
      </c>
      <c r="I26" s="39">
        <f>IF($O26="","",INDEX('契約台帳'!$D$5:$D$304,$O26)&amp;"")</f>
        <v/>
      </c>
      <c r="J26" s="36">
        <f>IF($O26="","",INDEX('契約台帳'!$I$5:$I$304,$O26)&amp;"")</f>
        <v/>
      </c>
      <c r="K26" s="75">
        <f>IF($O26="","",INDEX('契約台帳'!$Y$5:$Y$304,$O26))</f>
        <v/>
      </c>
      <c r="L26" s="36">
        <f>IF($O26="","",INDEX('契約台帳'!$T$5:$T$304,$O26)&amp;"")</f>
        <v/>
      </c>
      <c r="M26" s="36">
        <f>IF($O26="","",INDEX('契約台帳'!$S$5:$S$304,$O26)&amp;"")</f>
        <v/>
      </c>
      <c r="N26" s="53" t="n"/>
      <c r="O26" s="76">
        <f>IFERROR(MATCH(SMALL('契約台帳'!$AR$5:$AR$304,22),'契約台帳'!$AR$5:$AR$304,0),"")</f>
        <v/>
      </c>
    </row>
    <row r="27" ht="18" customHeight="1">
      <c r="A27" s="36">
        <f>IF($O27="","",23)</f>
        <v/>
      </c>
      <c r="B27" s="36">
        <f>IF($O27="","",INDEX('契約台帳'!$AC$5:$AC$304,$O27)&amp;"")</f>
        <v/>
      </c>
      <c r="C27" s="74">
        <f>IF($O27="","",INDEX('契約台帳'!$AB$5:$AB$304,$O27))</f>
        <v/>
      </c>
      <c r="D27" s="75">
        <f>IF($O27="","",INDEX('契約台帳'!$AA$5:$AA$304,$O27))</f>
        <v/>
      </c>
      <c r="E27" s="36">
        <f>IF($O27="","",IF(ISNUMBER(INDEX('契約台帳'!$Z$5:$Z$304,$O27)),"通知期限","満了日"))</f>
        <v/>
      </c>
      <c r="F27" s="36">
        <f>IF($O27="","",INDEX('契約台帳'!$B$5:$B$304,$O27)&amp;"")</f>
        <v/>
      </c>
      <c r="G27" s="39">
        <f>IF($O27="","",INDEX('契約台帳'!$E$5:$E$304,$O27)&amp;"")</f>
        <v/>
      </c>
      <c r="H27" s="39">
        <f>IF($O27="","",INDEX('契約台帳'!$C$5:$C$304,$O27)&amp;"")</f>
        <v/>
      </c>
      <c r="I27" s="39">
        <f>IF($O27="","",INDEX('契約台帳'!$D$5:$D$304,$O27)&amp;"")</f>
        <v/>
      </c>
      <c r="J27" s="36">
        <f>IF($O27="","",INDEX('契約台帳'!$I$5:$I$304,$O27)&amp;"")</f>
        <v/>
      </c>
      <c r="K27" s="75">
        <f>IF($O27="","",INDEX('契約台帳'!$Y$5:$Y$304,$O27))</f>
        <v/>
      </c>
      <c r="L27" s="36">
        <f>IF($O27="","",INDEX('契約台帳'!$T$5:$T$304,$O27)&amp;"")</f>
        <v/>
      </c>
      <c r="M27" s="36">
        <f>IF($O27="","",INDEX('契約台帳'!$S$5:$S$304,$O27)&amp;"")</f>
        <v/>
      </c>
      <c r="N27" s="53" t="n"/>
      <c r="O27" s="76">
        <f>IFERROR(MATCH(SMALL('契約台帳'!$AR$5:$AR$304,23),'契約台帳'!$AR$5:$AR$304,0),"")</f>
        <v/>
      </c>
    </row>
    <row r="28" ht="18" customHeight="1">
      <c r="A28" s="36">
        <f>IF($O28="","",24)</f>
        <v/>
      </c>
      <c r="B28" s="36">
        <f>IF($O28="","",INDEX('契約台帳'!$AC$5:$AC$304,$O28)&amp;"")</f>
        <v/>
      </c>
      <c r="C28" s="74">
        <f>IF($O28="","",INDEX('契約台帳'!$AB$5:$AB$304,$O28))</f>
        <v/>
      </c>
      <c r="D28" s="75">
        <f>IF($O28="","",INDEX('契約台帳'!$AA$5:$AA$304,$O28))</f>
        <v/>
      </c>
      <c r="E28" s="36">
        <f>IF($O28="","",IF(ISNUMBER(INDEX('契約台帳'!$Z$5:$Z$304,$O28)),"通知期限","満了日"))</f>
        <v/>
      </c>
      <c r="F28" s="36">
        <f>IF($O28="","",INDEX('契約台帳'!$B$5:$B$304,$O28)&amp;"")</f>
        <v/>
      </c>
      <c r="G28" s="39">
        <f>IF($O28="","",INDEX('契約台帳'!$E$5:$E$304,$O28)&amp;"")</f>
        <v/>
      </c>
      <c r="H28" s="39">
        <f>IF($O28="","",INDEX('契約台帳'!$C$5:$C$304,$O28)&amp;"")</f>
        <v/>
      </c>
      <c r="I28" s="39">
        <f>IF($O28="","",INDEX('契約台帳'!$D$5:$D$304,$O28)&amp;"")</f>
        <v/>
      </c>
      <c r="J28" s="36">
        <f>IF($O28="","",INDEX('契約台帳'!$I$5:$I$304,$O28)&amp;"")</f>
        <v/>
      </c>
      <c r="K28" s="75">
        <f>IF($O28="","",INDEX('契約台帳'!$Y$5:$Y$304,$O28))</f>
        <v/>
      </c>
      <c r="L28" s="36">
        <f>IF($O28="","",INDEX('契約台帳'!$T$5:$T$304,$O28)&amp;"")</f>
        <v/>
      </c>
      <c r="M28" s="36">
        <f>IF($O28="","",INDEX('契約台帳'!$S$5:$S$304,$O28)&amp;"")</f>
        <v/>
      </c>
      <c r="N28" s="53" t="n"/>
      <c r="O28" s="76">
        <f>IFERROR(MATCH(SMALL('契約台帳'!$AR$5:$AR$304,24),'契約台帳'!$AR$5:$AR$304,0),"")</f>
        <v/>
      </c>
    </row>
    <row r="29" ht="18" customHeight="1">
      <c r="A29" s="36">
        <f>IF($O29="","",25)</f>
        <v/>
      </c>
      <c r="B29" s="36">
        <f>IF($O29="","",INDEX('契約台帳'!$AC$5:$AC$304,$O29)&amp;"")</f>
        <v/>
      </c>
      <c r="C29" s="74">
        <f>IF($O29="","",INDEX('契約台帳'!$AB$5:$AB$304,$O29))</f>
        <v/>
      </c>
      <c r="D29" s="75">
        <f>IF($O29="","",INDEX('契約台帳'!$AA$5:$AA$304,$O29))</f>
        <v/>
      </c>
      <c r="E29" s="36">
        <f>IF($O29="","",IF(ISNUMBER(INDEX('契約台帳'!$Z$5:$Z$304,$O29)),"通知期限","満了日"))</f>
        <v/>
      </c>
      <c r="F29" s="36">
        <f>IF($O29="","",INDEX('契約台帳'!$B$5:$B$304,$O29)&amp;"")</f>
        <v/>
      </c>
      <c r="G29" s="39">
        <f>IF($O29="","",INDEX('契約台帳'!$E$5:$E$304,$O29)&amp;"")</f>
        <v/>
      </c>
      <c r="H29" s="39">
        <f>IF($O29="","",INDEX('契約台帳'!$C$5:$C$304,$O29)&amp;"")</f>
        <v/>
      </c>
      <c r="I29" s="39">
        <f>IF($O29="","",INDEX('契約台帳'!$D$5:$D$304,$O29)&amp;"")</f>
        <v/>
      </c>
      <c r="J29" s="36">
        <f>IF($O29="","",INDEX('契約台帳'!$I$5:$I$304,$O29)&amp;"")</f>
        <v/>
      </c>
      <c r="K29" s="75">
        <f>IF($O29="","",INDEX('契約台帳'!$Y$5:$Y$304,$O29))</f>
        <v/>
      </c>
      <c r="L29" s="36">
        <f>IF($O29="","",INDEX('契約台帳'!$T$5:$T$304,$O29)&amp;"")</f>
        <v/>
      </c>
      <c r="M29" s="36">
        <f>IF($O29="","",INDEX('契約台帳'!$S$5:$S$304,$O29)&amp;"")</f>
        <v/>
      </c>
      <c r="N29" s="53" t="n"/>
      <c r="O29" s="76">
        <f>IFERROR(MATCH(SMALL('契約台帳'!$AR$5:$AR$304,25),'契約台帳'!$AR$5:$AR$304,0),"")</f>
        <v/>
      </c>
    </row>
    <row r="30" ht="18" customHeight="1">
      <c r="A30" s="36">
        <f>IF($O30="","",26)</f>
        <v/>
      </c>
      <c r="B30" s="36">
        <f>IF($O30="","",INDEX('契約台帳'!$AC$5:$AC$304,$O30)&amp;"")</f>
        <v/>
      </c>
      <c r="C30" s="74">
        <f>IF($O30="","",INDEX('契約台帳'!$AB$5:$AB$304,$O30))</f>
        <v/>
      </c>
      <c r="D30" s="75">
        <f>IF($O30="","",INDEX('契約台帳'!$AA$5:$AA$304,$O30))</f>
        <v/>
      </c>
      <c r="E30" s="36">
        <f>IF($O30="","",IF(ISNUMBER(INDEX('契約台帳'!$Z$5:$Z$304,$O30)),"通知期限","満了日"))</f>
        <v/>
      </c>
      <c r="F30" s="36">
        <f>IF($O30="","",INDEX('契約台帳'!$B$5:$B$304,$O30)&amp;"")</f>
        <v/>
      </c>
      <c r="G30" s="39">
        <f>IF($O30="","",INDEX('契約台帳'!$E$5:$E$304,$O30)&amp;"")</f>
        <v/>
      </c>
      <c r="H30" s="39">
        <f>IF($O30="","",INDEX('契約台帳'!$C$5:$C$304,$O30)&amp;"")</f>
        <v/>
      </c>
      <c r="I30" s="39">
        <f>IF($O30="","",INDEX('契約台帳'!$D$5:$D$304,$O30)&amp;"")</f>
        <v/>
      </c>
      <c r="J30" s="36">
        <f>IF($O30="","",INDEX('契約台帳'!$I$5:$I$304,$O30)&amp;"")</f>
        <v/>
      </c>
      <c r="K30" s="75">
        <f>IF($O30="","",INDEX('契約台帳'!$Y$5:$Y$304,$O30))</f>
        <v/>
      </c>
      <c r="L30" s="36">
        <f>IF($O30="","",INDEX('契約台帳'!$T$5:$T$304,$O30)&amp;"")</f>
        <v/>
      </c>
      <c r="M30" s="36">
        <f>IF($O30="","",INDEX('契約台帳'!$S$5:$S$304,$O30)&amp;"")</f>
        <v/>
      </c>
      <c r="N30" s="53" t="n"/>
      <c r="O30" s="76">
        <f>IFERROR(MATCH(SMALL('契約台帳'!$AR$5:$AR$304,26),'契約台帳'!$AR$5:$AR$304,0),"")</f>
        <v/>
      </c>
    </row>
    <row r="31" ht="18" customHeight="1">
      <c r="A31" s="36">
        <f>IF($O31="","",27)</f>
        <v/>
      </c>
      <c r="B31" s="36">
        <f>IF($O31="","",INDEX('契約台帳'!$AC$5:$AC$304,$O31)&amp;"")</f>
        <v/>
      </c>
      <c r="C31" s="74">
        <f>IF($O31="","",INDEX('契約台帳'!$AB$5:$AB$304,$O31))</f>
        <v/>
      </c>
      <c r="D31" s="75">
        <f>IF($O31="","",INDEX('契約台帳'!$AA$5:$AA$304,$O31))</f>
        <v/>
      </c>
      <c r="E31" s="36">
        <f>IF($O31="","",IF(ISNUMBER(INDEX('契約台帳'!$Z$5:$Z$304,$O31)),"通知期限","満了日"))</f>
        <v/>
      </c>
      <c r="F31" s="36">
        <f>IF($O31="","",INDEX('契約台帳'!$B$5:$B$304,$O31)&amp;"")</f>
        <v/>
      </c>
      <c r="G31" s="39">
        <f>IF($O31="","",INDEX('契約台帳'!$E$5:$E$304,$O31)&amp;"")</f>
        <v/>
      </c>
      <c r="H31" s="39">
        <f>IF($O31="","",INDEX('契約台帳'!$C$5:$C$304,$O31)&amp;"")</f>
        <v/>
      </c>
      <c r="I31" s="39">
        <f>IF($O31="","",INDEX('契約台帳'!$D$5:$D$304,$O31)&amp;"")</f>
        <v/>
      </c>
      <c r="J31" s="36">
        <f>IF($O31="","",INDEX('契約台帳'!$I$5:$I$304,$O31)&amp;"")</f>
        <v/>
      </c>
      <c r="K31" s="75">
        <f>IF($O31="","",INDEX('契約台帳'!$Y$5:$Y$304,$O31))</f>
        <v/>
      </c>
      <c r="L31" s="36">
        <f>IF($O31="","",INDEX('契約台帳'!$T$5:$T$304,$O31)&amp;"")</f>
        <v/>
      </c>
      <c r="M31" s="36">
        <f>IF($O31="","",INDEX('契約台帳'!$S$5:$S$304,$O31)&amp;"")</f>
        <v/>
      </c>
      <c r="N31" s="53" t="n"/>
      <c r="O31" s="76">
        <f>IFERROR(MATCH(SMALL('契約台帳'!$AR$5:$AR$304,27),'契約台帳'!$AR$5:$AR$304,0),"")</f>
        <v/>
      </c>
    </row>
    <row r="32" ht="18" customHeight="1">
      <c r="A32" s="36">
        <f>IF($O32="","",28)</f>
        <v/>
      </c>
      <c r="B32" s="36">
        <f>IF($O32="","",INDEX('契約台帳'!$AC$5:$AC$304,$O32)&amp;"")</f>
        <v/>
      </c>
      <c r="C32" s="74">
        <f>IF($O32="","",INDEX('契約台帳'!$AB$5:$AB$304,$O32))</f>
        <v/>
      </c>
      <c r="D32" s="75">
        <f>IF($O32="","",INDEX('契約台帳'!$AA$5:$AA$304,$O32))</f>
        <v/>
      </c>
      <c r="E32" s="36">
        <f>IF($O32="","",IF(ISNUMBER(INDEX('契約台帳'!$Z$5:$Z$304,$O32)),"通知期限","満了日"))</f>
        <v/>
      </c>
      <c r="F32" s="36">
        <f>IF($O32="","",INDEX('契約台帳'!$B$5:$B$304,$O32)&amp;"")</f>
        <v/>
      </c>
      <c r="G32" s="39">
        <f>IF($O32="","",INDEX('契約台帳'!$E$5:$E$304,$O32)&amp;"")</f>
        <v/>
      </c>
      <c r="H32" s="39">
        <f>IF($O32="","",INDEX('契約台帳'!$C$5:$C$304,$O32)&amp;"")</f>
        <v/>
      </c>
      <c r="I32" s="39">
        <f>IF($O32="","",INDEX('契約台帳'!$D$5:$D$304,$O32)&amp;"")</f>
        <v/>
      </c>
      <c r="J32" s="36">
        <f>IF($O32="","",INDEX('契約台帳'!$I$5:$I$304,$O32)&amp;"")</f>
        <v/>
      </c>
      <c r="K32" s="75">
        <f>IF($O32="","",INDEX('契約台帳'!$Y$5:$Y$304,$O32))</f>
        <v/>
      </c>
      <c r="L32" s="36">
        <f>IF($O32="","",INDEX('契約台帳'!$T$5:$T$304,$O32)&amp;"")</f>
        <v/>
      </c>
      <c r="M32" s="36">
        <f>IF($O32="","",INDEX('契約台帳'!$S$5:$S$304,$O32)&amp;"")</f>
        <v/>
      </c>
      <c r="N32" s="53" t="n"/>
      <c r="O32" s="76">
        <f>IFERROR(MATCH(SMALL('契約台帳'!$AR$5:$AR$304,28),'契約台帳'!$AR$5:$AR$304,0),"")</f>
        <v/>
      </c>
    </row>
    <row r="33" ht="18" customHeight="1">
      <c r="A33" s="36">
        <f>IF($O33="","",29)</f>
        <v/>
      </c>
      <c r="B33" s="36">
        <f>IF($O33="","",INDEX('契約台帳'!$AC$5:$AC$304,$O33)&amp;"")</f>
        <v/>
      </c>
      <c r="C33" s="74">
        <f>IF($O33="","",INDEX('契約台帳'!$AB$5:$AB$304,$O33))</f>
        <v/>
      </c>
      <c r="D33" s="75">
        <f>IF($O33="","",INDEX('契約台帳'!$AA$5:$AA$304,$O33))</f>
        <v/>
      </c>
      <c r="E33" s="36">
        <f>IF($O33="","",IF(ISNUMBER(INDEX('契約台帳'!$Z$5:$Z$304,$O33)),"通知期限","満了日"))</f>
        <v/>
      </c>
      <c r="F33" s="36">
        <f>IF($O33="","",INDEX('契約台帳'!$B$5:$B$304,$O33)&amp;"")</f>
        <v/>
      </c>
      <c r="G33" s="39">
        <f>IF($O33="","",INDEX('契約台帳'!$E$5:$E$304,$O33)&amp;"")</f>
        <v/>
      </c>
      <c r="H33" s="39">
        <f>IF($O33="","",INDEX('契約台帳'!$C$5:$C$304,$O33)&amp;"")</f>
        <v/>
      </c>
      <c r="I33" s="39">
        <f>IF($O33="","",INDEX('契約台帳'!$D$5:$D$304,$O33)&amp;"")</f>
        <v/>
      </c>
      <c r="J33" s="36">
        <f>IF($O33="","",INDEX('契約台帳'!$I$5:$I$304,$O33)&amp;"")</f>
        <v/>
      </c>
      <c r="K33" s="75">
        <f>IF($O33="","",INDEX('契約台帳'!$Y$5:$Y$304,$O33))</f>
        <v/>
      </c>
      <c r="L33" s="36">
        <f>IF($O33="","",INDEX('契約台帳'!$T$5:$T$304,$O33)&amp;"")</f>
        <v/>
      </c>
      <c r="M33" s="36">
        <f>IF($O33="","",INDEX('契約台帳'!$S$5:$S$304,$O33)&amp;"")</f>
        <v/>
      </c>
      <c r="N33" s="53" t="n"/>
      <c r="O33" s="76">
        <f>IFERROR(MATCH(SMALL('契約台帳'!$AR$5:$AR$304,29),'契約台帳'!$AR$5:$AR$304,0),"")</f>
        <v/>
      </c>
    </row>
    <row r="34" ht="18" customHeight="1">
      <c r="A34" s="36">
        <f>IF($O34="","",30)</f>
        <v/>
      </c>
      <c r="B34" s="36">
        <f>IF($O34="","",INDEX('契約台帳'!$AC$5:$AC$304,$O34)&amp;"")</f>
        <v/>
      </c>
      <c r="C34" s="74">
        <f>IF($O34="","",INDEX('契約台帳'!$AB$5:$AB$304,$O34))</f>
        <v/>
      </c>
      <c r="D34" s="75">
        <f>IF($O34="","",INDEX('契約台帳'!$AA$5:$AA$304,$O34))</f>
        <v/>
      </c>
      <c r="E34" s="36">
        <f>IF($O34="","",IF(ISNUMBER(INDEX('契約台帳'!$Z$5:$Z$304,$O34)),"通知期限","満了日"))</f>
        <v/>
      </c>
      <c r="F34" s="36">
        <f>IF($O34="","",INDEX('契約台帳'!$B$5:$B$304,$O34)&amp;"")</f>
        <v/>
      </c>
      <c r="G34" s="39">
        <f>IF($O34="","",INDEX('契約台帳'!$E$5:$E$304,$O34)&amp;"")</f>
        <v/>
      </c>
      <c r="H34" s="39">
        <f>IF($O34="","",INDEX('契約台帳'!$C$5:$C$304,$O34)&amp;"")</f>
        <v/>
      </c>
      <c r="I34" s="39">
        <f>IF($O34="","",INDEX('契約台帳'!$D$5:$D$304,$O34)&amp;"")</f>
        <v/>
      </c>
      <c r="J34" s="36">
        <f>IF($O34="","",INDEX('契約台帳'!$I$5:$I$304,$O34)&amp;"")</f>
        <v/>
      </c>
      <c r="K34" s="75">
        <f>IF($O34="","",INDEX('契約台帳'!$Y$5:$Y$304,$O34))</f>
        <v/>
      </c>
      <c r="L34" s="36">
        <f>IF($O34="","",INDEX('契約台帳'!$T$5:$T$304,$O34)&amp;"")</f>
        <v/>
      </c>
      <c r="M34" s="36">
        <f>IF($O34="","",INDEX('契約台帳'!$S$5:$S$304,$O34)&amp;"")</f>
        <v/>
      </c>
      <c r="N34" s="53" t="n"/>
      <c r="O34" s="76">
        <f>IFERROR(MATCH(SMALL('契約台帳'!$AR$5:$AR$304,30),'契約台帳'!$AR$5:$AR$304,0),"")</f>
        <v/>
      </c>
    </row>
    <row r="35" ht="18" customHeight="1">
      <c r="A35" s="36">
        <f>IF($O35="","",31)</f>
        <v/>
      </c>
      <c r="B35" s="36">
        <f>IF($O35="","",INDEX('契約台帳'!$AC$5:$AC$304,$O35)&amp;"")</f>
        <v/>
      </c>
      <c r="C35" s="74">
        <f>IF($O35="","",INDEX('契約台帳'!$AB$5:$AB$304,$O35))</f>
        <v/>
      </c>
      <c r="D35" s="75">
        <f>IF($O35="","",INDEX('契約台帳'!$AA$5:$AA$304,$O35))</f>
        <v/>
      </c>
      <c r="E35" s="36">
        <f>IF($O35="","",IF(ISNUMBER(INDEX('契約台帳'!$Z$5:$Z$304,$O35)),"通知期限","満了日"))</f>
        <v/>
      </c>
      <c r="F35" s="36">
        <f>IF($O35="","",INDEX('契約台帳'!$B$5:$B$304,$O35)&amp;"")</f>
        <v/>
      </c>
      <c r="G35" s="39">
        <f>IF($O35="","",INDEX('契約台帳'!$E$5:$E$304,$O35)&amp;"")</f>
        <v/>
      </c>
      <c r="H35" s="39">
        <f>IF($O35="","",INDEX('契約台帳'!$C$5:$C$304,$O35)&amp;"")</f>
        <v/>
      </c>
      <c r="I35" s="39">
        <f>IF($O35="","",INDEX('契約台帳'!$D$5:$D$304,$O35)&amp;"")</f>
        <v/>
      </c>
      <c r="J35" s="36">
        <f>IF($O35="","",INDEX('契約台帳'!$I$5:$I$304,$O35)&amp;"")</f>
        <v/>
      </c>
      <c r="K35" s="75">
        <f>IF($O35="","",INDEX('契約台帳'!$Y$5:$Y$304,$O35))</f>
        <v/>
      </c>
      <c r="L35" s="36">
        <f>IF($O35="","",INDEX('契約台帳'!$T$5:$T$304,$O35)&amp;"")</f>
        <v/>
      </c>
      <c r="M35" s="36">
        <f>IF($O35="","",INDEX('契約台帳'!$S$5:$S$304,$O35)&amp;"")</f>
        <v/>
      </c>
      <c r="N35" s="53" t="n"/>
      <c r="O35" s="76">
        <f>IFERROR(MATCH(SMALL('契約台帳'!$AR$5:$AR$304,31),'契約台帳'!$AR$5:$AR$304,0),"")</f>
        <v/>
      </c>
    </row>
    <row r="36" ht="18" customHeight="1">
      <c r="A36" s="36">
        <f>IF($O36="","",32)</f>
        <v/>
      </c>
      <c r="B36" s="36">
        <f>IF($O36="","",INDEX('契約台帳'!$AC$5:$AC$304,$O36)&amp;"")</f>
        <v/>
      </c>
      <c r="C36" s="74">
        <f>IF($O36="","",INDEX('契約台帳'!$AB$5:$AB$304,$O36))</f>
        <v/>
      </c>
      <c r="D36" s="75">
        <f>IF($O36="","",INDEX('契約台帳'!$AA$5:$AA$304,$O36))</f>
        <v/>
      </c>
      <c r="E36" s="36">
        <f>IF($O36="","",IF(ISNUMBER(INDEX('契約台帳'!$Z$5:$Z$304,$O36)),"通知期限","満了日"))</f>
        <v/>
      </c>
      <c r="F36" s="36">
        <f>IF($O36="","",INDEX('契約台帳'!$B$5:$B$304,$O36)&amp;"")</f>
        <v/>
      </c>
      <c r="G36" s="39">
        <f>IF($O36="","",INDEX('契約台帳'!$E$5:$E$304,$O36)&amp;"")</f>
        <v/>
      </c>
      <c r="H36" s="39">
        <f>IF($O36="","",INDEX('契約台帳'!$C$5:$C$304,$O36)&amp;"")</f>
        <v/>
      </c>
      <c r="I36" s="39">
        <f>IF($O36="","",INDEX('契約台帳'!$D$5:$D$304,$O36)&amp;"")</f>
        <v/>
      </c>
      <c r="J36" s="36">
        <f>IF($O36="","",INDEX('契約台帳'!$I$5:$I$304,$O36)&amp;"")</f>
        <v/>
      </c>
      <c r="K36" s="75">
        <f>IF($O36="","",INDEX('契約台帳'!$Y$5:$Y$304,$O36))</f>
        <v/>
      </c>
      <c r="L36" s="36">
        <f>IF($O36="","",INDEX('契約台帳'!$T$5:$T$304,$O36)&amp;"")</f>
        <v/>
      </c>
      <c r="M36" s="36">
        <f>IF($O36="","",INDEX('契約台帳'!$S$5:$S$304,$O36)&amp;"")</f>
        <v/>
      </c>
      <c r="N36" s="53" t="n"/>
      <c r="O36" s="76">
        <f>IFERROR(MATCH(SMALL('契約台帳'!$AR$5:$AR$304,32),'契約台帳'!$AR$5:$AR$304,0),"")</f>
        <v/>
      </c>
    </row>
    <row r="37" ht="18" customHeight="1">
      <c r="A37" s="36">
        <f>IF($O37="","",33)</f>
        <v/>
      </c>
      <c r="B37" s="36">
        <f>IF($O37="","",INDEX('契約台帳'!$AC$5:$AC$304,$O37)&amp;"")</f>
        <v/>
      </c>
      <c r="C37" s="74">
        <f>IF($O37="","",INDEX('契約台帳'!$AB$5:$AB$304,$O37))</f>
        <v/>
      </c>
      <c r="D37" s="75">
        <f>IF($O37="","",INDEX('契約台帳'!$AA$5:$AA$304,$O37))</f>
        <v/>
      </c>
      <c r="E37" s="36">
        <f>IF($O37="","",IF(ISNUMBER(INDEX('契約台帳'!$Z$5:$Z$304,$O37)),"通知期限","満了日"))</f>
        <v/>
      </c>
      <c r="F37" s="36">
        <f>IF($O37="","",INDEX('契約台帳'!$B$5:$B$304,$O37)&amp;"")</f>
        <v/>
      </c>
      <c r="G37" s="39">
        <f>IF($O37="","",INDEX('契約台帳'!$E$5:$E$304,$O37)&amp;"")</f>
        <v/>
      </c>
      <c r="H37" s="39">
        <f>IF($O37="","",INDEX('契約台帳'!$C$5:$C$304,$O37)&amp;"")</f>
        <v/>
      </c>
      <c r="I37" s="39">
        <f>IF($O37="","",INDEX('契約台帳'!$D$5:$D$304,$O37)&amp;"")</f>
        <v/>
      </c>
      <c r="J37" s="36">
        <f>IF($O37="","",INDEX('契約台帳'!$I$5:$I$304,$O37)&amp;"")</f>
        <v/>
      </c>
      <c r="K37" s="75">
        <f>IF($O37="","",INDEX('契約台帳'!$Y$5:$Y$304,$O37))</f>
        <v/>
      </c>
      <c r="L37" s="36">
        <f>IF($O37="","",INDEX('契約台帳'!$T$5:$T$304,$O37)&amp;"")</f>
        <v/>
      </c>
      <c r="M37" s="36">
        <f>IF($O37="","",INDEX('契約台帳'!$S$5:$S$304,$O37)&amp;"")</f>
        <v/>
      </c>
      <c r="N37" s="53" t="n"/>
      <c r="O37" s="76">
        <f>IFERROR(MATCH(SMALL('契約台帳'!$AR$5:$AR$304,33),'契約台帳'!$AR$5:$AR$304,0),"")</f>
        <v/>
      </c>
    </row>
    <row r="38" ht="18" customHeight="1">
      <c r="A38" s="36">
        <f>IF($O38="","",34)</f>
        <v/>
      </c>
      <c r="B38" s="36">
        <f>IF($O38="","",INDEX('契約台帳'!$AC$5:$AC$304,$O38)&amp;"")</f>
        <v/>
      </c>
      <c r="C38" s="74">
        <f>IF($O38="","",INDEX('契約台帳'!$AB$5:$AB$304,$O38))</f>
        <v/>
      </c>
      <c r="D38" s="75">
        <f>IF($O38="","",INDEX('契約台帳'!$AA$5:$AA$304,$O38))</f>
        <v/>
      </c>
      <c r="E38" s="36">
        <f>IF($O38="","",IF(ISNUMBER(INDEX('契約台帳'!$Z$5:$Z$304,$O38)),"通知期限","満了日"))</f>
        <v/>
      </c>
      <c r="F38" s="36">
        <f>IF($O38="","",INDEX('契約台帳'!$B$5:$B$304,$O38)&amp;"")</f>
        <v/>
      </c>
      <c r="G38" s="39">
        <f>IF($O38="","",INDEX('契約台帳'!$E$5:$E$304,$O38)&amp;"")</f>
        <v/>
      </c>
      <c r="H38" s="39">
        <f>IF($O38="","",INDEX('契約台帳'!$C$5:$C$304,$O38)&amp;"")</f>
        <v/>
      </c>
      <c r="I38" s="39">
        <f>IF($O38="","",INDEX('契約台帳'!$D$5:$D$304,$O38)&amp;"")</f>
        <v/>
      </c>
      <c r="J38" s="36">
        <f>IF($O38="","",INDEX('契約台帳'!$I$5:$I$304,$O38)&amp;"")</f>
        <v/>
      </c>
      <c r="K38" s="75">
        <f>IF($O38="","",INDEX('契約台帳'!$Y$5:$Y$304,$O38))</f>
        <v/>
      </c>
      <c r="L38" s="36">
        <f>IF($O38="","",INDEX('契約台帳'!$T$5:$T$304,$O38)&amp;"")</f>
        <v/>
      </c>
      <c r="M38" s="36">
        <f>IF($O38="","",INDEX('契約台帳'!$S$5:$S$304,$O38)&amp;"")</f>
        <v/>
      </c>
      <c r="N38" s="53" t="n"/>
      <c r="O38" s="76">
        <f>IFERROR(MATCH(SMALL('契約台帳'!$AR$5:$AR$304,34),'契約台帳'!$AR$5:$AR$304,0),"")</f>
        <v/>
      </c>
    </row>
    <row r="39" ht="18" customHeight="1">
      <c r="A39" s="36">
        <f>IF($O39="","",35)</f>
        <v/>
      </c>
      <c r="B39" s="36">
        <f>IF($O39="","",INDEX('契約台帳'!$AC$5:$AC$304,$O39)&amp;"")</f>
        <v/>
      </c>
      <c r="C39" s="74">
        <f>IF($O39="","",INDEX('契約台帳'!$AB$5:$AB$304,$O39))</f>
        <v/>
      </c>
      <c r="D39" s="75">
        <f>IF($O39="","",INDEX('契約台帳'!$AA$5:$AA$304,$O39))</f>
        <v/>
      </c>
      <c r="E39" s="36">
        <f>IF($O39="","",IF(ISNUMBER(INDEX('契約台帳'!$Z$5:$Z$304,$O39)),"通知期限","満了日"))</f>
        <v/>
      </c>
      <c r="F39" s="36">
        <f>IF($O39="","",INDEX('契約台帳'!$B$5:$B$304,$O39)&amp;"")</f>
        <v/>
      </c>
      <c r="G39" s="39">
        <f>IF($O39="","",INDEX('契約台帳'!$E$5:$E$304,$O39)&amp;"")</f>
        <v/>
      </c>
      <c r="H39" s="39">
        <f>IF($O39="","",INDEX('契約台帳'!$C$5:$C$304,$O39)&amp;"")</f>
        <v/>
      </c>
      <c r="I39" s="39">
        <f>IF($O39="","",INDEX('契約台帳'!$D$5:$D$304,$O39)&amp;"")</f>
        <v/>
      </c>
      <c r="J39" s="36">
        <f>IF($O39="","",INDEX('契約台帳'!$I$5:$I$304,$O39)&amp;"")</f>
        <v/>
      </c>
      <c r="K39" s="75">
        <f>IF($O39="","",INDEX('契約台帳'!$Y$5:$Y$304,$O39))</f>
        <v/>
      </c>
      <c r="L39" s="36">
        <f>IF($O39="","",INDEX('契約台帳'!$T$5:$T$304,$O39)&amp;"")</f>
        <v/>
      </c>
      <c r="M39" s="36">
        <f>IF($O39="","",INDEX('契約台帳'!$S$5:$S$304,$O39)&amp;"")</f>
        <v/>
      </c>
      <c r="N39" s="53" t="n"/>
      <c r="O39" s="76">
        <f>IFERROR(MATCH(SMALL('契約台帳'!$AR$5:$AR$304,35),'契約台帳'!$AR$5:$AR$304,0),"")</f>
        <v/>
      </c>
    </row>
    <row r="40" ht="18" customHeight="1">
      <c r="A40" s="36">
        <f>IF($O40="","",36)</f>
        <v/>
      </c>
      <c r="B40" s="36">
        <f>IF($O40="","",INDEX('契約台帳'!$AC$5:$AC$304,$O40)&amp;"")</f>
        <v/>
      </c>
      <c r="C40" s="74">
        <f>IF($O40="","",INDEX('契約台帳'!$AB$5:$AB$304,$O40))</f>
        <v/>
      </c>
      <c r="D40" s="75">
        <f>IF($O40="","",INDEX('契約台帳'!$AA$5:$AA$304,$O40))</f>
        <v/>
      </c>
      <c r="E40" s="36">
        <f>IF($O40="","",IF(ISNUMBER(INDEX('契約台帳'!$Z$5:$Z$304,$O40)),"通知期限","満了日"))</f>
        <v/>
      </c>
      <c r="F40" s="36">
        <f>IF($O40="","",INDEX('契約台帳'!$B$5:$B$304,$O40)&amp;"")</f>
        <v/>
      </c>
      <c r="G40" s="39">
        <f>IF($O40="","",INDEX('契約台帳'!$E$5:$E$304,$O40)&amp;"")</f>
        <v/>
      </c>
      <c r="H40" s="39">
        <f>IF($O40="","",INDEX('契約台帳'!$C$5:$C$304,$O40)&amp;"")</f>
        <v/>
      </c>
      <c r="I40" s="39">
        <f>IF($O40="","",INDEX('契約台帳'!$D$5:$D$304,$O40)&amp;"")</f>
        <v/>
      </c>
      <c r="J40" s="36">
        <f>IF($O40="","",INDEX('契約台帳'!$I$5:$I$304,$O40)&amp;"")</f>
        <v/>
      </c>
      <c r="K40" s="75">
        <f>IF($O40="","",INDEX('契約台帳'!$Y$5:$Y$304,$O40))</f>
        <v/>
      </c>
      <c r="L40" s="36">
        <f>IF($O40="","",INDEX('契約台帳'!$T$5:$T$304,$O40)&amp;"")</f>
        <v/>
      </c>
      <c r="M40" s="36">
        <f>IF($O40="","",INDEX('契約台帳'!$S$5:$S$304,$O40)&amp;"")</f>
        <v/>
      </c>
      <c r="N40" s="53" t="n"/>
      <c r="O40" s="76">
        <f>IFERROR(MATCH(SMALL('契約台帳'!$AR$5:$AR$304,36),'契約台帳'!$AR$5:$AR$304,0),"")</f>
        <v/>
      </c>
    </row>
    <row r="41" ht="18" customHeight="1">
      <c r="A41" s="36">
        <f>IF($O41="","",37)</f>
        <v/>
      </c>
      <c r="B41" s="36">
        <f>IF($O41="","",INDEX('契約台帳'!$AC$5:$AC$304,$O41)&amp;"")</f>
        <v/>
      </c>
      <c r="C41" s="74">
        <f>IF($O41="","",INDEX('契約台帳'!$AB$5:$AB$304,$O41))</f>
        <v/>
      </c>
      <c r="D41" s="75">
        <f>IF($O41="","",INDEX('契約台帳'!$AA$5:$AA$304,$O41))</f>
        <v/>
      </c>
      <c r="E41" s="36">
        <f>IF($O41="","",IF(ISNUMBER(INDEX('契約台帳'!$Z$5:$Z$304,$O41)),"通知期限","満了日"))</f>
        <v/>
      </c>
      <c r="F41" s="36">
        <f>IF($O41="","",INDEX('契約台帳'!$B$5:$B$304,$O41)&amp;"")</f>
        <v/>
      </c>
      <c r="G41" s="39">
        <f>IF($O41="","",INDEX('契約台帳'!$E$5:$E$304,$O41)&amp;"")</f>
        <v/>
      </c>
      <c r="H41" s="39">
        <f>IF($O41="","",INDEX('契約台帳'!$C$5:$C$304,$O41)&amp;"")</f>
        <v/>
      </c>
      <c r="I41" s="39">
        <f>IF($O41="","",INDEX('契約台帳'!$D$5:$D$304,$O41)&amp;"")</f>
        <v/>
      </c>
      <c r="J41" s="36">
        <f>IF($O41="","",INDEX('契約台帳'!$I$5:$I$304,$O41)&amp;"")</f>
        <v/>
      </c>
      <c r="K41" s="75">
        <f>IF($O41="","",INDEX('契約台帳'!$Y$5:$Y$304,$O41))</f>
        <v/>
      </c>
      <c r="L41" s="36">
        <f>IF($O41="","",INDEX('契約台帳'!$T$5:$T$304,$O41)&amp;"")</f>
        <v/>
      </c>
      <c r="M41" s="36">
        <f>IF($O41="","",INDEX('契約台帳'!$S$5:$S$304,$O41)&amp;"")</f>
        <v/>
      </c>
      <c r="N41" s="53" t="n"/>
      <c r="O41" s="76">
        <f>IFERROR(MATCH(SMALL('契約台帳'!$AR$5:$AR$304,37),'契約台帳'!$AR$5:$AR$304,0),"")</f>
        <v/>
      </c>
    </row>
    <row r="42" ht="18" customHeight="1">
      <c r="A42" s="36">
        <f>IF($O42="","",38)</f>
        <v/>
      </c>
      <c r="B42" s="36">
        <f>IF($O42="","",INDEX('契約台帳'!$AC$5:$AC$304,$O42)&amp;"")</f>
        <v/>
      </c>
      <c r="C42" s="74">
        <f>IF($O42="","",INDEX('契約台帳'!$AB$5:$AB$304,$O42))</f>
        <v/>
      </c>
      <c r="D42" s="75">
        <f>IF($O42="","",INDEX('契約台帳'!$AA$5:$AA$304,$O42))</f>
        <v/>
      </c>
      <c r="E42" s="36">
        <f>IF($O42="","",IF(ISNUMBER(INDEX('契約台帳'!$Z$5:$Z$304,$O42)),"通知期限","満了日"))</f>
        <v/>
      </c>
      <c r="F42" s="36">
        <f>IF($O42="","",INDEX('契約台帳'!$B$5:$B$304,$O42)&amp;"")</f>
        <v/>
      </c>
      <c r="G42" s="39">
        <f>IF($O42="","",INDEX('契約台帳'!$E$5:$E$304,$O42)&amp;"")</f>
        <v/>
      </c>
      <c r="H42" s="39">
        <f>IF($O42="","",INDEX('契約台帳'!$C$5:$C$304,$O42)&amp;"")</f>
        <v/>
      </c>
      <c r="I42" s="39">
        <f>IF($O42="","",INDEX('契約台帳'!$D$5:$D$304,$O42)&amp;"")</f>
        <v/>
      </c>
      <c r="J42" s="36">
        <f>IF($O42="","",INDEX('契約台帳'!$I$5:$I$304,$O42)&amp;"")</f>
        <v/>
      </c>
      <c r="K42" s="75">
        <f>IF($O42="","",INDEX('契約台帳'!$Y$5:$Y$304,$O42))</f>
        <v/>
      </c>
      <c r="L42" s="36">
        <f>IF($O42="","",INDEX('契約台帳'!$T$5:$T$304,$O42)&amp;"")</f>
        <v/>
      </c>
      <c r="M42" s="36">
        <f>IF($O42="","",INDEX('契約台帳'!$S$5:$S$304,$O42)&amp;"")</f>
        <v/>
      </c>
      <c r="N42" s="53" t="n"/>
      <c r="O42" s="76">
        <f>IFERROR(MATCH(SMALL('契約台帳'!$AR$5:$AR$304,38),'契約台帳'!$AR$5:$AR$304,0),"")</f>
        <v/>
      </c>
    </row>
    <row r="43" ht="18" customHeight="1">
      <c r="A43" s="36">
        <f>IF($O43="","",39)</f>
        <v/>
      </c>
      <c r="B43" s="36">
        <f>IF($O43="","",INDEX('契約台帳'!$AC$5:$AC$304,$O43)&amp;"")</f>
        <v/>
      </c>
      <c r="C43" s="74">
        <f>IF($O43="","",INDEX('契約台帳'!$AB$5:$AB$304,$O43))</f>
        <v/>
      </c>
      <c r="D43" s="75">
        <f>IF($O43="","",INDEX('契約台帳'!$AA$5:$AA$304,$O43))</f>
        <v/>
      </c>
      <c r="E43" s="36">
        <f>IF($O43="","",IF(ISNUMBER(INDEX('契約台帳'!$Z$5:$Z$304,$O43)),"通知期限","満了日"))</f>
        <v/>
      </c>
      <c r="F43" s="36">
        <f>IF($O43="","",INDEX('契約台帳'!$B$5:$B$304,$O43)&amp;"")</f>
        <v/>
      </c>
      <c r="G43" s="39">
        <f>IF($O43="","",INDEX('契約台帳'!$E$5:$E$304,$O43)&amp;"")</f>
        <v/>
      </c>
      <c r="H43" s="39">
        <f>IF($O43="","",INDEX('契約台帳'!$C$5:$C$304,$O43)&amp;"")</f>
        <v/>
      </c>
      <c r="I43" s="39">
        <f>IF($O43="","",INDEX('契約台帳'!$D$5:$D$304,$O43)&amp;"")</f>
        <v/>
      </c>
      <c r="J43" s="36">
        <f>IF($O43="","",INDEX('契約台帳'!$I$5:$I$304,$O43)&amp;"")</f>
        <v/>
      </c>
      <c r="K43" s="75">
        <f>IF($O43="","",INDEX('契約台帳'!$Y$5:$Y$304,$O43))</f>
        <v/>
      </c>
      <c r="L43" s="36">
        <f>IF($O43="","",INDEX('契約台帳'!$T$5:$T$304,$O43)&amp;"")</f>
        <v/>
      </c>
      <c r="M43" s="36">
        <f>IF($O43="","",INDEX('契約台帳'!$S$5:$S$304,$O43)&amp;"")</f>
        <v/>
      </c>
      <c r="N43" s="53" t="n"/>
      <c r="O43" s="76">
        <f>IFERROR(MATCH(SMALL('契約台帳'!$AR$5:$AR$304,39),'契約台帳'!$AR$5:$AR$304,0),"")</f>
        <v/>
      </c>
    </row>
    <row r="44" ht="18" customHeight="1">
      <c r="A44" s="36">
        <f>IF($O44="","",40)</f>
        <v/>
      </c>
      <c r="B44" s="36">
        <f>IF($O44="","",INDEX('契約台帳'!$AC$5:$AC$304,$O44)&amp;"")</f>
        <v/>
      </c>
      <c r="C44" s="74">
        <f>IF($O44="","",INDEX('契約台帳'!$AB$5:$AB$304,$O44))</f>
        <v/>
      </c>
      <c r="D44" s="75">
        <f>IF($O44="","",INDEX('契約台帳'!$AA$5:$AA$304,$O44))</f>
        <v/>
      </c>
      <c r="E44" s="36">
        <f>IF($O44="","",IF(ISNUMBER(INDEX('契約台帳'!$Z$5:$Z$304,$O44)),"通知期限","満了日"))</f>
        <v/>
      </c>
      <c r="F44" s="36">
        <f>IF($O44="","",INDEX('契約台帳'!$B$5:$B$304,$O44)&amp;"")</f>
        <v/>
      </c>
      <c r="G44" s="39">
        <f>IF($O44="","",INDEX('契約台帳'!$E$5:$E$304,$O44)&amp;"")</f>
        <v/>
      </c>
      <c r="H44" s="39">
        <f>IF($O44="","",INDEX('契約台帳'!$C$5:$C$304,$O44)&amp;"")</f>
        <v/>
      </c>
      <c r="I44" s="39">
        <f>IF($O44="","",INDEX('契約台帳'!$D$5:$D$304,$O44)&amp;"")</f>
        <v/>
      </c>
      <c r="J44" s="36">
        <f>IF($O44="","",INDEX('契約台帳'!$I$5:$I$304,$O44)&amp;"")</f>
        <v/>
      </c>
      <c r="K44" s="75">
        <f>IF($O44="","",INDEX('契約台帳'!$Y$5:$Y$304,$O44))</f>
        <v/>
      </c>
      <c r="L44" s="36">
        <f>IF($O44="","",INDEX('契約台帳'!$T$5:$T$304,$O44)&amp;"")</f>
        <v/>
      </c>
      <c r="M44" s="36">
        <f>IF($O44="","",INDEX('契約台帳'!$S$5:$S$304,$O44)&amp;"")</f>
        <v/>
      </c>
      <c r="N44" s="53" t="n"/>
      <c r="O44" s="76">
        <f>IFERROR(MATCH(SMALL('契約台帳'!$AR$5:$AR$304,40),'契約台帳'!$AR$5:$AR$304,0),"")</f>
        <v/>
      </c>
    </row>
    <row r="45" ht="18" customHeight="1">
      <c r="A45" s="36">
        <f>IF($O45="","",41)</f>
        <v/>
      </c>
      <c r="B45" s="36">
        <f>IF($O45="","",INDEX('契約台帳'!$AC$5:$AC$304,$O45)&amp;"")</f>
        <v/>
      </c>
      <c r="C45" s="74">
        <f>IF($O45="","",INDEX('契約台帳'!$AB$5:$AB$304,$O45))</f>
        <v/>
      </c>
      <c r="D45" s="75">
        <f>IF($O45="","",INDEX('契約台帳'!$AA$5:$AA$304,$O45))</f>
        <v/>
      </c>
      <c r="E45" s="36">
        <f>IF($O45="","",IF(ISNUMBER(INDEX('契約台帳'!$Z$5:$Z$304,$O45)),"通知期限","満了日"))</f>
        <v/>
      </c>
      <c r="F45" s="36">
        <f>IF($O45="","",INDEX('契約台帳'!$B$5:$B$304,$O45)&amp;"")</f>
        <v/>
      </c>
      <c r="G45" s="39">
        <f>IF($O45="","",INDEX('契約台帳'!$E$5:$E$304,$O45)&amp;"")</f>
        <v/>
      </c>
      <c r="H45" s="39">
        <f>IF($O45="","",INDEX('契約台帳'!$C$5:$C$304,$O45)&amp;"")</f>
        <v/>
      </c>
      <c r="I45" s="39">
        <f>IF($O45="","",INDEX('契約台帳'!$D$5:$D$304,$O45)&amp;"")</f>
        <v/>
      </c>
      <c r="J45" s="36">
        <f>IF($O45="","",INDEX('契約台帳'!$I$5:$I$304,$O45)&amp;"")</f>
        <v/>
      </c>
      <c r="K45" s="75">
        <f>IF($O45="","",INDEX('契約台帳'!$Y$5:$Y$304,$O45))</f>
        <v/>
      </c>
      <c r="L45" s="36">
        <f>IF($O45="","",INDEX('契約台帳'!$T$5:$T$304,$O45)&amp;"")</f>
        <v/>
      </c>
      <c r="M45" s="36">
        <f>IF($O45="","",INDEX('契約台帳'!$S$5:$S$304,$O45)&amp;"")</f>
        <v/>
      </c>
      <c r="N45" s="53" t="n"/>
      <c r="O45" s="76">
        <f>IFERROR(MATCH(SMALL('契約台帳'!$AR$5:$AR$304,41),'契約台帳'!$AR$5:$AR$304,0),"")</f>
        <v/>
      </c>
    </row>
    <row r="46" ht="18" customHeight="1">
      <c r="A46" s="36">
        <f>IF($O46="","",42)</f>
        <v/>
      </c>
      <c r="B46" s="36">
        <f>IF($O46="","",INDEX('契約台帳'!$AC$5:$AC$304,$O46)&amp;"")</f>
        <v/>
      </c>
      <c r="C46" s="74">
        <f>IF($O46="","",INDEX('契約台帳'!$AB$5:$AB$304,$O46))</f>
        <v/>
      </c>
      <c r="D46" s="75">
        <f>IF($O46="","",INDEX('契約台帳'!$AA$5:$AA$304,$O46))</f>
        <v/>
      </c>
      <c r="E46" s="36">
        <f>IF($O46="","",IF(ISNUMBER(INDEX('契約台帳'!$Z$5:$Z$304,$O46)),"通知期限","満了日"))</f>
        <v/>
      </c>
      <c r="F46" s="36">
        <f>IF($O46="","",INDEX('契約台帳'!$B$5:$B$304,$O46)&amp;"")</f>
        <v/>
      </c>
      <c r="G46" s="39">
        <f>IF($O46="","",INDEX('契約台帳'!$E$5:$E$304,$O46)&amp;"")</f>
        <v/>
      </c>
      <c r="H46" s="39">
        <f>IF($O46="","",INDEX('契約台帳'!$C$5:$C$304,$O46)&amp;"")</f>
        <v/>
      </c>
      <c r="I46" s="39">
        <f>IF($O46="","",INDEX('契約台帳'!$D$5:$D$304,$O46)&amp;"")</f>
        <v/>
      </c>
      <c r="J46" s="36">
        <f>IF($O46="","",INDEX('契約台帳'!$I$5:$I$304,$O46)&amp;"")</f>
        <v/>
      </c>
      <c r="K46" s="75">
        <f>IF($O46="","",INDEX('契約台帳'!$Y$5:$Y$304,$O46))</f>
        <v/>
      </c>
      <c r="L46" s="36">
        <f>IF($O46="","",INDEX('契約台帳'!$T$5:$T$304,$O46)&amp;"")</f>
        <v/>
      </c>
      <c r="M46" s="36">
        <f>IF($O46="","",INDEX('契約台帳'!$S$5:$S$304,$O46)&amp;"")</f>
        <v/>
      </c>
      <c r="N46" s="53" t="n"/>
      <c r="O46" s="76">
        <f>IFERROR(MATCH(SMALL('契約台帳'!$AR$5:$AR$304,42),'契約台帳'!$AR$5:$AR$304,0),"")</f>
        <v/>
      </c>
    </row>
    <row r="47" ht="18" customHeight="1">
      <c r="A47" s="36">
        <f>IF($O47="","",43)</f>
        <v/>
      </c>
      <c r="B47" s="36">
        <f>IF($O47="","",INDEX('契約台帳'!$AC$5:$AC$304,$O47)&amp;"")</f>
        <v/>
      </c>
      <c r="C47" s="74">
        <f>IF($O47="","",INDEX('契約台帳'!$AB$5:$AB$304,$O47))</f>
        <v/>
      </c>
      <c r="D47" s="75">
        <f>IF($O47="","",INDEX('契約台帳'!$AA$5:$AA$304,$O47))</f>
        <v/>
      </c>
      <c r="E47" s="36">
        <f>IF($O47="","",IF(ISNUMBER(INDEX('契約台帳'!$Z$5:$Z$304,$O47)),"通知期限","満了日"))</f>
        <v/>
      </c>
      <c r="F47" s="36">
        <f>IF($O47="","",INDEX('契約台帳'!$B$5:$B$304,$O47)&amp;"")</f>
        <v/>
      </c>
      <c r="G47" s="39">
        <f>IF($O47="","",INDEX('契約台帳'!$E$5:$E$304,$O47)&amp;"")</f>
        <v/>
      </c>
      <c r="H47" s="39">
        <f>IF($O47="","",INDEX('契約台帳'!$C$5:$C$304,$O47)&amp;"")</f>
        <v/>
      </c>
      <c r="I47" s="39">
        <f>IF($O47="","",INDEX('契約台帳'!$D$5:$D$304,$O47)&amp;"")</f>
        <v/>
      </c>
      <c r="J47" s="36">
        <f>IF($O47="","",INDEX('契約台帳'!$I$5:$I$304,$O47)&amp;"")</f>
        <v/>
      </c>
      <c r="K47" s="75">
        <f>IF($O47="","",INDEX('契約台帳'!$Y$5:$Y$304,$O47))</f>
        <v/>
      </c>
      <c r="L47" s="36">
        <f>IF($O47="","",INDEX('契約台帳'!$T$5:$T$304,$O47)&amp;"")</f>
        <v/>
      </c>
      <c r="M47" s="36">
        <f>IF($O47="","",INDEX('契約台帳'!$S$5:$S$304,$O47)&amp;"")</f>
        <v/>
      </c>
      <c r="N47" s="53" t="n"/>
      <c r="O47" s="76">
        <f>IFERROR(MATCH(SMALL('契約台帳'!$AR$5:$AR$304,43),'契約台帳'!$AR$5:$AR$304,0),"")</f>
        <v/>
      </c>
    </row>
    <row r="48" ht="18" customHeight="1">
      <c r="A48" s="36">
        <f>IF($O48="","",44)</f>
        <v/>
      </c>
      <c r="B48" s="36">
        <f>IF($O48="","",INDEX('契約台帳'!$AC$5:$AC$304,$O48)&amp;"")</f>
        <v/>
      </c>
      <c r="C48" s="74">
        <f>IF($O48="","",INDEX('契約台帳'!$AB$5:$AB$304,$O48))</f>
        <v/>
      </c>
      <c r="D48" s="75">
        <f>IF($O48="","",INDEX('契約台帳'!$AA$5:$AA$304,$O48))</f>
        <v/>
      </c>
      <c r="E48" s="36">
        <f>IF($O48="","",IF(ISNUMBER(INDEX('契約台帳'!$Z$5:$Z$304,$O48)),"通知期限","満了日"))</f>
        <v/>
      </c>
      <c r="F48" s="36">
        <f>IF($O48="","",INDEX('契約台帳'!$B$5:$B$304,$O48)&amp;"")</f>
        <v/>
      </c>
      <c r="G48" s="39">
        <f>IF($O48="","",INDEX('契約台帳'!$E$5:$E$304,$O48)&amp;"")</f>
        <v/>
      </c>
      <c r="H48" s="39">
        <f>IF($O48="","",INDEX('契約台帳'!$C$5:$C$304,$O48)&amp;"")</f>
        <v/>
      </c>
      <c r="I48" s="39">
        <f>IF($O48="","",INDEX('契約台帳'!$D$5:$D$304,$O48)&amp;"")</f>
        <v/>
      </c>
      <c r="J48" s="36">
        <f>IF($O48="","",INDEX('契約台帳'!$I$5:$I$304,$O48)&amp;"")</f>
        <v/>
      </c>
      <c r="K48" s="75">
        <f>IF($O48="","",INDEX('契約台帳'!$Y$5:$Y$304,$O48))</f>
        <v/>
      </c>
      <c r="L48" s="36">
        <f>IF($O48="","",INDEX('契約台帳'!$T$5:$T$304,$O48)&amp;"")</f>
        <v/>
      </c>
      <c r="M48" s="36">
        <f>IF($O48="","",INDEX('契約台帳'!$S$5:$S$304,$O48)&amp;"")</f>
        <v/>
      </c>
      <c r="N48" s="53" t="n"/>
      <c r="O48" s="76">
        <f>IFERROR(MATCH(SMALL('契約台帳'!$AR$5:$AR$304,44),'契約台帳'!$AR$5:$AR$304,0),"")</f>
        <v/>
      </c>
    </row>
    <row r="49" ht="18" customHeight="1">
      <c r="A49" s="36">
        <f>IF($O49="","",45)</f>
        <v/>
      </c>
      <c r="B49" s="36">
        <f>IF($O49="","",INDEX('契約台帳'!$AC$5:$AC$304,$O49)&amp;"")</f>
        <v/>
      </c>
      <c r="C49" s="74">
        <f>IF($O49="","",INDEX('契約台帳'!$AB$5:$AB$304,$O49))</f>
        <v/>
      </c>
      <c r="D49" s="75">
        <f>IF($O49="","",INDEX('契約台帳'!$AA$5:$AA$304,$O49))</f>
        <v/>
      </c>
      <c r="E49" s="36">
        <f>IF($O49="","",IF(ISNUMBER(INDEX('契約台帳'!$Z$5:$Z$304,$O49)),"通知期限","満了日"))</f>
        <v/>
      </c>
      <c r="F49" s="36">
        <f>IF($O49="","",INDEX('契約台帳'!$B$5:$B$304,$O49)&amp;"")</f>
        <v/>
      </c>
      <c r="G49" s="39">
        <f>IF($O49="","",INDEX('契約台帳'!$E$5:$E$304,$O49)&amp;"")</f>
        <v/>
      </c>
      <c r="H49" s="39">
        <f>IF($O49="","",INDEX('契約台帳'!$C$5:$C$304,$O49)&amp;"")</f>
        <v/>
      </c>
      <c r="I49" s="39">
        <f>IF($O49="","",INDEX('契約台帳'!$D$5:$D$304,$O49)&amp;"")</f>
        <v/>
      </c>
      <c r="J49" s="36">
        <f>IF($O49="","",INDEX('契約台帳'!$I$5:$I$304,$O49)&amp;"")</f>
        <v/>
      </c>
      <c r="K49" s="75">
        <f>IF($O49="","",INDEX('契約台帳'!$Y$5:$Y$304,$O49))</f>
        <v/>
      </c>
      <c r="L49" s="36">
        <f>IF($O49="","",INDEX('契約台帳'!$T$5:$T$304,$O49)&amp;"")</f>
        <v/>
      </c>
      <c r="M49" s="36">
        <f>IF($O49="","",INDEX('契約台帳'!$S$5:$S$304,$O49)&amp;"")</f>
        <v/>
      </c>
      <c r="N49" s="53" t="n"/>
      <c r="O49" s="76">
        <f>IFERROR(MATCH(SMALL('契約台帳'!$AR$5:$AR$304,45),'契約台帳'!$AR$5:$AR$304,0),"")</f>
        <v/>
      </c>
    </row>
    <row r="50" ht="18" customHeight="1">
      <c r="A50" s="36">
        <f>IF($O50="","",46)</f>
        <v/>
      </c>
      <c r="B50" s="36">
        <f>IF($O50="","",INDEX('契約台帳'!$AC$5:$AC$304,$O50)&amp;"")</f>
        <v/>
      </c>
      <c r="C50" s="74">
        <f>IF($O50="","",INDEX('契約台帳'!$AB$5:$AB$304,$O50))</f>
        <v/>
      </c>
      <c r="D50" s="75">
        <f>IF($O50="","",INDEX('契約台帳'!$AA$5:$AA$304,$O50))</f>
        <v/>
      </c>
      <c r="E50" s="36">
        <f>IF($O50="","",IF(ISNUMBER(INDEX('契約台帳'!$Z$5:$Z$304,$O50)),"通知期限","満了日"))</f>
        <v/>
      </c>
      <c r="F50" s="36">
        <f>IF($O50="","",INDEX('契約台帳'!$B$5:$B$304,$O50)&amp;"")</f>
        <v/>
      </c>
      <c r="G50" s="39">
        <f>IF($O50="","",INDEX('契約台帳'!$E$5:$E$304,$O50)&amp;"")</f>
        <v/>
      </c>
      <c r="H50" s="39">
        <f>IF($O50="","",INDEX('契約台帳'!$C$5:$C$304,$O50)&amp;"")</f>
        <v/>
      </c>
      <c r="I50" s="39">
        <f>IF($O50="","",INDEX('契約台帳'!$D$5:$D$304,$O50)&amp;"")</f>
        <v/>
      </c>
      <c r="J50" s="36">
        <f>IF($O50="","",INDEX('契約台帳'!$I$5:$I$304,$O50)&amp;"")</f>
        <v/>
      </c>
      <c r="K50" s="75">
        <f>IF($O50="","",INDEX('契約台帳'!$Y$5:$Y$304,$O50))</f>
        <v/>
      </c>
      <c r="L50" s="36">
        <f>IF($O50="","",INDEX('契約台帳'!$T$5:$T$304,$O50)&amp;"")</f>
        <v/>
      </c>
      <c r="M50" s="36">
        <f>IF($O50="","",INDEX('契約台帳'!$S$5:$S$304,$O50)&amp;"")</f>
        <v/>
      </c>
      <c r="N50" s="53" t="n"/>
      <c r="O50" s="76">
        <f>IFERROR(MATCH(SMALL('契約台帳'!$AR$5:$AR$304,46),'契約台帳'!$AR$5:$AR$304,0),"")</f>
        <v/>
      </c>
    </row>
    <row r="51" ht="18" customHeight="1">
      <c r="A51" s="36">
        <f>IF($O51="","",47)</f>
        <v/>
      </c>
      <c r="B51" s="36">
        <f>IF($O51="","",INDEX('契約台帳'!$AC$5:$AC$304,$O51)&amp;"")</f>
        <v/>
      </c>
      <c r="C51" s="74">
        <f>IF($O51="","",INDEX('契約台帳'!$AB$5:$AB$304,$O51))</f>
        <v/>
      </c>
      <c r="D51" s="75">
        <f>IF($O51="","",INDEX('契約台帳'!$AA$5:$AA$304,$O51))</f>
        <v/>
      </c>
      <c r="E51" s="36">
        <f>IF($O51="","",IF(ISNUMBER(INDEX('契約台帳'!$Z$5:$Z$304,$O51)),"通知期限","満了日"))</f>
        <v/>
      </c>
      <c r="F51" s="36">
        <f>IF($O51="","",INDEX('契約台帳'!$B$5:$B$304,$O51)&amp;"")</f>
        <v/>
      </c>
      <c r="G51" s="39">
        <f>IF($O51="","",INDEX('契約台帳'!$E$5:$E$304,$O51)&amp;"")</f>
        <v/>
      </c>
      <c r="H51" s="39">
        <f>IF($O51="","",INDEX('契約台帳'!$C$5:$C$304,$O51)&amp;"")</f>
        <v/>
      </c>
      <c r="I51" s="39">
        <f>IF($O51="","",INDEX('契約台帳'!$D$5:$D$304,$O51)&amp;"")</f>
        <v/>
      </c>
      <c r="J51" s="36">
        <f>IF($O51="","",INDEX('契約台帳'!$I$5:$I$304,$O51)&amp;"")</f>
        <v/>
      </c>
      <c r="K51" s="75">
        <f>IF($O51="","",INDEX('契約台帳'!$Y$5:$Y$304,$O51))</f>
        <v/>
      </c>
      <c r="L51" s="36">
        <f>IF($O51="","",INDEX('契約台帳'!$T$5:$T$304,$O51)&amp;"")</f>
        <v/>
      </c>
      <c r="M51" s="36">
        <f>IF($O51="","",INDEX('契約台帳'!$S$5:$S$304,$O51)&amp;"")</f>
        <v/>
      </c>
      <c r="N51" s="53" t="n"/>
      <c r="O51" s="76">
        <f>IFERROR(MATCH(SMALL('契約台帳'!$AR$5:$AR$304,47),'契約台帳'!$AR$5:$AR$304,0),"")</f>
        <v/>
      </c>
    </row>
    <row r="52" ht="18" customHeight="1">
      <c r="A52" s="36">
        <f>IF($O52="","",48)</f>
        <v/>
      </c>
      <c r="B52" s="36">
        <f>IF($O52="","",INDEX('契約台帳'!$AC$5:$AC$304,$O52)&amp;"")</f>
        <v/>
      </c>
      <c r="C52" s="74">
        <f>IF($O52="","",INDEX('契約台帳'!$AB$5:$AB$304,$O52))</f>
        <v/>
      </c>
      <c r="D52" s="75">
        <f>IF($O52="","",INDEX('契約台帳'!$AA$5:$AA$304,$O52))</f>
        <v/>
      </c>
      <c r="E52" s="36">
        <f>IF($O52="","",IF(ISNUMBER(INDEX('契約台帳'!$Z$5:$Z$304,$O52)),"通知期限","満了日"))</f>
        <v/>
      </c>
      <c r="F52" s="36">
        <f>IF($O52="","",INDEX('契約台帳'!$B$5:$B$304,$O52)&amp;"")</f>
        <v/>
      </c>
      <c r="G52" s="39">
        <f>IF($O52="","",INDEX('契約台帳'!$E$5:$E$304,$O52)&amp;"")</f>
        <v/>
      </c>
      <c r="H52" s="39">
        <f>IF($O52="","",INDEX('契約台帳'!$C$5:$C$304,$O52)&amp;"")</f>
        <v/>
      </c>
      <c r="I52" s="39">
        <f>IF($O52="","",INDEX('契約台帳'!$D$5:$D$304,$O52)&amp;"")</f>
        <v/>
      </c>
      <c r="J52" s="36">
        <f>IF($O52="","",INDEX('契約台帳'!$I$5:$I$304,$O52)&amp;"")</f>
        <v/>
      </c>
      <c r="K52" s="75">
        <f>IF($O52="","",INDEX('契約台帳'!$Y$5:$Y$304,$O52))</f>
        <v/>
      </c>
      <c r="L52" s="36">
        <f>IF($O52="","",INDEX('契約台帳'!$T$5:$T$304,$O52)&amp;"")</f>
        <v/>
      </c>
      <c r="M52" s="36">
        <f>IF($O52="","",INDEX('契約台帳'!$S$5:$S$304,$O52)&amp;"")</f>
        <v/>
      </c>
      <c r="N52" s="53" t="n"/>
      <c r="O52" s="76">
        <f>IFERROR(MATCH(SMALL('契約台帳'!$AR$5:$AR$304,48),'契約台帳'!$AR$5:$AR$304,0),"")</f>
        <v/>
      </c>
    </row>
    <row r="53" ht="18" customHeight="1">
      <c r="A53" s="36">
        <f>IF($O53="","",49)</f>
        <v/>
      </c>
      <c r="B53" s="36">
        <f>IF($O53="","",INDEX('契約台帳'!$AC$5:$AC$304,$O53)&amp;"")</f>
        <v/>
      </c>
      <c r="C53" s="74">
        <f>IF($O53="","",INDEX('契約台帳'!$AB$5:$AB$304,$O53))</f>
        <v/>
      </c>
      <c r="D53" s="75">
        <f>IF($O53="","",INDEX('契約台帳'!$AA$5:$AA$304,$O53))</f>
        <v/>
      </c>
      <c r="E53" s="36">
        <f>IF($O53="","",IF(ISNUMBER(INDEX('契約台帳'!$Z$5:$Z$304,$O53)),"通知期限","満了日"))</f>
        <v/>
      </c>
      <c r="F53" s="36">
        <f>IF($O53="","",INDEX('契約台帳'!$B$5:$B$304,$O53)&amp;"")</f>
        <v/>
      </c>
      <c r="G53" s="39">
        <f>IF($O53="","",INDEX('契約台帳'!$E$5:$E$304,$O53)&amp;"")</f>
        <v/>
      </c>
      <c r="H53" s="39">
        <f>IF($O53="","",INDEX('契約台帳'!$C$5:$C$304,$O53)&amp;"")</f>
        <v/>
      </c>
      <c r="I53" s="39">
        <f>IF($O53="","",INDEX('契約台帳'!$D$5:$D$304,$O53)&amp;"")</f>
        <v/>
      </c>
      <c r="J53" s="36">
        <f>IF($O53="","",INDEX('契約台帳'!$I$5:$I$304,$O53)&amp;"")</f>
        <v/>
      </c>
      <c r="K53" s="75">
        <f>IF($O53="","",INDEX('契約台帳'!$Y$5:$Y$304,$O53))</f>
        <v/>
      </c>
      <c r="L53" s="36">
        <f>IF($O53="","",INDEX('契約台帳'!$T$5:$T$304,$O53)&amp;"")</f>
        <v/>
      </c>
      <c r="M53" s="36">
        <f>IF($O53="","",INDEX('契約台帳'!$S$5:$S$304,$O53)&amp;"")</f>
        <v/>
      </c>
      <c r="N53" s="53" t="n"/>
      <c r="O53" s="76">
        <f>IFERROR(MATCH(SMALL('契約台帳'!$AR$5:$AR$304,49),'契約台帳'!$AR$5:$AR$304,0),"")</f>
        <v/>
      </c>
    </row>
    <row r="54" ht="18" customHeight="1">
      <c r="A54" s="36">
        <f>IF($O54="","",50)</f>
        <v/>
      </c>
      <c r="B54" s="36">
        <f>IF($O54="","",INDEX('契約台帳'!$AC$5:$AC$304,$O54)&amp;"")</f>
        <v/>
      </c>
      <c r="C54" s="74">
        <f>IF($O54="","",INDEX('契約台帳'!$AB$5:$AB$304,$O54))</f>
        <v/>
      </c>
      <c r="D54" s="75">
        <f>IF($O54="","",INDEX('契約台帳'!$AA$5:$AA$304,$O54))</f>
        <v/>
      </c>
      <c r="E54" s="36">
        <f>IF($O54="","",IF(ISNUMBER(INDEX('契約台帳'!$Z$5:$Z$304,$O54)),"通知期限","満了日"))</f>
        <v/>
      </c>
      <c r="F54" s="36">
        <f>IF($O54="","",INDEX('契約台帳'!$B$5:$B$304,$O54)&amp;"")</f>
        <v/>
      </c>
      <c r="G54" s="39">
        <f>IF($O54="","",INDEX('契約台帳'!$E$5:$E$304,$O54)&amp;"")</f>
        <v/>
      </c>
      <c r="H54" s="39">
        <f>IF($O54="","",INDEX('契約台帳'!$C$5:$C$304,$O54)&amp;"")</f>
        <v/>
      </c>
      <c r="I54" s="39">
        <f>IF($O54="","",INDEX('契約台帳'!$D$5:$D$304,$O54)&amp;"")</f>
        <v/>
      </c>
      <c r="J54" s="36">
        <f>IF($O54="","",INDEX('契約台帳'!$I$5:$I$304,$O54)&amp;"")</f>
        <v/>
      </c>
      <c r="K54" s="75">
        <f>IF($O54="","",INDEX('契約台帳'!$Y$5:$Y$304,$O54))</f>
        <v/>
      </c>
      <c r="L54" s="36">
        <f>IF($O54="","",INDEX('契約台帳'!$T$5:$T$304,$O54)&amp;"")</f>
        <v/>
      </c>
      <c r="M54" s="36">
        <f>IF($O54="","",INDEX('契約台帳'!$S$5:$S$304,$O54)&amp;"")</f>
        <v/>
      </c>
      <c r="N54" s="53" t="n"/>
      <c r="O54" s="76">
        <f>IFERROR(MATCH(SMALL('契約台帳'!$AR$5:$AR$304,50),'契約台帳'!$AR$5:$AR$304,0),"")</f>
        <v/>
      </c>
    </row>
    <row r="55" ht="18" customHeight="1">
      <c r="A55" s="36">
        <f>IF($O55="","",51)</f>
        <v/>
      </c>
      <c r="B55" s="36">
        <f>IF($O55="","",INDEX('契約台帳'!$AC$5:$AC$304,$O55)&amp;"")</f>
        <v/>
      </c>
      <c r="C55" s="74">
        <f>IF($O55="","",INDEX('契約台帳'!$AB$5:$AB$304,$O55))</f>
        <v/>
      </c>
      <c r="D55" s="75">
        <f>IF($O55="","",INDEX('契約台帳'!$AA$5:$AA$304,$O55))</f>
        <v/>
      </c>
      <c r="E55" s="36">
        <f>IF($O55="","",IF(ISNUMBER(INDEX('契約台帳'!$Z$5:$Z$304,$O55)),"通知期限","満了日"))</f>
        <v/>
      </c>
      <c r="F55" s="36">
        <f>IF($O55="","",INDEX('契約台帳'!$B$5:$B$304,$O55)&amp;"")</f>
        <v/>
      </c>
      <c r="G55" s="39">
        <f>IF($O55="","",INDEX('契約台帳'!$E$5:$E$304,$O55)&amp;"")</f>
        <v/>
      </c>
      <c r="H55" s="39">
        <f>IF($O55="","",INDEX('契約台帳'!$C$5:$C$304,$O55)&amp;"")</f>
        <v/>
      </c>
      <c r="I55" s="39">
        <f>IF($O55="","",INDEX('契約台帳'!$D$5:$D$304,$O55)&amp;"")</f>
        <v/>
      </c>
      <c r="J55" s="36">
        <f>IF($O55="","",INDEX('契約台帳'!$I$5:$I$304,$O55)&amp;"")</f>
        <v/>
      </c>
      <c r="K55" s="75">
        <f>IF($O55="","",INDEX('契約台帳'!$Y$5:$Y$304,$O55))</f>
        <v/>
      </c>
      <c r="L55" s="36">
        <f>IF($O55="","",INDEX('契約台帳'!$T$5:$T$304,$O55)&amp;"")</f>
        <v/>
      </c>
      <c r="M55" s="36">
        <f>IF($O55="","",INDEX('契約台帳'!$S$5:$S$304,$O55)&amp;"")</f>
        <v/>
      </c>
      <c r="N55" s="53" t="n"/>
      <c r="O55" s="76">
        <f>IFERROR(MATCH(SMALL('契約台帳'!$AR$5:$AR$304,51),'契約台帳'!$AR$5:$AR$304,0),"")</f>
        <v/>
      </c>
    </row>
    <row r="56" ht="18" customHeight="1">
      <c r="A56" s="36">
        <f>IF($O56="","",52)</f>
        <v/>
      </c>
      <c r="B56" s="36">
        <f>IF($O56="","",INDEX('契約台帳'!$AC$5:$AC$304,$O56)&amp;"")</f>
        <v/>
      </c>
      <c r="C56" s="74">
        <f>IF($O56="","",INDEX('契約台帳'!$AB$5:$AB$304,$O56))</f>
        <v/>
      </c>
      <c r="D56" s="75">
        <f>IF($O56="","",INDEX('契約台帳'!$AA$5:$AA$304,$O56))</f>
        <v/>
      </c>
      <c r="E56" s="36">
        <f>IF($O56="","",IF(ISNUMBER(INDEX('契約台帳'!$Z$5:$Z$304,$O56)),"通知期限","満了日"))</f>
        <v/>
      </c>
      <c r="F56" s="36">
        <f>IF($O56="","",INDEX('契約台帳'!$B$5:$B$304,$O56)&amp;"")</f>
        <v/>
      </c>
      <c r="G56" s="39">
        <f>IF($O56="","",INDEX('契約台帳'!$E$5:$E$304,$O56)&amp;"")</f>
        <v/>
      </c>
      <c r="H56" s="39">
        <f>IF($O56="","",INDEX('契約台帳'!$C$5:$C$304,$O56)&amp;"")</f>
        <v/>
      </c>
      <c r="I56" s="39">
        <f>IF($O56="","",INDEX('契約台帳'!$D$5:$D$304,$O56)&amp;"")</f>
        <v/>
      </c>
      <c r="J56" s="36">
        <f>IF($O56="","",INDEX('契約台帳'!$I$5:$I$304,$O56)&amp;"")</f>
        <v/>
      </c>
      <c r="K56" s="75">
        <f>IF($O56="","",INDEX('契約台帳'!$Y$5:$Y$304,$O56))</f>
        <v/>
      </c>
      <c r="L56" s="36">
        <f>IF($O56="","",INDEX('契約台帳'!$T$5:$T$304,$O56)&amp;"")</f>
        <v/>
      </c>
      <c r="M56" s="36">
        <f>IF($O56="","",INDEX('契約台帳'!$S$5:$S$304,$O56)&amp;"")</f>
        <v/>
      </c>
      <c r="N56" s="53" t="n"/>
      <c r="O56" s="76">
        <f>IFERROR(MATCH(SMALL('契約台帳'!$AR$5:$AR$304,52),'契約台帳'!$AR$5:$AR$304,0),"")</f>
        <v/>
      </c>
    </row>
    <row r="57" ht="18" customHeight="1">
      <c r="A57" s="36">
        <f>IF($O57="","",53)</f>
        <v/>
      </c>
      <c r="B57" s="36">
        <f>IF($O57="","",INDEX('契約台帳'!$AC$5:$AC$304,$O57)&amp;"")</f>
        <v/>
      </c>
      <c r="C57" s="74">
        <f>IF($O57="","",INDEX('契約台帳'!$AB$5:$AB$304,$O57))</f>
        <v/>
      </c>
      <c r="D57" s="75">
        <f>IF($O57="","",INDEX('契約台帳'!$AA$5:$AA$304,$O57))</f>
        <v/>
      </c>
      <c r="E57" s="36">
        <f>IF($O57="","",IF(ISNUMBER(INDEX('契約台帳'!$Z$5:$Z$304,$O57)),"通知期限","満了日"))</f>
        <v/>
      </c>
      <c r="F57" s="36">
        <f>IF($O57="","",INDEX('契約台帳'!$B$5:$B$304,$O57)&amp;"")</f>
        <v/>
      </c>
      <c r="G57" s="39">
        <f>IF($O57="","",INDEX('契約台帳'!$E$5:$E$304,$O57)&amp;"")</f>
        <v/>
      </c>
      <c r="H57" s="39">
        <f>IF($O57="","",INDEX('契約台帳'!$C$5:$C$304,$O57)&amp;"")</f>
        <v/>
      </c>
      <c r="I57" s="39">
        <f>IF($O57="","",INDEX('契約台帳'!$D$5:$D$304,$O57)&amp;"")</f>
        <v/>
      </c>
      <c r="J57" s="36">
        <f>IF($O57="","",INDEX('契約台帳'!$I$5:$I$304,$O57)&amp;"")</f>
        <v/>
      </c>
      <c r="K57" s="75">
        <f>IF($O57="","",INDEX('契約台帳'!$Y$5:$Y$304,$O57))</f>
        <v/>
      </c>
      <c r="L57" s="36">
        <f>IF($O57="","",INDEX('契約台帳'!$T$5:$T$304,$O57)&amp;"")</f>
        <v/>
      </c>
      <c r="M57" s="36">
        <f>IF($O57="","",INDEX('契約台帳'!$S$5:$S$304,$O57)&amp;"")</f>
        <v/>
      </c>
      <c r="N57" s="53" t="n"/>
      <c r="O57" s="76">
        <f>IFERROR(MATCH(SMALL('契約台帳'!$AR$5:$AR$304,53),'契約台帳'!$AR$5:$AR$304,0),"")</f>
        <v/>
      </c>
    </row>
    <row r="58" ht="18" customHeight="1">
      <c r="A58" s="36">
        <f>IF($O58="","",54)</f>
        <v/>
      </c>
      <c r="B58" s="36">
        <f>IF($O58="","",INDEX('契約台帳'!$AC$5:$AC$304,$O58)&amp;"")</f>
        <v/>
      </c>
      <c r="C58" s="74">
        <f>IF($O58="","",INDEX('契約台帳'!$AB$5:$AB$304,$O58))</f>
        <v/>
      </c>
      <c r="D58" s="75">
        <f>IF($O58="","",INDEX('契約台帳'!$AA$5:$AA$304,$O58))</f>
        <v/>
      </c>
      <c r="E58" s="36">
        <f>IF($O58="","",IF(ISNUMBER(INDEX('契約台帳'!$Z$5:$Z$304,$O58)),"通知期限","満了日"))</f>
        <v/>
      </c>
      <c r="F58" s="36">
        <f>IF($O58="","",INDEX('契約台帳'!$B$5:$B$304,$O58)&amp;"")</f>
        <v/>
      </c>
      <c r="G58" s="39">
        <f>IF($O58="","",INDEX('契約台帳'!$E$5:$E$304,$O58)&amp;"")</f>
        <v/>
      </c>
      <c r="H58" s="39">
        <f>IF($O58="","",INDEX('契約台帳'!$C$5:$C$304,$O58)&amp;"")</f>
        <v/>
      </c>
      <c r="I58" s="39">
        <f>IF($O58="","",INDEX('契約台帳'!$D$5:$D$304,$O58)&amp;"")</f>
        <v/>
      </c>
      <c r="J58" s="36">
        <f>IF($O58="","",INDEX('契約台帳'!$I$5:$I$304,$O58)&amp;"")</f>
        <v/>
      </c>
      <c r="K58" s="75">
        <f>IF($O58="","",INDEX('契約台帳'!$Y$5:$Y$304,$O58))</f>
        <v/>
      </c>
      <c r="L58" s="36">
        <f>IF($O58="","",INDEX('契約台帳'!$T$5:$T$304,$O58)&amp;"")</f>
        <v/>
      </c>
      <c r="M58" s="36">
        <f>IF($O58="","",INDEX('契約台帳'!$S$5:$S$304,$O58)&amp;"")</f>
        <v/>
      </c>
      <c r="N58" s="53" t="n"/>
      <c r="O58" s="76">
        <f>IFERROR(MATCH(SMALL('契約台帳'!$AR$5:$AR$304,54),'契約台帳'!$AR$5:$AR$304,0),"")</f>
        <v/>
      </c>
    </row>
    <row r="59" ht="18" customHeight="1">
      <c r="A59" s="36">
        <f>IF($O59="","",55)</f>
        <v/>
      </c>
      <c r="B59" s="36">
        <f>IF($O59="","",INDEX('契約台帳'!$AC$5:$AC$304,$O59)&amp;"")</f>
        <v/>
      </c>
      <c r="C59" s="74">
        <f>IF($O59="","",INDEX('契約台帳'!$AB$5:$AB$304,$O59))</f>
        <v/>
      </c>
      <c r="D59" s="75">
        <f>IF($O59="","",INDEX('契約台帳'!$AA$5:$AA$304,$O59))</f>
        <v/>
      </c>
      <c r="E59" s="36">
        <f>IF($O59="","",IF(ISNUMBER(INDEX('契約台帳'!$Z$5:$Z$304,$O59)),"通知期限","満了日"))</f>
        <v/>
      </c>
      <c r="F59" s="36">
        <f>IF($O59="","",INDEX('契約台帳'!$B$5:$B$304,$O59)&amp;"")</f>
        <v/>
      </c>
      <c r="G59" s="39">
        <f>IF($O59="","",INDEX('契約台帳'!$E$5:$E$304,$O59)&amp;"")</f>
        <v/>
      </c>
      <c r="H59" s="39">
        <f>IF($O59="","",INDEX('契約台帳'!$C$5:$C$304,$O59)&amp;"")</f>
        <v/>
      </c>
      <c r="I59" s="39">
        <f>IF($O59="","",INDEX('契約台帳'!$D$5:$D$304,$O59)&amp;"")</f>
        <v/>
      </c>
      <c r="J59" s="36">
        <f>IF($O59="","",INDEX('契約台帳'!$I$5:$I$304,$O59)&amp;"")</f>
        <v/>
      </c>
      <c r="K59" s="75">
        <f>IF($O59="","",INDEX('契約台帳'!$Y$5:$Y$304,$O59))</f>
        <v/>
      </c>
      <c r="L59" s="36">
        <f>IF($O59="","",INDEX('契約台帳'!$T$5:$T$304,$O59)&amp;"")</f>
        <v/>
      </c>
      <c r="M59" s="36">
        <f>IF($O59="","",INDEX('契約台帳'!$S$5:$S$304,$O59)&amp;"")</f>
        <v/>
      </c>
      <c r="N59" s="53" t="n"/>
      <c r="O59" s="76">
        <f>IFERROR(MATCH(SMALL('契約台帳'!$AR$5:$AR$304,55),'契約台帳'!$AR$5:$AR$304,0),"")</f>
        <v/>
      </c>
    </row>
    <row r="60" ht="18" customHeight="1">
      <c r="A60" s="36">
        <f>IF($O60="","",56)</f>
        <v/>
      </c>
      <c r="B60" s="36">
        <f>IF($O60="","",INDEX('契約台帳'!$AC$5:$AC$304,$O60)&amp;"")</f>
        <v/>
      </c>
      <c r="C60" s="74">
        <f>IF($O60="","",INDEX('契約台帳'!$AB$5:$AB$304,$O60))</f>
        <v/>
      </c>
      <c r="D60" s="75">
        <f>IF($O60="","",INDEX('契約台帳'!$AA$5:$AA$304,$O60))</f>
        <v/>
      </c>
      <c r="E60" s="36">
        <f>IF($O60="","",IF(ISNUMBER(INDEX('契約台帳'!$Z$5:$Z$304,$O60)),"通知期限","満了日"))</f>
        <v/>
      </c>
      <c r="F60" s="36">
        <f>IF($O60="","",INDEX('契約台帳'!$B$5:$B$304,$O60)&amp;"")</f>
        <v/>
      </c>
      <c r="G60" s="39">
        <f>IF($O60="","",INDEX('契約台帳'!$E$5:$E$304,$O60)&amp;"")</f>
        <v/>
      </c>
      <c r="H60" s="39">
        <f>IF($O60="","",INDEX('契約台帳'!$C$5:$C$304,$O60)&amp;"")</f>
        <v/>
      </c>
      <c r="I60" s="39">
        <f>IF($O60="","",INDEX('契約台帳'!$D$5:$D$304,$O60)&amp;"")</f>
        <v/>
      </c>
      <c r="J60" s="36">
        <f>IF($O60="","",INDEX('契約台帳'!$I$5:$I$304,$O60)&amp;"")</f>
        <v/>
      </c>
      <c r="K60" s="75">
        <f>IF($O60="","",INDEX('契約台帳'!$Y$5:$Y$304,$O60))</f>
        <v/>
      </c>
      <c r="L60" s="36">
        <f>IF($O60="","",INDEX('契約台帳'!$T$5:$T$304,$O60)&amp;"")</f>
        <v/>
      </c>
      <c r="M60" s="36">
        <f>IF($O60="","",INDEX('契約台帳'!$S$5:$S$304,$O60)&amp;"")</f>
        <v/>
      </c>
      <c r="N60" s="53" t="n"/>
      <c r="O60" s="76">
        <f>IFERROR(MATCH(SMALL('契約台帳'!$AR$5:$AR$304,56),'契約台帳'!$AR$5:$AR$304,0),"")</f>
        <v/>
      </c>
    </row>
    <row r="61" ht="18" customHeight="1">
      <c r="A61" s="36">
        <f>IF($O61="","",57)</f>
        <v/>
      </c>
      <c r="B61" s="36">
        <f>IF($O61="","",INDEX('契約台帳'!$AC$5:$AC$304,$O61)&amp;"")</f>
        <v/>
      </c>
      <c r="C61" s="74">
        <f>IF($O61="","",INDEX('契約台帳'!$AB$5:$AB$304,$O61))</f>
        <v/>
      </c>
      <c r="D61" s="75">
        <f>IF($O61="","",INDEX('契約台帳'!$AA$5:$AA$304,$O61))</f>
        <v/>
      </c>
      <c r="E61" s="36">
        <f>IF($O61="","",IF(ISNUMBER(INDEX('契約台帳'!$Z$5:$Z$304,$O61)),"通知期限","満了日"))</f>
        <v/>
      </c>
      <c r="F61" s="36">
        <f>IF($O61="","",INDEX('契約台帳'!$B$5:$B$304,$O61)&amp;"")</f>
        <v/>
      </c>
      <c r="G61" s="39">
        <f>IF($O61="","",INDEX('契約台帳'!$E$5:$E$304,$O61)&amp;"")</f>
        <v/>
      </c>
      <c r="H61" s="39">
        <f>IF($O61="","",INDEX('契約台帳'!$C$5:$C$304,$O61)&amp;"")</f>
        <v/>
      </c>
      <c r="I61" s="39">
        <f>IF($O61="","",INDEX('契約台帳'!$D$5:$D$304,$O61)&amp;"")</f>
        <v/>
      </c>
      <c r="J61" s="36">
        <f>IF($O61="","",INDEX('契約台帳'!$I$5:$I$304,$O61)&amp;"")</f>
        <v/>
      </c>
      <c r="K61" s="75">
        <f>IF($O61="","",INDEX('契約台帳'!$Y$5:$Y$304,$O61))</f>
        <v/>
      </c>
      <c r="L61" s="36">
        <f>IF($O61="","",INDEX('契約台帳'!$T$5:$T$304,$O61)&amp;"")</f>
        <v/>
      </c>
      <c r="M61" s="36">
        <f>IF($O61="","",INDEX('契約台帳'!$S$5:$S$304,$O61)&amp;"")</f>
        <v/>
      </c>
      <c r="N61" s="53" t="n"/>
      <c r="O61" s="76">
        <f>IFERROR(MATCH(SMALL('契約台帳'!$AR$5:$AR$304,57),'契約台帳'!$AR$5:$AR$304,0),"")</f>
        <v/>
      </c>
    </row>
    <row r="62" ht="18" customHeight="1">
      <c r="A62" s="36">
        <f>IF($O62="","",58)</f>
        <v/>
      </c>
      <c r="B62" s="36">
        <f>IF($O62="","",INDEX('契約台帳'!$AC$5:$AC$304,$O62)&amp;"")</f>
        <v/>
      </c>
      <c r="C62" s="74">
        <f>IF($O62="","",INDEX('契約台帳'!$AB$5:$AB$304,$O62))</f>
        <v/>
      </c>
      <c r="D62" s="75">
        <f>IF($O62="","",INDEX('契約台帳'!$AA$5:$AA$304,$O62))</f>
        <v/>
      </c>
      <c r="E62" s="36">
        <f>IF($O62="","",IF(ISNUMBER(INDEX('契約台帳'!$Z$5:$Z$304,$O62)),"通知期限","満了日"))</f>
        <v/>
      </c>
      <c r="F62" s="36">
        <f>IF($O62="","",INDEX('契約台帳'!$B$5:$B$304,$O62)&amp;"")</f>
        <v/>
      </c>
      <c r="G62" s="39">
        <f>IF($O62="","",INDEX('契約台帳'!$E$5:$E$304,$O62)&amp;"")</f>
        <v/>
      </c>
      <c r="H62" s="39">
        <f>IF($O62="","",INDEX('契約台帳'!$C$5:$C$304,$O62)&amp;"")</f>
        <v/>
      </c>
      <c r="I62" s="39">
        <f>IF($O62="","",INDEX('契約台帳'!$D$5:$D$304,$O62)&amp;"")</f>
        <v/>
      </c>
      <c r="J62" s="36">
        <f>IF($O62="","",INDEX('契約台帳'!$I$5:$I$304,$O62)&amp;"")</f>
        <v/>
      </c>
      <c r="K62" s="75">
        <f>IF($O62="","",INDEX('契約台帳'!$Y$5:$Y$304,$O62))</f>
        <v/>
      </c>
      <c r="L62" s="36">
        <f>IF($O62="","",INDEX('契約台帳'!$T$5:$T$304,$O62)&amp;"")</f>
        <v/>
      </c>
      <c r="M62" s="36">
        <f>IF($O62="","",INDEX('契約台帳'!$S$5:$S$304,$O62)&amp;"")</f>
        <v/>
      </c>
      <c r="N62" s="53" t="n"/>
      <c r="O62" s="76">
        <f>IFERROR(MATCH(SMALL('契約台帳'!$AR$5:$AR$304,58),'契約台帳'!$AR$5:$AR$304,0),"")</f>
        <v/>
      </c>
    </row>
    <row r="63" ht="18" customHeight="1">
      <c r="A63" s="36">
        <f>IF($O63="","",59)</f>
        <v/>
      </c>
      <c r="B63" s="36">
        <f>IF($O63="","",INDEX('契約台帳'!$AC$5:$AC$304,$O63)&amp;"")</f>
        <v/>
      </c>
      <c r="C63" s="74">
        <f>IF($O63="","",INDEX('契約台帳'!$AB$5:$AB$304,$O63))</f>
        <v/>
      </c>
      <c r="D63" s="75">
        <f>IF($O63="","",INDEX('契約台帳'!$AA$5:$AA$304,$O63))</f>
        <v/>
      </c>
      <c r="E63" s="36">
        <f>IF($O63="","",IF(ISNUMBER(INDEX('契約台帳'!$Z$5:$Z$304,$O63)),"通知期限","満了日"))</f>
        <v/>
      </c>
      <c r="F63" s="36">
        <f>IF($O63="","",INDEX('契約台帳'!$B$5:$B$304,$O63)&amp;"")</f>
        <v/>
      </c>
      <c r="G63" s="39">
        <f>IF($O63="","",INDEX('契約台帳'!$E$5:$E$304,$O63)&amp;"")</f>
        <v/>
      </c>
      <c r="H63" s="39">
        <f>IF($O63="","",INDEX('契約台帳'!$C$5:$C$304,$O63)&amp;"")</f>
        <v/>
      </c>
      <c r="I63" s="39">
        <f>IF($O63="","",INDEX('契約台帳'!$D$5:$D$304,$O63)&amp;"")</f>
        <v/>
      </c>
      <c r="J63" s="36">
        <f>IF($O63="","",INDEX('契約台帳'!$I$5:$I$304,$O63)&amp;"")</f>
        <v/>
      </c>
      <c r="K63" s="75">
        <f>IF($O63="","",INDEX('契約台帳'!$Y$5:$Y$304,$O63))</f>
        <v/>
      </c>
      <c r="L63" s="36">
        <f>IF($O63="","",INDEX('契約台帳'!$T$5:$T$304,$O63)&amp;"")</f>
        <v/>
      </c>
      <c r="M63" s="36">
        <f>IF($O63="","",INDEX('契約台帳'!$S$5:$S$304,$O63)&amp;"")</f>
        <v/>
      </c>
      <c r="N63" s="53" t="n"/>
      <c r="O63" s="76">
        <f>IFERROR(MATCH(SMALL('契約台帳'!$AR$5:$AR$304,59),'契約台帳'!$AR$5:$AR$304,0),"")</f>
        <v/>
      </c>
    </row>
    <row r="64" ht="18" customHeight="1">
      <c r="A64" s="36">
        <f>IF($O64="","",60)</f>
        <v/>
      </c>
      <c r="B64" s="36">
        <f>IF($O64="","",INDEX('契約台帳'!$AC$5:$AC$304,$O64)&amp;"")</f>
        <v/>
      </c>
      <c r="C64" s="74">
        <f>IF($O64="","",INDEX('契約台帳'!$AB$5:$AB$304,$O64))</f>
        <v/>
      </c>
      <c r="D64" s="75">
        <f>IF($O64="","",INDEX('契約台帳'!$AA$5:$AA$304,$O64))</f>
        <v/>
      </c>
      <c r="E64" s="36">
        <f>IF($O64="","",IF(ISNUMBER(INDEX('契約台帳'!$Z$5:$Z$304,$O64)),"通知期限","満了日"))</f>
        <v/>
      </c>
      <c r="F64" s="36">
        <f>IF($O64="","",INDEX('契約台帳'!$B$5:$B$304,$O64)&amp;"")</f>
        <v/>
      </c>
      <c r="G64" s="39">
        <f>IF($O64="","",INDEX('契約台帳'!$E$5:$E$304,$O64)&amp;"")</f>
        <v/>
      </c>
      <c r="H64" s="39">
        <f>IF($O64="","",INDEX('契約台帳'!$C$5:$C$304,$O64)&amp;"")</f>
        <v/>
      </c>
      <c r="I64" s="39">
        <f>IF($O64="","",INDEX('契約台帳'!$D$5:$D$304,$O64)&amp;"")</f>
        <v/>
      </c>
      <c r="J64" s="36">
        <f>IF($O64="","",INDEX('契約台帳'!$I$5:$I$304,$O64)&amp;"")</f>
        <v/>
      </c>
      <c r="K64" s="75">
        <f>IF($O64="","",INDEX('契約台帳'!$Y$5:$Y$304,$O64))</f>
        <v/>
      </c>
      <c r="L64" s="36">
        <f>IF($O64="","",INDEX('契約台帳'!$T$5:$T$304,$O64)&amp;"")</f>
        <v/>
      </c>
      <c r="M64" s="36">
        <f>IF($O64="","",INDEX('契約台帳'!$S$5:$S$304,$O64)&amp;"")</f>
        <v/>
      </c>
      <c r="N64" s="53" t="n"/>
      <c r="O64" s="76">
        <f>IFERROR(MATCH(SMALL('契約台帳'!$AR$5:$AR$304,60),'契約台帳'!$AR$5:$AR$304,0),"")</f>
        <v/>
      </c>
    </row>
    <row r="65" ht="18" customHeight="1">
      <c r="A65" s="36">
        <f>IF($O65="","",61)</f>
        <v/>
      </c>
      <c r="B65" s="36">
        <f>IF($O65="","",INDEX('契約台帳'!$AC$5:$AC$304,$O65)&amp;"")</f>
        <v/>
      </c>
      <c r="C65" s="74">
        <f>IF($O65="","",INDEX('契約台帳'!$AB$5:$AB$304,$O65))</f>
        <v/>
      </c>
      <c r="D65" s="75">
        <f>IF($O65="","",INDEX('契約台帳'!$AA$5:$AA$304,$O65))</f>
        <v/>
      </c>
      <c r="E65" s="36">
        <f>IF($O65="","",IF(ISNUMBER(INDEX('契約台帳'!$Z$5:$Z$304,$O65)),"通知期限","満了日"))</f>
        <v/>
      </c>
      <c r="F65" s="36">
        <f>IF($O65="","",INDEX('契約台帳'!$B$5:$B$304,$O65)&amp;"")</f>
        <v/>
      </c>
      <c r="G65" s="39">
        <f>IF($O65="","",INDEX('契約台帳'!$E$5:$E$304,$O65)&amp;"")</f>
        <v/>
      </c>
      <c r="H65" s="39">
        <f>IF($O65="","",INDEX('契約台帳'!$C$5:$C$304,$O65)&amp;"")</f>
        <v/>
      </c>
      <c r="I65" s="39">
        <f>IF($O65="","",INDEX('契約台帳'!$D$5:$D$304,$O65)&amp;"")</f>
        <v/>
      </c>
      <c r="J65" s="36">
        <f>IF($O65="","",INDEX('契約台帳'!$I$5:$I$304,$O65)&amp;"")</f>
        <v/>
      </c>
      <c r="K65" s="75">
        <f>IF($O65="","",INDEX('契約台帳'!$Y$5:$Y$304,$O65))</f>
        <v/>
      </c>
      <c r="L65" s="36">
        <f>IF($O65="","",INDEX('契約台帳'!$T$5:$T$304,$O65)&amp;"")</f>
        <v/>
      </c>
      <c r="M65" s="36">
        <f>IF($O65="","",INDEX('契約台帳'!$S$5:$S$304,$O65)&amp;"")</f>
        <v/>
      </c>
      <c r="N65" s="53" t="n"/>
      <c r="O65" s="76">
        <f>IFERROR(MATCH(SMALL('契約台帳'!$AR$5:$AR$304,61),'契約台帳'!$AR$5:$AR$304,0),"")</f>
        <v/>
      </c>
    </row>
    <row r="66" ht="18" customHeight="1">
      <c r="A66" s="36">
        <f>IF($O66="","",62)</f>
        <v/>
      </c>
      <c r="B66" s="36">
        <f>IF($O66="","",INDEX('契約台帳'!$AC$5:$AC$304,$O66)&amp;"")</f>
        <v/>
      </c>
      <c r="C66" s="74">
        <f>IF($O66="","",INDEX('契約台帳'!$AB$5:$AB$304,$O66))</f>
        <v/>
      </c>
      <c r="D66" s="75">
        <f>IF($O66="","",INDEX('契約台帳'!$AA$5:$AA$304,$O66))</f>
        <v/>
      </c>
      <c r="E66" s="36">
        <f>IF($O66="","",IF(ISNUMBER(INDEX('契約台帳'!$Z$5:$Z$304,$O66)),"通知期限","満了日"))</f>
        <v/>
      </c>
      <c r="F66" s="36">
        <f>IF($O66="","",INDEX('契約台帳'!$B$5:$B$304,$O66)&amp;"")</f>
        <v/>
      </c>
      <c r="G66" s="39">
        <f>IF($O66="","",INDEX('契約台帳'!$E$5:$E$304,$O66)&amp;"")</f>
        <v/>
      </c>
      <c r="H66" s="39">
        <f>IF($O66="","",INDEX('契約台帳'!$C$5:$C$304,$O66)&amp;"")</f>
        <v/>
      </c>
      <c r="I66" s="39">
        <f>IF($O66="","",INDEX('契約台帳'!$D$5:$D$304,$O66)&amp;"")</f>
        <v/>
      </c>
      <c r="J66" s="36">
        <f>IF($O66="","",INDEX('契約台帳'!$I$5:$I$304,$O66)&amp;"")</f>
        <v/>
      </c>
      <c r="K66" s="75">
        <f>IF($O66="","",INDEX('契約台帳'!$Y$5:$Y$304,$O66))</f>
        <v/>
      </c>
      <c r="L66" s="36">
        <f>IF($O66="","",INDEX('契約台帳'!$T$5:$T$304,$O66)&amp;"")</f>
        <v/>
      </c>
      <c r="M66" s="36">
        <f>IF($O66="","",INDEX('契約台帳'!$S$5:$S$304,$O66)&amp;"")</f>
        <v/>
      </c>
      <c r="N66" s="53" t="n"/>
      <c r="O66" s="76">
        <f>IFERROR(MATCH(SMALL('契約台帳'!$AR$5:$AR$304,62),'契約台帳'!$AR$5:$AR$304,0),"")</f>
        <v/>
      </c>
    </row>
    <row r="67" ht="18" customHeight="1">
      <c r="A67" s="36">
        <f>IF($O67="","",63)</f>
        <v/>
      </c>
      <c r="B67" s="36">
        <f>IF($O67="","",INDEX('契約台帳'!$AC$5:$AC$304,$O67)&amp;"")</f>
        <v/>
      </c>
      <c r="C67" s="74">
        <f>IF($O67="","",INDEX('契約台帳'!$AB$5:$AB$304,$O67))</f>
        <v/>
      </c>
      <c r="D67" s="75">
        <f>IF($O67="","",INDEX('契約台帳'!$AA$5:$AA$304,$O67))</f>
        <v/>
      </c>
      <c r="E67" s="36">
        <f>IF($O67="","",IF(ISNUMBER(INDEX('契約台帳'!$Z$5:$Z$304,$O67)),"通知期限","満了日"))</f>
        <v/>
      </c>
      <c r="F67" s="36">
        <f>IF($O67="","",INDEX('契約台帳'!$B$5:$B$304,$O67)&amp;"")</f>
        <v/>
      </c>
      <c r="G67" s="39">
        <f>IF($O67="","",INDEX('契約台帳'!$E$5:$E$304,$O67)&amp;"")</f>
        <v/>
      </c>
      <c r="H67" s="39">
        <f>IF($O67="","",INDEX('契約台帳'!$C$5:$C$304,$O67)&amp;"")</f>
        <v/>
      </c>
      <c r="I67" s="39">
        <f>IF($O67="","",INDEX('契約台帳'!$D$5:$D$304,$O67)&amp;"")</f>
        <v/>
      </c>
      <c r="J67" s="36">
        <f>IF($O67="","",INDEX('契約台帳'!$I$5:$I$304,$O67)&amp;"")</f>
        <v/>
      </c>
      <c r="K67" s="75">
        <f>IF($O67="","",INDEX('契約台帳'!$Y$5:$Y$304,$O67))</f>
        <v/>
      </c>
      <c r="L67" s="36">
        <f>IF($O67="","",INDEX('契約台帳'!$T$5:$T$304,$O67)&amp;"")</f>
        <v/>
      </c>
      <c r="M67" s="36">
        <f>IF($O67="","",INDEX('契約台帳'!$S$5:$S$304,$O67)&amp;"")</f>
        <v/>
      </c>
      <c r="N67" s="53" t="n"/>
      <c r="O67" s="76">
        <f>IFERROR(MATCH(SMALL('契約台帳'!$AR$5:$AR$304,63),'契約台帳'!$AR$5:$AR$304,0),"")</f>
        <v/>
      </c>
    </row>
    <row r="68" ht="18" customHeight="1">
      <c r="A68" s="36">
        <f>IF($O68="","",64)</f>
        <v/>
      </c>
      <c r="B68" s="36">
        <f>IF($O68="","",INDEX('契約台帳'!$AC$5:$AC$304,$O68)&amp;"")</f>
        <v/>
      </c>
      <c r="C68" s="74">
        <f>IF($O68="","",INDEX('契約台帳'!$AB$5:$AB$304,$O68))</f>
        <v/>
      </c>
      <c r="D68" s="75">
        <f>IF($O68="","",INDEX('契約台帳'!$AA$5:$AA$304,$O68))</f>
        <v/>
      </c>
      <c r="E68" s="36">
        <f>IF($O68="","",IF(ISNUMBER(INDEX('契約台帳'!$Z$5:$Z$304,$O68)),"通知期限","満了日"))</f>
        <v/>
      </c>
      <c r="F68" s="36">
        <f>IF($O68="","",INDEX('契約台帳'!$B$5:$B$304,$O68)&amp;"")</f>
        <v/>
      </c>
      <c r="G68" s="39">
        <f>IF($O68="","",INDEX('契約台帳'!$E$5:$E$304,$O68)&amp;"")</f>
        <v/>
      </c>
      <c r="H68" s="39">
        <f>IF($O68="","",INDEX('契約台帳'!$C$5:$C$304,$O68)&amp;"")</f>
        <v/>
      </c>
      <c r="I68" s="39">
        <f>IF($O68="","",INDEX('契約台帳'!$D$5:$D$304,$O68)&amp;"")</f>
        <v/>
      </c>
      <c r="J68" s="36">
        <f>IF($O68="","",INDEX('契約台帳'!$I$5:$I$304,$O68)&amp;"")</f>
        <v/>
      </c>
      <c r="K68" s="75">
        <f>IF($O68="","",INDEX('契約台帳'!$Y$5:$Y$304,$O68))</f>
        <v/>
      </c>
      <c r="L68" s="36">
        <f>IF($O68="","",INDEX('契約台帳'!$T$5:$T$304,$O68)&amp;"")</f>
        <v/>
      </c>
      <c r="M68" s="36">
        <f>IF($O68="","",INDEX('契約台帳'!$S$5:$S$304,$O68)&amp;"")</f>
        <v/>
      </c>
      <c r="N68" s="53" t="n"/>
      <c r="O68" s="76">
        <f>IFERROR(MATCH(SMALL('契約台帳'!$AR$5:$AR$304,64),'契約台帳'!$AR$5:$AR$304,0),"")</f>
        <v/>
      </c>
    </row>
    <row r="69" ht="18" customHeight="1">
      <c r="A69" s="36">
        <f>IF($O69="","",65)</f>
        <v/>
      </c>
      <c r="B69" s="36">
        <f>IF($O69="","",INDEX('契約台帳'!$AC$5:$AC$304,$O69)&amp;"")</f>
        <v/>
      </c>
      <c r="C69" s="74">
        <f>IF($O69="","",INDEX('契約台帳'!$AB$5:$AB$304,$O69))</f>
        <v/>
      </c>
      <c r="D69" s="75">
        <f>IF($O69="","",INDEX('契約台帳'!$AA$5:$AA$304,$O69))</f>
        <v/>
      </c>
      <c r="E69" s="36">
        <f>IF($O69="","",IF(ISNUMBER(INDEX('契約台帳'!$Z$5:$Z$304,$O69)),"通知期限","満了日"))</f>
        <v/>
      </c>
      <c r="F69" s="36">
        <f>IF($O69="","",INDEX('契約台帳'!$B$5:$B$304,$O69)&amp;"")</f>
        <v/>
      </c>
      <c r="G69" s="39">
        <f>IF($O69="","",INDEX('契約台帳'!$E$5:$E$304,$O69)&amp;"")</f>
        <v/>
      </c>
      <c r="H69" s="39">
        <f>IF($O69="","",INDEX('契約台帳'!$C$5:$C$304,$O69)&amp;"")</f>
        <v/>
      </c>
      <c r="I69" s="39">
        <f>IF($O69="","",INDEX('契約台帳'!$D$5:$D$304,$O69)&amp;"")</f>
        <v/>
      </c>
      <c r="J69" s="36">
        <f>IF($O69="","",INDEX('契約台帳'!$I$5:$I$304,$O69)&amp;"")</f>
        <v/>
      </c>
      <c r="K69" s="75">
        <f>IF($O69="","",INDEX('契約台帳'!$Y$5:$Y$304,$O69))</f>
        <v/>
      </c>
      <c r="L69" s="36">
        <f>IF($O69="","",INDEX('契約台帳'!$T$5:$T$304,$O69)&amp;"")</f>
        <v/>
      </c>
      <c r="M69" s="36">
        <f>IF($O69="","",INDEX('契約台帳'!$S$5:$S$304,$O69)&amp;"")</f>
        <v/>
      </c>
      <c r="N69" s="53" t="n"/>
      <c r="O69" s="76">
        <f>IFERROR(MATCH(SMALL('契約台帳'!$AR$5:$AR$304,65),'契約台帳'!$AR$5:$AR$304,0),"")</f>
        <v/>
      </c>
    </row>
    <row r="70" ht="18" customHeight="1">
      <c r="A70" s="36">
        <f>IF($O70="","",66)</f>
        <v/>
      </c>
      <c r="B70" s="36">
        <f>IF($O70="","",INDEX('契約台帳'!$AC$5:$AC$304,$O70)&amp;"")</f>
        <v/>
      </c>
      <c r="C70" s="74">
        <f>IF($O70="","",INDEX('契約台帳'!$AB$5:$AB$304,$O70))</f>
        <v/>
      </c>
      <c r="D70" s="75">
        <f>IF($O70="","",INDEX('契約台帳'!$AA$5:$AA$304,$O70))</f>
        <v/>
      </c>
      <c r="E70" s="36">
        <f>IF($O70="","",IF(ISNUMBER(INDEX('契約台帳'!$Z$5:$Z$304,$O70)),"通知期限","満了日"))</f>
        <v/>
      </c>
      <c r="F70" s="36">
        <f>IF($O70="","",INDEX('契約台帳'!$B$5:$B$304,$O70)&amp;"")</f>
        <v/>
      </c>
      <c r="G70" s="39">
        <f>IF($O70="","",INDEX('契約台帳'!$E$5:$E$304,$O70)&amp;"")</f>
        <v/>
      </c>
      <c r="H70" s="39">
        <f>IF($O70="","",INDEX('契約台帳'!$C$5:$C$304,$O70)&amp;"")</f>
        <v/>
      </c>
      <c r="I70" s="39">
        <f>IF($O70="","",INDEX('契約台帳'!$D$5:$D$304,$O70)&amp;"")</f>
        <v/>
      </c>
      <c r="J70" s="36">
        <f>IF($O70="","",INDEX('契約台帳'!$I$5:$I$304,$O70)&amp;"")</f>
        <v/>
      </c>
      <c r="K70" s="75">
        <f>IF($O70="","",INDEX('契約台帳'!$Y$5:$Y$304,$O70))</f>
        <v/>
      </c>
      <c r="L70" s="36">
        <f>IF($O70="","",INDEX('契約台帳'!$T$5:$T$304,$O70)&amp;"")</f>
        <v/>
      </c>
      <c r="M70" s="36">
        <f>IF($O70="","",INDEX('契約台帳'!$S$5:$S$304,$O70)&amp;"")</f>
        <v/>
      </c>
      <c r="N70" s="53" t="n"/>
      <c r="O70" s="76">
        <f>IFERROR(MATCH(SMALL('契約台帳'!$AR$5:$AR$304,66),'契約台帳'!$AR$5:$AR$304,0),"")</f>
        <v/>
      </c>
    </row>
    <row r="71" ht="18" customHeight="1">
      <c r="A71" s="36">
        <f>IF($O71="","",67)</f>
        <v/>
      </c>
      <c r="B71" s="36">
        <f>IF($O71="","",INDEX('契約台帳'!$AC$5:$AC$304,$O71)&amp;"")</f>
        <v/>
      </c>
      <c r="C71" s="74">
        <f>IF($O71="","",INDEX('契約台帳'!$AB$5:$AB$304,$O71))</f>
        <v/>
      </c>
      <c r="D71" s="75">
        <f>IF($O71="","",INDEX('契約台帳'!$AA$5:$AA$304,$O71))</f>
        <v/>
      </c>
      <c r="E71" s="36">
        <f>IF($O71="","",IF(ISNUMBER(INDEX('契約台帳'!$Z$5:$Z$304,$O71)),"通知期限","満了日"))</f>
        <v/>
      </c>
      <c r="F71" s="36">
        <f>IF($O71="","",INDEX('契約台帳'!$B$5:$B$304,$O71)&amp;"")</f>
        <v/>
      </c>
      <c r="G71" s="39">
        <f>IF($O71="","",INDEX('契約台帳'!$E$5:$E$304,$O71)&amp;"")</f>
        <v/>
      </c>
      <c r="H71" s="39">
        <f>IF($O71="","",INDEX('契約台帳'!$C$5:$C$304,$O71)&amp;"")</f>
        <v/>
      </c>
      <c r="I71" s="39">
        <f>IF($O71="","",INDEX('契約台帳'!$D$5:$D$304,$O71)&amp;"")</f>
        <v/>
      </c>
      <c r="J71" s="36">
        <f>IF($O71="","",INDEX('契約台帳'!$I$5:$I$304,$O71)&amp;"")</f>
        <v/>
      </c>
      <c r="K71" s="75">
        <f>IF($O71="","",INDEX('契約台帳'!$Y$5:$Y$304,$O71))</f>
        <v/>
      </c>
      <c r="L71" s="36">
        <f>IF($O71="","",INDEX('契約台帳'!$T$5:$T$304,$O71)&amp;"")</f>
        <v/>
      </c>
      <c r="M71" s="36">
        <f>IF($O71="","",INDEX('契約台帳'!$S$5:$S$304,$O71)&amp;"")</f>
        <v/>
      </c>
      <c r="N71" s="53" t="n"/>
      <c r="O71" s="76">
        <f>IFERROR(MATCH(SMALL('契約台帳'!$AR$5:$AR$304,67),'契約台帳'!$AR$5:$AR$304,0),"")</f>
        <v/>
      </c>
    </row>
    <row r="72" ht="18" customHeight="1">
      <c r="A72" s="36">
        <f>IF($O72="","",68)</f>
        <v/>
      </c>
      <c r="B72" s="36">
        <f>IF($O72="","",INDEX('契約台帳'!$AC$5:$AC$304,$O72)&amp;"")</f>
        <v/>
      </c>
      <c r="C72" s="74">
        <f>IF($O72="","",INDEX('契約台帳'!$AB$5:$AB$304,$O72))</f>
        <v/>
      </c>
      <c r="D72" s="75">
        <f>IF($O72="","",INDEX('契約台帳'!$AA$5:$AA$304,$O72))</f>
        <v/>
      </c>
      <c r="E72" s="36">
        <f>IF($O72="","",IF(ISNUMBER(INDEX('契約台帳'!$Z$5:$Z$304,$O72)),"通知期限","満了日"))</f>
        <v/>
      </c>
      <c r="F72" s="36">
        <f>IF($O72="","",INDEX('契約台帳'!$B$5:$B$304,$O72)&amp;"")</f>
        <v/>
      </c>
      <c r="G72" s="39">
        <f>IF($O72="","",INDEX('契約台帳'!$E$5:$E$304,$O72)&amp;"")</f>
        <v/>
      </c>
      <c r="H72" s="39">
        <f>IF($O72="","",INDEX('契約台帳'!$C$5:$C$304,$O72)&amp;"")</f>
        <v/>
      </c>
      <c r="I72" s="39">
        <f>IF($O72="","",INDEX('契約台帳'!$D$5:$D$304,$O72)&amp;"")</f>
        <v/>
      </c>
      <c r="J72" s="36">
        <f>IF($O72="","",INDEX('契約台帳'!$I$5:$I$304,$O72)&amp;"")</f>
        <v/>
      </c>
      <c r="K72" s="75">
        <f>IF($O72="","",INDEX('契約台帳'!$Y$5:$Y$304,$O72))</f>
        <v/>
      </c>
      <c r="L72" s="36">
        <f>IF($O72="","",INDEX('契約台帳'!$T$5:$T$304,$O72)&amp;"")</f>
        <v/>
      </c>
      <c r="M72" s="36">
        <f>IF($O72="","",INDEX('契約台帳'!$S$5:$S$304,$O72)&amp;"")</f>
        <v/>
      </c>
      <c r="N72" s="53" t="n"/>
      <c r="O72" s="76">
        <f>IFERROR(MATCH(SMALL('契約台帳'!$AR$5:$AR$304,68),'契約台帳'!$AR$5:$AR$304,0),"")</f>
        <v/>
      </c>
    </row>
    <row r="73" ht="18" customHeight="1">
      <c r="A73" s="36">
        <f>IF($O73="","",69)</f>
        <v/>
      </c>
      <c r="B73" s="36">
        <f>IF($O73="","",INDEX('契約台帳'!$AC$5:$AC$304,$O73)&amp;"")</f>
        <v/>
      </c>
      <c r="C73" s="74">
        <f>IF($O73="","",INDEX('契約台帳'!$AB$5:$AB$304,$O73))</f>
        <v/>
      </c>
      <c r="D73" s="75">
        <f>IF($O73="","",INDEX('契約台帳'!$AA$5:$AA$304,$O73))</f>
        <v/>
      </c>
      <c r="E73" s="36">
        <f>IF($O73="","",IF(ISNUMBER(INDEX('契約台帳'!$Z$5:$Z$304,$O73)),"通知期限","満了日"))</f>
        <v/>
      </c>
      <c r="F73" s="36">
        <f>IF($O73="","",INDEX('契約台帳'!$B$5:$B$304,$O73)&amp;"")</f>
        <v/>
      </c>
      <c r="G73" s="39">
        <f>IF($O73="","",INDEX('契約台帳'!$E$5:$E$304,$O73)&amp;"")</f>
        <v/>
      </c>
      <c r="H73" s="39">
        <f>IF($O73="","",INDEX('契約台帳'!$C$5:$C$304,$O73)&amp;"")</f>
        <v/>
      </c>
      <c r="I73" s="39">
        <f>IF($O73="","",INDEX('契約台帳'!$D$5:$D$304,$O73)&amp;"")</f>
        <v/>
      </c>
      <c r="J73" s="36">
        <f>IF($O73="","",INDEX('契約台帳'!$I$5:$I$304,$O73)&amp;"")</f>
        <v/>
      </c>
      <c r="K73" s="75">
        <f>IF($O73="","",INDEX('契約台帳'!$Y$5:$Y$304,$O73))</f>
        <v/>
      </c>
      <c r="L73" s="36">
        <f>IF($O73="","",INDEX('契約台帳'!$T$5:$T$304,$O73)&amp;"")</f>
        <v/>
      </c>
      <c r="M73" s="36">
        <f>IF($O73="","",INDEX('契約台帳'!$S$5:$S$304,$O73)&amp;"")</f>
        <v/>
      </c>
      <c r="N73" s="53" t="n"/>
      <c r="O73" s="76">
        <f>IFERROR(MATCH(SMALL('契約台帳'!$AR$5:$AR$304,69),'契約台帳'!$AR$5:$AR$304,0),"")</f>
        <v/>
      </c>
    </row>
    <row r="74" ht="18" customHeight="1">
      <c r="A74" s="36">
        <f>IF($O74="","",70)</f>
        <v/>
      </c>
      <c r="B74" s="36">
        <f>IF($O74="","",INDEX('契約台帳'!$AC$5:$AC$304,$O74)&amp;"")</f>
        <v/>
      </c>
      <c r="C74" s="74">
        <f>IF($O74="","",INDEX('契約台帳'!$AB$5:$AB$304,$O74))</f>
        <v/>
      </c>
      <c r="D74" s="75">
        <f>IF($O74="","",INDEX('契約台帳'!$AA$5:$AA$304,$O74))</f>
        <v/>
      </c>
      <c r="E74" s="36">
        <f>IF($O74="","",IF(ISNUMBER(INDEX('契約台帳'!$Z$5:$Z$304,$O74)),"通知期限","満了日"))</f>
        <v/>
      </c>
      <c r="F74" s="36">
        <f>IF($O74="","",INDEX('契約台帳'!$B$5:$B$304,$O74)&amp;"")</f>
        <v/>
      </c>
      <c r="G74" s="39">
        <f>IF($O74="","",INDEX('契約台帳'!$E$5:$E$304,$O74)&amp;"")</f>
        <v/>
      </c>
      <c r="H74" s="39">
        <f>IF($O74="","",INDEX('契約台帳'!$C$5:$C$304,$O74)&amp;"")</f>
        <v/>
      </c>
      <c r="I74" s="39">
        <f>IF($O74="","",INDEX('契約台帳'!$D$5:$D$304,$O74)&amp;"")</f>
        <v/>
      </c>
      <c r="J74" s="36">
        <f>IF($O74="","",INDEX('契約台帳'!$I$5:$I$304,$O74)&amp;"")</f>
        <v/>
      </c>
      <c r="K74" s="75">
        <f>IF($O74="","",INDEX('契約台帳'!$Y$5:$Y$304,$O74))</f>
        <v/>
      </c>
      <c r="L74" s="36">
        <f>IF($O74="","",INDEX('契約台帳'!$T$5:$T$304,$O74)&amp;"")</f>
        <v/>
      </c>
      <c r="M74" s="36">
        <f>IF($O74="","",INDEX('契約台帳'!$S$5:$S$304,$O74)&amp;"")</f>
        <v/>
      </c>
      <c r="N74" s="53" t="n"/>
      <c r="O74" s="76">
        <f>IFERROR(MATCH(SMALL('契約台帳'!$AR$5:$AR$304,70),'契約台帳'!$AR$5:$AR$304,0),"")</f>
        <v/>
      </c>
    </row>
    <row r="75" ht="18" customHeight="1">
      <c r="A75" s="36">
        <f>IF($O75="","",71)</f>
        <v/>
      </c>
      <c r="B75" s="36">
        <f>IF($O75="","",INDEX('契約台帳'!$AC$5:$AC$304,$O75)&amp;"")</f>
        <v/>
      </c>
      <c r="C75" s="74">
        <f>IF($O75="","",INDEX('契約台帳'!$AB$5:$AB$304,$O75))</f>
        <v/>
      </c>
      <c r="D75" s="75">
        <f>IF($O75="","",INDEX('契約台帳'!$AA$5:$AA$304,$O75))</f>
        <v/>
      </c>
      <c r="E75" s="36">
        <f>IF($O75="","",IF(ISNUMBER(INDEX('契約台帳'!$Z$5:$Z$304,$O75)),"通知期限","満了日"))</f>
        <v/>
      </c>
      <c r="F75" s="36">
        <f>IF($O75="","",INDEX('契約台帳'!$B$5:$B$304,$O75)&amp;"")</f>
        <v/>
      </c>
      <c r="G75" s="39">
        <f>IF($O75="","",INDEX('契約台帳'!$E$5:$E$304,$O75)&amp;"")</f>
        <v/>
      </c>
      <c r="H75" s="39">
        <f>IF($O75="","",INDEX('契約台帳'!$C$5:$C$304,$O75)&amp;"")</f>
        <v/>
      </c>
      <c r="I75" s="39">
        <f>IF($O75="","",INDEX('契約台帳'!$D$5:$D$304,$O75)&amp;"")</f>
        <v/>
      </c>
      <c r="J75" s="36">
        <f>IF($O75="","",INDEX('契約台帳'!$I$5:$I$304,$O75)&amp;"")</f>
        <v/>
      </c>
      <c r="K75" s="75">
        <f>IF($O75="","",INDEX('契約台帳'!$Y$5:$Y$304,$O75))</f>
        <v/>
      </c>
      <c r="L75" s="36">
        <f>IF($O75="","",INDEX('契約台帳'!$T$5:$T$304,$O75)&amp;"")</f>
        <v/>
      </c>
      <c r="M75" s="36">
        <f>IF($O75="","",INDEX('契約台帳'!$S$5:$S$304,$O75)&amp;"")</f>
        <v/>
      </c>
      <c r="N75" s="53" t="n"/>
      <c r="O75" s="76">
        <f>IFERROR(MATCH(SMALL('契約台帳'!$AR$5:$AR$304,71),'契約台帳'!$AR$5:$AR$304,0),"")</f>
        <v/>
      </c>
    </row>
    <row r="76" ht="18" customHeight="1">
      <c r="A76" s="36">
        <f>IF($O76="","",72)</f>
        <v/>
      </c>
      <c r="B76" s="36">
        <f>IF($O76="","",INDEX('契約台帳'!$AC$5:$AC$304,$O76)&amp;"")</f>
        <v/>
      </c>
      <c r="C76" s="74">
        <f>IF($O76="","",INDEX('契約台帳'!$AB$5:$AB$304,$O76))</f>
        <v/>
      </c>
      <c r="D76" s="75">
        <f>IF($O76="","",INDEX('契約台帳'!$AA$5:$AA$304,$O76))</f>
        <v/>
      </c>
      <c r="E76" s="36">
        <f>IF($O76="","",IF(ISNUMBER(INDEX('契約台帳'!$Z$5:$Z$304,$O76)),"通知期限","満了日"))</f>
        <v/>
      </c>
      <c r="F76" s="36">
        <f>IF($O76="","",INDEX('契約台帳'!$B$5:$B$304,$O76)&amp;"")</f>
        <v/>
      </c>
      <c r="G76" s="39">
        <f>IF($O76="","",INDEX('契約台帳'!$E$5:$E$304,$O76)&amp;"")</f>
        <v/>
      </c>
      <c r="H76" s="39">
        <f>IF($O76="","",INDEX('契約台帳'!$C$5:$C$304,$O76)&amp;"")</f>
        <v/>
      </c>
      <c r="I76" s="39">
        <f>IF($O76="","",INDEX('契約台帳'!$D$5:$D$304,$O76)&amp;"")</f>
        <v/>
      </c>
      <c r="J76" s="36">
        <f>IF($O76="","",INDEX('契約台帳'!$I$5:$I$304,$O76)&amp;"")</f>
        <v/>
      </c>
      <c r="K76" s="75">
        <f>IF($O76="","",INDEX('契約台帳'!$Y$5:$Y$304,$O76))</f>
        <v/>
      </c>
      <c r="L76" s="36">
        <f>IF($O76="","",INDEX('契約台帳'!$T$5:$T$304,$O76)&amp;"")</f>
        <v/>
      </c>
      <c r="M76" s="36">
        <f>IF($O76="","",INDEX('契約台帳'!$S$5:$S$304,$O76)&amp;"")</f>
        <v/>
      </c>
      <c r="N76" s="53" t="n"/>
      <c r="O76" s="76">
        <f>IFERROR(MATCH(SMALL('契約台帳'!$AR$5:$AR$304,72),'契約台帳'!$AR$5:$AR$304,0),"")</f>
        <v/>
      </c>
    </row>
    <row r="77" ht="18" customHeight="1">
      <c r="A77" s="36">
        <f>IF($O77="","",73)</f>
        <v/>
      </c>
      <c r="B77" s="36">
        <f>IF($O77="","",INDEX('契約台帳'!$AC$5:$AC$304,$O77)&amp;"")</f>
        <v/>
      </c>
      <c r="C77" s="74">
        <f>IF($O77="","",INDEX('契約台帳'!$AB$5:$AB$304,$O77))</f>
        <v/>
      </c>
      <c r="D77" s="75">
        <f>IF($O77="","",INDEX('契約台帳'!$AA$5:$AA$304,$O77))</f>
        <v/>
      </c>
      <c r="E77" s="36">
        <f>IF($O77="","",IF(ISNUMBER(INDEX('契約台帳'!$Z$5:$Z$304,$O77)),"通知期限","満了日"))</f>
        <v/>
      </c>
      <c r="F77" s="36">
        <f>IF($O77="","",INDEX('契約台帳'!$B$5:$B$304,$O77)&amp;"")</f>
        <v/>
      </c>
      <c r="G77" s="39">
        <f>IF($O77="","",INDEX('契約台帳'!$E$5:$E$304,$O77)&amp;"")</f>
        <v/>
      </c>
      <c r="H77" s="39">
        <f>IF($O77="","",INDEX('契約台帳'!$C$5:$C$304,$O77)&amp;"")</f>
        <v/>
      </c>
      <c r="I77" s="39">
        <f>IF($O77="","",INDEX('契約台帳'!$D$5:$D$304,$O77)&amp;"")</f>
        <v/>
      </c>
      <c r="J77" s="36">
        <f>IF($O77="","",INDEX('契約台帳'!$I$5:$I$304,$O77)&amp;"")</f>
        <v/>
      </c>
      <c r="K77" s="75">
        <f>IF($O77="","",INDEX('契約台帳'!$Y$5:$Y$304,$O77))</f>
        <v/>
      </c>
      <c r="L77" s="36">
        <f>IF($O77="","",INDEX('契約台帳'!$T$5:$T$304,$O77)&amp;"")</f>
        <v/>
      </c>
      <c r="M77" s="36">
        <f>IF($O77="","",INDEX('契約台帳'!$S$5:$S$304,$O77)&amp;"")</f>
        <v/>
      </c>
      <c r="N77" s="53" t="n"/>
      <c r="O77" s="76">
        <f>IFERROR(MATCH(SMALL('契約台帳'!$AR$5:$AR$304,73),'契約台帳'!$AR$5:$AR$304,0),"")</f>
        <v/>
      </c>
    </row>
    <row r="78" ht="18" customHeight="1">
      <c r="A78" s="36">
        <f>IF($O78="","",74)</f>
        <v/>
      </c>
      <c r="B78" s="36">
        <f>IF($O78="","",INDEX('契約台帳'!$AC$5:$AC$304,$O78)&amp;"")</f>
        <v/>
      </c>
      <c r="C78" s="74">
        <f>IF($O78="","",INDEX('契約台帳'!$AB$5:$AB$304,$O78))</f>
        <v/>
      </c>
      <c r="D78" s="75">
        <f>IF($O78="","",INDEX('契約台帳'!$AA$5:$AA$304,$O78))</f>
        <v/>
      </c>
      <c r="E78" s="36">
        <f>IF($O78="","",IF(ISNUMBER(INDEX('契約台帳'!$Z$5:$Z$304,$O78)),"通知期限","満了日"))</f>
        <v/>
      </c>
      <c r="F78" s="36">
        <f>IF($O78="","",INDEX('契約台帳'!$B$5:$B$304,$O78)&amp;"")</f>
        <v/>
      </c>
      <c r="G78" s="39">
        <f>IF($O78="","",INDEX('契約台帳'!$E$5:$E$304,$O78)&amp;"")</f>
        <v/>
      </c>
      <c r="H78" s="39">
        <f>IF($O78="","",INDEX('契約台帳'!$C$5:$C$304,$O78)&amp;"")</f>
        <v/>
      </c>
      <c r="I78" s="39">
        <f>IF($O78="","",INDEX('契約台帳'!$D$5:$D$304,$O78)&amp;"")</f>
        <v/>
      </c>
      <c r="J78" s="36">
        <f>IF($O78="","",INDEX('契約台帳'!$I$5:$I$304,$O78)&amp;"")</f>
        <v/>
      </c>
      <c r="K78" s="75">
        <f>IF($O78="","",INDEX('契約台帳'!$Y$5:$Y$304,$O78))</f>
        <v/>
      </c>
      <c r="L78" s="36">
        <f>IF($O78="","",INDEX('契約台帳'!$T$5:$T$304,$O78)&amp;"")</f>
        <v/>
      </c>
      <c r="M78" s="36">
        <f>IF($O78="","",INDEX('契約台帳'!$S$5:$S$304,$O78)&amp;"")</f>
        <v/>
      </c>
      <c r="N78" s="53" t="n"/>
      <c r="O78" s="76">
        <f>IFERROR(MATCH(SMALL('契約台帳'!$AR$5:$AR$304,74),'契約台帳'!$AR$5:$AR$304,0),"")</f>
        <v/>
      </c>
    </row>
    <row r="79" ht="18" customHeight="1">
      <c r="A79" s="36">
        <f>IF($O79="","",75)</f>
        <v/>
      </c>
      <c r="B79" s="36">
        <f>IF($O79="","",INDEX('契約台帳'!$AC$5:$AC$304,$O79)&amp;"")</f>
        <v/>
      </c>
      <c r="C79" s="74">
        <f>IF($O79="","",INDEX('契約台帳'!$AB$5:$AB$304,$O79))</f>
        <v/>
      </c>
      <c r="D79" s="75">
        <f>IF($O79="","",INDEX('契約台帳'!$AA$5:$AA$304,$O79))</f>
        <v/>
      </c>
      <c r="E79" s="36">
        <f>IF($O79="","",IF(ISNUMBER(INDEX('契約台帳'!$Z$5:$Z$304,$O79)),"通知期限","満了日"))</f>
        <v/>
      </c>
      <c r="F79" s="36">
        <f>IF($O79="","",INDEX('契約台帳'!$B$5:$B$304,$O79)&amp;"")</f>
        <v/>
      </c>
      <c r="G79" s="39">
        <f>IF($O79="","",INDEX('契約台帳'!$E$5:$E$304,$O79)&amp;"")</f>
        <v/>
      </c>
      <c r="H79" s="39">
        <f>IF($O79="","",INDEX('契約台帳'!$C$5:$C$304,$O79)&amp;"")</f>
        <v/>
      </c>
      <c r="I79" s="39">
        <f>IF($O79="","",INDEX('契約台帳'!$D$5:$D$304,$O79)&amp;"")</f>
        <v/>
      </c>
      <c r="J79" s="36">
        <f>IF($O79="","",INDEX('契約台帳'!$I$5:$I$304,$O79)&amp;"")</f>
        <v/>
      </c>
      <c r="K79" s="75">
        <f>IF($O79="","",INDEX('契約台帳'!$Y$5:$Y$304,$O79))</f>
        <v/>
      </c>
      <c r="L79" s="36">
        <f>IF($O79="","",INDEX('契約台帳'!$T$5:$T$304,$O79)&amp;"")</f>
        <v/>
      </c>
      <c r="M79" s="36">
        <f>IF($O79="","",INDEX('契約台帳'!$S$5:$S$304,$O79)&amp;"")</f>
        <v/>
      </c>
      <c r="N79" s="53" t="n"/>
      <c r="O79" s="76">
        <f>IFERROR(MATCH(SMALL('契約台帳'!$AR$5:$AR$304,75),'契約台帳'!$AR$5:$AR$304,0),"")</f>
        <v/>
      </c>
    </row>
    <row r="80" ht="18" customHeight="1">
      <c r="A80" s="36">
        <f>IF($O80="","",76)</f>
        <v/>
      </c>
      <c r="B80" s="36">
        <f>IF($O80="","",INDEX('契約台帳'!$AC$5:$AC$304,$O80)&amp;"")</f>
        <v/>
      </c>
      <c r="C80" s="74">
        <f>IF($O80="","",INDEX('契約台帳'!$AB$5:$AB$304,$O80))</f>
        <v/>
      </c>
      <c r="D80" s="75">
        <f>IF($O80="","",INDEX('契約台帳'!$AA$5:$AA$304,$O80))</f>
        <v/>
      </c>
      <c r="E80" s="36">
        <f>IF($O80="","",IF(ISNUMBER(INDEX('契約台帳'!$Z$5:$Z$304,$O80)),"通知期限","満了日"))</f>
        <v/>
      </c>
      <c r="F80" s="36">
        <f>IF($O80="","",INDEX('契約台帳'!$B$5:$B$304,$O80)&amp;"")</f>
        <v/>
      </c>
      <c r="G80" s="39">
        <f>IF($O80="","",INDEX('契約台帳'!$E$5:$E$304,$O80)&amp;"")</f>
        <v/>
      </c>
      <c r="H80" s="39">
        <f>IF($O80="","",INDEX('契約台帳'!$C$5:$C$304,$O80)&amp;"")</f>
        <v/>
      </c>
      <c r="I80" s="39">
        <f>IF($O80="","",INDEX('契約台帳'!$D$5:$D$304,$O80)&amp;"")</f>
        <v/>
      </c>
      <c r="J80" s="36">
        <f>IF($O80="","",INDEX('契約台帳'!$I$5:$I$304,$O80)&amp;"")</f>
        <v/>
      </c>
      <c r="K80" s="75">
        <f>IF($O80="","",INDEX('契約台帳'!$Y$5:$Y$304,$O80))</f>
        <v/>
      </c>
      <c r="L80" s="36">
        <f>IF($O80="","",INDEX('契約台帳'!$T$5:$T$304,$O80)&amp;"")</f>
        <v/>
      </c>
      <c r="M80" s="36">
        <f>IF($O80="","",INDEX('契約台帳'!$S$5:$S$304,$O80)&amp;"")</f>
        <v/>
      </c>
      <c r="N80" s="53" t="n"/>
      <c r="O80" s="76">
        <f>IFERROR(MATCH(SMALL('契約台帳'!$AR$5:$AR$304,76),'契約台帳'!$AR$5:$AR$304,0),"")</f>
        <v/>
      </c>
    </row>
    <row r="81" ht="18" customHeight="1">
      <c r="A81" s="36">
        <f>IF($O81="","",77)</f>
        <v/>
      </c>
      <c r="B81" s="36">
        <f>IF($O81="","",INDEX('契約台帳'!$AC$5:$AC$304,$O81)&amp;"")</f>
        <v/>
      </c>
      <c r="C81" s="74">
        <f>IF($O81="","",INDEX('契約台帳'!$AB$5:$AB$304,$O81))</f>
        <v/>
      </c>
      <c r="D81" s="75">
        <f>IF($O81="","",INDEX('契約台帳'!$AA$5:$AA$304,$O81))</f>
        <v/>
      </c>
      <c r="E81" s="36">
        <f>IF($O81="","",IF(ISNUMBER(INDEX('契約台帳'!$Z$5:$Z$304,$O81)),"通知期限","満了日"))</f>
        <v/>
      </c>
      <c r="F81" s="36">
        <f>IF($O81="","",INDEX('契約台帳'!$B$5:$B$304,$O81)&amp;"")</f>
        <v/>
      </c>
      <c r="G81" s="39">
        <f>IF($O81="","",INDEX('契約台帳'!$E$5:$E$304,$O81)&amp;"")</f>
        <v/>
      </c>
      <c r="H81" s="39">
        <f>IF($O81="","",INDEX('契約台帳'!$C$5:$C$304,$O81)&amp;"")</f>
        <v/>
      </c>
      <c r="I81" s="39">
        <f>IF($O81="","",INDEX('契約台帳'!$D$5:$D$304,$O81)&amp;"")</f>
        <v/>
      </c>
      <c r="J81" s="36">
        <f>IF($O81="","",INDEX('契約台帳'!$I$5:$I$304,$O81)&amp;"")</f>
        <v/>
      </c>
      <c r="K81" s="75">
        <f>IF($O81="","",INDEX('契約台帳'!$Y$5:$Y$304,$O81))</f>
        <v/>
      </c>
      <c r="L81" s="36">
        <f>IF($O81="","",INDEX('契約台帳'!$T$5:$T$304,$O81)&amp;"")</f>
        <v/>
      </c>
      <c r="M81" s="36">
        <f>IF($O81="","",INDEX('契約台帳'!$S$5:$S$304,$O81)&amp;"")</f>
        <v/>
      </c>
      <c r="N81" s="53" t="n"/>
      <c r="O81" s="76">
        <f>IFERROR(MATCH(SMALL('契約台帳'!$AR$5:$AR$304,77),'契約台帳'!$AR$5:$AR$304,0),"")</f>
        <v/>
      </c>
    </row>
    <row r="82" ht="18" customHeight="1">
      <c r="A82" s="36">
        <f>IF($O82="","",78)</f>
        <v/>
      </c>
      <c r="B82" s="36">
        <f>IF($O82="","",INDEX('契約台帳'!$AC$5:$AC$304,$O82)&amp;"")</f>
        <v/>
      </c>
      <c r="C82" s="74">
        <f>IF($O82="","",INDEX('契約台帳'!$AB$5:$AB$304,$O82))</f>
        <v/>
      </c>
      <c r="D82" s="75">
        <f>IF($O82="","",INDEX('契約台帳'!$AA$5:$AA$304,$O82))</f>
        <v/>
      </c>
      <c r="E82" s="36">
        <f>IF($O82="","",IF(ISNUMBER(INDEX('契約台帳'!$Z$5:$Z$304,$O82)),"通知期限","満了日"))</f>
        <v/>
      </c>
      <c r="F82" s="36">
        <f>IF($O82="","",INDEX('契約台帳'!$B$5:$B$304,$O82)&amp;"")</f>
        <v/>
      </c>
      <c r="G82" s="39">
        <f>IF($O82="","",INDEX('契約台帳'!$E$5:$E$304,$O82)&amp;"")</f>
        <v/>
      </c>
      <c r="H82" s="39">
        <f>IF($O82="","",INDEX('契約台帳'!$C$5:$C$304,$O82)&amp;"")</f>
        <v/>
      </c>
      <c r="I82" s="39">
        <f>IF($O82="","",INDEX('契約台帳'!$D$5:$D$304,$O82)&amp;"")</f>
        <v/>
      </c>
      <c r="J82" s="36">
        <f>IF($O82="","",INDEX('契約台帳'!$I$5:$I$304,$O82)&amp;"")</f>
        <v/>
      </c>
      <c r="K82" s="75">
        <f>IF($O82="","",INDEX('契約台帳'!$Y$5:$Y$304,$O82))</f>
        <v/>
      </c>
      <c r="L82" s="36">
        <f>IF($O82="","",INDEX('契約台帳'!$T$5:$T$304,$O82)&amp;"")</f>
        <v/>
      </c>
      <c r="M82" s="36">
        <f>IF($O82="","",INDEX('契約台帳'!$S$5:$S$304,$O82)&amp;"")</f>
        <v/>
      </c>
      <c r="N82" s="53" t="n"/>
      <c r="O82" s="76">
        <f>IFERROR(MATCH(SMALL('契約台帳'!$AR$5:$AR$304,78),'契約台帳'!$AR$5:$AR$304,0),"")</f>
        <v/>
      </c>
    </row>
    <row r="83" ht="18" customHeight="1">
      <c r="A83" s="36">
        <f>IF($O83="","",79)</f>
        <v/>
      </c>
      <c r="B83" s="36">
        <f>IF($O83="","",INDEX('契約台帳'!$AC$5:$AC$304,$O83)&amp;"")</f>
        <v/>
      </c>
      <c r="C83" s="74">
        <f>IF($O83="","",INDEX('契約台帳'!$AB$5:$AB$304,$O83))</f>
        <v/>
      </c>
      <c r="D83" s="75">
        <f>IF($O83="","",INDEX('契約台帳'!$AA$5:$AA$304,$O83))</f>
        <v/>
      </c>
      <c r="E83" s="36">
        <f>IF($O83="","",IF(ISNUMBER(INDEX('契約台帳'!$Z$5:$Z$304,$O83)),"通知期限","満了日"))</f>
        <v/>
      </c>
      <c r="F83" s="36">
        <f>IF($O83="","",INDEX('契約台帳'!$B$5:$B$304,$O83)&amp;"")</f>
        <v/>
      </c>
      <c r="G83" s="39">
        <f>IF($O83="","",INDEX('契約台帳'!$E$5:$E$304,$O83)&amp;"")</f>
        <v/>
      </c>
      <c r="H83" s="39">
        <f>IF($O83="","",INDEX('契約台帳'!$C$5:$C$304,$O83)&amp;"")</f>
        <v/>
      </c>
      <c r="I83" s="39">
        <f>IF($O83="","",INDEX('契約台帳'!$D$5:$D$304,$O83)&amp;"")</f>
        <v/>
      </c>
      <c r="J83" s="36">
        <f>IF($O83="","",INDEX('契約台帳'!$I$5:$I$304,$O83)&amp;"")</f>
        <v/>
      </c>
      <c r="K83" s="75">
        <f>IF($O83="","",INDEX('契約台帳'!$Y$5:$Y$304,$O83))</f>
        <v/>
      </c>
      <c r="L83" s="36">
        <f>IF($O83="","",INDEX('契約台帳'!$T$5:$T$304,$O83)&amp;"")</f>
        <v/>
      </c>
      <c r="M83" s="36">
        <f>IF($O83="","",INDEX('契約台帳'!$S$5:$S$304,$O83)&amp;"")</f>
        <v/>
      </c>
      <c r="N83" s="53" t="n"/>
      <c r="O83" s="76">
        <f>IFERROR(MATCH(SMALL('契約台帳'!$AR$5:$AR$304,79),'契約台帳'!$AR$5:$AR$304,0),"")</f>
        <v/>
      </c>
    </row>
    <row r="84" ht="18" customHeight="1">
      <c r="A84" s="36">
        <f>IF($O84="","",80)</f>
        <v/>
      </c>
      <c r="B84" s="36">
        <f>IF($O84="","",INDEX('契約台帳'!$AC$5:$AC$304,$O84)&amp;"")</f>
        <v/>
      </c>
      <c r="C84" s="74">
        <f>IF($O84="","",INDEX('契約台帳'!$AB$5:$AB$304,$O84))</f>
        <v/>
      </c>
      <c r="D84" s="75">
        <f>IF($O84="","",INDEX('契約台帳'!$AA$5:$AA$304,$O84))</f>
        <v/>
      </c>
      <c r="E84" s="36">
        <f>IF($O84="","",IF(ISNUMBER(INDEX('契約台帳'!$Z$5:$Z$304,$O84)),"通知期限","満了日"))</f>
        <v/>
      </c>
      <c r="F84" s="36">
        <f>IF($O84="","",INDEX('契約台帳'!$B$5:$B$304,$O84)&amp;"")</f>
        <v/>
      </c>
      <c r="G84" s="39">
        <f>IF($O84="","",INDEX('契約台帳'!$E$5:$E$304,$O84)&amp;"")</f>
        <v/>
      </c>
      <c r="H84" s="39">
        <f>IF($O84="","",INDEX('契約台帳'!$C$5:$C$304,$O84)&amp;"")</f>
        <v/>
      </c>
      <c r="I84" s="39">
        <f>IF($O84="","",INDEX('契約台帳'!$D$5:$D$304,$O84)&amp;"")</f>
        <v/>
      </c>
      <c r="J84" s="36">
        <f>IF($O84="","",INDEX('契約台帳'!$I$5:$I$304,$O84)&amp;"")</f>
        <v/>
      </c>
      <c r="K84" s="75">
        <f>IF($O84="","",INDEX('契約台帳'!$Y$5:$Y$304,$O84))</f>
        <v/>
      </c>
      <c r="L84" s="36">
        <f>IF($O84="","",INDEX('契約台帳'!$T$5:$T$304,$O84)&amp;"")</f>
        <v/>
      </c>
      <c r="M84" s="36">
        <f>IF($O84="","",INDEX('契約台帳'!$S$5:$S$304,$O84)&amp;"")</f>
        <v/>
      </c>
      <c r="N84" s="53" t="n"/>
      <c r="O84" s="76">
        <f>IFERROR(MATCH(SMALL('契約台帳'!$AR$5:$AR$304,80),'契約台帳'!$AR$5:$AR$304,0),"")</f>
        <v/>
      </c>
    </row>
    <row r="85" ht="18" customHeight="1">
      <c r="A85" s="36">
        <f>IF($O85="","",81)</f>
        <v/>
      </c>
      <c r="B85" s="36">
        <f>IF($O85="","",INDEX('契約台帳'!$AC$5:$AC$304,$O85)&amp;"")</f>
        <v/>
      </c>
      <c r="C85" s="74">
        <f>IF($O85="","",INDEX('契約台帳'!$AB$5:$AB$304,$O85))</f>
        <v/>
      </c>
      <c r="D85" s="75">
        <f>IF($O85="","",INDEX('契約台帳'!$AA$5:$AA$304,$O85))</f>
        <v/>
      </c>
      <c r="E85" s="36">
        <f>IF($O85="","",IF(ISNUMBER(INDEX('契約台帳'!$Z$5:$Z$304,$O85)),"通知期限","満了日"))</f>
        <v/>
      </c>
      <c r="F85" s="36">
        <f>IF($O85="","",INDEX('契約台帳'!$B$5:$B$304,$O85)&amp;"")</f>
        <v/>
      </c>
      <c r="G85" s="39">
        <f>IF($O85="","",INDEX('契約台帳'!$E$5:$E$304,$O85)&amp;"")</f>
        <v/>
      </c>
      <c r="H85" s="39">
        <f>IF($O85="","",INDEX('契約台帳'!$C$5:$C$304,$O85)&amp;"")</f>
        <v/>
      </c>
      <c r="I85" s="39">
        <f>IF($O85="","",INDEX('契約台帳'!$D$5:$D$304,$O85)&amp;"")</f>
        <v/>
      </c>
      <c r="J85" s="36">
        <f>IF($O85="","",INDEX('契約台帳'!$I$5:$I$304,$O85)&amp;"")</f>
        <v/>
      </c>
      <c r="K85" s="75">
        <f>IF($O85="","",INDEX('契約台帳'!$Y$5:$Y$304,$O85))</f>
        <v/>
      </c>
      <c r="L85" s="36">
        <f>IF($O85="","",INDEX('契約台帳'!$T$5:$T$304,$O85)&amp;"")</f>
        <v/>
      </c>
      <c r="M85" s="36">
        <f>IF($O85="","",INDEX('契約台帳'!$S$5:$S$304,$O85)&amp;"")</f>
        <v/>
      </c>
      <c r="N85" s="53" t="n"/>
      <c r="O85" s="76">
        <f>IFERROR(MATCH(SMALL('契約台帳'!$AR$5:$AR$304,81),'契約台帳'!$AR$5:$AR$304,0),"")</f>
        <v/>
      </c>
    </row>
    <row r="86" ht="18" customHeight="1">
      <c r="A86" s="36">
        <f>IF($O86="","",82)</f>
        <v/>
      </c>
      <c r="B86" s="36">
        <f>IF($O86="","",INDEX('契約台帳'!$AC$5:$AC$304,$O86)&amp;"")</f>
        <v/>
      </c>
      <c r="C86" s="74">
        <f>IF($O86="","",INDEX('契約台帳'!$AB$5:$AB$304,$O86))</f>
        <v/>
      </c>
      <c r="D86" s="75">
        <f>IF($O86="","",INDEX('契約台帳'!$AA$5:$AA$304,$O86))</f>
        <v/>
      </c>
      <c r="E86" s="36">
        <f>IF($O86="","",IF(ISNUMBER(INDEX('契約台帳'!$Z$5:$Z$304,$O86)),"通知期限","満了日"))</f>
        <v/>
      </c>
      <c r="F86" s="36">
        <f>IF($O86="","",INDEX('契約台帳'!$B$5:$B$304,$O86)&amp;"")</f>
        <v/>
      </c>
      <c r="G86" s="39">
        <f>IF($O86="","",INDEX('契約台帳'!$E$5:$E$304,$O86)&amp;"")</f>
        <v/>
      </c>
      <c r="H86" s="39">
        <f>IF($O86="","",INDEX('契約台帳'!$C$5:$C$304,$O86)&amp;"")</f>
        <v/>
      </c>
      <c r="I86" s="39">
        <f>IF($O86="","",INDEX('契約台帳'!$D$5:$D$304,$O86)&amp;"")</f>
        <v/>
      </c>
      <c r="J86" s="36">
        <f>IF($O86="","",INDEX('契約台帳'!$I$5:$I$304,$O86)&amp;"")</f>
        <v/>
      </c>
      <c r="K86" s="75">
        <f>IF($O86="","",INDEX('契約台帳'!$Y$5:$Y$304,$O86))</f>
        <v/>
      </c>
      <c r="L86" s="36">
        <f>IF($O86="","",INDEX('契約台帳'!$T$5:$T$304,$O86)&amp;"")</f>
        <v/>
      </c>
      <c r="M86" s="36">
        <f>IF($O86="","",INDEX('契約台帳'!$S$5:$S$304,$O86)&amp;"")</f>
        <v/>
      </c>
      <c r="N86" s="53" t="n"/>
      <c r="O86" s="76">
        <f>IFERROR(MATCH(SMALL('契約台帳'!$AR$5:$AR$304,82),'契約台帳'!$AR$5:$AR$304,0),"")</f>
        <v/>
      </c>
    </row>
    <row r="87" ht="18" customHeight="1">
      <c r="A87" s="36">
        <f>IF($O87="","",83)</f>
        <v/>
      </c>
      <c r="B87" s="36">
        <f>IF($O87="","",INDEX('契約台帳'!$AC$5:$AC$304,$O87)&amp;"")</f>
        <v/>
      </c>
      <c r="C87" s="74">
        <f>IF($O87="","",INDEX('契約台帳'!$AB$5:$AB$304,$O87))</f>
        <v/>
      </c>
      <c r="D87" s="75">
        <f>IF($O87="","",INDEX('契約台帳'!$AA$5:$AA$304,$O87))</f>
        <v/>
      </c>
      <c r="E87" s="36">
        <f>IF($O87="","",IF(ISNUMBER(INDEX('契約台帳'!$Z$5:$Z$304,$O87)),"通知期限","満了日"))</f>
        <v/>
      </c>
      <c r="F87" s="36">
        <f>IF($O87="","",INDEX('契約台帳'!$B$5:$B$304,$O87)&amp;"")</f>
        <v/>
      </c>
      <c r="G87" s="39">
        <f>IF($O87="","",INDEX('契約台帳'!$E$5:$E$304,$O87)&amp;"")</f>
        <v/>
      </c>
      <c r="H87" s="39">
        <f>IF($O87="","",INDEX('契約台帳'!$C$5:$C$304,$O87)&amp;"")</f>
        <v/>
      </c>
      <c r="I87" s="39">
        <f>IF($O87="","",INDEX('契約台帳'!$D$5:$D$304,$O87)&amp;"")</f>
        <v/>
      </c>
      <c r="J87" s="36">
        <f>IF($O87="","",INDEX('契約台帳'!$I$5:$I$304,$O87)&amp;"")</f>
        <v/>
      </c>
      <c r="K87" s="75">
        <f>IF($O87="","",INDEX('契約台帳'!$Y$5:$Y$304,$O87))</f>
        <v/>
      </c>
      <c r="L87" s="36">
        <f>IF($O87="","",INDEX('契約台帳'!$T$5:$T$304,$O87)&amp;"")</f>
        <v/>
      </c>
      <c r="M87" s="36">
        <f>IF($O87="","",INDEX('契約台帳'!$S$5:$S$304,$O87)&amp;"")</f>
        <v/>
      </c>
      <c r="N87" s="53" t="n"/>
      <c r="O87" s="76">
        <f>IFERROR(MATCH(SMALL('契約台帳'!$AR$5:$AR$304,83),'契約台帳'!$AR$5:$AR$304,0),"")</f>
        <v/>
      </c>
    </row>
    <row r="88" ht="18" customHeight="1">
      <c r="A88" s="36">
        <f>IF($O88="","",84)</f>
        <v/>
      </c>
      <c r="B88" s="36">
        <f>IF($O88="","",INDEX('契約台帳'!$AC$5:$AC$304,$O88)&amp;"")</f>
        <v/>
      </c>
      <c r="C88" s="74">
        <f>IF($O88="","",INDEX('契約台帳'!$AB$5:$AB$304,$O88))</f>
        <v/>
      </c>
      <c r="D88" s="75">
        <f>IF($O88="","",INDEX('契約台帳'!$AA$5:$AA$304,$O88))</f>
        <v/>
      </c>
      <c r="E88" s="36">
        <f>IF($O88="","",IF(ISNUMBER(INDEX('契約台帳'!$Z$5:$Z$304,$O88)),"通知期限","満了日"))</f>
        <v/>
      </c>
      <c r="F88" s="36">
        <f>IF($O88="","",INDEX('契約台帳'!$B$5:$B$304,$O88)&amp;"")</f>
        <v/>
      </c>
      <c r="G88" s="39">
        <f>IF($O88="","",INDEX('契約台帳'!$E$5:$E$304,$O88)&amp;"")</f>
        <v/>
      </c>
      <c r="H88" s="39">
        <f>IF($O88="","",INDEX('契約台帳'!$C$5:$C$304,$O88)&amp;"")</f>
        <v/>
      </c>
      <c r="I88" s="39">
        <f>IF($O88="","",INDEX('契約台帳'!$D$5:$D$304,$O88)&amp;"")</f>
        <v/>
      </c>
      <c r="J88" s="36">
        <f>IF($O88="","",INDEX('契約台帳'!$I$5:$I$304,$O88)&amp;"")</f>
        <v/>
      </c>
      <c r="K88" s="75">
        <f>IF($O88="","",INDEX('契約台帳'!$Y$5:$Y$304,$O88))</f>
        <v/>
      </c>
      <c r="L88" s="36">
        <f>IF($O88="","",INDEX('契約台帳'!$T$5:$T$304,$O88)&amp;"")</f>
        <v/>
      </c>
      <c r="M88" s="36">
        <f>IF($O88="","",INDEX('契約台帳'!$S$5:$S$304,$O88)&amp;"")</f>
        <v/>
      </c>
      <c r="N88" s="53" t="n"/>
      <c r="O88" s="76">
        <f>IFERROR(MATCH(SMALL('契約台帳'!$AR$5:$AR$304,84),'契約台帳'!$AR$5:$AR$304,0),"")</f>
        <v/>
      </c>
    </row>
    <row r="89" ht="18" customHeight="1">
      <c r="A89" s="36">
        <f>IF($O89="","",85)</f>
        <v/>
      </c>
      <c r="B89" s="36">
        <f>IF($O89="","",INDEX('契約台帳'!$AC$5:$AC$304,$O89)&amp;"")</f>
        <v/>
      </c>
      <c r="C89" s="74">
        <f>IF($O89="","",INDEX('契約台帳'!$AB$5:$AB$304,$O89))</f>
        <v/>
      </c>
      <c r="D89" s="75">
        <f>IF($O89="","",INDEX('契約台帳'!$AA$5:$AA$304,$O89))</f>
        <v/>
      </c>
      <c r="E89" s="36">
        <f>IF($O89="","",IF(ISNUMBER(INDEX('契約台帳'!$Z$5:$Z$304,$O89)),"通知期限","満了日"))</f>
        <v/>
      </c>
      <c r="F89" s="36">
        <f>IF($O89="","",INDEX('契約台帳'!$B$5:$B$304,$O89)&amp;"")</f>
        <v/>
      </c>
      <c r="G89" s="39">
        <f>IF($O89="","",INDEX('契約台帳'!$E$5:$E$304,$O89)&amp;"")</f>
        <v/>
      </c>
      <c r="H89" s="39">
        <f>IF($O89="","",INDEX('契約台帳'!$C$5:$C$304,$O89)&amp;"")</f>
        <v/>
      </c>
      <c r="I89" s="39">
        <f>IF($O89="","",INDEX('契約台帳'!$D$5:$D$304,$O89)&amp;"")</f>
        <v/>
      </c>
      <c r="J89" s="36">
        <f>IF($O89="","",INDEX('契約台帳'!$I$5:$I$304,$O89)&amp;"")</f>
        <v/>
      </c>
      <c r="K89" s="75">
        <f>IF($O89="","",INDEX('契約台帳'!$Y$5:$Y$304,$O89))</f>
        <v/>
      </c>
      <c r="L89" s="36">
        <f>IF($O89="","",INDEX('契約台帳'!$T$5:$T$304,$O89)&amp;"")</f>
        <v/>
      </c>
      <c r="M89" s="36">
        <f>IF($O89="","",INDEX('契約台帳'!$S$5:$S$304,$O89)&amp;"")</f>
        <v/>
      </c>
      <c r="N89" s="53" t="n"/>
      <c r="O89" s="76">
        <f>IFERROR(MATCH(SMALL('契約台帳'!$AR$5:$AR$304,85),'契約台帳'!$AR$5:$AR$304,0),"")</f>
        <v/>
      </c>
    </row>
    <row r="90" ht="18" customHeight="1">
      <c r="A90" s="36">
        <f>IF($O90="","",86)</f>
        <v/>
      </c>
      <c r="B90" s="36">
        <f>IF($O90="","",INDEX('契約台帳'!$AC$5:$AC$304,$O90)&amp;"")</f>
        <v/>
      </c>
      <c r="C90" s="74">
        <f>IF($O90="","",INDEX('契約台帳'!$AB$5:$AB$304,$O90))</f>
        <v/>
      </c>
      <c r="D90" s="75">
        <f>IF($O90="","",INDEX('契約台帳'!$AA$5:$AA$304,$O90))</f>
        <v/>
      </c>
      <c r="E90" s="36">
        <f>IF($O90="","",IF(ISNUMBER(INDEX('契約台帳'!$Z$5:$Z$304,$O90)),"通知期限","満了日"))</f>
        <v/>
      </c>
      <c r="F90" s="36">
        <f>IF($O90="","",INDEX('契約台帳'!$B$5:$B$304,$O90)&amp;"")</f>
        <v/>
      </c>
      <c r="G90" s="39">
        <f>IF($O90="","",INDEX('契約台帳'!$E$5:$E$304,$O90)&amp;"")</f>
        <v/>
      </c>
      <c r="H90" s="39">
        <f>IF($O90="","",INDEX('契約台帳'!$C$5:$C$304,$O90)&amp;"")</f>
        <v/>
      </c>
      <c r="I90" s="39">
        <f>IF($O90="","",INDEX('契約台帳'!$D$5:$D$304,$O90)&amp;"")</f>
        <v/>
      </c>
      <c r="J90" s="36">
        <f>IF($O90="","",INDEX('契約台帳'!$I$5:$I$304,$O90)&amp;"")</f>
        <v/>
      </c>
      <c r="K90" s="75">
        <f>IF($O90="","",INDEX('契約台帳'!$Y$5:$Y$304,$O90))</f>
        <v/>
      </c>
      <c r="L90" s="36">
        <f>IF($O90="","",INDEX('契約台帳'!$T$5:$T$304,$O90)&amp;"")</f>
        <v/>
      </c>
      <c r="M90" s="36">
        <f>IF($O90="","",INDEX('契約台帳'!$S$5:$S$304,$O90)&amp;"")</f>
        <v/>
      </c>
      <c r="N90" s="53" t="n"/>
      <c r="O90" s="76">
        <f>IFERROR(MATCH(SMALL('契約台帳'!$AR$5:$AR$304,86),'契約台帳'!$AR$5:$AR$304,0),"")</f>
        <v/>
      </c>
    </row>
    <row r="91" ht="18" customHeight="1">
      <c r="A91" s="36">
        <f>IF($O91="","",87)</f>
        <v/>
      </c>
      <c r="B91" s="36">
        <f>IF($O91="","",INDEX('契約台帳'!$AC$5:$AC$304,$O91)&amp;"")</f>
        <v/>
      </c>
      <c r="C91" s="74">
        <f>IF($O91="","",INDEX('契約台帳'!$AB$5:$AB$304,$O91))</f>
        <v/>
      </c>
      <c r="D91" s="75">
        <f>IF($O91="","",INDEX('契約台帳'!$AA$5:$AA$304,$O91))</f>
        <v/>
      </c>
      <c r="E91" s="36">
        <f>IF($O91="","",IF(ISNUMBER(INDEX('契約台帳'!$Z$5:$Z$304,$O91)),"通知期限","満了日"))</f>
        <v/>
      </c>
      <c r="F91" s="36">
        <f>IF($O91="","",INDEX('契約台帳'!$B$5:$B$304,$O91)&amp;"")</f>
        <v/>
      </c>
      <c r="G91" s="39">
        <f>IF($O91="","",INDEX('契約台帳'!$E$5:$E$304,$O91)&amp;"")</f>
        <v/>
      </c>
      <c r="H91" s="39">
        <f>IF($O91="","",INDEX('契約台帳'!$C$5:$C$304,$O91)&amp;"")</f>
        <v/>
      </c>
      <c r="I91" s="39">
        <f>IF($O91="","",INDEX('契約台帳'!$D$5:$D$304,$O91)&amp;"")</f>
        <v/>
      </c>
      <c r="J91" s="36">
        <f>IF($O91="","",INDEX('契約台帳'!$I$5:$I$304,$O91)&amp;"")</f>
        <v/>
      </c>
      <c r="K91" s="75">
        <f>IF($O91="","",INDEX('契約台帳'!$Y$5:$Y$304,$O91))</f>
        <v/>
      </c>
      <c r="L91" s="36">
        <f>IF($O91="","",INDEX('契約台帳'!$T$5:$T$304,$O91)&amp;"")</f>
        <v/>
      </c>
      <c r="M91" s="36">
        <f>IF($O91="","",INDEX('契約台帳'!$S$5:$S$304,$O91)&amp;"")</f>
        <v/>
      </c>
      <c r="N91" s="53" t="n"/>
      <c r="O91" s="76">
        <f>IFERROR(MATCH(SMALL('契約台帳'!$AR$5:$AR$304,87),'契約台帳'!$AR$5:$AR$304,0),"")</f>
        <v/>
      </c>
    </row>
    <row r="92" ht="18" customHeight="1">
      <c r="A92" s="36">
        <f>IF($O92="","",88)</f>
        <v/>
      </c>
      <c r="B92" s="36">
        <f>IF($O92="","",INDEX('契約台帳'!$AC$5:$AC$304,$O92)&amp;"")</f>
        <v/>
      </c>
      <c r="C92" s="74">
        <f>IF($O92="","",INDEX('契約台帳'!$AB$5:$AB$304,$O92))</f>
        <v/>
      </c>
      <c r="D92" s="75">
        <f>IF($O92="","",INDEX('契約台帳'!$AA$5:$AA$304,$O92))</f>
        <v/>
      </c>
      <c r="E92" s="36">
        <f>IF($O92="","",IF(ISNUMBER(INDEX('契約台帳'!$Z$5:$Z$304,$O92)),"通知期限","満了日"))</f>
        <v/>
      </c>
      <c r="F92" s="36">
        <f>IF($O92="","",INDEX('契約台帳'!$B$5:$B$304,$O92)&amp;"")</f>
        <v/>
      </c>
      <c r="G92" s="39">
        <f>IF($O92="","",INDEX('契約台帳'!$E$5:$E$304,$O92)&amp;"")</f>
        <v/>
      </c>
      <c r="H92" s="39">
        <f>IF($O92="","",INDEX('契約台帳'!$C$5:$C$304,$O92)&amp;"")</f>
        <v/>
      </c>
      <c r="I92" s="39">
        <f>IF($O92="","",INDEX('契約台帳'!$D$5:$D$304,$O92)&amp;"")</f>
        <v/>
      </c>
      <c r="J92" s="36">
        <f>IF($O92="","",INDEX('契約台帳'!$I$5:$I$304,$O92)&amp;"")</f>
        <v/>
      </c>
      <c r="K92" s="75">
        <f>IF($O92="","",INDEX('契約台帳'!$Y$5:$Y$304,$O92))</f>
        <v/>
      </c>
      <c r="L92" s="36">
        <f>IF($O92="","",INDEX('契約台帳'!$T$5:$T$304,$O92)&amp;"")</f>
        <v/>
      </c>
      <c r="M92" s="36">
        <f>IF($O92="","",INDEX('契約台帳'!$S$5:$S$304,$O92)&amp;"")</f>
        <v/>
      </c>
      <c r="N92" s="53" t="n"/>
      <c r="O92" s="76">
        <f>IFERROR(MATCH(SMALL('契約台帳'!$AR$5:$AR$304,88),'契約台帳'!$AR$5:$AR$304,0),"")</f>
        <v/>
      </c>
    </row>
    <row r="93" ht="18" customHeight="1">
      <c r="A93" s="36">
        <f>IF($O93="","",89)</f>
        <v/>
      </c>
      <c r="B93" s="36">
        <f>IF($O93="","",INDEX('契約台帳'!$AC$5:$AC$304,$O93)&amp;"")</f>
        <v/>
      </c>
      <c r="C93" s="74">
        <f>IF($O93="","",INDEX('契約台帳'!$AB$5:$AB$304,$O93))</f>
        <v/>
      </c>
      <c r="D93" s="75">
        <f>IF($O93="","",INDEX('契約台帳'!$AA$5:$AA$304,$O93))</f>
        <v/>
      </c>
      <c r="E93" s="36">
        <f>IF($O93="","",IF(ISNUMBER(INDEX('契約台帳'!$Z$5:$Z$304,$O93)),"通知期限","満了日"))</f>
        <v/>
      </c>
      <c r="F93" s="36">
        <f>IF($O93="","",INDEX('契約台帳'!$B$5:$B$304,$O93)&amp;"")</f>
        <v/>
      </c>
      <c r="G93" s="39">
        <f>IF($O93="","",INDEX('契約台帳'!$E$5:$E$304,$O93)&amp;"")</f>
        <v/>
      </c>
      <c r="H93" s="39">
        <f>IF($O93="","",INDEX('契約台帳'!$C$5:$C$304,$O93)&amp;"")</f>
        <v/>
      </c>
      <c r="I93" s="39">
        <f>IF($O93="","",INDEX('契約台帳'!$D$5:$D$304,$O93)&amp;"")</f>
        <v/>
      </c>
      <c r="J93" s="36">
        <f>IF($O93="","",INDEX('契約台帳'!$I$5:$I$304,$O93)&amp;"")</f>
        <v/>
      </c>
      <c r="K93" s="75">
        <f>IF($O93="","",INDEX('契約台帳'!$Y$5:$Y$304,$O93))</f>
        <v/>
      </c>
      <c r="L93" s="36">
        <f>IF($O93="","",INDEX('契約台帳'!$T$5:$T$304,$O93)&amp;"")</f>
        <v/>
      </c>
      <c r="M93" s="36">
        <f>IF($O93="","",INDEX('契約台帳'!$S$5:$S$304,$O93)&amp;"")</f>
        <v/>
      </c>
      <c r="N93" s="53" t="n"/>
      <c r="O93" s="76">
        <f>IFERROR(MATCH(SMALL('契約台帳'!$AR$5:$AR$304,89),'契約台帳'!$AR$5:$AR$304,0),"")</f>
        <v/>
      </c>
    </row>
    <row r="94" ht="18" customHeight="1">
      <c r="A94" s="36">
        <f>IF($O94="","",90)</f>
        <v/>
      </c>
      <c r="B94" s="36">
        <f>IF($O94="","",INDEX('契約台帳'!$AC$5:$AC$304,$O94)&amp;"")</f>
        <v/>
      </c>
      <c r="C94" s="74">
        <f>IF($O94="","",INDEX('契約台帳'!$AB$5:$AB$304,$O94))</f>
        <v/>
      </c>
      <c r="D94" s="75">
        <f>IF($O94="","",INDEX('契約台帳'!$AA$5:$AA$304,$O94))</f>
        <v/>
      </c>
      <c r="E94" s="36">
        <f>IF($O94="","",IF(ISNUMBER(INDEX('契約台帳'!$Z$5:$Z$304,$O94)),"通知期限","満了日"))</f>
        <v/>
      </c>
      <c r="F94" s="36">
        <f>IF($O94="","",INDEX('契約台帳'!$B$5:$B$304,$O94)&amp;"")</f>
        <v/>
      </c>
      <c r="G94" s="39">
        <f>IF($O94="","",INDEX('契約台帳'!$E$5:$E$304,$O94)&amp;"")</f>
        <v/>
      </c>
      <c r="H94" s="39">
        <f>IF($O94="","",INDEX('契約台帳'!$C$5:$C$304,$O94)&amp;"")</f>
        <v/>
      </c>
      <c r="I94" s="39">
        <f>IF($O94="","",INDEX('契約台帳'!$D$5:$D$304,$O94)&amp;"")</f>
        <v/>
      </c>
      <c r="J94" s="36">
        <f>IF($O94="","",INDEX('契約台帳'!$I$5:$I$304,$O94)&amp;"")</f>
        <v/>
      </c>
      <c r="K94" s="75">
        <f>IF($O94="","",INDEX('契約台帳'!$Y$5:$Y$304,$O94))</f>
        <v/>
      </c>
      <c r="L94" s="36">
        <f>IF($O94="","",INDEX('契約台帳'!$T$5:$T$304,$O94)&amp;"")</f>
        <v/>
      </c>
      <c r="M94" s="36">
        <f>IF($O94="","",INDEX('契約台帳'!$S$5:$S$304,$O94)&amp;"")</f>
        <v/>
      </c>
      <c r="N94" s="53" t="n"/>
      <c r="O94" s="76">
        <f>IFERROR(MATCH(SMALL('契約台帳'!$AR$5:$AR$304,90),'契約台帳'!$AR$5:$AR$304,0),"")</f>
        <v/>
      </c>
    </row>
    <row r="95" ht="18" customHeight="1">
      <c r="A95" s="36">
        <f>IF($O95="","",91)</f>
        <v/>
      </c>
      <c r="B95" s="36">
        <f>IF($O95="","",INDEX('契約台帳'!$AC$5:$AC$304,$O95)&amp;"")</f>
        <v/>
      </c>
      <c r="C95" s="74">
        <f>IF($O95="","",INDEX('契約台帳'!$AB$5:$AB$304,$O95))</f>
        <v/>
      </c>
      <c r="D95" s="75">
        <f>IF($O95="","",INDEX('契約台帳'!$AA$5:$AA$304,$O95))</f>
        <v/>
      </c>
      <c r="E95" s="36">
        <f>IF($O95="","",IF(ISNUMBER(INDEX('契約台帳'!$Z$5:$Z$304,$O95)),"通知期限","満了日"))</f>
        <v/>
      </c>
      <c r="F95" s="36">
        <f>IF($O95="","",INDEX('契約台帳'!$B$5:$B$304,$O95)&amp;"")</f>
        <v/>
      </c>
      <c r="G95" s="39">
        <f>IF($O95="","",INDEX('契約台帳'!$E$5:$E$304,$O95)&amp;"")</f>
        <v/>
      </c>
      <c r="H95" s="39">
        <f>IF($O95="","",INDEX('契約台帳'!$C$5:$C$304,$O95)&amp;"")</f>
        <v/>
      </c>
      <c r="I95" s="39">
        <f>IF($O95="","",INDEX('契約台帳'!$D$5:$D$304,$O95)&amp;"")</f>
        <v/>
      </c>
      <c r="J95" s="36">
        <f>IF($O95="","",INDEX('契約台帳'!$I$5:$I$304,$O95)&amp;"")</f>
        <v/>
      </c>
      <c r="K95" s="75">
        <f>IF($O95="","",INDEX('契約台帳'!$Y$5:$Y$304,$O95))</f>
        <v/>
      </c>
      <c r="L95" s="36">
        <f>IF($O95="","",INDEX('契約台帳'!$T$5:$T$304,$O95)&amp;"")</f>
        <v/>
      </c>
      <c r="M95" s="36">
        <f>IF($O95="","",INDEX('契約台帳'!$S$5:$S$304,$O95)&amp;"")</f>
        <v/>
      </c>
      <c r="N95" s="53" t="n"/>
      <c r="O95" s="76">
        <f>IFERROR(MATCH(SMALL('契約台帳'!$AR$5:$AR$304,91),'契約台帳'!$AR$5:$AR$304,0),"")</f>
        <v/>
      </c>
    </row>
    <row r="96" ht="18" customHeight="1">
      <c r="A96" s="36">
        <f>IF($O96="","",92)</f>
        <v/>
      </c>
      <c r="B96" s="36">
        <f>IF($O96="","",INDEX('契約台帳'!$AC$5:$AC$304,$O96)&amp;"")</f>
        <v/>
      </c>
      <c r="C96" s="74">
        <f>IF($O96="","",INDEX('契約台帳'!$AB$5:$AB$304,$O96))</f>
        <v/>
      </c>
      <c r="D96" s="75">
        <f>IF($O96="","",INDEX('契約台帳'!$AA$5:$AA$304,$O96))</f>
        <v/>
      </c>
      <c r="E96" s="36">
        <f>IF($O96="","",IF(ISNUMBER(INDEX('契約台帳'!$Z$5:$Z$304,$O96)),"通知期限","満了日"))</f>
        <v/>
      </c>
      <c r="F96" s="36">
        <f>IF($O96="","",INDEX('契約台帳'!$B$5:$B$304,$O96)&amp;"")</f>
        <v/>
      </c>
      <c r="G96" s="39">
        <f>IF($O96="","",INDEX('契約台帳'!$E$5:$E$304,$O96)&amp;"")</f>
        <v/>
      </c>
      <c r="H96" s="39">
        <f>IF($O96="","",INDEX('契約台帳'!$C$5:$C$304,$O96)&amp;"")</f>
        <v/>
      </c>
      <c r="I96" s="39">
        <f>IF($O96="","",INDEX('契約台帳'!$D$5:$D$304,$O96)&amp;"")</f>
        <v/>
      </c>
      <c r="J96" s="36">
        <f>IF($O96="","",INDEX('契約台帳'!$I$5:$I$304,$O96)&amp;"")</f>
        <v/>
      </c>
      <c r="K96" s="75">
        <f>IF($O96="","",INDEX('契約台帳'!$Y$5:$Y$304,$O96))</f>
        <v/>
      </c>
      <c r="L96" s="36">
        <f>IF($O96="","",INDEX('契約台帳'!$T$5:$T$304,$O96)&amp;"")</f>
        <v/>
      </c>
      <c r="M96" s="36">
        <f>IF($O96="","",INDEX('契約台帳'!$S$5:$S$304,$O96)&amp;"")</f>
        <v/>
      </c>
      <c r="N96" s="53" t="n"/>
      <c r="O96" s="76">
        <f>IFERROR(MATCH(SMALL('契約台帳'!$AR$5:$AR$304,92),'契約台帳'!$AR$5:$AR$304,0),"")</f>
        <v/>
      </c>
    </row>
    <row r="97" ht="18" customHeight="1">
      <c r="A97" s="36">
        <f>IF($O97="","",93)</f>
        <v/>
      </c>
      <c r="B97" s="36">
        <f>IF($O97="","",INDEX('契約台帳'!$AC$5:$AC$304,$O97)&amp;"")</f>
        <v/>
      </c>
      <c r="C97" s="74">
        <f>IF($O97="","",INDEX('契約台帳'!$AB$5:$AB$304,$O97))</f>
        <v/>
      </c>
      <c r="D97" s="75">
        <f>IF($O97="","",INDEX('契約台帳'!$AA$5:$AA$304,$O97))</f>
        <v/>
      </c>
      <c r="E97" s="36">
        <f>IF($O97="","",IF(ISNUMBER(INDEX('契約台帳'!$Z$5:$Z$304,$O97)),"通知期限","満了日"))</f>
        <v/>
      </c>
      <c r="F97" s="36">
        <f>IF($O97="","",INDEX('契約台帳'!$B$5:$B$304,$O97)&amp;"")</f>
        <v/>
      </c>
      <c r="G97" s="39">
        <f>IF($O97="","",INDEX('契約台帳'!$E$5:$E$304,$O97)&amp;"")</f>
        <v/>
      </c>
      <c r="H97" s="39">
        <f>IF($O97="","",INDEX('契約台帳'!$C$5:$C$304,$O97)&amp;"")</f>
        <v/>
      </c>
      <c r="I97" s="39">
        <f>IF($O97="","",INDEX('契約台帳'!$D$5:$D$304,$O97)&amp;"")</f>
        <v/>
      </c>
      <c r="J97" s="36">
        <f>IF($O97="","",INDEX('契約台帳'!$I$5:$I$304,$O97)&amp;"")</f>
        <v/>
      </c>
      <c r="K97" s="75">
        <f>IF($O97="","",INDEX('契約台帳'!$Y$5:$Y$304,$O97))</f>
        <v/>
      </c>
      <c r="L97" s="36">
        <f>IF($O97="","",INDEX('契約台帳'!$T$5:$T$304,$O97)&amp;"")</f>
        <v/>
      </c>
      <c r="M97" s="36">
        <f>IF($O97="","",INDEX('契約台帳'!$S$5:$S$304,$O97)&amp;"")</f>
        <v/>
      </c>
      <c r="N97" s="53" t="n"/>
      <c r="O97" s="76">
        <f>IFERROR(MATCH(SMALL('契約台帳'!$AR$5:$AR$304,93),'契約台帳'!$AR$5:$AR$304,0),"")</f>
        <v/>
      </c>
    </row>
    <row r="98" ht="18" customHeight="1">
      <c r="A98" s="36">
        <f>IF($O98="","",94)</f>
        <v/>
      </c>
      <c r="B98" s="36">
        <f>IF($O98="","",INDEX('契約台帳'!$AC$5:$AC$304,$O98)&amp;"")</f>
        <v/>
      </c>
      <c r="C98" s="74">
        <f>IF($O98="","",INDEX('契約台帳'!$AB$5:$AB$304,$O98))</f>
        <v/>
      </c>
      <c r="D98" s="75">
        <f>IF($O98="","",INDEX('契約台帳'!$AA$5:$AA$304,$O98))</f>
        <v/>
      </c>
      <c r="E98" s="36">
        <f>IF($O98="","",IF(ISNUMBER(INDEX('契約台帳'!$Z$5:$Z$304,$O98)),"通知期限","満了日"))</f>
        <v/>
      </c>
      <c r="F98" s="36">
        <f>IF($O98="","",INDEX('契約台帳'!$B$5:$B$304,$O98)&amp;"")</f>
        <v/>
      </c>
      <c r="G98" s="39">
        <f>IF($O98="","",INDEX('契約台帳'!$E$5:$E$304,$O98)&amp;"")</f>
        <v/>
      </c>
      <c r="H98" s="39">
        <f>IF($O98="","",INDEX('契約台帳'!$C$5:$C$304,$O98)&amp;"")</f>
        <v/>
      </c>
      <c r="I98" s="39">
        <f>IF($O98="","",INDEX('契約台帳'!$D$5:$D$304,$O98)&amp;"")</f>
        <v/>
      </c>
      <c r="J98" s="36">
        <f>IF($O98="","",INDEX('契約台帳'!$I$5:$I$304,$O98)&amp;"")</f>
        <v/>
      </c>
      <c r="K98" s="75">
        <f>IF($O98="","",INDEX('契約台帳'!$Y$5:$Y$304,$O98))</f>
        <v/>
      </c>
      <c r="L98" s="36">
        <f>IF($O98="","",INDEX('契約台帳'!$T$5:$T$304,$O98)&amp;"")</f>
        <v/>
      </c>
      <c r="M98" s="36">
        <f>IF($O98="","",INDEX('契約台帳'!$S$5:$S$304,$O98)&amp;"")</f>
        <v/>
      </c>
      <c r="N98" s="53" t="n"/>
      <c r="O98" s="76">
        <f>IFERROR(MATCH(SMALL('契約台帳'!$AR$5:$AR$304,94),'契約台帳'!$AR$5:$AR$304,0),"")</f>
        <v/>
      </c>
    </row>
    <row r="99" ht="18" customHeight="1">
      <c r="A99" s="36">
        <f>IF($O99="","",95)</f>
        <v/>
      </c>
      <c r="B99" s="36">
        <f>IF($O99="","",INDEX('契約台帳'!$AC$5:$AC$304,$O99)&amp;"")</f>
        <v/>
      </c>
      <c r="C99" s="74">
        <f>IF($O99="","",INDEX('契約台帳'!$AB$5:$AB$304,$O99))</f>
        <v/>
      </c>
      <c r="D99" s="75">
        <f>IF($O99="","",INDEX('契約台帳'!$AA$5:$AA$304,$O99))</f>
        <v/>
      </c>
      <c r="E99" s="36">
        <f>IF($O99="","",IF(ISNUMBER(INDEX('契約台帳'!$Z$5:$Z$304,$O99)),"通知期限","満了日"))</f>
        <v/>
      </c>
      <c r="F99" s="36">
        <f>IF($O99="","",INDEX('契約台帳'!$B$5:$B$304,$O99)&amp;"")</f>
        <v/>
      </c>
      <c r="G99" s="39">
        <f>IF($O99="","",INDEX('契約台帳'!$E$5:$E$304,$O99)&amp;"")</f>
        <v/>
      </c>
      <c r="H99" s="39">
        <f>IF($O99="","",INDEX('契約台帳'!$C$5:$C$304,$O99)&amp;"")</f>
        <v/>
      </c>
      <c r="I99" s="39">
        <f>IF($O99="","",INDEX('契約台帳'!$D$5:$D$304,$O99)&amp;"")</f>
        <v/>
      </c>
      <c r="J99" s="36">
        <f>IF($O99="","",INDEX('契約台帳'!$I$5:$I$304,$O99)&amp;"")</f>
        <v/>
      </c>
      <c r="K99" s="75">
        <f>IF($O99="","",INDEX('契約台帳'!$Y$5:$Y$304,$O99))</f>
        <v/>
      </c>
      <c r="L99" s="36">
        <f>IF($O99="","",INDEX('契約台帳'!$T$5:$T$304,$O99)&amp;"")</f>
        <v/>
      </c>
      <c r="M99" s="36">
        <f>IF($O99="","",INDEX('契約台帳'!$S$5:$S$304,$O99)&amp;"")</f>
        <v/>
      </c>
      <c r="N99" s="53" t="n"/>
      <c r="O99" s="76">
        <f>IFERROR(MATCH(SMALL('契約台帳'!$AR$5:$AR$304,95),'契約台帳'!$AR$5:$AR$304,0),"")</f>
        <v/>
      </c>
    </row>
    <row r="100" ht="18" customHeight="1">
      <c r="A100" s="36">
        <f>IF($O100="","",96)</f>
        <v/>
      </c>
      <c r="B100" s="36">
        <f>IF($O100="","",INDEX('契約台帳'!$AC$5:$AC$304,$O100)&amp;"")</f>
        <v/>
      </c>
      <c r="C100" s="74">
        <f>IF($O100="","",INDEX('契約台帳'!$AB$5:$AB$304,$O100))</f>
        <v/>
      </c>
      <c r="D100" s="75">
        <f>IF($O100="","",INDEX('契約台帳'!$AA$5:$AA$304,$O100))</f>
        <v/>
      </c>
      <c r="E100" s="36">
        <f>IF($O100="","",IF(ISNUMBER(INDEX('契約台帳'!$Z$5:$Z$304,$O100)),"通知期限","満了日"))</f>
        <v/>
      </c>
      <c r="F100" s="36">
        <f>IF($O100="","",INDEX('契約台帳'!$B$5:$B$304,$O100)&amp;"")</f>
        <v/>
      </c>
      <c r="G100" s="39">
        <f>IF($O100="","",INDEX('契約台帳'!$E$5:$E$304,$O100)&amp;"")</f>
        <v/>
      </c>
      <c r="H100" s="39">
        <f>IF($O100="","",INDEX('契約台帳'!$C$5:$C$304,$O100)&amp;"")</f>
        <v/>
      </c>
      <c r="I100" s="39">
        <f>IF($O100="","",INDEX('契約台帳'!$D$5:$D$304,$O100)&amp;"")</f>
        <v/>
      </c>
      <c r="J100" s="36">
        <f>IF($O100="","",INDEX('契約台帳'!$I$5:$I$304,$O100)&amp;"")</f>
        <v/>
      </c>
      <c r="K100" s="75">
        <f>IF($O100="","",INDEX('契約台帳'!$Y$5:$Y$304,$O100))</f>
        <v/>
      </c>
      <c r="L100" s="36">
        <f>IF($O100="","",INDEX('契約台帳'!$T$5:$T$304,$O100)&amp;"")</f>
        <v/>
      </c>
      <c r="M100" s="36">
        <f>IF($O100="","",INDEX('契約台帳'!$S$5:$S$304,$O100)&amp;"")</f>
        <v/>
      </c>
      <c r="N100" s="53" t="n"/>
      <c r="O100" s="76">
        <f>IFERROR(MATCH(SMALL('契約台帳'!$AR$5:$AR$304,96),'契約台帳'!$AR$5:$AR$304,0),"")</f>
        <v/>
      </c>
    </row>
    <row r="101" ht="18" customHeight="1">
      <c r="A101" s="36">
        <f>IF($O101="","",97)</f>
        <v/>
      </c>
      <c r="B101" s="36">
        <f>IF($O101="","",INDEX('契約台帳'!$AC$5:$AC$304,$O101)&amp;"")</f>
        <v/>
      </c>
      <c r="C101" s="74">
        <f>IF($O101="","",INDEX('契約台帳'!$AB$5:$AB$304,$O101))</f>
        <v/>
      </c>
      <c r="D101" s="75">
        <f>IF($O101="","",INDEX('契約台帳'!$AA$5:$AA$304,$O101))</f>
        <v/>
      </c>
      <c r="E101" s="36">
        <f>IF($O101="","",IF(ISNUMBER(INDEX('契約台帳'!$Z$5:$Z$304,$O101)),"通知期限","満了日"))</f>
        <v/>
      </c>
      <c r="F101" s="36">
        <f>IF($O101="","",INDEX('契約台帳'!$B$5:$B$304,$O101)&amp;"")</f>
        <v/>
      </c>
      <c r="G101" s="39">
        <f>IF($O101="","",INDEX('契約台帳'!$E$5:$E$304,$O101)&amp;"")</f>
        <v/>
      </c>
      <c r="H101" s="39">
        <f>IF($O101="","",INDEX('契約台帳'!$C$5:$C$304,$O101)&amp;"")</f>
        <v/>
      </c>
      <c r="I101" s="39">
        <f>IF($O101="","",INDEX('契約台帳'!$D$5:$D$304,$O101)&amp;"")</f>
        <v/>
      </c>
      <c r="J101" s="36">
        <f>IF($O101="","",INDEX('契約台帳'!$I$5:$I$304,$O101)&amp;"")</f>
        <v/>
      </c>
      <c r="K101" s="75">
        <f>IF($O101="","",INDEX('契約台帳'!$Y$5:$Y$304,$O101))</f>
        <v/>
      </c>
      <c r="L101" s="36">
        <f>IF($O101="","",INDEX('契約台帳'!$T$5:$T$304,$O101)&amp;"")</f>
        <v/>
      </c>
      <c r="M101" s="36">
        <f>IF($O101="","",INDEX('契約台帳'!$S$5:$S$304,$O101)&amp;"")</f>
        <v/>
      </c>
      <c r="N101" s="53" t="n"/>
      <c r="O101" s="76">
        <f>IFERROR(MATCH(SMALL('契約台帳'!$AR$5:$AR$304,97),'契約台帳'!$AR$5:$AR$304,0),"")</f>
        <v/>
      </c>
    </row>
    <row r="102" ht="18" customHeight="1">
      <c r="A102" s="36">
        <f>IF($O102="","",98)</f>
        <v/>
      </c>
      <c r="B102" s="36">
        <f>IF($O102="","",INDEX('契約台帳'!$AC$5:$AC$304,$O102)&amp;"")</f>
        <v/>
      </c>
      <c r="C102" s="74">
        <f>IF($O102="","",INDEX('契約台帳'!$AB$5:$AB$304,$O102))</f>
        <v/>
      </c>
      <c r="D102" s="75">
        <f>IF($O102="","",INDEX('契約台帳'!$AA$5:$AA$304,$O102))</f>
        <v/>
      </c>
      <c r="E102" s="36">
        <f>IF($O102="","",IF(ISNUMBER(INDEX('契約台帳'!$Z$5:$Z$304,$O102)),"通知期限","満了日"))</f>
        <v/>
      </c>
      <c r="F102" s="36">
        <f>IF($O102="","",INDEX('契約台帳'!$B$5:$B$304,$O102)&amp;"")</f>
        <v/>
      </c>
      <c r="G102" s="39">
        <f>IF($O102="","",INDEX('契約台帳'!$E$5:$E$304,$O102)&amp;"")</f>
        <v/>
      </c>
      <c r="H102" s="39">
        <f>IF($O102="","",INDEX('契約台帳'!$C$5:$C$304,$O102)&amp;"")</f>
        <v/>
      </c>
      <c r="I102" s="39">
        <f>IF($O102="","",INDEX('契約台帳'!$D$5:$D$304,$O102)&amp;"")</f>
        <v/>
      </c>
      <c r="J102" s="36">
        <f>IF($O102="","",INDEX('契約台帳'!$I$5:$I$304,$O102)&amp;"")</f>
        <v/>
      </c>
      <c r="K102" s="75">
        <f>IF($O102="","",INDEX('契約台帳'!$Y$5:$Y$304,$O102))</f>
        <v/>
      </c>
      <c r="L102" s="36">
        <f>IF($O102="","",INDEX('契約台帳'!$T$5:$T$304,$O102)&amp;"")</f>
        <v/>
      </c>
      <c r="M102" s="36">
        <f>IF($O102="","",INDEX('契約台帳'!$S$5:$S$304,$O102)&amp;"")</f>
        <v/>
      </c>
      <c r="N102" s="53" t="n"/>
      <c r="O102" s="76">
        <f>IFERROR(MATCH(SMALL('契約台帳'!$AR$5:$AR$304,98),'契約台帳'!$AR$5:$AR$304,0),"")</f>
        <v/>
      </c>
    </row>
    <row r="103" ht="18" customHeight="1">
      <c r="A103" s="36">
        <f>IF($O103="","",99)</f>
        <v/>
      </c>
      <c r="B103" s="36">
        <f>IF($O103="","",INDEX('契約台帳'!$AC$5:$AC$304,$O103)&amp;"")</f>
        <v/>
      </c>
      <c r="C103" s="74">
        <f>IF($O103="","",INDEX('契約台帳'!$AB$5:$AB$304,$O103))</f>
        <v/>
      </c>
      <c r="D103" s="75">
        <f>IF($O103="","",INDEX('契約台帳'!$AA$5:$AA$304,$O103))</f>
        <v/>
      </c>
      <c r="E103" s="36">
        <f>IF($O103="","",IF(ISNUMBER(INDEX('契約台帳'!$Z$5:$Z$304,$O103)),"通知期限","満了日"))</f>
        <v/>
      </c>
      <c r="F103" s="36">
        <f>IF($O103="","",INDEX('契約台帳'!$B$5:$B$304,$O103)&amp;"")</f>
        <v/>
      </c>
      <c r="G103" s="39">
        <f>IF($O103="","",INDEX('契約台帳'!$E$5:$E$304,$O103)&amp;"")</f>
        <v/>
      </c>
      <c r="H103" s="39">
        <f>IF($O103="","",INDEX('契約台帳'!$C$5:$C$304,$O103)&amp;"")</f>
        <v/>
      </c>
      <c r="I103" s="39">
        <f>IF($O103="","",INDEX('契約台帳'!$D$5:$D$304,$O103)&amp;"")</f>
        <v/>
      </c>
      <c r="J103" s="36">
        <f>IF($O103="","",INDEX('契約台帳'!$I$5:$I$304,$O103)&amp;"")</f>
        <v/>
      </c>
      <c r="K103" s="75">
        <f>IF($O103="","",INDEX('契約台帳'!$Y$5:$Y$304,$O103))</f>
        <v/>
      </c>
      <c r="L103" s="36">
        <f>IF($O103="","",INDEX('契約台帳'!$T$5:$T$304,$O103)&amp;"")</f>
        <v/>
      </c>
      <c r="M103" s="36">
        <f>IF($O103="","",INDEX('契約台帳'!$S$5:$S$304,$O103)&amp;"")</f>
        <v/>
      </c>
      <c r="N103" s="53" t="n"/>
      <c r="O103" s="76">
        <f>IFERROR(MATCH(SMALL('契約台帳'!$AR$5:$AR$304,99),'契約台帳'!$AR$5:$AR$304,0),"")</f>
        <v/>
      </c>
    </row>
    <row r="104" ht="18" customHeight="1">
      <c r="A104" s="36">
        <f>IF($O104="","",100)</f>
        <v/>
      </c>
      <c r="B104" s="36">
        <f>IF($O104="","",INDEX('契約台帳'!$AC$5:$AC$304,$O104)&amp;"")</f>
        <v/>
      </c>
      <c r="C104" s="74">
        <f>IF($O104="","",INDEX('契約台帳'!$AB$5:$AB$304,$O104))</f>
        <v/>
      </c>
      <c r="D104" s="75">
        <f>IF($O104="","",INDEX('契約台帳'!$AA$5:$AA$304,$O104))</f>
        <v/>
      </c>
      <c r="E104" s="36">
        <f>IF($O104="","",IF(ISNUMBER(INDEX('契約台帳'!$Z$5:$Z$304,$O104)),"通知期限","満了日"))</f>
        <v/>
      </c>
      <c r="F104" s="36">
        <f>IF($O104="","",INDEX('契約台帳'!$B$5:$B$304,$O104)&amp;"")</f>
        <v/>
      </c>
      <c r="G104" s="39">
        <f>IF($O104="","",INDEX('契約台帳'!$E$5:$E$304,$O104)&amp;"")</f>
        <v/>
      </c>
      <c r="H104" s="39">
        <f>IF($O104="","",INDEX('契約台帳'!$C$5:$C$304,$O104)&amp;"")</f>
        <v/>
      </c>
      <c r="I104" s="39">
        <f>IF($O104="","",INDEX('契約台帳'!$D$5:$D$304,$O104)&amp;"")</f>
        <v/>
      </c>
      <c r="J104" s="36">
        <f>IF($O104="","",INDEX('契約台帳'!$I$5:$I$304,$O104)&amp;"")</f>
        <v/>
      </c>
      <c r="K104" s="75">
        <f>IF($O104="","",INDEX('契約台帳'!$Y$5:$Y$304,$O104))</f>
        <v/>
      </c>
      <c r="L104" s="36">
        <f>IF($O104="","",INDEX('契約台帳'!$T$5:$T$304,$O104)&amp;"")</f>
        <v/>
      </c>
      <c r="M104" s="36">
        <f>IF($O104="","",INDEX('契約台帳'!$S$5:$S$304,$O104)&amp;"")</f>
        <v/>
      </c>
      <c r="N104" s="53" t="n"/>
      <c r="O104" s="76">
        <f>IFERROR(MATCH(SMALL('契約台帳'!$AR$5:$AR$304,100),'契約台帳'!$AR$5:$AR$304,0),"")</f>
        <v/>
      </c>
    </row>
  </sheetData>
  <mergeCells count="4">
    <mergeCell ref="A3:M3"/>
    <mergeCell ref="F2:M2"/>
    <mergeCell ref="A2:B2"/>
    <mergeCell ref="A1:M1"/>
  </mergeCells>
  <conditionalFormatting sqref="A5:M104">
    <cfRule type="expression" priority="1" dxfId="0">
      <formula>$B5="通知期限切れ"</formula>
    </cfRule>
    <cfRule type="expression" priority="2" dxfId="1">
      <formula>$B5="要対応"</formula>
    </cfRule>
    <cfRule type="expression" priority="3" dxfId="2">
      <formula>$B5="確認済み"</formula>
    </cfRule>
  </conditionalFormatting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F127"/>
  <sheetViews>
    <sheetView showGridLines="0" tabSelected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  <col width="30" customWidth="1" min="6" max="6"/>
  </cols>
  <sheetData>
    <row r="1" ht="26" customHeight="1">
      <c r="A1" s="52" t="inlineStr">
        <is>
          <t>集計（契約書管理台帳）（記入例）</t>
        </is>
      </c>
      <c r="B1" s="53" t="n"/>
      <c r="C1" s="53" t="n"/>
      <c r="D1" s="53" t="n"/>
      <c r="E1" s="53" t="n"/>
      <c r="F1" s="53" t="n"/>
    </row>
    <row r="2" ht="18" customHeight="1">
      <c r="A2" s="56" t="inlineStr">
        <is>
          <t>すべて自動で出ます（入力はありません）。契約台帳と設定から計算します。</t>
        </is>
      </c>
      <c r="B2" s="53" t="n"/>
      <c r="C2" s="53" t="n"/>
      <c r="D2" s="53" t="n"/>
      <c r="E2" s="53" t="n"/>
      <c r="F2" s="53" t="n"/>
    </row>
    <row r="3" ht="18" customHeight="1">
      <c r="A3" s="63" t="inlineStr">
        <is>
          <t>会社名</t>
        </is>
      </c>
      <c r="B3" s="41">
        <f>IF('設定'!$B$4="","",'設定'!$B$4)</f>
        <v/>
      </c>
      <c r="C3" s="64" t="n"/>
      <c r="D3" s="65" t="n"/>
      <c r="E3" s="53" t="n"/>
      <c r="F3" s="53" t="n"/>
    </row>
    <row r="4" ht="18" customHeight="1">
      <c r="A4" s="63" t="inlineStr">
        <is>
          <t>基準日</t>
        </is>
      </c>
      <c r="B4" s="59">
        <f>'設定'!$B$6</f>
        <v/>
      </c>
      <c r="C4" s="53" t="n"/>
      <c r="D4" s="53" t="n"/>
      <c r="E4" s="53" t="n"/>
      <c r="F4" s="53" t="n"/>
    </row>
    <row r="5" ht="18" customHeight="1">
      <c r="A5" s="63" t="inlineStr">
        <is>
          <t>注意日数</t>
        </is>
      </c>
      <c r="B5" s="41">
        <f>N('設定'!$B$7)&amp;"日"</f>
        <v/>
      </c>
      <c r="C5" s="53" t="n"/>
      <c r="D5" s="53" t="n"/>
      <c r="E5" s="53" t="n"/>
      <c r="F5" s="53" t="n"/>
    </row>
    <row r="6">
      <c r="A6" s="53" t="n"/>
      <c r="B6" s="53" t="n"/>
      <c r="C6" s="53" t="n"/>
      <c r="D6" s="53" t="n"/>
      <c r="E6" s="53" t="n"/>
      <c r="F6" s="53" t="n"/>
    </row>
    <row r="7" ht="20" customHeight="1">
      <c r="A7" s="60" t="inlineStr">
        <is>
          <t>状態ごとの件数</t>
        </is>
      </c>
      <c r="B7" s="61" t="n"/>
      <c r="C7" s="61" t="n"/>
      <c r="D7" s="61" t="n"/>
      <c r="E7" s="61" t="n"/>
      <c r="F7" s="61" t="n"/>
    </row>
    <row r="8" ht="18" customHeight="1">
      <c r="A8" s="63" t="inlineStr">
        <is>
          <t>登録した契約</t>
        </is>
      </c>
      <c r="B8" s="77">
        <f>COUNTIF('契約台帳'!$AC$5:$AC$304,"?*")</f>
        <v/>
      </c>
      <c r="C8" s="56" t="inlineStr">
        <is>
          <t>管理番号か契約書の名称を入れた行</t>
        </is>
      </c>
      <c r="D8" s="53" t="n"/>
      <c r="E8" s="53" t="n"/>
      <c r="F8" s="53" t="n"/>
    </row>
    <row r="9" ht="18" customHeight="1">
      <c r="A9" s="63" t="inlineStr">
        <is>
          <t>要対応</t>
        </is>
      </c>
      <c r="B9" s="77">
        <f>COUNTIF('契約台帳'!$AC$5:$AC$304,"要対応")</f>
        <v/>
      </c>
      <c r="C9" s="56" t="inlineStr">
        <is>
          <t>判断の期限まで注意日数以内</t>
        </is>
      </c>
      <c r="D9" s="53" t="n"/>
      <c r="E9" s="53" t="n"/>
      <c r="F9" s="53" t="n"/>
    </row>
    <row r="10" ht="18" customHeight="1">
      <c r="A10" s="63" t="inlineStr">
        <is>
          <t>通知期限切れ</t>
        </is>
      </c>
      <c r="B10" s="77">
        <f>COUNTIF('契約台帳'!$AC$5:$AC$304,"通知期限切れ")</f>
        <v/>
      </c>
      <c r="C10" s="56" t="inlineStr">
        <is>
          <t>今の期間の通知期限を過ぎた</t>
        </is>
      </c>
      <c r="D10" s="53" t="n"/>
      <c r="E10" s="53" t="n"/>
      <c r="F10" s="53" t="n"/>
    </row>
    <row r="11" ht="18" customHeight="1">
      <c r="A11" s="63" t="inlineStr">
        <is>
          <t>確認済み</t>
        </is>
      </c>
      <c r="B11" s="77">
        <f>COUNTIF('契約台帳'!$AC$5:$AC$304,"確認済み")</f>
        <v/>
      </c>
      <c r="C11" s="56" t="inlineStr">
        <is>
          <t>今の期間のうちに「更新する」と決めた</t>
        </is>
      </c>
      <c r="D11" s="53" t="n"/>
      <c r="E11" s="53" t="n"/>
      <c r="F11" s="53" t="n"/>
    </row>
    <row r="12" ht="18" customHeight="1">
      <c r="A12" s="63" t="inlineStr">
        <is>
          <t>有効</t>
        </is>
      </c>
      <c r="B12" s="77">
        <f>COUNTIF('契約台帳'!$AC$5:$AC$304,"有効")</f>
        <v/>
      </c>
      <c r="C12" s="56" t="inlineStr">
        <is>
          <t>期限まで注意日数より先、または期間の定めなし</t>
        </is>
      </c>
      <c r="D12" s="53" t="n"/>
      <c r="E12" s="53" t="n"/>
      <c r="F12" s="53" t="n"/>
    </row>
    <row r="13" ht="18" customHeight="1">
      <c r="A13" s="63" t="inlineStr">
        <is>
          <t>終了予定</t>
        </is>
      </c>
      <c r="B13" s="77">
        <f>COUNTIF('契約台帳'!$AC$5:$AC$304,"終了予定")</f>
        <v/>
      </c>
      <c r="C13" s="53" t="n"/>
      <c r="D13" s="53" t="n"/>
      <c r="E13" s="53" t="n"/>
      <c r="F13" s="53" t="n"/>
    </row>
    <row r="14" ht="18" customHeight="1">
      <c r="A14" s="63" t="inlineStr">
        <is>
          <t>終了</t>
        </is>
      </c>
      <c r="B14" s="77">
        <f>COUNTIF('契約台帳'!$AC$5:$AC$304,"終了")</f>
        <v/>
      </c>
      <c r="C14" s="53" t="n"/>
      <c r="D14" s="53" t="n"/>
      <c r="E14" s="53" t="n"/>
      <c r="F14" s="53" t="n"/>
    </row>
    <row r="15" ht="18" customHeight="1">
      <c r="A15" s="63" t="inlineStr">
        <is>
          <t>満了</t>
        </is>
      </c>
      <c r="B15" s="77">
        <f>COUNTIF('契約台帳'!$AC$5:$AC$304,"満了")</f>
        <v/>
      </c>
      <c r="C15" s="56" t="inlineStr">
        <is>
          <t>自動更新なしで満了日を過ぎた</t>
        </is>
      </c>
      <c r="D15" s="53" t="n"/>
      <c r="E15" s="53" t="n"/>
      <c r="F15" s="53" t="n"/>
    </row>
    <row r="16">
      <c r="A16" s="53" t="n"/>
      <c r="B16" s="53" t="n"/>
      <c r="C16" s="53" t="n"/>
      <c r="D16" s="53" t="n"/>
      <c r="E16" s="53" t="n"/>
      <c r="F16" s="53" t="n"/>
    </row>
    <row r="17" ht="20" customHeight="1">
      <c r="A17" s="60" t="inlineStr">
        <is>
          <t>続いている契約（要対応・通知期限切れ・確認済み・有効・終了予定）</t>
        </is>
      </c>
      <c r="B17" s="61" t="n"/>
      <c r="C17" s="61" t="n"/>
      <c r="D17" s="61" t="n"/>
      <c r="E17" s="61" t="n"/>
      <c r="F17" s="61" t="n"/>
    </row>
    <row r="18" ht="18" customHeight="1">
      <c r="A18" s="63" t="inlineStr">
        <is>
          <t>続いている契約</t>
        </is>
      </c>
      <c r="B18" s="77">
        <f>SUM('契約台帳'!$AP$5:$AP$304)</f>
        <v/>
      </c>
      <c r="C18" s="53" t="n"/>
      <c r="D18" s="53" t="n"/>
      <c r="E18" s="53" t="n"/>
      <c r="F18" s="53" t="n"/>
    </row>
    <row r="19" ht="18" customHeight="1">
      <c r="A19" s="63" t="inlineStr">
        <is>
          <t>うち自動更新あり</t>
        </is>
      </c>
      <c r="B19" s="77">
        <f>SUMIFS('契約台帳'!$AP$5:$AP$304,'契約台帳'!$I$5:$I$304,"あり")</f>
        <v/>
      </c>
      <c r="C19" s="53" t="n"/>
      <c r="D19" s="53" t="n"/>
      <c r="E19" s="53" t="n"/>
      <c r="F19" s="53" t="n"/>
    </row>
    <row r="20" ht="18" customHeight="1">
      <c r="A20" s="63" t="inlineStr">
        <is>
          <t>うち紙の契約</t>
        </is>
      </c>
      <c r="B20" s="77">
        <f>SUMIFS('契約台帳'!$AP$5:$AP$304,'契約台帳'!$Q$5:$Q$304,"紙")</f>
        <v/>
      </c>
      <c r="C20" s="53" t="n"/>
      <c r="D20" s="53" t="n"/>
      <c r="E20" s="53" t="n"/>
      <c r="F20" s="53" t="n"/>
    </row>
    <row r="21" ht="18" customHeight="1">
      <c r="A21" s="63" t="inlineStr">
        <is>
          <t>うち電子の契約</t>
        </is>
      </c>
      <c r="B21" s="77">
        <f>SUMIFS('契約台帳'!$AP$5:$AP$304,'契約台帳'!$Q$5:$Q$304,"電子")</f>
        <v/>
      </c>
      <c r="C21" s="56" t="inlineStr">
        <is>
          <t>電子取引のデータとして電子のまま保存する</t>
        </is>
      </c>
      <c r="D21" s="53" t="n"/>
      <c r="E21" s="53" t="n"/>
      <c r="F21" s="53" t="n"/>
    </row>
    <row r="22" ht="18" customHeight="1">
      <c r="A22" s="63" t="inlineStr">
        <is>
          <t>年換算額の合計（円）</t>
        </is>
      </c>
      <c r="B22" s="70">
        <f>SUMIFS('契約台帳'!$AE$5:$AE$304,'契約台帳'!$AP$5:$AP$304,1)</f>
        <v/>
      </c>
      <c r="C22" s="56" t="inlineStr">
        <is>
          <t>月額×12 と年額の合計。総額・単価の契約は入らない</t>
        </is>
      </c>
      <c r="D22" s="53" t="n"/>
      <c r="E22" s="53" t="n"/>
      <c r="F22" s="53" t="n"/>
    </row>
    <row r="23" ht="18" customHeight="1">
      <c r="A23" s="63" t="inlineStr">
        <is>
          <t xml:space="preserve">　うち月額の契約（×12）</t>
        </is>
      </c>
      <c r="B23" s="70">
        <f>SUMIFS('契約台帳'!$AE$5:$AE$304,'契約台帳'!$AP$5:$AP$304,1,'契約台帳'!$P$5:$P$304,"月額")</f>
        <v/>
      </c>
      <c r="C23" s="53" t="n"/>
      <c r="D23" s="53" t="n"/>
      <c r="E23" s="53" t="n"/>
      <c r="F23" s="53" t="n"/>
    </row>
    <row r="24" ht="18" customHeight="1">
      <c r="A24" s="63" t="inlineStr">
        <is>
          <t xml:space="preserve">　うち年額の契約</t>
        </is>
      </c>
      <c r="B24" s="70">
        <f>SUMIFS('契約台帳'!$AE$5:$AE$304,'契約台帳'!$AP$5:$AP$304,1,'契約台帳'!$P$5:$P$304,"年額")</f>
        <v/>
      </c>
      <c r="C24" s="53" t="n"/>
      <c r="D24" s="53" t="n"/>
      <c r="E24" s="53" t="n"/>
      <c r="F24" s="53" t="n"/>
    </row>
    <row r="25" ht="18" customHeight="1">
      <c r="A25" s="63" t="inlineStr">
        <is>
          <t>保存期限を過ぎた契約書</t>
        </is>
      </c>
      <c r="B25" s="77">
        <f>COUNTIFS('契約台帳'!$W$5:$W$304,"&lt;"&amp;'設定'!$B$6)</f>
        <v/>
      </c>
      <c r="C25" s="56" t="inlineStr">
        <is>
          <t>廃棄してよいかを自社の決まりで確かめる</t>
        </is>
      </c>
      <c r="D25" s="53" t="n"/>
      <c r="E25" s="53" t="n"/>
      <c r="F25" s="53" t="n"/>
    </row>
    <row r="26">
      <c r="A26" s="53" t="n"/>
      <c r="B26" s="53" t="n"/>
      <c r="C26" s="53" t="n"/>
      <c r="D26" s="53" t="n"/>
      <c r="E26" s="53" t="n"/>
      <c r="F26" s="53" t="n"/>
    </row>
    <row r="27" ht="20" customHeight="1">
      <c r="A27" s="60" t="inlineStr">
        <is>
          <t>種類別</t>
        </is>
      </c>
      <c r="B27" s="61" t="n"/>
      <c r="C27" s="61" t="n"/>
      <c r="D27" s="61" t="n"/>
      <c r="E27" s="61" t="n"/>
      <c r="F27" s="61" t="n"/>
    </row>
    <row r="28">
      <c r="A28" s="17" t="inlineStr">
        <is>
          <t>種類</t>
        </is>
      </c>
      <c r="B28" s="17" t="inlineStr">
        <is>
          <t>登録</t>
        </is>
      </c>
      <c r="C28" s="17" t="inlineStr">
        <is>
          <t>続いている</t>
        </is>
      </c>
      <c r="D28" s="17" t="inlineStr">
        <is>
          <t>要対応・期限切れ</t>
        </is>
      </c>
      <c r="E28" s="17" t="inlineStr">
        <is>
          <t>年換算額（円）</t>
        </is>
      </c>
      <c r="F28" s="53" t="n"/>
    </row>
    <row r="29" ht="16" customHeight="1">
      <c r="A29" s="44">
        <f>IF('設定'!$B$10="","",'設定'!$B$10)</f>
        <v/>
      </c>
      <c r="B29" s="45">
        <f>IF($A29="","",COUNTIF('契約台帳'!$D$5:$D$304,$A29))</f>
        <v/>
      </c>
      <c r="C29" s="45">
        <f>IF($A29="","",SUMIFS('契約台帳'!$AP$5:$AP$304,'契約台帳'!$D$5:$D$304,$A29))</f>
        <v/>
      </c>
      <c r="D29" s="45">
        <f>IF($A29="","",SUMIFS('契約台帳'!$AQ$5:$AQ$304,'契約台帳'!$D$5:$D$304,$A29))</f>
        <v/>
      </c>
      <c r="E29" s="70">
        <f>IF($A29="","",SUMIFS('契約台帳'!$AE$5:$AE$304,'契約台帳'!$D$5:$D$304,$A29,'契約台帳'!$AP$5:$AP$304,1))</f>
        <v/>
      </c>
      <c r="F29" s="53" t="n"/>
    </row>
    <row r="30" ht="16" customHeight="1">
      <c r="A30" s="44">
        <f>IF('設定'!$B$11="","",'設定'!$B$11)</f>
        <v/>
      </c>
      <c r="B30" s="45">
        <f>IF($A30="","",COUNTIF('契約台帳'!$D$5:$D$304,$A30))</f>
        <v/>
      </c>
      <c r="C30" s="45">
        <f>IF($A30="","",SUMIFS('契約台帳'!$AP$5:$AP$304,'契約台帳'!$D$5:$D$304,$A30))</f>
        <v/>
      </c>
      <c r="D30" s="45">
        <f>IF($A30="","",SUMIFS('契約台帳'!$AQ$5:$AQ$304,'契約台帳'!$D$5:$D$304,$A30))</f>
        <v/>
      </c>
      <c r="E30" s="70">
        <f>IF($A30="","",SUMIFS('契約台帳'!$AE$5:$AE$304,'契約台帳'!$D$5:$D$304,$A30,'契約台帳'!$AP$5:$AP$304,1))</f>
        <v/>
      </c>
      <c r="F30" s="53" t="n"/>
    </row>
    <row r="31" ht="16" customHeight="1">
      <c r="A31" s="44">
        <f>IF('設定'!$B$12="","",'設定'!$B$12)</f>
        <v/>
      </c>
      <c r="B31" s="45">
        <f>IF($A31="","",COUNTIF('契約台帳'!$D$5:$D$304,$A31))</f>
        <v/>
      </c>
      <c r="C31" s="45">
        <f>IF($A31="","",SUMIFS('契約台帳'!$AP$5:$AP$304,'契約台帳'!$D$5:$D$304,$A31))</f>
        <v/>
      </c>
      <c r="D31" s="45">
        <f>IF($A31="","",SUMIFS('契約台帳'!$AQ$5:$AQ$304,'契約台帳'!$D$5:$D$304,$A31))</f>
        <v/>
      </c>
      <c r="E31" s="70">
        <f>IF($A31="","",SUMIFS('契約台帳'!$AE$5:$AE$304,'契約台帳'!$D$5:$D$304,$A31,'契約台帳'!$AP$5:$AP$304,1))</f>
        <v/>
      </c>
      <c r="F31" s="53" t="n"/>
    </row>
    <row r="32" ht="16" customHeight="1">
      <c r="A32" s="44">
        <f>IF('設定'!$B$13="","",'設定'!$B$13)</f>
        <v/>
      </c>
      <c r="B32" s="45">
        <f>IF($A32="","",COUNTIF('契約台帳'!$D$5:$D$304,$A32))</f>
        <v/>
      </c>
      <c r="C32" s="45">
        <f>IF($A32="","",SUMIFS('契約台帳'!$AP$5:$AP$304,'契約台帳'!$D$5:$D$304,$A32))</f>
        <v/>
      </c>
      <c r="D32" s="45">
        <f>IF($A32="","",SUMIFS('契約台帳'!$AQ$5:$AQ$304,'契約台帳'!$D$5:$D$304,$A32))</f>
        <v/>
      </c>
      <c r="E32" s="70">
        <f>IF($A32="","",SUMIFS('契約台帳'!$AE$5:$AE$304,'契約台帳'!$D$5:$D$304,$A32,'契約台帳'!$AP$5:$AP$304,1))</f>
        <v/>
      </c>
      <c r="F32" s="53" t="n"/>
    </row>
    <row r="33" ht="16" customHeight="1">
      <c r="A33" s="44">
        <f>IF('設定'!$B$14="","",'設定'!$B$14)</f>
        <v/>
      </c>
      <c r="B33" s="45">
        <f>IF($A33="","",COUNTIF('契約台帳'!$D$5:$D$304,$A33))</f>
        <v/>
      </c>
      <c r="C33" s="45">
        <f>IF($A33="","",SUMIFS('契約台帳'!$AP$5:$AP$304,'契約台帳'!$D$5:$D$304,$A33))</f>
        <v/>
      </c>
      <c r="D33" s="45">
        <f>IF($A33="","",SUMIFS('契約台帳'!$AQ$5:$AQ$304,'契約台帳'!$D$5:$D$304,$A33))</f>
        <v/>
      </c>
      <c r="E33" s="70">
        <f>IF($A33="","",SUMIFS('契約台帳'!$AE$5:$AE$304,'契約台帳'!$D$5:$D$304,$A33,'契約台帳'!$AP$5:$AP$304,1))</f>
        <v/>
      </c>
      <c r="F33" s="53" t="n"/>
    </row>
    <row r="34" ht="16" customHeight="1">
      <c r="A34" s="44">
        <f>IF('設定'!$B$15="","",'設定'!$B$15)</f>
        <v/>
      </c>
      <c r="B34" s="45">
        <f>IF($A34="","",COUNTIF('契約台帳'!$D$5:$D$304,$A34))</f>
        <v/>
      </c>
      <c r="C34" s="45">
        <f>IF($A34="","",SUMIFS('契約台帳'!$AP$5:$AP$304,'契約台帳'!$D$5:$D$304,$A34))</f>
        <v/>
      </c>
      <c r="D34" s="45">
        <f>IF($A34="","",SUMIFS('契約台帳'!$AQ$5:$AQ$304,'契約台帳'!$D$5:$D$304,$A34))</f>
        <v/>
      </c>
      <c r="E34" s="70">
        <f>IF($A34="","",SUMIFS('契約台帳'!$AE$5:$AE$304,'契約台帳'!$D$5:$D$304,$A34,'契約台帳'!$AP$5:$AP$304,1))</f>
        <v/>
      </c>
      <c r="F34" s="53" t="n"/>
    </row>
    <row r="35" ht="16" customHeight="1">
      <c r="A35" s="44">
        <f>IF('設定'!$B$16="","",'設定'!$B$16)</f>
        <v/>
      </c>
      <c r="B35" s="45">
        <f>IF($A35="","",COUNTIF('契約台帳'!$D$5:$D$304,$A35))</f>
        <v/>
      </c>
      <c r="C35" s="45">
        <f>IF($A35="","",SUMIFS('契約台帳'!$AP$5:$AP$304,'契約台帳'!$D$5:$D$304,$A35))</f>
        <v/>
      </c>
      <c r="D35" s="45">
        <f>IF($A35="","",SUMIFS('契約台帳'!$AQ$5:$AQ$304,'契約台帳'!$D$5:$D$304,$A35))</f>
        <v/>
      </c>
      <c r="E35" s="70">
        <f>IF($A35="","",SUMIFS('契約台帳'!$AE$5:$AE$304,'契約台帳'!$D$5:$D$304,$A35,'契約台帳'!$AP$5:$AP$304,1))</f>
        <v/>
      </c>
      <c r="F35" s="53" t="n"/>
    </row>
    <row r="36" ht="16" customHeight="1">
      <c r="A36" s="44">
        <f>IF('設定'!$B$17="","",'設定'!$B$17)</f>
        <v/>
      </c>
      <c r="B36" s="45">
        <f>IF($A36="","",COUNTIF('契約台帳'!$D$5:$D$304,$A36))</f>
        <v/>
      </c>
      <c r="C36" s="45">
        <f>IF($A36="","",SUMIFS('契約台帳'!$AP$5:$AP$304,'契約台帳'!$D$5:$D$304,$A36))</f>
        <v/>
      </c>
      <c r="D36" s="45">
        <f>IF($A36="","",SUMIFS('契約台帳'!$AQ$5:$AQ$304,'契約台帳'!$D$5:$D$304,$A36))</f>
        <v/>
      </c>
      <c r="E36" s="70">
        <f>IF($A36="","",SUMIFS('契約台帳'!$AE$5:$AE$304,'契約台帳'!$D$5:$D$304,$A36,'契約台帳'!$AP$5:$AP$304,1))</f>
        <v/>
      </c>
      <c r="F36" s="53" t="n"/>
    </row>
    <row r="37" ht="16" customHeight="1">
      <c r="A37" s="44">
        <f>IF('設定'!$B$18="","",'設定'!$B$18)</f>
        <v/>
      </c>
      <c r="B37" s="45">
        <f>IF($A37="","",COUNTIF('契約台帳'!$D$5:$D$304,$A37))</f>
        <v/>
      </c>
      <c r="C37" s="45">
        <f>IF($A37="","",SUMIFS('契約台帳'!$AP$5:$AP$304,'契約台帳'!$D$5:$D$304,$A37))</f>
        <v/>
      </c>
      <c r="D37" s="45">
        <f>IF($A37="","",SUMIFS('契約台帳'!$AQ$5:$AQ$304,'契約台帳'!$D$5:$D$304,$A37))</f>
        <v/>
      </c>
      <c r="E37" s="70">
        <f>IF($A37="","",SUMIFS('契約台帳'!$AE$5:$AE$304,'契約台帳'!$D$5:$D$304,$A37,'契約台帳'!$AP$5:$AP$304,1))</f>
        <v/>
      </c>
      <c r="F37" s="53" t="n"/>
    </row>
    <row r="38" ht="16" customHeight="1">
      <c r="A38" s="44">
        <f>IF('設定'!$B$19="","",'設定'!$B$19)</f>
        <v/>
      </c>
      <c r="B38" s="45">
        <f>IF($A38="","",COUNTIF('契約台帳'!$D$5:$D$304,$A38))</f>
        <v/>
      </c>
      <c r="C38" s="45">
        <f>IF($A38="","",SUMIFS('契約台帳'!$AP$5:$AP$304,'契約台帳'!$D$5:$D$304,$A38))</f>
        <v/>
      </c>
      <c r="D38" s="45">
        <f>IF($A38="","",SUMIFS('契約台帳'!$AQ$5:$AQ$304,'契約台帳'!$D$5:$D$304,$A38))</f>
        <v/>
      </c>
      <c r="E38" s="70">
        <f>IF($A38="","",SUMIFS('契約台帳'!$AE$5:$AE$304,'契約台帳'!$D$5:$D$304,$A38,'契約台帳'!$AP$5:$AP$304,1))</f>
        <v/>
      </c>
      <c r="F38" s="53" t="n"/>
    </row>
    <row r="39" ht="16" customHeight="1">
      <c r="A39" s="44">
        <f>IF('設定'!$B$20="","",'設定'!$B$20)</f>
        <v/>
      </c>
      <c r="B39" s="45">
        <f>IF($A39="","",COUNTIF('契約台帳'!$D$5:$D$304,$A39))</f>
        <v/>
      </c>
      <c r="C39" s="45">
        <f>IF($A39="","",SUMIFS('契約台帳'!$AP$5:$AP$304,'契約台帳'!$D$5:$D$304,$A39))</f>
        <v/>
      </c>
      <c r="D39" s="45">
        <f>IF($A39="","",SUMIFS('契約台帳'!$AQ$5:$AQ$304,'契約台帳'!$D$5:$D$304,$A39))</f>
        <v/>
      </c>
      <c r="E39" s="70">
        <f>IF($A39="","",SUMIFS('契約台帳'!$AE$5:$AE$304,'契約台帳'!$D$5:$D$304,$A39,'契約台帳'!$AP$5:$AP$304,1))</f>
        <v/>
      </c>
      <c r="F39" s="53" t="n"/>
    </row>
    <row r="40" ht="16" customHeight="1">
      <c r="A40" s="44">
        <f>IF('設定'!$B$21="","",'設定'!$B$21)</f>
        <v/>
      </c>
      <c r="B40" s="45">
        <f>IF($A40="","",COUNTIF('契約台帳'!$D$5:$D$304,$A40))</f>
        <v/>
      </c>
      <c r="C40" s="45">
        <f>IF($A40="","",SUMIFS('契約台帳'!$AP$5:$AP$304,'契約台帳'!$D$5:$D$304,$A40))</f>
        <v/>
      </c>
      <c r="D40" s="45">
        <f>IF($A40="","",SUMIFS('契約台帳'!$AQ$5:$AQ$304,'契約台帳'!$D$5:$D$304,$A40))</f>
        <v/>
      </c>
      <c r="E40" s="70">
        <f>IF($A40="","",SUMIFS('契約台帳'!$AE$5:$AE$304,'契約台帳'!$D$5:$D$304,$A40,'契約台帳'!$AP$5:$AP$304,1))</f>
        <v/>
      </c>
      <c r="F40" s="53" t="n"/>
    </row>
    <row r="41" ht="16" customHeight="1">
      <c r="A41" s="44">
        <f>IF('設定'!$B$22="","",'設定'!$B$22)</f>
        <v/>
      </c>
      <c r="B41" s="45">
        <f>IF($A41="","",COUNTIF('契約台帳'!$D$5:$D$304,$A41))</f>
        <v/>
      </c>
      <c r="C41" s="45">
        <f>IF($A41="","",SUMIFS('契約台帳'!$AP$5:$AP$304,'契約台帳'!$D$5:$D$304,$A41))</f>
        <v/>
      </c>
      <c r="D41" s="45">
        <f>IF($A41="","",SUMIFS('契約台帳'!$AQ$5:$AQ$304,'契約台帳'!$D$5:$D$304,$A41))</f>
        <v/>
      </c>
      <c r="E41" s="70">
        <f>IF($A41="","",SUMIFS('契約台帳'!$AE$5:$AE$304,'契約台帳'!$D$5:$D$304,$A41,'契約台帳'!$AP$5:$AP$304,1))</f>
        <v/>
      </c>
      <c r="F41" s="53" t="n"/>
    </row>
    <row r="42" ht="16" customHeight="1">
      <c r="A42" s="44">
        <f>IF('設定'!$B$23="","",'設定'!$B$23)</f>
        <v/>
      </c>
      <c r="B42" s="45">
        <f>IF($A42="","",COUNTIF('契約台帳'!$D$5:$D$304,$A42))</f>
        <v/>
      </c>
      <c r="C42" s="45">
        <f>IF($A42="","",SUMIFS('契約台帳'!$AP$5:$AP$304,'契約台帳'!$D$5:$D$304,$A42))</f>
        <v/>
      </c>
      <c r="D42" s="45">
        <f>IF($A42="","",SUMIFS('契約台帳'!$AQ$5:$AQ$304,'契約台帳'!$D$5:$D$304,$A42))</f>
        <v/>
      </c>
      <c r="E42" s="70">
        <f>IF($A42="","",SUMIFS('契約台帳'!$AE$5:$AE$304,'契約台帳'!$D$5:$D$304,$A42,'契約台帳'!$AP$5:$AP$304,1))</f>
        <v/>
      </c>
      <c r="F42" s="53" t="n"/>
    </row>
    <row r="43" ht="16" customHeight="1">
      <c r="A43" s="44">
        <f>IF('設定'!$B$24="","",'設定'!$B$24)</f>
        <v/>
      </c>
      <c r="B43" s="45">
        <f>IF($A43="","",COUNTIF('契約台帳'!$D$5:$D$304,$A43))</f>
        <v/>
      </c>
      <c r="C43" s="45">
        <f>IF($A43="","",SUMIFS('契約台帳'!$AP$5:$AP$304,'契約台帳'!$D$5:$D$304,$A43))</f>
        <v/>
      </c>
      <c r="D43" s="45">
        <f>IF($A43="","",SUMIFS('契約台帳'!$AQ$5:$AQ$304,'契約台帳'!$D$5:$D$304,$A43))</f>
        <v/>
      </c>
      <c r="E43" s="70">
        <f>IF($A43="","",SUMIFS('契約台帳'!$AE$5:$AE$304,'契約台帳'!$D$5:$D$304,$A43,'契約台帳'!$AP$5:$AP$304,1))</f>
        <v/>
      </c>
      <c r="F43" s="53" t="n"/>
    </row>
    <row r="44" ht="16" customHeight="1">
      <c r="A44" s="30" t="inlineStr">
        <is>
          <t>（種類が空欄・一覧にない）</t>
        </is>
      </c>
      <c r="B44" s="45">
        <f>COUNTIF('契約台帳'!$AC$5:$AC$304,"?*")-SUM(B29:B43)</f>
        <v/>
      </c>
      <c r="C44" s="45">
        <f>SUM('契約台帳'!$AP$5:$AP$304)-SUM(C29:C43)</f>
        <v/>
      </c>
      <c r="D44" s="45">
        <f>SUM('契約台帳'!$AQ$5:$AQ$304)-SUM(D29:D43)</f>
        <v/>
      </c>
      <c r="E44" s="70">
        <f>SUMIFS('契約台帳'!$AE$5:$AE$304,'契約台帳'!$AP$5:$AP$304,1)-SUM(E29:E43)</f>
        <v/>
      </c>
      <c r="F44" s="53" t="n"/>
    </row>
    <row r="45" ht="16" customHeight="1">
      <c r="A45" s="63" t="inlineStr">
        <is>
          <t>合計</t>
        </is>
      </c>
      <c r="B45" s="78">
        <f>SUM(B29:B44)</f>
        <v/>
      </c>
      <c r="C45" s="78">
        <f>SUM(C29:C44)</f>
        <v/>
      </c>
      <c r="D45" s="78">
        <f>SUM(D29:D44)</f>
        <v/>
      </c>
      <c r="E45" s="79">
        <f>SUM(E29:E44)</f>
        <v/>
      </c>
      <c r="F45" s="53" t="n"/>
    </row>
    <row r="46">
      <c r="A46" s="53" t="n"/>
      <c r="B46" s="53" t="n"/>
      <c r="C46" s="53" t="n"/>
      <c r="D46" s="53" t="n"/>
      <c r="E46" s="53" t="n"/>
      <c r="F46" s="53" t="n"/>
    </row>
    <row r="47" ht="20" customHeight="1">
      <c r="A47" s="60" t="inlineStr">
        <is>
          <t>契約先別（台帳に出てきた順・40社まで）</t>
        </is>
      </c>
      <c r="B47" s="61" t="n"/>
      <c r="C47" s="61" t="n"/>
      <c r="D47" s="61" t="n"/>
      <c r="E47" s="61" t="n"/>
      <c r="F47" s="61" t="n"/>
    </row>
    <row r="48">
      <c r="A48" s="17" t="inlineStr">
        <is>
          <t>契約先</t>
        </is>
      </c>
      <c r="B48" s="17" t="inlineStr">
        <is>
          <t>登録</t>
        </is>
      </c>
      <c r="C48" s="17" t="inlineStr">
        <is>
          <t>続いている</t>
        </is>
      </c>
      <c r="D48" s="17" t="inlineStr">
        <is>
          <t>要対応・期限切れ</t>
        </is>
      </c>
      <c r="E48" s="17" t="inlineStr">
        <is>
          <t>年換算額（円）</t>
        </is>
      </c>
      <c r="F48" s="53" t="n"/>
    </row>
    <row r="49" ht="16" customHeight="1">
      <c r="A49" s="48">
        <f>IFERROR(INDEX('契約台帳'!$E$1:$E$304,SMALL('契約台帳'!$AS$5:$AS$304,1))&amp;"","")</f>
        <v/>
      </c>
      <c r="B49" s="45">
        <f>IF($A49="","",COUNTIF('契約台帳'!$E$5:$E$304,$A49))</f>
        <v/>
      </c>
      <c r="C49" s="45">
        <f>IF($A49="","",SUMIFS('契約台帳'!$AP$5:$AP$304,'契約台帳'!$E$5:$E$304,$A49))</f>
        <v/>
      </c>
      <c r="D49" s="45">
        <f>IF($A49="","",SUMIFS('契約台帳'!$AQ$5:$AQ$304,'契約台帳'!$E$5:$E$304,$A49))</f>
        <v/>
      </c>
      <c r="E49" s="70">
        <f>IF($A49="","",SUMIFS('契約台帳'!$AE$5:$AE$304,'契約台帳'!$E$5:$E$304,$A49,'契約台帳'!$AP$5:$AP$304,1))</f>
        <v/>
      </c>
      <c r="F49" s="53" t="n"/>
    </row>
    <row r="50" ht="16" customHeight="1">
      <c r="A50" s="48">
        <f>IFERROR(INDEX('契約台帳'!$E$1:$E$304,SMALL('契約台帳'!$AS$5:$AS$304,2))&amp;"","")</f>
        <v/>
      </c>
      <c r="B50" s="45">
        <f>IF($A50="","",COUNTIF('契約台帳'!$E$5:$E$304,$A50))</f>
        <v/>
      </c>
      <c r="C50" s="45">
        <f>IF($A50="","",SUMIFS('契約台帳'!$AP$5:$AP$304,'契約台帳'!$E$5:$E$304,$A50))</f>
        <v/>
      </c>
      <c r="D50" s="45">
        <f>IF($A50="","",SUMIFS('契約台帳'!$AQ$5:$AQ$304,'契約台帳'!$E$5:$E$304,$A50))</f>
        <v/>
      </c>
      <c r="E50" s="70">
        <f>IF($A50="","",SUMIFS('契約台帳'!$AE$5:$AE$304,'契約台帳'!$E$5:$E$304,$A50,'契約台帳'!$AP$5:$AP$304,1))</f>
        <v/>
      </c>
      <c r="F50" s="53" t="n"/>
    </row>
    <row r="51" ht="16" customHeight="1">
      <c r="A51" s="48">
        <f>IFERROR(INDEX('契約台帳'!$E$1:$E$304,SMALL('契約台帳'!$AS$5:$AS$304,3))&amp;"","")</f>
        <v/>
      </c>
      <c r="B51" s="45">
        <f>IF($A51="","",COUNTIF('契約台帳'!$E$5:$E$304,$A51))</f>
        <v/>
      </c>
      <c r="C51" s="45">
        <f>IF($A51="","",SUMIFS('契約台帳'!$AP$5:$AP$304,'契約台帳'!$E$5:$E$304,$A51))</f>
        <v/>
      </c>
      <c r="D51" s="45">
        <f>IF($A51="","",SUMIFS('契約台帳'!$AQ$5:$AQ$304,'契約台帳'!$E$5:$E$304,$A51))</f>
        <v/>
      </c>
      <c r="E51" s="70">
        <f>IF($A51="","",SUMIFS('契約台帳'!$AE$5:$AE$304,'契約台帳'!$E$5:$E$304,$A51,'契約台帳'!$AP$5:$AP$304,1))</f>
        <v/>
      </c>
      <c r="F51" s="53" t="n"/>
    </row>
    <row r="52" ht="16" customHeight="1">
      <c r="A52" s="48">
        <f>IFERROR(INDEX('契約台帳'!$E$1:$E$304,SMALL('契約台帳'!$AS$5:$AS$304,4))&amp;"","")</f>
        <v/>
      </c>
      <c r="B52" s="45">
        <f>IF($A52="","",COUNTIF('契約台帳'!$E$5:$E$304,$A52))</f>
        <v/>
      </c>
      <c r="C52" s="45">
        <f>IF($A52="","",SUMIFS('契約台帳'!$AP$5:$AP$304,'契約台帳'!$E$5:$E$304,$A52))</f>
        <v/>
      </c>
      <c r="D52" s="45">
        <f>IF($A52="","",SUMIFS('契約台帳'!$AQ$5:$AQ$304,'契約台帳'!$E$5:$E$304,$A52))</f>
        <v/>
      </c>
      <c r="E52" s="70">
        <f>IF($A52="","",SUMIFS('契約台帳'!$AE$5:$AE$304,'契約台帳'!$E$5:$E$304,$A52,'契約台帳'!$AP$5:$AP$304,1))</f>
        <v/>
      </c>
      <c r="F52" s="53" t="n"/>
    </row>
    <row r="53" ht="16" customHeight="1">
      <c r="A53" s="48">
        <f>IFERROR(INDEX('契約台帳'!$E$1:$E$304,SMALL('契約台帳'!$AS$5:$AS$304,5))&amp;"","")</f>
        <v/>
      </c>
      <c r="B53" s="45">
        <f>IF($A53="","",COUNTIF('契約台帳'!$E$5:$E$304,$A53))</f>
        <v/>
      </c>
      <c r="C53" s="45">
        <f>IF($A53="","",SUMIFS('契約台帳'!$AP$5:$AP$304,'契約台帳'!$E$5:$E$304,$A53))</f>
        <v/>
      </c>
      <c r="D53" s="45">
        <f>IF($A53="","",SUMIFS('契約台帳'!$AQ$5:$AQ$304,'契約台帳'!$E$5:$E$304,$A53))</f>
        <v/>
      </c>
      <c r="E53" s="70">
        <f>IF($A53="","",SUMIFS('契約台帳'!$AE$5:$AE$304,'契約台帳'!$E$5:$E$304,$A53,'契約台帳'!$AP$5:$AP$304,1))</f>
        <v/>
      </c>
      <c r="F53" s="53" t="n"/>
    </row>
    <row r="54" ht="16" customHeight="1">
      <c r="A54" s="48">
        <f>IFERROR(INDEX('契約台帳'!$E$1:$E$304,SMALL('契約台帳'!$AS$5:$AS$304,6))&amp;"","")</f>
        <v/>
      </c>
      <c r="B54" s="45">
        <f>IF($A54="","",COUNTIF('契約台帳'!$E$5:$E$304,$A54))</f>
        <v/>
      </c>
      <c r="C54" s="45">
        <f>IF($A54="","",SUMIFS('契約台帳'!$AP$5:$AP$304,'契約台帳'!$E$5:$E$304,$A54))</f>
        <v/>
      </c>
      <c r="D54" s="45">
        <f>IF($A54="","",SUMIFS('契約台帳'!$AQ$5:$AQ$304,'契約台帳'!$E$5:$E$304,$A54))</f>
        <v/>
      </c>
      <c r="E54" s="70">
        <f>IF($A54="","",SUMIFS('契約台帳'!$AE$5:$AE$304,'契約台帳'!$E$5:$E$304,$A54,'契約台帳'!$AP$5:$AP$304,1))</f>
        <v/>
      </c>
      <c r="F54" s="53" t="n"/>
    </row>
    <row r="55" ht="16" customHeight="1">
      <c r="A55" s="48">
        <f>IFERROR(INDEX('契約台帳'!$E$1:$E$304,SMALL('契約台帳'!$AS$5:$AS$304,7))&amp;"","")</f>
        <v/>
      </c>
      <c r="B55" s="45">
        <f>IF($A55="","",COUNTIF('契約台帳'!$E$5:$E$304,$A55))</f>
        <v/>
      </c>
      <c r="C55" s="45">
        <f>IF($A55="","",SUMIFS('契約台帳'!$AP$5:$AP$304,'契約台帳'!$E$5:$E$304,$A55))</f>
        <v/>
      </c>
      <c r="D55" s="45">
        <f>IF($A55="","",SUMIFS('契約台帳'!$AQ$5:$AQ$304,'契約台帳'!$E$5:$E$304,$A55))</f>
        <v/>
      </c>
      <c r="E55" s="70">
        <f>IF($A55="","",SUMIFS('契約台帳'!$AE$5:$AE$304,'契約台帳'!$E$5:$E$304,$A55,'契約台帳'!$AP$5:$AP$304,1))</f>
        <v/>
      </c>
      <c r="F55" s="53" t="n"/>
    </row>
    <row r="56" ht="16" customHeight="1">
      <c r="A56" s="48">
        <f>IFERROR(INDEX('契約台帳'!$E$1:$E$304,SMALL('契約台帳'!$AS$5:$AS$304,8))&amp;"","")</f>
        <v/>
      </c>
      <c r="B56" s="45">
        <f>IF($A56="","",COUNTIF('契約台帳'!$E$5:$E$304,$A56))</f>
        <v/>
      </c>
      <c r="C56" s="45">
        <f>IF($A56="","",SUMIFS('契約台帳'!$AP$5:$AP$304,'契約台帳'!$E$5:$E$304,$A56))</f>
        <v/>
      </c>
      <c r="D56" s="45">
        <f>IF($A56="","",SUMIFS('契約台帳'!$AQ$5:$AQ$304,'契約台帳'!$E$5:$E$304,$A56))</f>
        <v/>
      </c>
      <c r="E56" s="70">
        <f>IF($A56="","",SUMIFS('契約台帳'!$AE$5:$AE$304,'契約台帳'!$E$5:$E$304,$A56,'契約台帳'!$AP$5:$AP$304,1))</f>
        <v/>
      </c>
      <c r="F56" s="53" t="n"/>
    </row>
    <row r="57" ht="16" customHeight="1">
      <c r="A57" s="48">
        <f>IFERROR(INDEX('契約台帳'!$E$1:$E$304,SMALL('契約台帳'!$AS$5:$AS$304,9))&amp;"","")</f>
        <v/>
      </c>
      <c r="B57" s="45">
        <f>IF($A57="","",COUNTIF('契約台帳'!$E$5:$E$304,$A57))</f>
        <v/>
      </c>
      <c r="C57" s="45">
        <f>IF($A57="","",SUMIFS('契約台帳'!$AP$5:$AP$304,'契約台帳'!$E$5:$E$304,$A57))</f>
        <v/>
      </c>
      <c r="D57" s="45">
        <f>IF($A57="","",SUMIFS('契約台帳'!$AQ$5:$AQ$304,'契約台帳'!$E$5:$E$304,$A57))</f>
        <v/>
      </c>
      <c r="E57" s="70">
        <f>IF($A57="","",SUMIFS('契約台帳'!$AE$5:$AE$304,'契約台帳'!$E$5:$E$304,$A57,'契約台帳'!$AP$5:$AP$304,1))</f>
        <v/>
      </c>
      <c r="F57" s="53" t="n"/>
    </row>
    <row r="58" ht="16" customHeight="1">
      <c r="A58" s="48">
        <f>IFERROR(INDEX('契約台帳'!$E$1:$E$304,SMALL('契約台帳'!$AS$5:$AS$304,10))&amp;"","")</f>
        <v/>
      </c>
      <c r="B58" s="45">
        <f>IF($A58="","",COUNTIF('契約台帳'!$E$5:$E$304,$A58))</f>
        <v/>
      </c>
      <c r="C58" s="45">
        <f>IF($A58="","",SUMIFS('契約台帳'!$AP$5:$AP$304,'契約台帳'!$E$5:$E$304,$A58))</f>
        <v/>
      </c>
      <c r="D58" s="45">
        <f>IF($A58="","",SUMIFS('契約台帳'!$AQ$5:$AQ$304,'契約台帳'!$E$5:$E$304,$A58))</f>
        <v/>
      </c>
      <c r="E58" s="70">
        <f>IF($A58="","",SUMIFS('契約台帳'!$AE$5:$AE$304,'契約台帳'!$E$5:$E$304,$A58,'契約台帳'!$AP$5:$AP$304,1))</f>
        <v/>
      </c>
      <c r="F58" s="53" t="n"/>
    </row>
    <row r="59" ht="16" customHeight="1">
      <c r="A59" s="48">
        <f>IFERROR(INDEX('契約台帳'!$E$1:$E$304,SMALL('契約台帳'!$AS$5:$AS$304,11))&amp;"","")</f>
        <v/>
      </c>
      <c r="B59" s="45">
        <f>IF($A59="","",COUNTIF('契約台帳'!$E$5:$E$304,$A59))</f>
        <v/>
      </c>
      <c r="C59" s="45">
        <f>IF($A59="","",SUMIFS('契約台帳'!$AP$5:$AP$304,'契約台帳'!$E$5:$E$304,$A59))</f>
        <v/>
      </c>
      <c r="D59" s="45">
        <f>IF($A59="","",SUMIFS('契約台帳'!$AQ$5:$AQ$304,'契約台帳'!$E$5:$E$304,$A59))</f>
        <v/>
      </c>
      <c r="E59" s="70">
        <f>IF($A59="","",SUMIFS('契約台帳'!$AE$5:$AE$304,'契約台帳'!$E$5:$E$304,$A59,'契約台帳'!$AP$5:$AP$304,1))</f>
        <v/>
      </c>
      <c r="F59" s="53" t="n"/>
    </row>
    <row r="60" ht="16" customHeight="1">
      <c r="A60" s="48">
        <f>IFERROR(INDEX('契約台帳'!$E$1:$E$304,SMALL('契約台帳'!$AS$5:$AS$304,12))&amp;"","")</f>
        <v/>
      </c>
      <c r="B60" s="45">
        <f>IF($A60="","",COUNTIF('契約台帳'!$E$5:$E$304,$A60))</f>
        <v/>
      </c>
      <c r="C60" s="45">
        <f>IF($A60="","",SUMIFS('契約台帳'!$AP$5:$AP$304,'契約台帳'!$E$5:$E$304,$A60))</f>
        <v/>
      </c>
      <c r="D60" s="45">
        <f>IF($A60="","",SUMIFS('契約台帳'!$AQ$5:$AQ$304,'契約台帳'!$E$5:$E$304,$A60))</f>
        <v/>
      </c>
      <c r="E60" s="70">
        <f>IF($A60="","",SUMIFS('契約台帳'!$AE$5:$AE$304,'契約台帳'!$E$5:$E$304,$A60,'契約台帳'!$AP$5:$AP$304,1))</f>
        <v/>
      </c>
      <c r="F60" s="53" t="n"/>
    </row>
    <row r="61" ht="16" customHeight="1">
      <c r="A61" s="48">
        <f>IFERROR(INDEX('契約台帳'!$E$1:$E$304,SMALL('契約台帳'!$AS$5:$AS$304,13))&amp;"","")</f>
        <v/>
      </c>
      <c r="B61" s="45">
        <f>IF($A61="","",COUNTIF('契約台帳'!$E$5:$E$304,$A61))</f>
        <v/>
      </c>
      <c r="C61" s="45">
        <f>IF($A61="","",SUMIFS('契約台帳'!$AP$5:$AP$304,'契約台帳'!$E$5:$E$304,$A61))</f>
        <v/>
      </c>
      <c r="D61" s="45">
        <f>IF($A61="","",SUMIFS('契約台帳'!$AQ$5:$AQ$304,'契約台帳'!$E$5:$E$304,$A61))</f>
        <v/>
      </c>
      <c r="E61" s="70">
        <f>IF($A61="","",SUMIFS('契約台帳'!$AE$5:$AE$304,'契約台帳'!$E$5:$E$304,$A61,'契約台帳'!$AP$5:$AP$304,1))</f>
        <v/>
      </c>
      <c r="F61" s="53" t="n"/>
    </row>
    <row r="62" ht="16" customHeight="1">
      <c r="A62" s="48">
        <f>IFERROR(INDEX('契約台帳'!$E$1:$E$304,SMALL('契約台帳'!$AS$5:$AS$304,14))&amp;"","")</f>
        <v/>
      </c>
      <c r="B62" s="45">
        <f>IF($A62="","",COUNTIF('契約台帳'!$E$5:$E$304,$A62))</f>
        <v/>
      </c>
      <c r="C62" s="45">
        <f>IF($A62="","",SUMIFS('契約台帳'!$AP$5:$AP$304,'契約台帳'!$E$5:$E$304,$A62))</f>
        <v/>
      </c>
      <c r="D62" s="45">
        <f>IF($A62="","",SUMIFS('契約台帳'!$AQ$5:$AQ$304,'契約台帳'!$E$5:$E$304,$A62))</f>
        <v/>
      </c>
      <c r="E62" s="70">
        <f>IF($A62="","",SUMIFS('契約台帳'!$AE$5:$AE$304,'契約台帳'!$E$5:$E$304,$A62,'契約台帳'!$AP$5:$AP$304,1))</f>
        <v/>
      </c>
      <c r="F62" s="53" t="n"/>
    </row>
    <row r="63" ht="16" customHeight="1">
      <c r="A63" s="48">
        <f>IFERROR(INDEX('契約台帳'!$E$1:$E$304,SMALL('契約台帳'!$AS$5:$AS$304,15))&amp;"","")</f>
        <v/>
      </c>
      <c r="B63" s="45">
        <f>IF($A63="","",COUNTIF('契約台帳'!$E$5:$E$304,$A63))</f>
        <v/>
      </c>
      <c r="C63" s="45">
        <f>IF($A63="","",SUMIFS('契約台帳'!$AP$5:$AP$304,'契約台帳'!$E$5:$E$304,$A63))</f>
        <v/>
      </c>
      <c r="D63" s="45">
        <f>IF($A63="","",SUMIFS('契約台帳'!$AQ$5:$AQ$304,'契約台帳'!$E$5:$E$304,$A63))</f>
        <v/>
      </c>
      <c r="E63" s="70">
        <f>IF($A63="","",SUMIFS('契約台帳'!$AE$5:$AE$304,'契約台帳'!$E$5:$E$304,$A63,'契約台帳'!$AP$5:$AP$304,1))</f>
        <v/>
      </c>
      <c r="F63" s="53" t="n"/>
    </row>
    <row r="64" ht="16" customHeight="1">
      <c r="A64" s="48">
        <f>IFERROR(INDEX('契約台帳'!$E$1:$E$304,SMALL('契約台帳'!$AS$5:$AS$304,16))&amp;"","")</f>
        <v/>
      </c>
      <c r="B64" s="45">
        <f>IF($A64="","",COUNTIF('契約台帳'!$E$5:$E$304,$A64))</f>
        <v/>
      </c>
      <c r="C64" s="45">
        <f>IF($A64="","",SUMIFS('契約台帳'!$AP$5:$AP$304,'契約台帳'!$E$5:$E$304,$A64))</f>
        <v/>
      </c>
      <c r="D64" s="45">
        <f>IF($A64="","",SUMIFS('契約台帳'!$AQ$5:$AQ$304,'契約台帳'!$E$5:$E$304,$A64))</f>
        <v/>
      </c>
      <c r="E64" s="70">
        <f>IF($A64="","",SUMIFS('契約台帳'!$AE$5:$AE$304,'契約台帳'!$E$5:$E$304,$A64,'契約台帳'!$AP$5:$AP$304,1))</f>
        <v/>
      </c>
      <c r="F64" s="53" t="n"/>
    </row>
    <row r="65" ht="16" customHeight="1">
      <c r="A65" s="48">
        <f>IFERROR(INDEX('契約台帳'!$E$1:$E$304,SMALL('契約台帳'!$AS$5:$AS$304,17))&amp;"","")</f>
        <v/>
      </c>
      <c r="B65" s="45">
        <f>IF($A65="","",COUNTIF('契約台帳'!$E$5:$E$304,$A65))</f>
        <v/>
      </c>
      <c r="C65" s="45">
        <f>IF($A65="","",SUMIFS('契約台帳'!$AP$5:$AP$304,'契約台帳'!$E$5:$E$304,$A65))</f>
        <v/>
      </c>
      <c r="D65" s="45">
        <f>IF($A65="","",SUMIFS('契約台帳'!$AQ$5:$AQ$304,'契約台帳'!$E$5:$E$304,$A65))</f>
        <v/>
      </c>
      <c r="E65" s="70">
        <f>IF($A65="","",SUMIFS('契約台帳'!$AE$5:$AE$304,'契約台帳'!$E$5:$E$304,$A65,'契約台帳'!$AP$5:$AP$304,1))</f>
        <v/>
      </c>
      <c r="F65" s="53" t="n"/>
    </row>
    <row r="66" ht="16" customHeight="1">
      <c r="A66" s="48">
        <f>IFERROR(INDEX('契約台帳'!$E$1:$E$304,SMALL('契約台帳'!$AS$5:$AS$304,18))&amp;"","")</f>
        <v/>
      </c>
      <c r="B66" s="45">
        <f>IF($A66="","",COUNTIF('契約台帳'!$E$5:$E$304,$A66))</f>
        <v/>
      </c>
      <c r="C66" s="45">
        <f>IF($A66="","",SUMIFS('契約台帳'!$AP$5:$AP$304,'契約台帳'!$E$5:$E$304,$A66))</f>
        <v/>
      </c>
      <c r="D66" s="45">
        <f>IF($A66="","",SUMIFS('契約台帳'!$AQ$5:$AQ$304,'契約台帳'!$E$5:$E$304,$A66))</f>
        <v/>
      </c>
      <c r="E66" s="70">
        <f>IF($A66="","",SUMIFS('契約台帳'!$AE$5:$AE$304,'契約台帳'!$E$5:$E$304,$A66,'契約台帳'!$AP$5:$AP$304,1))</f>
        <v/>
      </c>
      <c r="F66" s="53" t="n"/>
    </row>
    <row r="67" ht="16" customHeight="1">
      <c r="A67" s="48">
        <f>IFERROR(INDEX('契約台帳'!$E$1:$E$304,SMALL('契約台帳'!$AS$5:$AS$304,19))&amp;"","")</f>
        <v/>
      </c>
      <c r="B67" s="45">
        <f>IF($A67="","",COUNTIF('契約台帳'!$E$5:$E$304,$A67))</f>
        <v/>
      </c>
      <c r="C67" s="45">
        <f>IF($A67="","",SUMIFS('契約台帳'!$AP$5:$AP$304,'契約台帳'!$E$5:$E$304,$A67))</f>
        <v/>
      </c>
      <c r="D67" s="45">
        <f>IF($A67="","",SUMIFS('契約台帳'!$AQ$5:$AQ$304,'契約台帳'!$E$5:$E$304,$A67))</f>
        <v/>
      </c>
      <c r="E67" s="70">
        <f>IF($A67="","",SUMIFS('契約台帳'!$AE$5:$AE$304,'契約台帳'!$E$5:$E$304,$A67,'契約台帳'!$AP$5:$AP$304,1))</f>
        <v/>
      </c>
      <c r="F67" s="53" t="n"/>
    </row>
    <row r="68" ht="16" customHeight="1">
      <c r="A68" s="48">
        <f>IFERROR(INDEX('契約台帳'!$E$1:$E$304,SMALL('契約台帳'!$AS$5:$AS$304,20))&amp;"","")</f>
        <v/>
      </c>
      <c r="B68" s="45">
        <f>IF($A68="","",COUNTIF('契約台帳'!$E$5:$E$304,$A68))</f>
        <v/>
      </c>
      <c r="C68" s="45">
        <f>IF($A68="","",SUMIFS('契約台帳'!$AP$5:$AP$304,'契約台帳'!$E$5:$E$304,$A68))</f>
        <v/>
      </c>
      <c r="D68" s="45">
        <f>IF($A68="","",SUMIFS('契約台帳'!$AQ$5:$AQ$304,'契約台帳'!$E$5:$E$304,$A68))</f>
        <v/>
      </c>
      <c r="E68" s="70">
        <f>IF($A68="","",SUMIFS('契約台帳'!$AE$5:$AE$304,'契約台帳'!$E$5:$E$304,$A68,'契約台帳'!$AP$5:$AP$304,1))</f>
        <v/>
      </c>
      <c r="F68" s="53" t="n"/>
    </row>
    <row r="69" ht="16" customHeight="1">
      <c r="A69" s="48">
        <f>IFERROR(INDEX('契約台帳'!$E$1:$E$304,SMALL('契約台帳'!$AS$5:$AS$304,21))&amp;"","")</f>
        <v/>
      </c>
      <c r="B69" s="45">
        <f>IF($A69="","",COUNTIF('契約台帳'!$E$5:$E$304,$A69))</f>
        <v/>
      </c>
      <c r="C69" s="45">
        <f>IF($A69="","",SUMIFS('契約台帳'!$AP$5:$AP$304,'契約台帳'!$E$5:$E$304,$A69))</f>
        <v/>
      </c>
      <c r="D69" s="45">
        <f>IF($A69="","",SUMIFS('契約台帳'!$AQ$5:$AQ$304,'契約台帳'!$E$5:$E$304,$A69))</f>
        <v/>
      </c>
      <c r="E69" s="70">
        <f>IF($A69="","",SUMIFS('契約台帳'!$AE$5:$AE$304,'契約台帳'!$E$5:$E$304,$A69,'契約台帳'!$AP$5:$AP$304,1))</f>
        <v/>
      </c>
      <c r="F69" s="53" t="n"/>
    </row>
    <row r="70" ht="16" customHeight="1">
      <c r="A70" s="48">
        <f>IFERROR(INDEX('契約台帳'!$E$1:$E$304,SMALL('契約台帳'!$AS$5:$AS$304,22))&amp;"","")</f>
        <v/>
      </c>
      <c r="B70" s="45">
        <f>IF($A70="","",COUNTIF('契約台帳'!$E$5:$E$304,$A70))</f>
        <v/>
      </c>
      <c r="C70" s="45">
        <f>IF($A70="","",SUMIFS('契約台帳'!$AP$5:$AP$304,'契約台帳'!$E$5:$E$304,$A70))</f>
        <v/>
      </c>
      <c r="D70" s="45">
        <f>IF($A70="","",SUMIFS('契約台帳'!$AQ$5:$AQ$304,'契約台帳'!$E$5:$E$304,$A70))</f>
        <v/>
      </c>
      <c r="E70" s="70">
        <f>IF($A70="","",SUMIFS('契約台帳'!$AE$5:$AE$304,'契約台帳'!$E$5:$E$304,$A70,'契約台帳'!$AP$5:$AP$304,1))</f>
        <v/>
      </c>
      <c r="F70" s="53" t="n"/>
    </row>
    <row r="71" ht="16" customHeight="1">
      <c r="A71" s="48">
        <f>IFERROR(INDEX('契約台帳'!$E$1:$E$304,SMALL('契約台帳'!$AS$5:$AS$304,23))&amp;"","")</f>
        <v/>
      </c>
      <c r="B71" s="45">
        <f>IF($A71="","",COUNTIF('契約台帳'!$E$5:$E$304,$A71))</f>
        <v/>
      </c>
      <c r="C71" s="45">
        <f>IF($A71="","",SUMIFS('契約台帳'!$AP$5:$AP$304,'契約台帳'!$E$5:$E$304,$A71))</f>
        <v/>
      </c>
      <c r="D71" s="45">
        <f>IF($A71="","",SUMIFS('契約台帳'!$AQ$5:$AQ$304,'契約台帳'!$E$5:$E$304,$A71))</f>
        <v/>
      </c>
      <c r="E71" s="70">
        <f>IF($A71="","",SUMIFS('契約台帳'!$AE$5:$AE$304,'契約台帳'!$E$5:$E$304,$A71,'契約台帳'!$AP$5:$AP$304,1))</f>
        <v/>
      </c>
      <c r="F71" s="53" t="n"/>
    </row>
    <row r="72" ht="16" customHeight="1">
      <c r="A72" s="48">
        <f>IFERROR(INDEX('契約台帳'!$E$1:$E$304,SMALL('契約台帳'!$AS$5:$AS$304,24))&amp;"","")</f>
        <v/>
      </c>
      <c r="B72" s="45">
        <f>IF($A72="","",COUNTIF('契約台帳'!$E$5:$E$304,$A72))</f>
        <v/>
      </c>
      <c r="C72" s="45">
        <f>IF($A72="","",SUMIFS('契約台帳'!$AP$5:$AP$304,'契約台帳'!$E$5:$E$304,$A72))</f>
        <v/>
      </c>
      <c r="D72" s="45">
        <f>IF($A72="","",SUMIFS('契約台帳'!$AQ$5:$AQ$304,'契約台帳'!$E$5:$E$304,$A72))</f>
        <v/>
      </c>
      <c r="E72" s="70">
        <f>IF($A72="","",SUMIFS('契約台帳'!$AE$5:$AE$304,'契約台帳'!$E$5:$E$304,$A72,'契約台帳'!$AP$5:$AP$304,1))</f>
        <v/>
      </c>
      <c r="F72" s="53" t="n"/>
    </row>
    <row r="73" ht="16" customHeight="1">
      <c r="A73" s="48">
        <f>IFERROR(INDEX('契約台帳'!$E$1:$E$304,SMALL('契約台帳'!$AS$5:$AS$304,25))&amp;"","")</f>
        <v/>
      </c>
      <c r="B73" s="45">
        <f>IF($A73="","",COUNTIF('契約台帳'!$E$5:$E$304,$A73))</f>
        <v/>
      </c>
      <c r="C73" s="45">
        <f>IF($A73="","",SUMIFS('契約台帳'!$AP$5:$AP$304,'契約台帳'!$E$5:$E$304,$A73))</f>
        <v/>
      </c>
      <c r="D73" s="45">
        <f>IF($A73="","",SUMIFS('契約台帳'!$AQ$5:$AQ$304,'契約台帳'!$E$5:$E$304,$A73))</f>
        <v/>
      </c>
      <c r="E73" s="70">
        <f>IF($A73="","",SUMIFS('契約台帳'!$AE$5:$AE$304,'契約台帳'!$E$5:$E$304,$A73,'契約台帳'!$AP$5:$AP$304,1))</f>
        <v/>
      </c>
      <c r="F73" s="53" t="n"/>
    </row>
    <row r="74" ht="16" customHeight="1">
      <c r="A74" s="48">
        <f>IFERROR(INDEX('契約台帳'!$E$1:$E$304,SMALL('契約台帳'!$AS$5:$AS$304,26))&amp;"","")</f>
        <v/>
      </c>
      <c r="B74" s="45">
        <f>IF($A74="","",COUNTIF('契約台帳'!$E$5:$E$304,$A74))</f>
        <v/>
      </c>
      <c r="C74" s="45">
        <f>IF($A74="","",SUMIFS('契約台帳'!$AP$5:$AP$304,'契約台帳'!$E$5:$E$304,$A74))</f>
        <v/>
      </c>
      <c r="D74" s="45">
        <f>IF($A74="","",SUMIFS('契約台帳'!$AQ$5:$AQ$304,'契約台帳'!$E$5:$E$304,$A74))</f>
        <v/>
      </c>
      <c r="E74" s="70">
        <f>IF($A74="","",SUMIFS('契約台帳'!$AE$5:$AE$304,'契約台帳'!$E$5:$E$304,$A74,'契約台帳'!$AP$5:$AP$304,1))</f>
        <v/>
      </c>
      <c r="F74" s="53" t="n"/>
    </row>
    <row r="75" ht="16" customHeight="1">
      <c r="A75" s="48">
        <f>IFERROR(INDEX('契約台帳'!$E$1:$E$304,SMALL('契約台帳'!$AS$5:$AS$304,27))&amp;"","")</f>
        <v/>
      </c>
      <c r="B75" s="45">
        <f>IF($A75="","",COUNTIF('契約台帳'!$E$5:$E$304,$A75))</f>
        <v/>
      </c>
      <c r="C75" s="45">
        <f>IF($A75="","",SUMIFS('契約台帳'!$AP$5:$AP$304,'契約台帳'!$E$5:$E$304,$A75))</f>
        <v/>
      </c>
      <c r="D75" s="45">
        <f>IF($A75="","",SUMIFS('契約台帳'!$AQ$5:$AQ$304,'契約台帳'!$E$5:$E$304,$A75))</f>
        <v/>
      </c>
      <c r="E75" s="70">
        <f>IF($A75="","",SUMIFS('契約台帳'!$AE$5:$AE$304,'契約台帳'!$E$5:$E$304,$A75,'契約台帳'!$AP$5:$AP$304,1))</f>
        <v/>
      </c>
      <c r="F75" s="53" t="n"/>
    </row>
    <row r="76" ht="16" customHeight="1">
      <c r="A76" s="48">
        <f>IFERROR(INDEX('契約台帳'!$E$1:$E$304,SMALL('契約台帳'!$AS$5:$AS$304,28))&amp;"","")</f>
        <v/>
      </c>
      <c r="B76" s="45">
        <f>IF($A76="","",COUNTIF('契約台帳'!$E$5:$E$304,$A76))</f>
        <v/>
      </c>
      <c r="C76" s="45">
        <f>IF($A76="","",SUMIFS('契約台帳'!$AP$5:$AP$304,'契約台帳'!$E$5:$E$304,$A76))</f>
        <v/>
      </c>
      <c r="D76" s="45">
        <f>IF($A76="","",SUMIFS('契約台帳'!$AQ$5:$AQ$304,'契約台帳'!$E$5:$E$304,$A76))</f>
        <v/>
      </c>
      <c r="E76" s="70">
        <f>IF($A76="","",SUMIFS('契約台帳'!$AE$5:$AE$304,'契約台帳'!$E$5:$E$304,$A76,'契約台帳'!$AP$5:$AP$304,1))</f>
        <v/>
      </c>
      <c r="F76" s="53" t="n"/>
    </row>
    <row r="77" ht="16" customHeight="1">
      <c r="A77" s="48">
        <f>IFERROR(INDEX('契約台帳'!$E$1:$E$304,SMALL('契約台帳'!$AS$5:$AS$304,29))&amp;"","")</f>
        <v/>
      </c>
      <c r="B77" s="45">
        <f>IF($A77="","",COUNTIF('契約台帳'!$E$5:$E$304,$A77))</f>
        <v/>
      </c>
      <c r="C77" s="45">
        <f>IF($A77="","",SUMIFS('契約台帳'!$AP$5:$AP$304,'契約台帳'!$E$5:$E$304,$A77))</f>
        <v/>
      </c>
      <c r="D77" s="45">
        <f>IF($A77="","",SUMIFS('契約台帳'!$AQ$5:$AQ$304,'契約台帳'!$E$5:$E$304,$A77))</f>
        <v/>
      </c>
      <c r="E77" s="70">
        <f>IF($A77="","",SUMIFS('契約台帳'!$AE$5:$AE$304,'契約台帳'!$E$5:$E$304,$A77,'契約台帳'!$AP$5:$AP$304,1))</f>
        <v/>
      </c>
      <c r="F77" s="53" t="n"/>
    </row>
    <row r="78" ht="16" customHeight="1">
      <c r="A78" s="48">
        <f>IFERROR(INDEX('契約台帳'!$E$1:$E$304,SMALL('契約台帳'!$AS$5:$AS$304,30))&amp;"","")</f>
        <v/>
      </c>
      <c r="B78" s="45">
        <f>IF($A78="","",COUNTIF('契約台帳'!$E$5:$E$304,$A78))</f>
        <v/>
      </c>
      <c r="C78" s="45">
        <f>IF($A78="","",SUMIFS('契約台帳'!$AP$5:$AP$304,'契約台帳'!$E$5:$E$304,$A78))</f>
        <v/>
      </c>
      <c r="D78" s="45">
        <f>IF($A78="","",SUMIFS('契約台帳'!$AQ$5:$AQ$304,'契約台帳'!$E$5:$E$304,$A78))</f>
        <v/>
      </c>
      <c r="E78" s="70">
        <f>IF($A78="","",SUMIFS('契約台帳'!$AE$5:$AE$304,'契約台帳'!$E$5:$E$304,$A78,'契約台帳'!$AP$5:$AP$304,1))</f>
        <v/>
      </c>
      <c r="F78" s="53" t="n"/>
    </row>
    <row r="79" ht="16" customHeight="1">
      <c r="A79" s="48">
        <f>IFERROR(INDEX('契約台帳'!$E$1:$E$304,SMALL('契約台帳'!$AS$5:$AS$304,31))&amp;"","")</f>
        <v/>
      </c>
      <c r="B79" s="45">
        <f>IF($A79="","",COUNTIF('契約台帳'!$E$5:$E$304,$A79))</f>
        <v/>
      </c>
      <c r="C79" s="45">
        <f>IF($A79="","",SUMIFS('契約台帳'!$AP$5:$AP$304,'契約台帳'!$E$5:$E$304,$A79))</f>
        <v/>
      </c>
      <c r="D79" s="45">
        <f>IF($A79="","",SUMIFS('契約台帳'!$AQ$5:$AQ$304,'契約台帳'!$E$5:$E$304,$A79))</f>
        <v/>
      </c>
      <c r="E79" s="70">
        <f>IF($A79="","",SUMIFS('契約台帳'!$AE$5:$AE$304,'契約台帳'!$E$5:$E$304,$A79,'契約台帳'!$AP$5:$AP$304,1))</f>
        <v/>
      </c>
      <c r="F79" s="53" t="n"/>
    </row>
    <row r="80" ht="16" customHeight="1">
      <c r="A80" s="48">
        <f>IFERROR(INDEX('契約台帳'!$E$1:$E$304,SMALL('契約台帳'!$AS$5:$AS$304,32))&amp;"","")</f>
        <v/>
      </c>
      <c r="B80" s="45">
        <f>IF($A80="","",COUNTIF('契約台帳'!$E$5:$E$304,$A80))</f>
        <v/>
      </c>
      <c r="C80" s="45">
        <f>IF($A80="","",SUMIFS('契約台帳'!$AP$5:$AP$304,'契約台帳'!$E$5:$E$304,$A80))</f>
        <v/>
      </c>
      <c r="D80" s="45">
        <f>IF($A80="","",SUMIFS('契約台帳'!$AQ$5:$AQ$304,'契約台帳'!$E$5:$E$304,$A80))</f>
        <v/>
      </c>
      <c r="E80" s="70">
        <f>IF($A80="","",SUMIFS('契約台帳'!$AE$5:$AE$304,'契約台帳'!$E$5:$E$304,$A80,'契約台帳'!$AP$5:$AP$304,1))</f>
        <v/>
      </c>
      <c r="F80" s="53" t="n"/>
    </row>
    <row r="81" ht="16" customHeight="1">
      <c r="A81" s="48">
        <f>IFERROR(INDEX('契約台帳'!$E$1:$E$304,SMALL('契約台帳'!$AS$5:$AS$304,33))&amp;"","")</f>
        <v/>
      </c>
      <c r="B81" s="45">
        <f>IF($A81="","",COUNTIF('契約台帳'!$E$5:$E$304,$A81))</f>
        <v/>
      </c>
      <c r="C81" s="45">
        <f>IF($A81="","",SUMIFS('契約台帳'!$AP$5:$AP$304,'契約台帳'!$E$5:$E$304,$A81))</f>
        <v/>
      </c>
      <c r="D81" s="45">
        <f>IF($A81="","",SUMIFS('契約台帳'!$AQ$5:$AQ$304,'契約台帳'!$E$5:$E$304,$A81))</f>
        <v/>
      </c>
      <c r="E81" s="70">
        <f>IF($A81="","",SUMIFS('契約台帳'!$AE$5:$AE$304,'契約台帳'!$E$5:$E$304,$A81,'契約台帳'!$AP$5:$AP$304,1))</f>
        <v/>
      </c>
      <c r="F81" s="53" t="n"/>
    </row>
    <row r="82" ht="16" customHeight="1">
      <c r="A82" s="48">
        <f>IFERROR(INDEX('契約台帳'!$E$1:$E$304,SMALL('契約台帳'!$AS$5:$AS$304,34))&amp;"","")</f>
        <v/>
      </c>
      <c r="B82" s="45">
        <f>IF($A82="","",COUNTIF('契約台帳'!$E$5:$E$304,$A82))</f>
        <v/>
      </c>
      <c r="C82" s="45">
        <f>IF($A82="","",SUMIFS('契約台帳'!$AP$5:$AP$304,'契約台帳'!$E$5:$E$304,$A82))</f>
        <v/>
      </c>
      <c r="D82" s="45">
        <f>IF($A82="","",SUMIFS('契約台帳'!$AQ$5:$AQ$304,'契約台帳'!$E$5:$E$304,$A82))</f>
        <v/>
      </c>
      <c r="E82" s="70">
        <f>IF($A82="","",SUMIFS('契約台帳'!$AE$5:$AE$304,'契約台帳'!$E$5:$E$304,$A82,'契約台帳'!$AP$5:$AP$304,1))</f>
        <v/>
      </c>
      <c r="F82" s="53" t="n"/>
    </row>
    <row r="83" ht="16" customHeight="1">
      <c r="A83" s="48">
        <f>IFERROR(INDEX('契約台帳'!$E$1:$E$304,SMALL('契約台帳'!$AS$5:$AS$304,35))&amp;"","")</f>
        <v/>
      </c>
      <c r="B83" s="45">
        <f>IF($A83="","",COUNTIF('契約台帳'!$E$5:$E$304,$A83))</f>
        <v/>
      </c>
      <c r="C83" s="45">
        <f>IF($A83="","",SUMIFS('契約台帳'!$AP$5:$AP$304,'契約台帳'!$E$5:$E$304,$A83))</f>
        <v/>
      </c>
      <c r="D83" s="45">
        <f>IF($A83="","",SUMIFS('契約台帳'!$AQ$5:$AQ$304,'契約台帳'!$E$5:$E$304,$A83))</f>
        <v/>
      </c>
      <c r="E83" s="70">
        <f>IF($A83="","",SUMIFS('契約台帳'!$AE$5:$AE$304,'契約台帳'!$E$5:$E$304,$A83,'契約台帳'!$AP$5:$AP$304,1))</f>
        <v/>
      </c>
      <c r="F83" s="53" t="n"/>
    </row>
    <row r="84" ht="16" customHeight="1">
      <c r="A84" s="48">
        <f>IFERROR(INDEX('契約台帳'!$E$1:$E$304,SMALL('契約台帳'!$AS$5:$AS$304,36))&amp;"","")</f>
        <v/>
      </c>
      <c r="B84" s="45">
        <f>IF($A84="","",COUNTIF('契約台帳'!$E$5:$E$304,$A84))</f>
        <v/>
      </c>
      <c r="C84" s="45">
        <f>IF($A84="","",SUMIFS('契約台帳'!$AP$5:$AP$304,'契約台帳'!$E$5:$E$304,$A84))</f>
        <v/>
      </c>
      <c r="D84" s="45">
        <f>IF($A84="","",SUMIFS('契約台帳'!$AQ$5:$AQ$304,'契約台帳'!$E$5:$E$304,$A84))</f>
        <v/>
      </c>
      <c r="E84" s="70">
        <f>IF($A84="","",SUMIFS('契約台帳'!$AE$5:$AE$304,'契約台帳'!$E$5:$E$304,$A84,'契約台帳'!$AP$5:$AP$304,1))</f>
        <v/>
      </c>
      <c r="F84" s="53" t="n"/>
    </row>
    <row r="85" ht="16" customHeight="1">
      <c r="A85" s="48">
        <f>IFERROR(INDEX('契約台帳'!$E$1:$E$304,SMALL('契約台帳'!$AS$5:$AS$304,37))&amp;"","")</f>
        <v/>
      </c>
      <c r="B85" s="45">
        <f>IF($A85="","",COUNTIF('契約台帳'!$E$5:$E$304,$A85))</f>
        <v/>
      </c>
      <c r="C85" s="45">
        <f>IF($A85="","",SUMIFS('契約台帳'!$AP$5:$AP$304,'契約台帳'!$E$5:$E$304,$A85))</f>
        <v/>
      </c>
      <c r="D85" s="45">
        <f>IF($A85="","",SUMIFS('契約台帳'!$AQ$5:$AQ$304,'契約台帳'!$E$5:$E$304,$A85))</f>
        <v/>
      </c>
      <c r="E85" s="70">
        <f>IF($A85="","",SUMIFS('契約台帳'!$AE$5:$AE$304,'契約台帳'!$E$5:$E$304,$A85,'契約台帳'!$AP$5:$AP$304,1))</f>
        <v/>
      </c>
      <c r="F85" s="53" t="n"/>
    </row>
    <row r="86" ht="16" customHeight="1">
      <c r="A86" s="48">
        <f>IFERROR(INDEX('契約台帳'!$E$1:$E$304,SMALL('契約台帳'!$AS$5:$AS$304,38))&amp;"","")</f>
        <v/>
      </c>
      <c r="B86" s="45">
        <f>IF($A86="","",COUNTIF('契約台帳'!$E$5:$E$304,$A86))</f>
        <v/>
      </c>
      <c r="C86" s="45">
        <f>IF($A86="","",SUMIFS('契約台帳'!$AP$5:$AP$304,'契約台帳'!$E$5:$E$304,$A86))</f>
        <v/>
      </c>
      <c r="D86" s="45">
        <f>IF($A86="","",SUMIFS('契約台帳'!$AQ$5:$AQ$304,'契約台帳'!$E$5:$E$304,$A86))</f>
        <v/>
      </c>
      <c r="E86" s="70">
        <f>IF($A86="","",SUMIFS('契約台帳'!$AE$5:$AE$304,'契約台帳'!$E$5:$E$304,$A86,'契約台帳'!$AP$5:$AP$304,1))</f>
        <v/>
      </c>
      <c r="F86" s="53" t="n"/>
    </row>
    <row r="87" ht="16" customHeight="1">
      <c r="A87" s="48">
        <f>IFERROR(INDEX('契約台帳'!$E$1:$E$304,SMALL('契約台帳'!$AS$5:$AS$304,39))&amp;"","")</f>
        <v/>
      </c>
      <c r="B87" s="45">
        <f>IF($A87="","",COUNTIF('契約台帳'!$E$5:$E$304,$A87))</f>
        <v/>
      </c>
      <c r="C87" s="45">
        <f>IF($A87="","",SUMIFS('契約台帳'!$AP$5:$AP$304,'契約台帳'!$E$5:$E$304,$A87))</f>
        <v/>
      </c>
      <c r="D87" s="45">
        <f>IF($A87="","",SUMIFS('契約台帳'!$AQ$5:$AQ$304,'契約台帳'!$E$5:$E$304,$A87))</f>
        <v/>
      </c>
      <c r="E87" s="70">
        <f>IF($A87="","",SUMIFS('契約台帳'!$AE$5:$AE$304,'契約台帳'!$E$5:$E$304,$A87,'契約台帳'!$AP$5:$AP$304,1))</f>
        <v/>
      </c>
      <c r="F87" s="53" t="n"/>
    </row>
    <row r="88" ht="16" customHeight="1">
      <c r="A88" s="48">
        <f>IFERROR(INDEX('契約台帳'!$E$1:$E$304,SMALL('契約台帳'!$AS$5:$AS$304,40))&amp;"","")</f>
        <v/>
      </c>
      <c r="B88" s="45">
        <f>IF($A88="","",COUNTIF('契約台帳'!$E$5:$E$304,$A88))</f>
        <v/>
      </c>
      <c r="C88" s="45">
        <f>IF($A88="","",SUMIFS('契約台帳'!$AP$5:$AP$304,'契約台帳'!$E$5:$E$304,$A88))</f>
        <v/>
      </c>
      <c r="D88" s="45">
        <f>IF($A88="","",SUMIFS('契約台帳'!$AQ$5:$AQ$304,'契約台帳'!$E$5:$E$304,$A88))</f>
        <v/>
      </c>
      <c r="E88" s="70">
        <f>IF($A88="","",SUMIFS('契約台帳'!$AE$5:$AE$304,'契約台帳'!$E$5:$E$304,$A88,'契約台帳'!$AP$5:$AP$304,1))</f>
        <v/>
      </c>
      <c r="F88" s="53" t="n"/>
    </row>
    <row r="89">
      <c r="A89" s="56">
        <f>IF(COUNT('契約台帳'!$AS$5:$AS$304)&gt;40,"契約先が40社を超えています。41社目からはこの表に出ません。","")</f>
        <v/>
      </c>
      <c r="B89" s="53" t="n"/>
      <c r="C89" s="53" t="n"/>
      <c r="D89" s="53" t="n"/>
      <c r="E89" s="53" t="n"/>
      <c r="F89" s="53" t="n"/>
    </row>
    <row r="90">
      <c r="A90" s="53" t="n"/>
      <c r="B90" s="53" t="n"/>
      <c r="C90" s="53" t="n"/>
      <c r="D90" s="53" t="n"/>
      <c r="E90" s="53" t="n"/>
      <c r="F90" s="53" t="n"/>
    </row>
    <row r="91" ht="20" customHeight="1">
      <c r="A91" s="60" t="inlineStr">
        <is>
          <t>担当者別（15人まで）</t>
        </is>
      </c>
      <c r="B91" s="61" t="n"/>
      <c r="C91" s="61" t="n"/>
      <c r="D91" s="61" t="n"/>
      <c r="E91" s="61" t="n"/>
      <c r="F91" s="61" t="n"/>
    </row>
    <row r="92">
      <c r="A92" s="17" t="inlineStr">
        <is>
          <t>担当者</t>
        </is>
      </c>
      <c r="B92" s="17" t="inlineStr">
        <is>
          <t>登録</t>
        </is>
      </c>
      <c r="C92" s="17" t="inlineStr">
        <is>
          <t>続いている</t>
        </is>
      </c>
      <c r="D92" s="17" t="inlineStr">
        <is>
          <t>要対応・期限切れ</t>
        </is>
      </c>
      <c r="E92" s="53" t="n"/>
      <c r="F92" s="53" t="n"/>
    </row>
    <row r="93" ht="16" customHeight="1">
      <c r="A93" s="48">
        <f>IFERROR(INDEX('契約台帳'!$S$1:$S$304,SMALL('契約台帳'!$AT$5:$AT$304,1))&amp;"","")</f>
        <v/>
      </c>
      <c r="B93" s="45">
        <f>IF($A93="","",COUNTIF('契約台帳'!$S$5:$S$304,$A93))</f>
        <v/>
      </c>
      <c r="C93" s="45">
        <f>IF($A93="","",SUMIFS('契約台帳'!$AP$5:$AP$304,'契約台帳'!$S$5:$S$304,$A93))</f>
        <v/>
      </c>
      <c r="D93" s="45">
        <f>IF($A93="","",SUMIFS('契約台帳'!$AQ$5:$AQ$304,'契約台帳'!$S$5:$S$304,$A93))</f>
        <v/>
      </c>
      <c r="E93" s="53" t="n"/>
      <c r="F93" s="53" t="n"/>
    </row>
    <row r="94" ht="16" customHeight="1">
      <c r="A94" s="48">
        <f>IFERROR(INDEX('契約台帳'!$S$1:$S$304,SMALL('契約台帳'!$AT$5:$AT$304,2))&amp;"","")</f>
        <v/>
      </c>
      <c r="B94" s="45">
        <f>IF($A94="","",COUNTIF('契約台帳'!$S$5:$S$304,$A94))</f>
        <v/>
      </c>
      <c r="C94" s="45">
        <f>IF($A94="","",SUMIFS('契約台帳'!$AP$5:$AP$304,'契約台帳'!$S$5:$S$304,$A94))</f>
        <v/>
      </c>
      <c r="D94" s="45">
        <f>IF($A94="","",SUMIFS('契約台帳'!$AQ$5:$AQ$304,'契約台帳'!$S$5:$S$304,$A94))</f>
        <v/>
      </c>
      <c r="E94" s="53" t="n"/>
      <c r="F94" s="53" t="n"/>
    </row>
    <row r="95" ht="16" customHeight="1">
      <c r="A95" s="48">
        <f>IFERROR(INDEX('契約台帳'!$S$1:$S$304,SMALL('契約台帳'!$AT$5:$AT$304,3))&amp;"","")</f>
        <v/>
      </c>
      <c r="B95" s="45">
        <f>IF($A95="","",COUNTIF('契約台帳'!$S$5:$S$304,$A95))</f>
        <v/>
      </c>
      <c r="C95" s="45">
        <f>IF($A95="","",SUMIFS('契約台帳'!$AP$5:$AP$304,'契約台帳'!$S$5:$S$304,$A95))</f>
        <v/>
      </c>
      <c r="D95" s="45">
        <f>IF($A95="","",SUMIFS('契約台帳'!$AQ$5:$AQ$304,'契約台帳'!$S$5:$S$304,$A95))</f>
        <v/>
      </c>
      <c r="E95" s="53" t="n"/>
      <c r="F95" s="53" t="n"/>
    </row>
    <row r="96" ht="16" customHeight="1">
      <c r="A96" s="48">
        <f>IFERROR(INDEX('契約台帳'!$S$1:$S$304,SMALL('契約台帳'!$AT$5:$AT$304,4))&amp;"","")</f>
        <v/>
      </c>
      <c r="B96" s="45">
        <f>IF($A96="","",COUNTIF('契約台帳'!$S$5:$S$304,$A96))</f>
        <v/>
      </c>
      <c r="C96" s="45">
        <f>IF($A96="","",SUMIFS('契約台帳'!$AP$5:$AP$304,'契約台帳'!$S$5:$S$304,$A96))</f>
        <v/>
      </c>
      <c r="D96" s="45">
        <f>IF($A96="","",SUMIFS('契約台帳'!$AQ$5:$AQ$304,'契約台帳'!$S$5:$S$304,$A96))</f>
        <v/>
      </c>
      <c r="E96" s="53" t="n"/>
      <c r="F96" s="53" t="n"/>
    </row>
    <row r="97" ht="16" customHeight="1">
      <c r="A97" s="48">
        <f>IFERROR(INDEX('契約台帳'!$S$1:$S$304,SMALL('契約台帳'!$AT$5:$AT$304,5))&amp;"","")</f>
        <v/>
      </c>
      <c r="B97" s="45">
        <f>IF($A97="","",COUNTIF('契約台帳'!$S$5:$S$304,$A97))</f>
        <v/>
      </c>
      <c r="C97" s="45">
        <f>IF($A97="","",SUMIFS('契約台帳'!$AP$5:$AP$304,'契約台帳'!$S$5:$S$304,$A97))</f>
        <v/>
      </c>
      <c r="D97" s="45">
        <f>IF($A97="","",SUMIFS('契約台帳'!$AQ$5:$AQ$304,'契約台帳'!$S$5:$S$304,$A97))</f>
        <v/>
      </c>
      <c r="E97" s="53" t="n"/>
      <c r="F97" s="53" t="n"/>
    </row>
    <row r="98" ht="16" customHeight="1">
      <c r="A98" s="48">
        <f>IFERROR(INDEX('契約台帳'!$S$1:$S$304,SMALL('契約台帳'!$AT$5:$AT$304,6))&amp;"","")</f>
        <v/>
      </c>
      <c r="B98" s="45">
        <f>IF($A98="","",COUNTIF('契約台帳'!$S$5:$S$304,$A98))</f>
        <v/>
      </c>
      <c r="C98" s="45">
        <f>IF($A98="","",SUMIFS('契約台帳'!$AP$5:$AP$304,'契約台帳'!$S$5:$S$304,$A98))</f>
        <v/>
      </c>
      <c r="D98" s="45">
        <f>IF($A98="","",SUMIFS('契約台帳'!$AQ$5:$AQ$304,'契約台帳'!$S$5:$S$304,$A98))</f>
        <v/>
      </c>
      <c r="E98" s="53" t="n"/>
      <c r="F98" s="53" t="n"/>
    </row>
    <row r="99" ht="16" customHeight="1">
      <c r="A99" s="48">
        <f>IFERROR(INDEX('契約台帳'!$S$1:$S$304,SMALL('契約台帳'!$AT$5:$AT$304,7))&amp;"","")</f>
        <v/>
      </c>
      <c r="B99" s="45">
        <f>IF($A99="","",COUNTIF('契約台帳'!$S$5:$S$304,$A99))</f>
        <v/>
      </c>
      <c r="C99" s="45">
        <f>IF($A99="","",SUMIFS('契約台帳'!$AP$5:$AP$304,'契約台帳'!$S$5:$S$304,$A99))</f>
        <v/>
      </c>
      <c r="D99" s="45">
        <f>IF($A99="","",SUMIFS('契約台帳'!$AQ$5:$AQ$304,'契約台帳'!$S$5:$S$304,$A99))</f>
        <v/>
      </c>
      <c r="E99" s="53" t="n"/>
      <c r="F99" s="53" t="n"/>
    </row>
    <row r="100" ht="16" customHeight="1">
      <c r="A100" s="48">
        <f>IFERROR(INDEX('契約台帳'!$S$1:$S$304,SMALL('契約台帳'!$AT$5:$AT$304,8))&amp;"","")</f>
        <v/>
      </c>
      <c r="B100" s="45">
        <f>IF($A100="","",COUNTIF('契約台帳'!$S$5:$S$304,$A100))</f>
        <v/>
      </c>
      <c r="C100" s="45">
        <f>IF($A100="","",SUMIFS('契約台帳'!$AP$5:$AP$304,'契約台帳'!$S$5:$S$304,$A100))</f>
        <v/>
      </c>
      <c r="D100" s="45">
        <f>IF($A100="","",SUMIFS('契約台帳'!$AQ$5:$AQ$304,'契約台帳'!$S$5:$S$304,$A100))</f>
        <v/>
      </c>
      <c r="E100" s="53" t="n"/>
      <c r="F100" s="53" t="n"/>
    </row>
    <row r="101" ht="16" customHeight="1">
      <c r="A101" s="48">
        <f>IFERROR(INDEX('契約台帳'!$S$1:$S$304,SMALL('契約台帳'!$AT$5:$AT$304,9))&amp;"","")</f>
        <v/>
      </c>
      <c r="B101" s="45">
        <f>IF($A101="","",COUNTIF('契約台帳'!$S$5:$S$304,$A101))</f>
        <v/>
      </c>
      <c r="C101" s="45">
        <f>IF($A101="","",SUMIFS('契約台帳'!$AP$5:$AP$304,'契約台帳'!$S$5:$S$304,$A101))</f>
        <v/>
      </c>
      <c r="D101" s="45">
        <f>IF($A101="","",SUMIFS('契約台帳'!$AQ$5:$AQ$304,'契約台帳'!$S$5:$S$304,$A101))</f>
        <v/>
      </c>
      <c r="E101" s="53" t="n"/>
      <c r="F101" s="53" t="n"/>
    </row>
    <row r="102" ht="16" customHeight="1">
      <c r="A102" s="48">
        <f>IFERROR(INDEX('契約台帳'!$S$1:$S$304,SMALL('契約台帳'!$AT$5:$AT$304,10))&amp;"","")</f>
        <v/>
      </c>
      <c r="B102" s="45">
        <f>IF($A102="","",COUNTIF('契約台帳'!$S$5:$S$304,$A102))</f>
        <v/>
      </c>
      <c r="C102" s="45">
        <f>IF($A102="","",SUMIFS('契約台帳'!$AP$5:$AP$304,'契約台帳'!$S$5:$S$304,$A102))</f>
        <v/>
      </c>
      <c r="D102" s="45">
        <f>IF($A102="","",SUMIFS('契約台帳'!$AQ$5:$AQ$304,'契約台帳'!$S$5:$S$304,$A102))</f>
        <v/>
      </c>
      <c r="E102" s="53" t="n"/>
      <c r="F102" s="53" t="n"/>
    </row>
    <row r="103" ht="16" customHeight="1">
      <c r="A103" s="48">
        <f>IFERROR(INDEX('契約台帳'!$S$1:$S$304,SMALL('契約台帳'!$AT$5:$AT$304,11))&amp;"","")</f>
        <v/>
      </c>
      <c r="B103" s="45">
        <f>IF($A103="","",COUNTIF('契約台帳'!$S$5:$S$304,$A103))</f>
        <v/>
      </c>
      <c r="C103" s="45">
        <f>IF($A103="","",SUMIFS('契約台帳'!$AP$5:$AP$304,'契約台帳'!$S$5:$S$304,$A103))</f>
        <v/>
      </c>
      <c r="D103" s="45">
        <f>IF($A103="","",SUMIFS('契約台帳'!$AQ$5:$AQ$304,'契約台帳'!$S$5:$S$304,$A103))</f>
        <v/>
      </c>
      <c r="E103" s="53" t="n"/>
      <c r="F103" s="53" t="n"/>
    </row>
    <row r="104" ht="16" customHeight="1">
      <c r="A104" s="48">
        <f>IFERROR(INDEX('契約台帳'!$S$1:$S$304,SMALL('契約台帳'!$AT$5:$AT$304,12))&amp;"","")</f>
        <v/>
      </c>
      <c r="B104" s="45">
        <f>IF($A104="","",COUNTIF('契約台帳'!$S$5:$S$304,$A104))</f>
        <v/>
      </c>
      <c r="C104" s="45">
        <f>IF($A104="","",SUMIFS('契約台帳'!$AP$5:$AP$304,'契約台帳'!$S$5:$S$304,$A104))</f>
        <v/>
      </c>
      <c r="D104" s="45">
        <f>IF($A104="","",SUMIFS('契約台帳'!$AQ$5:$AQ$304,'契約台帳'!$S$5:$S$304,$A104))</f>
        <v/>
      </c>
      <c r="E104" s="53" t="n"/>
      <c r="F104" s="53" t="n"/>
    </row>
    <row r="105" ht="16" customHeight="1">
      <c r="A105" s="48">
        <f>IFERROR(INDEX('契約台帳'!$S$1:$S$304,SMALL('契約台帳'!$AT$5:$AT$304,13))&amp;"","")</f>
        <v/>
      </c>
      <c r="B105" s="45">
        <f>IF($A105="","",COUNTIF('契約台帳'!$S$5:$S$304,$A105))</f>
        <v/>
      </c>
      <c r="C105" s="45">
        <f>IF($A105="","",SUMIFS('契約台帳'!$AP$5:$AP$304,'契約台帳'!$S$5:$S$304,$A105))</f>
        <v/>
      </c>
      <c r="D105" s="45">
        <f>IF($A105="","",SUMIFS('契約台帳'!$AQ$5:$AQ$304,'契約台帳'!$S$5:$S$304,$A105))</f>
        <v/>
      </c>
      <c r="E105" s="53" t="n"/>
      <c r="F105" s="53" t="n"/>
    </row>
    <row r="106" ht="16" customHeight="1">
      <c r="A106" s="48">
        <f>IFERROR(INDEX('契約台帳'!$S$1:$S$304,SMALL('契約台帳'!$AT$5:$AT$304,14))&amp;"","")</f>
        <v/>
      </c>
      <c r="B106" s="45">
        <f>IF($A106="","",COUNTIF('契約台帳'!$S$5:$S$304,$A106))</f>
        <v/>
      </c>
      <c r="C106" s="45">
        <f>IF($A106="","",SUMIFS('契約台帳'!$AP$5:$AP$304,'契約台帳'!$S$5:$S$304,$A106))</f>
        <v/>
      </c>
      <c r="D106" s="45">
        <f>IF($A106="","",SUMIFS('契約台帳'!$AQ$5:$AQ$304,'契約台帳'!$S$5:$S$304,$A106))</f>
        <v/>
      </c>
      <c r="E106" s="53" t="n"/>
      <c r="F106" s="53" t="n"/>
    </row>
    <row r="107" ht="16" customHeight="1">
      <c r="A107" s="48">
        <f>IFERROR(INDEX('契約台帳'!$S$1:$S$304,SMALL('契約台帳'!$AT$5:$AT$304,15))&amp;"","")</f>
        <v/>
      </c>
      <c r="B107" s="45">
        <f>IF($A107="","",COUNTIF('契約台帳'!$S$5:$S$304,$A107))</f>
        <v/>
      </c>
      <c r="C107" s="45">
        <f>IF($A107="","",SUMIFS('契約台帳'!$AP$5:$AP$304,'契約台帳'!$S$5:$S$304,$A107))</f>
        <v/>
      </c>
      <c r="D107" s="45">
        <f>IF($A107="","",SUMIFS('契約台帳'!$AQ$5:$AQ$304,'契約台帳'!$S$5:$S$304,$A107))</f>
        <v/>
      </c>
      <c r="E107" s="53" t="n"/>
      <c r="F107" s="53" t="n"/>
    </row>
    <row r="108">
      <c r="A108" s="56">
        <f>IF(COUNT('契約台帳'!$AT$5:$AT$304)&gt;15,"担当者が15人を超えています。16人目からはこの表に出ません。","")</f>
        <v/>
      </c>
      <c r="B108" s="53" t="n"/>
      <c r="C108" s="53" t="n"/>
      <c r="D108" s="53" t="n"/>
      <c r="E108" s="53" t="n"/>
      <c r="F108" s="53" t="n"/>
    </row>
    <row r="109">
      <c r="A109" s="53" t="n"/>
      <c r="B109" s="53" t="n"/>
      <c r="C109" s="53" t="n"/>
      <c r="D109" s="53" t="n"/>
      <c r="E109" s="53" t="n"/>
      <c r="F109" s="53" t="n"/>
    </row>
    <row r="110" ht="20" customHeight="1">
      <c r="A110" s="60" t="inlineStr">
        <is>
          <t>原本の保管場所別</t>
        </is>
      </c>
      <c r="B110" s="61" t="n"/>
      <c r="C110" s="61" t="n"/>
      <c r="D110" s="61" t="n"/>
      <c r="E110" s="61" t="n"/>
      <c r="F110" s="61" t="n"/>
    </row>
    <row r="111">
      <c r="A111" s="17" t="inlineStr">
        <is>
          <t>保管場所</t>
        </is>
      </c>
      <c r="B111" s="17" t="inlineStr">
        <is>
          <t>登録</t>
        </is>
      </c>
      <c r="C111" s="17" t="inlineStr">
        <is>
          <t>続いている</t>
        </is>
      </c>
      <c r="D111" s="53" t="n"/>
      <c r="E111" s="53" t="n"/>
      <c r="F111" s="53" t="n"/>
    </row>
    <row r="112" ht="16" customHeight="1">
      <c r="A112" s="48">
        <f>IF('設定'!$B$27="","",'設定'!$B$27)</f>
        <v/>
      </c>
      <c r="B112" s="45">
        <f>IF($A112="","",COUNTIF('契約台帳'!$R$5:$R$304,$A112))</f>
        <v/>
      </c>
      <c r="C112" s="45">
        <f>IF($A112="","",SUMIFS('契約台帳'!$AP$5:$AP$304,'契約台帳'!$R$5:$R$304,$A112))</f>
        <v/>
      </c>
      <c r="D112" s="53" t="n"/>
      <c r="E112" s="53" t="n"/>
      <c r="F112" s="53" t="n"/>
    </row>
    <row r="113" ht="16" customHeight="1">
      <c r="A113" s="48">
        <f>IF('設定'!$B$28="","",'設定'!$B$28)</f>
        <v/>
      </c>
      <c r="B113" s="45">
        <f>IF($A113="","",COUNTIF('契約台帳'!$R$5:$R$304,$A113))</f>
        <v/>
      </c>
      <c r="C113" s="45">
        <f>IF($A113="","",SUMIFS('契約台帳'!$AP$5:$AP$304,'契約台帳'!$R$5:$R$304,$A113))</f>
        <v/>
      </c>
      <c r="D113" s="53" t="n"/>
      <c r="E113" s="53" t="n"/>
      <c r="F113" s="53" t="n"/>
    </row>
    <row r="114" ht="16" customHeight="1">
      <c r="A114" s="48">
        <f>IF('設定'!$B$29="","",'設定'!$B$29)</f>
        <v/>
      </c>
      <c r="B114" s="45">
        <f>IF($A114="","",COUNTIF('契約台帳'!$R$5:$R$304,$A114))</f>
        <v/>
      </c>
      <c r="C114" s="45">
        <f>IF($A114="","",SUMIFS('契約台帳'!$AP$5:$AP$304,'契約台帳'!$R$5:$R$304,$A114))</f>
        <v/>
      </c>
      <c r="D114" s="53" t="n"/>
      <c r="E114" s="53" t="n"/>
      <c r="F114" s="53" t="n"/>
    </row>
    <row r="115" ht="16" customHeight="1">
      <c r="A115" s="48">
        <f>IF('設定'!$B$30="","",'設定'!$B$30)</f>
        <v/>
      </c>
      <c r="B115" s="45">
        <f>IF($A115="","",COUNTIF('契約台帳'!$R$5:$R$304,$A115))</f>
        <v/>
      </c>
      <c r="C115" s="45">
        <f>IF($A115="","",SUMIFS('契約台帳'!$AP$5:$AP$304,'契約台帳'!$R$5:$R$304,$A115))</f>
        <v/>
      </c>
      <c r="D115" s="53" t="n"/>
      <c r="E115" s="53" t="n"/>
      <c r="F115" s="53" t="n"/>
    </row>
    <row r="116" ht="16" customHeight="1">
      <c r="A116" s="48">
        <f>IF('設定'!$B$31="","",'設定'!$B$31)</f>
        <v/>
      </c>
      <c r="B116" s="45">
        <f>IF($A116="","",COUNTIF('契約台帳'!$R$5:$R$304,$A116))</f>
        <v/>
      </c>
      <c r="C116" s="45">
        <f>IF($A116="","",SUMIFS('契約台帳'!$AP$5:$AP$304,'契約台帳'!$R$5:$R$304,$A116))</f>
        <v/>
      </c>
      <c r="D116" s="53" t="n"/>
      <c r="E116" s="53" t="n"/>
      <c r="F116" s="53" t="n"/>
    </row>
    <row r="117" ht="16" customHeight="1">
      <c r="A117" s="48">
        <f>IF('設定'!$B$32="","",'設定'!$B$32)</f>
        <v/>
      </c>
      <c r="B117" s="45">
        <f>IF($A117="","",COUNTIF('契約台帳'!$R$5:$R$304,$A117))</f>
        <v/>
      </c>
      <c r="C117" s="45">
        <f>IF($A117="","",SUMIFS('契約台帳'!$AP$5:$AP$304,'契約台帳'!$R$5:$R$304,$A117))</f>
        <v/>
      </c>
      <c r="D117" s="53" t="n"/>
      <c r="E117" s="53" t="n"/>
      <c r="F117" s="53" t="n"/>
    </row>
    <row r="118" ht="16" customHeight="1">
      <c r="A118" s="48">
        <f>IF('設定'!$B$33="","",'設定'!$B$33)</f>
        <v/>
      </c>
      <c r="B118" s="45">
        <f>IF($A118="","",COUNTIF('契約台帳'!$R$5:$R$304,$A118))</f>
        <v/>
      </c>
      <c r="C118" s="45">
        <f>IF($A118="","",SUMIFS('契約台帳'!$AP$5:$AP$304,'契約台帳'!$R$5:$R$304,$A118))</f>
        <v/>
      </c>
      <c r="D118" s="53" t="n"/>
      <c r="E118" s="53" t="n"/>
      <c r="F118" s="53" t="n"/>
    </row>
    <row r="119" ht="16" customHeight="1">
      <c r="A119" s="48">
        <f>IF('設定'!$B$34="","",'設定'!$B$34)</f>
        <v/>
      </c>
      <c r="B119" s="45">
        <f>IF($A119="","",COUNTIF('契約台帳'!$R$5:$R$304,$A119))</f>
        <v/>
      </c>
      <c r="C119" s="45">
        <f>IF($A119="","",SUMIFS('契約台帳'!$AP$5:$AP$304,'契約台帳'!$R$5:$R$304,$A119))</f>
        <v/>
      </c>
      <c r="D119" s="53" t="n"/>
      <c r="E119" s="53" t="n"/>
      <c r="F119" s="53" t="n"/>
    </row>
    <row r="120" ht="16" customHeight="1">
      <c r="A120" s="48">
        <f>IF('設定'!$B$35="","",'設定'!$B$35)</f>
        <v/>
      </c>
      <c r="B120" s="45">
        <f>IF($A120="","",COUNTIF('契約台帳'!$R$5:$R$304,$A120))</f>
        <v/>
      </c>
      <c r="C120" s="45">
        <f>IF($A120="","",SUMIFS('契約台帳'!$AP$5:$AP$304,'契約台帳'!$R$5:$R$304,$A120))</f>
        <v/>
      </c>
      <c r="D120" s="53" t="n"/>
      <c r="E120" s="53" t="n"/>
      <c r="F120" s="53" t="n"/>
    </row>
    <row r="121" ht="16" customHeight="1">
      <c r="A121" s="48">
        <f>IF('設定'!$B$36="","",'設定'!$B$36)</f>
        <v/>
      </c>
      <c r="B121" s="45">
        <f>IF($A121="","",COUNTIF('契約台帳'!$R$5:$R$304,$A121))</f>
        <v/>
      </c>
      <c r="C121" s="45">
        <f>IF($A121="","",SUMIFS('契約台帳'!$AP$5:$AP$304,'契約台帳'!$R$5:$R$304,$A121))</f>
        <v/>
      </c>
      <c r="D121" s="53" t="n"/>
      <c r="E121" s="53" t="n"/>
      <c r="F121" s="53" t="n"/>
    </row>
    <row r="122" ht="16" customHeight="1">
      <c r="A122" s="48">
        <f>IF('設定'!$B$37="","",'設定'!$B$37)</f>
        <v/>
      </c>
      <c r="B122" s="45">
        <f>IF($A122="","",COUNTIF('契約台帳'!$R$5:$R$304,$A122))</f>
        <v/>
      </c>
      <c r="C122" s="45">
        <f>IF($A122="","",SUMIFS('契約台帳'!$AP$5:$AP$304,'契約台帳'!$R$5:$R$304,$A122))</f>
        <v/>
      </c>
      <c r="D122" s="53" t="n"/>
      <c r="E122" s="53" t="n"/>
      <c r="F122" s="53" t="n"/>
    </row>
    <row r="123" ht="16" customHeight="1">
      <c r="A123" s="48">
        <f>IF('設定'!$B$38="","",'設定'!$B$38)</f>
        <v/>
      </c>
      <c r="B123" s="45">
        <f>IF($A123="","",COUNTIF('契約台帳'!$R$5:$R$304,$A123))</f>
        <v/>
      </c>
      <c r="C123" s="45">
        <f>IF($A123="","",SUMIFS('契約台帳'!$AP$5:$AP$304,'契約台帳'!$R$5:$R$304,$A123))</f>
        <v/>
      </c>
      <c r="D123" s="53" t="n"/>
      <c r="E123" s="53" t="n"/>
      <c r="F123" s="53" t="n"/>
    </row>
    <row r="124" ht="16" customHeight="1">
      <c r="A124" s="48">
        <f>IF('設定'!$B$39="","",'設定'!$B$39)</f>
        <v/>
      </c>
      <c r="B124" s="45">
        <f>IF($A124="","",COUNTIF('契約台帳'!$R$5:$R$304,$A124))</f>
        <v/>
      </c>
      <c r="C124" s="45">
        <f>IF($A124="","",SUMIFS('契約台帳'!$AP$5:$AP$304,'契約台帳'!$R$5:$R$304,$A124))</f>
        <v/>
      </c>
      <c r="D124" s="53" t="n"/>
      <c r="E124" s="53" t="n"/>
      <c r="F124" s="53" t="n"/>
    </row>
    <row r="125" ht="16" customHeight="1">
      <c r="A125" s="48">
        <f>IF('設定'!$B$40="","",'設定'!$B$40)</f>
        <v/>
      </c>
      <c r="B125" s="45">
        <f>IF($A125="","",COUNTIF('契約台帳'!$R$5:$R$304,$A125))</f>
        <v/>
      </c>
      <c r="C125" s="45">
        <f>IF($A125="","",SUMIFS('契約台帳'!$AP$5:$AP$304,'契約台帳'!$R$5:$R$304,$A125))</f>
        <v/>
      </c>
      <c r="D125" s="53" t="n"/>
      <c r="E125" s="53" t="n"/>
      <c r="F125" s="53" t="n"/>
    </row>
    <row r="126" ht="16" customHeight="1">
      <c r="A126" s="48">
        <f>IF('設定'!$B$41="","",'設定'!$B$41)</f>
        <v/>
      </c>
      <c r="B126" s="45">
        <f>IF($A126="","",COUNTIF('契約台帳'!$R$5:$R$304,$A126))</f>
        <v/>
      </c>
      <c r="C126" s="45">
        <f>IF($A126="","",SUMIFS('契約台帳'!$AP$5:$AP$304,'契約台帳'!$R$5:$R$304,$A126))</f>
        <v/>
      </c>
      <c r="D126" s="53" t="n"/>
      <c r="E126" s="53" t="n"/>
      <c r="F126" s="53" t="n"/>
    </row>
    <row r="127" ht="16" customHeight="1">
      <c r="A127" s="30" t="inlineStr">
        <is>
          <t>（保管場所が空欄・一覧にない）</t>
        </is>
      </c>
      <c r="B127" s="45">
        <f>COUNTIF('契約台帳'!$AC$5:$AC$304,"?*")-SUM(B112:B126)</f>
        <v/>
      </c>
      <c r="C127" s="45">
        <f>SUM('契約台帳'!$AP$5:$AP$304)-SUM(C112:C126)</f>
        <v/>
      </c>
      <c r="D127" s="53" t="n"/>
      <c r="E127" s="53" t="n"/>
      <c r="F127" s="53" t="n"/>
    </row>
  </sheetData>
  <mergeCells count="20">
    <mergeCell ref="C8:F8"/>
    <mergeCell ref="A108:F108"/>
    <mergeCell ref="A27:F27"/>
    <mergeCell ref="A89:F89"/>
    <mergeCell ref="A2:F2"/>
    <mergeCell ref="A47:F47"/>
    <mergeCell ref="C15:F15"/>
    <mergeCell ref="A17:F17"/>
    <mergeCell ref="A91:F91"/>
    <mergeCell ref="C25:F25"/>
    <mergeCell ref="C10:F10"/>
    <mergeCell ref="C22:F22"/>
    <mergeCell ref="C9:F9"/>
    <mergeCell ref="B3:D3"/>
    <mergeCell ref="A1:F1"/>
    <mergeCell ref="C12:F12"/>
    <mergeCell ref="A110:F110"/>
    <mergeCell ref="C21:F21"/>
    <mergeCell ref="C11:F11"/>
    <mergeCell ref="A7:F7"/>
  </mergeCells>
  <conditionalFormatting sqref="B10">
    <cfRule type="expression" priority="1" dxfId="0">
      <formula>AND(ISNUMBER(B10),B10&gt;0)</formula>
    </cfRule>
  </conditionalFormatting>
  <conditionalFormatting sqref="B9">
    <cfRule type="expression" priority="2" dxfId="1">
      <formula>AND(ISNUMBER(B9),B9&gt;0)</formula>
    </cfRule>
  </conditionalFormatting>
  <pageMargins left="0.4" right="0.4" top="0.4" bottom="0.4" header="0.2" footer="0.2"/>
  <pageSetup orientation="portrait" paperSize="9" fitToHeight="0" fitToWidth="1"/>
</worksheet>
</file>

<file path=xl/worksheets/sheet6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P35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7.5" customWidth="1" min="2" max="2"/>
    <col width="22" customWidth="1" min="3" max="3"/>
    <col width="13.5" customWidth="1" min="4" max="4"/>
    <col width="19" customWidth="1" min="5" max="5"/>
    <col width="11" customWidth="1" min="6" max="6"/>
    <col width="11" customWidth="1" min="7" max="7"/>
    <col width="11" customWidth="1" min="8" max="8"/>
    <col width="11.5" customWidth="1" min="9" max="9"/>
    <col width="11" customWidth="1" min="10" max="10"/>
    <col width="8" customWidth="1" min="11" max="11"/>
    <col width="14" customWidth="1" min="12" max="12"/>
    <col width="5.5" customWidth="1" min="13" max="13"/>
    <col width="13" customWidth="1" min="14" max="14"/>
    <col width="12" customWidth="1" min="15" max="15"/>
    <col width="12" customWidth="1" min="16" max="16"/>
  </cols>
  <sheetData>
    <row r="1" ht="26" customHeight="1">
      <c r="A1" s="52" t="inlineStr">
        <is>
          <t>契約書管理台帳（記入例）</t>
        </is>
      </c>
      <c r="B1" s="53" t="n"/>
      <c r="C1" s="53" t="n"/>
      <c r="D1" s="53" t="n"/>
      <c r="E1" s="53" t="n"/>
      <c r="F1" s="53" t="n"/>
      <c r="G1" s="53" t="n"/>
      <c r="H1" s="53" t="n"/>
      <c r="I1" s="53" t="n"/>
      <c r="J1" s="53" t="n"/>
      <c r="K1" s="53" t="n"/>
      <c r="L1" s="53" t="n"/>
      <c r="M1" s="53" t="n"/>
      <c r="N1" s="53" t="n"/>
      <c r="O1" s="53" t="n"/>
      <c r="P1" s="53" t="n"/>
    </row>
    <row r="2" ht="22" customHeight="1">
      <c r="A2" s="57" t="inlineStr">
        <is>
          <t>会社名</t>
        </is>
      </c>
      <c r="B2" s="65" t="n"/>
      <c r="C2" s="49">
        <f>IF('設定'!$B$4="","",'設定'!$B$4)</f>
        <v/>
      </c>
      <c r="D2" s="64" t="n"/>
      <c r="E2" s="65" t="n"/>
      <c r="F2" s="57" t="inlineStr">
        <is>
          <t>基準日</t>
        </is>
      </c>
      <c r="G2" s="75">
        <f>IF('設定'!$B$5="","",'設定'!$B$5)</f>
        <v/>
      </c>
      <c r="H2" s="65" t="n"/>
      <c r="I2" s="56" t="inlineStr">
        <is>
          <t>契約台帳の主な欄を並べた印刷用です（ここには入力しません）。手書きで使うときは空欄のまま印刷します。</t>
        </is>
      </c>
      <c r="J2" s="53" t="n"/>
      <c r="K2" s="53" t="n"/>
      <c r="L2" s="53" t="n"/>
      <c r="M2" s="53" t="n"/>
      <c r="N2" s="53" t="n"/>
      <c r="O2" s="53" t="n"/>
      <c r="P2" s="53" t="n"/>
    </row>
    <row r="3" ht="26" customHeight="1">
      <c r="A3" s="56" t="inlineStr">
        <is>
          <t>通知期限＝今の期間の満了日から、契約書に書いてある通知期間（「満了の○か月前までに通知」の○）をさかのぼった日。自動更新の契約は、満了日を過ぎたら次の期間の満了日と通知期限を書き直します。</t>
        </is>
      </c>
      <c r="B3" s="53" t="n"/>
      <c r="C3" s="53" t="n"/>
      <c r="D3" s="53" t="n"/>
      <c r="E3" s="53" t="n"/>
      <c r="F3" s="53" t="n"/>
      <c r="G3" s="53" t="n"/>
      <c r="H3" s="53" t="n"/>
      <c r="I3" s="53" t="n"/>
      <c r="J3" s="53" t="n"/>
      <c r="K3" s="53" t="n"/>
      <c r="L3" s="53" t="n"/>
      <c r="M3" s="53" t="n"/>
      <c r="N3" s="53" t="n"/>
      <c r="O3" s="53" t="n"/>
      <c r="P3" s="53" t="n"/>
    </row>
    <row r="4" ht="30" customHeight="1">
      <c r="A4" s="17" t="inlineStr">
        <is>
          <t>No.</t>
        </is>
      </c>
      <c r="B4" s="17" t="inlineStr">
        <is>
          <t>管理番号</t>
        </is>
      </c>
      <c r="C4" s="17" t="inlineStr">
        <is>
          <t>契約書の名称</t>
        </is>
      </c>
      <c r="D4" s="17" t="inlineStr">
        <is>
          <t>種類</t>
        </is>
      </c>
      <c r="E4" s="17" t="inlineStr">
        <is>
          <t>契約先</t>
        </is>
      </c>
      <c r="F4" s="17" t="inlineStr">
        <is>
          <t>締結日</t>
        </is>
      </c>
      <c r="G4" s="17" t="inlineStr">
        <is>
          <t>開始日</t>
        </is>
      </c>
      <c r="H4" s="17" t="inlineStr">
        <is>
          <t>満了日（今の期間）</t>
        </is>
      </c>
      <c r="I4" s="17" t="inlineStr">
        <is>
          <t>自動更新</t>
        </is>
      </c>
      <c r="J4" s="17" t="inlineStr">
        <is>
          <t>通知期限</t>
        </is>
      </c>
      <c r="K4" s="17" t="inlineStr">
        <is>
          <t>解約予告</t>
        </is>
      </c>
      <c r="L4" s="17" t="inlineStr">
        <is>
          <t>金額</t>
        </is>
      </c>
      <c r="M4" s="17" t="inlineStr">
        <is>
          <t>紙・電子</t>
        </is>
      </c>
      <c r="N4" s="17" t="inlineStr">
        <is>
          <t>原本の保管場所</t>
        </is>
      </c>
      <c r="O4" s="17" t="inlineStr">
        <is>
          <t>担当者</t>
        </is>
      </c>
      <c r="P4" s="17" t="inlineStr">
        <is>
          <t>状態</t>
        </is>
      </c>
    </row>
    <row r="5" ht="21" customHeight="1">
      <c r="A5" s="51" t="n">
        <v>1</v>
      </c>
      <c r="B5" s="36">
        <f>IF('契約台帳'!$B$5="","",'契約台帳'!$B$5)</f>
        <v/>
      </c>
      <c r="C5" s="39">
        <f>IF('契約台帳'!$C$5="","",'契約台帳'!$C$5)</f>
        <v/>
      </c>
      <c r="D5" s="36">
        <f>IF('契約台帳'!$D$5="","",'契約台帳'!$D$5)</f>
        <v/>
      </c>
      <c r="E5" s="39">
        <f>IF('契約台帳'!$E$5="","",'契約台帳'!$E$5)</f>
        <v/>
      </c>
      <c r="F5" s="75">
        <f>IF('契約台帳'!$F$5="","",'契約台帳'!$F$5)</f>
        <v/>
      </c>
      <c r="G5" s="75">
        <f>IF('契約台帳'!$G$5="","",'契約台帳'!$G$5)</f>
        <v/>
      </c>
      <c r="H5" s="75">
        <f>IF('契約台帳'!$Y$5="","",'契約台帳'!$Y$5)</f>
        <v/>
      </c>
      <c r="I5" s="36">
        <f>IF('契約台帳'!$I$5="","",'契約台帳'!$I$5&amp;IF(ISNUMBER('契約台帳'!$J$5),"・"&amp;'契約台帳'!$J$5&amp;"か月",""))</f>
        <v/>
      </c>
      <c r="J5" s="75">
        <f>IF('契約台帳'!$Z$5="","",'契約台帳'!$Z$5)</f>
        <v/>
      </c>
      <c r="K5" s="36">
        <f>IF(ISNUMBER('契約台帳'!$M$5),'契約台帳'!$M$5&amp;IF('契約台帳'!$N$5="","か月前",'契約台帳'!$N$5),"")</f>
        <v/>
      </c>
      <c r="L5" s="39">
        <f>IF(ISNUMBER('契約台帳'!$O$5),IF('契約台帳'!$P$5="","",'契約台帳'!$P$5&amp;" ")&amp;FIXED('契約台帳'!$O$5,0)&amp;"円",IF('契約台帳'!$P$5="","",'契約台帳'!$P$5))</f>
        <v/>
      </c>
      <c r="M5" s="36">
        <f>IF('契約台帳'!$Q$5="","",'契約台帳'!$Q$5)</f>
        <v/>
      </c>
      <c r="N5" s="39">
        <f>IF('契約台帳'!$R$5="","",'契約台帳'!$R$5)</f>
        <v/>
      </c>
      <c r="O5" s="36">
        <f>IF('契約台帳'!$S$5="","",'契約台帳'!$S$5)</f>
        <v/>
      </c>
      <c r="P5" s="36">
        <f>IF('契約台帳'!$AC$5="","",'契約台帳'!$AC$5)</f>
        <v/>
      </c>
    </row>
    <row r="6" ht="21" customHeight="1">
      <c r="A6" s="51" t="n">
        <v>2</v>
      </c>
      <c r="B6" s="36">
        <f>IF('契約台帳'!$B$6="","",'契約台帳'!$B$6)</f>
        <v/>
      </c>
      <c r="C6" s="39">
        <f>IF('契約台帳'!$C$6="","",'契約台帳'!$C$6)</f>
        <v/>
      </c>
      <c r="D6" s="36">
        <f>IF('契約台帳'!$D$6="","",'契約台帳'!$D$6)</f>
        <v/>
      </c>
      <c r="E6" s="39">
        <f>IF('契約台帳'!$E$6="","",'契約台帳'!$E$6)</f>
        <v/>
      </c>
      <c r="F6" s="75">
        <f>IF('契約台帳'!$F$6="","",'契約台帳'!$F$6)</f>
        <v/>
      </c>
      <c r="G6" s="75">
        <f>IF('契約台帳'!$G$6="","",'契約台帳'!$G$6)</f>
        <v/>
      </c>
      <c r="H6" s="75">
        <f>IF('契約台帳'!$Y$6="","",'契約台帳'!$Y$6)</f>
        <v/>
      </c>
      <c r="I6" s="36">
        <f>IF('契約台帳'!$I$6="","",'契約台帳'!$I$6&amp;IF(ISNUMBER('契約台帳'!$J$6),"・"&amp;'契約台帳'!$J$6&amp;"か月",""))</f>
        <v/>
      </c>
      <c r="J6" s="75">
        <f>IF('契約台帳'!$Z$6="","",'契約台帳'!$Z$6)</f>
        <v/>
      </c>
      <c r="K6" s="36">
        <f>IF(ISNUMBER('契約台帳'!$M$6),'契約台帳'!$M$6&amp;IF('契約台帳'!$N$6="","か月前",'契約台帳'!$N$6),"")</f>
        <v/>
      </c>
      <c r="L6" s="39">
        <f>IF(ISNUMBER('契約台帳'!$O$6),IF('契約台帳'!$P$6="","",'契約台帳'!$P$6&amp;" ")&amp;FIXED('契約台帳'!$O$6,0)&amp;"円",IF('契約台帳'!$P$6="","",'契約台帳'!$P$6))</f>
        <v/>
      </c>
      <c r="M6" s="36">
        <f>IF('契約台帳'!$Q$6="","",'契約台帳'!$Q$6)</f>
        <v/>
      </c>
      <c r="N6" s="39">
        <f>IF('契約台帳'!$R$6="","",'契約台帳'!$R$6)</f>
        <v/>
      </c>
      <c r="O6" s="36">
        <f>IF('契約台帳'!$S$6="","",'契約台帳'!$S$6)</f>
        <v/>
      </c>
      <c r="P6" s="36">
        <f>IF('契約台帳'!$AC$6="","",'契約台帳'!$AC$6)</f>
        <v/>
      </c>
    </row>
    <row r="7" ht="21" customHeight="1">
      <c r="A7" s="51" t="n">
        <v>3</v>
      </c>
      <c r="B7" s="36">
        <f>IF('契約台帳'!$B$7="","",'契約台帳'!$B$7)</f>
        <v/>
      </c>
      <c r="C7" s="39">
        <f>IF('契約台帳'!$C$7="","",'契約台帳'!$C$7)</f>
        <v/>
      </c>
      <c r="D7" s="36">
        <f>IF('契約台帳'!$D$7="","",'契約台帳'!$D$7)</f>
        <v/>
      </c>
      <c r="E7" s="39">
        <f>IF('契約台帳'!$E$7="","",'契約台帳'!$E$7)</f>
        <v/>
      </c>
      <c r="F7" s="75">
        <f>IF('契約台帳'!$F$7="","",'契約台帳'!$F$7)</f>
        <v/>
      </c>
      <c r="G7" s="75">
        <f>IF('契約台帳'!$G$7="","",'契約台帳'!$G$7)</f>
        <v/>
      </c>
      <c r="H7" s="75">
        <f>IF('契約台帳'!$Y$7="","",'契約台帳'!$Y$7)</f>
        <v/>
      </c>
      <c r="I7" s="36">
        <f>IF('契約台帳'!$I$7="","",'契約台帳'!$I$7&amp;IF(ISNUMBER('契約台帳'!$J$7),"・"&amp;'契約台帳'!$J$7&amp;"か月",""))</f>
        <v/>
      </c>
      <c r="J7" s="75">
        <f>IF('契約台帳'!$Z$7="","",'契約台帳'!$Z$7)</f>
        <v/>
      </c>
      <c r="K7" s="36">
        <f>IF(ISNUMBER('契約台帳'!$M$7),'契約台帳'!$M$7&amp;IF('契約台帳'!$N$7="","か月前",'契約台帳'!$N$7),"")</f>
        <v/>
      </c>
      <c r="L7" s="39">
        <f>IF(ISNUMBER('契約台帳'!$O$7),IF('契約台帳'!$P$7="","",'契約台帳'!$P$7&amp;" ")&amp;FIXED('契約台帳'!$O$7,0)&amp;"円",IF('契約台帳'!$P$7="","",'契約台帳'!$P$7))</f>
        <v/>
      </c>
      <c r="M7" s="36">
        <f>IF('契約台帳'!$Q$7="","",'契約台帳'!$Q$7)</f>
        <v/>
      </c>
      <c r="N7" s="39">
        <f>IF('契約台帳'!$R$7="","",'契約台帳'!$R$7)</f>
        <v/>
      </c>
      <c r="O7" s="36">
        <f>IF('契約台帳'!$S$7="","",'契約台帳'!$S$7)</f>
        <v/>
      </c>
      <c r="P7" s="36">
        <f>IF('契約台帳'!$AC$7="","",'契約台帳'!$AC$7)</f>
        <v/>
      </c>
    </row>
    <row r="8" ht="21" customHeight="1">
      <c r="A8" s="51" t="n">
        <v>4</v>
      </c>
      <c r="B8" s="36">
        <f>IF('契約台帳'!$B$8="","",'契約台帳'!$B$8)</f>
        <v/>
      </c>
      <c r="C8" s="39">
        <f>IF('契約台帳'!$C$8="","",'契約台帳'!$C$8)</f>
        <v/>
      </c>
      <c r="D8" s="36">
        <f>IF('契約台帳'!$D$8="","",'契約台帳'!$D$8)</f>
        <v/>
      </c>
      <c r="E8" s="39">
        <f>IF('契約台帳'!$E$8="","",'契約台帳'!$E$8)</f>
        <v/>
      </c>
      <c r="F8" s="75">
        <f>IF('契約台帳'!$F$8="","",'契約台帳'!$F$8)</f>
        <v/>
      </c>
      <c r="G8" s="75">
        <f>IF('契約台帳'!$G$8="","",'契約台帳'!$G$8)</f>
        <v/>
      </c>
      <c r="H8" s="75">
        <f>IF('契約台帳'!$Y$8="","",'契約台帳'!$Y$8)</f>
        <v/>
      </c>
      <c r="I8" s="36">
        <f>IF('契約台帳'!$I$8="","",'契約台帳'!$I$8&amp;IF(ISNUMBER('契約台帳'!$J$8),"・"&amp;'契約台帳'!$J$8&amp;"か月",""))</f>
        <v/>
      </c>
      <c r="J8" s="75">
        <f>IF('契約台帳'!$Z$8="","",'契約台帳'!$Z$8)</f>
        <v/>
      </c>
      <c r="K8" s="36">
        <f>IF(ISNUMBER('契約台帳'!$M$8),'契約台帳'!$M$8&amp;IF('契約台帳'!$N$8="","か月前",'契約台帳'!$N$8),"")</f>
        <v/>
      </c>
      <c r="L8" s="39">
        <f>IF(ISNUMBER('契約台帳'!$O$8),IF('契約台帳'!$P$8="","",'契約台帳'!$P$8&amp;" ")&amp;FIXED('契約台帳'!$O$8,0)&amp;"円",IF('契約台帳'!$P$8="","",'契約台帳'!$P$8))</f>
        <v/>
      </c>
      <c r="M8" s="36">
        <f>IF('契約台帳'!$Q$8="","",'契約台帳'!$Q$8)</f>
        <v/>
      </c>
      <c r="N8" s="39">
        <f>IF('契約台帳'!$R$8="","",'契約台帳'!$R$8)</f>
        <v/>
      </c>
      <c r="O8" s="36">
        <f>IF('契約台帳'!$S$8="","",'契約台帳'!$S$8)</f>
        <v/>
      </c>
      <c r="P8" s="36">
        <f>IF('契約台帳'!$AC$8="","",'契約台帳'!$AC$8)</f>
        <v/>
      </c>
    </row>
    <row r="9" ht="21" customHeight="1">
      <c r="A9" s="51" t="n">
        <v>5</v>
      </c>
      <c r="B9" s="36">
        <f>IF('契約台帳'!$B$9="","",'契約台帳'!$B$9)</f>
        <v/>
      </c>
      <c r="C9" s="39">
        <f>IF('契約台帳'!$C$9="","",'契約台帳'!$C$9)</f>
        <v/>
      </c>
      <c r="D9" s="36">
        <f>IF('契約台帳'!$D$9="","",'契約台帳'!$D$9)</f>
        <v/>
      </c>
      <c r="E9" s="39">
        <f>IF('契約台帳'!$E$9="","",'契約台帳'!$E$9)</f>
        <v/>
      </c>
      <c r="F9" s="75">
        <f>IF('契約台帳'!$F$9="","",'契約台帳'!$F$9)</f>
        <v/>
      </c>
      <c r="G9" s="75">
        <f>IF('契約台帳'!$G$9="","",'契約台帳'!$G$9)</f>
        <v/>
      </c>
      <c r="H9" s="75">
        <f>IF('契約台帳'!$Y$9="","",'契約台帳'!$Y$9)</f>
        <v/>
      </c>
      <c r="I9" s="36">
        <f>IF('契約台帳'!$I$9="","",'契約台帳'!$I$9&amp;IF(ISNUMBER('契約台帳'!$J$9),"・"&amp;'契約台帳'!$J$9&amp;"か月",""))</f>
        <v/>
      </c>
      <c r="J9" s="75">
        <f>IF('契約台帳'!$Z$9="","",'契約台帳'!$Z$9)</f>
        <v/>
      </c>
      <c r="K9" s="36">
        <f>IF(ISNUMBER('契約台帳'!$M$9),'契約台帳'!$M$9&amp;IF('契約台帳'!$N$9="","か月前",'契約台帳'!$N$9),"")</f>
        <v/>
      </c>
      <c r="L9" s="39">
        <f>IF(ISNUMBER('契約台帳'!$O$9),IF('契約台帳'!$P$9="","",'契約台帳'!$P$9&amp;" ")&amp;FIXED('契約台帳'!$O$9,0)&amp;"円",IF('契約台帳'!$P$9="","",'契約台帳'!$P$9))</f>
        <v/>
      </c>
      <c r="M9" s="36">
        <f>IF('契約台帳'!$Q$9="","",'契約台帳'!$Q$9)</f>
        <v/>
      </c>
      <c r="N9" s="39">
        <f>IF('契約台帳'!$R$9="","",'契約台帳'!$R$9)</f>
        <v/>
      </c>
      <c r="O9" s="36">
        <f>IF('契約台帳'!$S$9="","",'契約台帳'!$S$9)</f>
        <v/>
      </c>
      <c r="P9" s="36">
        <f>IF('契約台帳'!$AC$9="","",'契約台帳'!$AC$9)</f>
        <v/>
      </c>
    </row>
    <row r="10" ht="21" customHeight="1">
      <c r="A10" s="51" t="n">
        <v>6</v>
      </c>
      <c r="B10" s="36">
        <f>IF('契約台帳'!$B$10="","",'契約台帳'!$B$10)</f>
        <v/>
      </c>
      <c r="C10" s="39">
        <f>IF('契約台帳'!$C$10="","",'契約台帳'!$C$10)</f>
        <v/>
      </c>
      <c r="D10" s="36">
        <f>IF('契約台帳'!$D$10="","",'契約台帳'!$D$10)</f>
        <v/>
      </c>
      <c r="E10" s="39">
        <f>IF('契約台帳'!$E$10="","",'契約台帳'!$E$10)</f>
        <v/>
      </c>
      <c r="F10" s="75">
        <f>IF('契約台帳'!$F$10="","",'契約台帳'!$F$10)</f>
        <v/>
      </c>
      <c r="G10" s="75">
        <f>IF('契約台帳'!$G$10="","",'契約台帳'!$G$10)</f>
        <v/>
      </c>
      <c r="H10" s="75">
        <f>IF('契約台帳'!$Y$10="","",'契約台帳'!$Y$10)</f>
        <v/>
      </c>
      <c r="I10" s="36">
        <f>IF('契約台帳'!$I$10="","",'契約台帳'!$I$10&amp;IF(ISNUMBER('契約台帳'!$J$10),"・"&amp;'契約台帳'!$J$10&amp;"か月",""))</f>
        <v/>
      </c>
      <c r="J10" s="75">
        <f>IF('契約台帳'!$Z$10="","",'契約台帳'!$Z$10)</f>
        <v/>
      </c>
      <c r="K10" s="36">
        <f>IF(ISNUMBER('契約台帳'!$M$10),'契約台帳'!$M$10&amp;IF('契約台帳'!$N$10="","か月前",'契約台帳'!$N$10),"")</f>
        <v/>
      </c>
      <c r="L10" s="39">
        <f>IF(ISNUMBER('契約台帳'!$O$10),IF('契約台帳'!$P$10="","",'契約台帳'!$P$10&amp;" ")&amp;FIXED('契約台帳'!$O$10,0)&amp;"円",IF('契約台帳'!$P$10="","",'契約台帳'!$P$10))</f>
        <v/>
      </c>
      <c r="M10" s="36">
        <f>IF('契約台帳'!$Q$10="","",'契約台帳'!$Q$10)</f>
        <v/>
      </c>
      <c r="N10" s="39">
        <f>IF('契約台帳'!$R$10="","",'契約台帳'!$R$10)</f>
        <v/>
      </c>
      <c r="O10" s="36">
        <f>IF('契約台帳'!$S$10="","",'契約台帳'!$S$10)</f>
        <v/>
      </c>
      <c r="P10" s="36">
        <f>IF('契約台帳'!$AC$10="","",'契約台帳'!$AC$10)</f>
        <v/>
      </c>
    </row>
    <row r="11" ht="21" customHeight="1">
      <c r="A11" s="51" t="n">
        <v>7</v>
      </c>
      <c r="B11" s="36">
        <f>IF('契約台帳'!$B$11="","",'契約台帳'!$B$11)</f>
        <v/>
      </c>
      <c r="C11" s="39">
        <f>IF('契約台帳'!$C$11="","",'契約台帳'!$C$11)</f>
        <v/>
      </c>
      <c r="D11" s="36">
        <f>IF('契約台帳'!$D$11="","",'契約台帳'!$D$11)</f>
        <v/>
      </c>
      <c r="E11" s="39">
        <f>IF('契約台帳'!$E$11="","",'契約台帳'!$E$11)</f>
        <v/>
      </c>
      <c r="F11" s="75">
        <f>IF('契約台帳'!$F$11="","",'契約台帳'!$F$11)</f>
        <v/>
      </c>
      <c r="G11" s="75">
        <f>IF('契約台帳'!$G$11="","",'契約台帳'!$G$11)</f>
        <v/>
      </c>
      <c r="H11" s="75">
        <f>IF('契約台帳'!$Y$11="","",'契約台帳'!$Y$11)</f>
        <v/>
      </c>
      <c r="I11" s="36">
        <f>IF('契約台帳'!$I$11="","",'契約台帳'!$I$11&amp;IF(ISNUMBER('契約台帳'!$J$11),"・"&amp;'契約台帳'!$J$11&amp;"か月",""))</f>
        <v/>
      </c>
      <c r="J11" s="75">
        <f>IF('契約台帳'!$Z$11="","",'契約台帳'!$Z$11)</f>
        <v/>
      </c>
      <c r="K11" s="36">
        <f>IF(ISNUMBER('契約台帳'!$M$11),'契約台帳'!$M$11&amp;IF('契約台帳'!$N$11="","か月前",'契約台帳'!$N$11),"")</f>
        <v/>
      </c>
      <c r="L11" s="39">
        <f>IF(ISNUMBER('契約台帳'!$O$11),IF('契約台帳'!$P$11="","",'契約台帳'!$P$11&amp;" ")&amp;FIXED('契約台帳'!$O$11,0)&amp;"円",IF('契約台帳'!$P$11="","",'契約台帳'!$P$11))</f>
        <v/>
      </c>
      <c r="M11" s="36">
        <f>IF('契約台帳'!$Q$11="","",'契約台帳'!$Q$11)</f>
        <v/>
      </c>
      <c r="N11" s="39">
        <f>IF('契約台帳'!$R$11="","",'契約台帳'!$R$11)</f>
        <v/>
      </c>
      <c r="O11" s="36">
        <f>IF('契約台帳'!$S$11="","",'契約台帳'!$S$11)</f>
        <v/>
      </c>
      <c r="P11" s="36">
        <f>IF('契約台帳'!$AC$11="","",'契約台帳'!$AC$11)</f>
        <v/>
      </c>
    </row>
    <row r="12" ht="21" customHeight="1">
      <c r="A12" s="51" t="n">
        <v>8</v>
      </c>
      <c r="B12" s="36">
        <f>IF('契約台帳'!$B$12="","",'契約台帳'!$B$12)</f>
        <v/>
      </c>
      <c r="C12" s="39">
        <f>IF('契約台帳'!$C$12="","",'契約台帳'!$C$12)</f>
        <v/>
      </c>
      <c r="D12" s="36">
        <f>IF('契約台帳'!$D$12="","",'契約台帳'!$D$12)</f>
        <v/>
      </c>
      <c r="E12" s="39">
        <f>IF('契約台帳'!$E$12="","",'契約台帳'!$E$12)</f>
        <v/>
      </c>
      <c r="F12" s="75">
        <f>IF('契約台帳'!$F$12="","",'契約台帳'!$F$12)</f>
        <v/>
      </c>
      <c r="G12" s="75">
        <f>IF('契約台帳'!$G$12="","",'契約台帳'!$G$12)</f>
        <v/>
      </c>
      <c r="H12" s="75">
        <f>IF('契約台帳'!$Y$12="","",'契約台帳'!$Y$12)</f>
        <v/>
      </c>
      <c r="I12" s="36">
        <f>IF('契約台帳'!$I$12="","",'契約台帳'!$I$12&amp;IF(ISNUMBER('契約台帳'!$J$12),"・"&amp;'契約台帳'!$J$12&amp;"か月",""))</f>
        <v/>
      </c>
      <c r="J12" s="75">
        <f>IF('契約台帳'!$Z$12="","",'契約台帳'!$Z$12)</f>
        <v/>
      </c>
      <c r="K12" s="36">
        <f>IF(ISNUMBER('契約台帳'!$M$12),'契約台帳'!$M$12&amp;IF('契約台帳'!$N$12="","か月前",'契約台帳'!$N$12),"")</f>
        <v/>
      </c>
      <c r="L12" s="39">
        <f>IF(ISNUMBER('契約台帳'!$O$12),IF('契約台帳'!$P$12="","",'契約台帳'!$P$12&amp;" ")&amp;FIXED('契約台帳'!$O$12,0)&amp;"円",IF('契約台帳'!$P$12="","",'契約台帳'!$P$12))</f>
        <v/>
      </c>
      <c r="M12" s="36">
        <f>IF('契約台帳'!$Q$12="","",'契約台帳'!$Q$12)</f>
        <v/>
      </c>
      <c r="N12" s="39">
        <f>IF('契約台帳'!$R$12="","",'契約台帳'!$R$12)</f>
        <v/>
      </c>
      <c r="O12" s="36">
        <f>IF('契約台帳'!$S$12="","",'契約台帳'!$S$12)</f>
        <v/>
      </c>
      <c r="P12" s="36">
        <f>IF('契約台帳'!$AC$12="","",'契約台帳'!$AC$12)</f>
        <v/>
      </c>
    </row>
    <row r="13" ht="21" customHeight="1">
      <c r="A13" s="51" t="n">
        <v>9</v>
      </c>
      <c r="B13" s="36">
        <f>IF('契約台帳'!$B$13="","",'契約台帳'!$B$13)</f>
        <v/>
      </c>
      <c r="C13" s="39">
        <f>IF('契約台帳'!$C$13="","",'契約台帳'!$C$13)</f>
        <v/>
      </c>
      <c r="D13" s="36">
        <f>IF('契約台帳'!$D$13="","",'契約台帳'!$D$13)</f>
        <v/>
      </c>
      <c r="E13" s="39">
        <f>IF('契約台帳'!$E$13="","",'契約台帳'!$E$13)</f>
        <v/>
      </c>
      <c r="F13" s="75">
        <f>IF('契約台帳'!$F$13="","",'契約台帳'!$F$13)</f>
        <v/>
      </c>
      <c r="G13" s="75">
        <f>IF('契約台帳'!$G$13="","",'契約台帳'!$G$13)</f>
        <v/>
      </c>
      <c r="H13" s="75">
        <f>IF('契約台帳'!$Y$13="","",'契約台帳'!$Y$13)</f>
        <v/>
      </c>
      <c r="I13" s="36">
        <f>IF('契約台帳'!$I$13="","",'契約台帳'!$I$13&amp;IF(ISNUMBER('契約台帳'!$J$13),"・"&amp;'契約台帳'!$J$13&amp;"か月",""))</f>
        <v/>
      </c>
      <c r="J13" s="75">
        <f>IF('契約台帳'!$Z$13="","",'契約台帳'!$Z$13)</f>
        <v/>
      </c>
      <c r="K13" s="36">
        <f>IF(ISNUMBER('契約台帳'!$M$13),'契約台帳'!$M$13&amp;IF('契約台帳'!$N$13="","か月前",'契約台帳'!$N$13),"")</f>
        <v/>
      </c>
      <c r="L13" s="39">
        <f>IF(ISNUMBER('契約台帳'!$O$13),IF('契約台帳'!$P$13="","",'契約台帳'!$P$13&amp;" ")&amp;FIXED('契約台帳'!$O$13,0)&amp;"円",IF('契約台帳'!$P$13="","",'契約台帳'!$P$13))</f>
        <v/>
      </c>
      <c r="M13" s="36">
        <f>IF('契約台帳'!$Q$13="","",'契約台帳'!$Q$13)</f>
        <v/>
      </c>
      <c r="N13" s="39">
        <f>IF('契約台帳'!$R$13="","",'契約台帳'!$R$13)</f>
        <v/>
      </c>
      <c r="O13" s="36">
        <f>IF('契約台帳'!$S$13="","",'契約台帳'!$S$13)</f>
        <v/>
      </c>
      <c r="P13" s="36">
        <f>IF('契約台帳'!$AC$13="","",'契約台帳'!$AC$13)</f>
        <v/>
      </c>
    </row>
    <row r="14" ht="21" customHeight="1">
      <c r="A14" s="51" t="n">
        <v>10</v>
      </c>
      <c r="B14" s="36">
        <f>IF('契約台帳'!$B$14="","",'契約台帳'!$B$14)</f>
        <v/>
      </c>
      <c r="C14" s="39">
        <f>IF('契約台帳'!$C$14="","",'契約台帳'!$C$14)</f>
        <v/>
      </c>
      <c r="D14" s="36">
        <f>IF('契約台帳'!$D$14="","",'契約台帳'!$D$14)</f>
        <v/>
      </c>
      <c r="E14" s="39">
        <f>IF('契約台帳'!$E$14="","",'契約台帳'!$E$14)</f>
        <v/>
      </c>
      <c r="F14" s="75">
        <f>IF('契約台帳'!$F$14="","",'契約台帳'!$F$14)</f>
        <v/>
      </c>
      <c r="G14" s="75">
        <f>IF('契約台帳'!$G$14="","",'契約台帳'!$G$14)</f>
        <v/>
      </c>
      <c r="H14" s="75">
        <f>IF('契約台帳'!$Y$14="","",'契約台帳'!$Y$14)</f>
        <v/>
      </c>
      <c r="I14" s="36">
        <f>IF('契約台帳'!$I$14="","",'契約台帳'!$I$14&amp;IF(ISNUMBER('契約台帳'!$J$14),"・"&amp;'契約台帳'!$J$14&amp;"か月",""))</f>
        <v/>
      </c>
      <c r="J14" s="75">
        <f>IF('契約台帳'!$Z$14="","",'契約台帳'!$Z$14)</f>
        <v/>
      </c>
      <c r="K14" s="36">
        <f>IF(ISNUMBER('契約台帳'!$M$14),'契約台帳'!$M$14&amp;IF('契約台帳'!$N$14="","か月前",'契約台帳'!$N$14),"")</f>
        <v/>
      </c>
      <c r="L14" s="39">
        <f>IF(ISNUMBER('契約台帳'!$O$14),IF('契約台帳'!$P$14="","",'契約台帳'!$P$14&amp;" ")&amp;FIXED('契約台帳'!$O$14,0)&amp;"円",IF('契約台帳'!$P$14="","",'契約台帳'!$P$14))</f>
        <v/>
      </c>
      <c r="M14" s="36">
        <f>IF('契約台帳'!$Q$14="","",'契約台帳'!$Q$14)</f>
        <v/>
      </c>
      <c r="N14" s="39">
        <f>IF('契約台帳'!$R$14="","",'契約台帳'!$R$14)</f>
        <v/>
      </c>
      <c r="O14" s="36">
        <f>IF('契約台帳'!$S$14="","",'契約台帳'!$S$14)</f>
        <v/>
      </c>
      <c r="P14" s="36">
        <f>IF('契約台帳'!$AC$14="","",'契約台帳'!$AC$14)</f>
        <v/>
      </c>
    </row>
    <row r="15" ht="21" customHeight="1">
      <c r="A15" s="51" t="n">
        <v>11</v>
      </c>
      <c r="B15" s="36">
        <f>IF('契約台帳'!$B$15="","",'契約台帳'!$B$15)</f>
        <v/>
      </c>
      <c r="C15" s="39">
        <f>IF('契約台帳'!$C$15="","",'契約台帳'!$C$15)</f>
        <v/>
      </c>
      <c r="D15" s="36">
        <f>IF('契約台帳'!$D$15="","",'契約台帳'!$D$15)</f>
        <v/>
      </c>
      <c r="E15" s="39">
        <f>IF('契約台帳'!$E$15="","",'契約台帳'!$E$15)</f>
        <v/>
      </c>
      <c r="F15" s="75">
        <f>IF('契約台帳'!$F$15="","",'契約台帳'!$F$15)</f>
        <v/>
      </c>
      <c r="G15" s="75">
        <f>IF('契約台帳'!$G$15="","",'契約台帳'!$G$15)</f>
        <v/>
      </c>
      <c r="H15" s="75">
        <f>IF('契約台帳'!$Y$15="","",'契約台帳'!$Y$15)</f>
        <v/>
      </c>
      <c r="I15" s="36">
        <f>IF('契約台帳'!$I$15="","",'契約台帳'!$I$15&amp;IF(ISNUMBER('契約台帳'!$J$15),"・"&amp;'契約台帳'!$J$15&amp;"か月",""))</f>
        <v/>
      </c>
      <c r="J15" s="75">
        <f>IF('契約台帳'!$Z$15="","",'契約台帳'!$Z$15)</f>
        <v/>
      </c>
      <c r="K15" s="36">
        <f>IF(ISNUMBER('契約台帳'!$M$15),'契約台帳'!$M$15&amp;IF('契約台帳'!$N$15="","か月前",'契約台帳'!$N$15),"")</f>
        <v/>
      </c>
      <c r="L15" s="39">
        <f>IF(ISNUMBER('契約台帳'!$O$15),IF('契約台帳'!$P$15="","",'契約台帳'!$P$15&amp;" ")&amp;FIXED('契約台帳'!$O$15,0)&amp;"円",IF('契約台帳'!$P$15="","",'契約台帳'!$P$15))</f>
        <v/>
      </c>
      <c r="M15" s="36">
        <f>IF('契約台帳'!$Q$15="","",'契約台帳'!$Q$15)</f>
        <v/>
      </c>
      <c r="N15" s="39">
        <f>IF('契約台帳'!$R$15="","",'契約台帳'!$R$15)</f>
        <v/>
      </c>
      <c r="O15" s="36">
        <f>IF('契約台帳'!$S$15="","",'契約台帳'!$S$15)</f>
        <v/>
      </c>
      <c r="P15" s="36">
        <f>IF('契約台帳'!$AC$15="","",'契約台帳'!$AC$15)</f>
        <v/>
      </c>
    </row>
    <row r="16" ht="21" customHeight="1">
      <c r="A16" s="51" t="n">
        <v>12</v>
      </c>
      <c r="B16" s="36">
        <f>IF('契約台帳'!$B$16="","",'契約台帳'!$B$16)</f>
        <v/>
      </c>
      <c r="C16" s="39">
        <f>IF('契約台帳'!$C$16="","",'契約台帳'!$C$16)</f>
        <v/>
      </c>
      <c r="D16" s="36">
        <f>IF('契約台帳'!$D$16="","",'契約台帳'!$D$16)</f>
        <v/>
      </c>
      <c r="E16" s="39">
        <f>IF('契約台帳'!$E$16="","",'契約台帳'!$E$16)</f>
        <v/>
      </c>
      <c r="F16" s="75">
        <f>IF('契約台帳'!$F$16="","",'契約台帳'!$F$16)</f>
        <v/>
      </c>
      <c r="G16" s="75">
        <f>IF('契約台帳'!$G$16="","",'契約台帳'!$G$16)</f>
        <v/>
      </c>
      <c r="H16" s="75">
        <f>IF('契約台帳'!$Y$16="","",'契約台帳'!$Y$16)</f>
        <v/>
      </c>
      <c r="I16" s="36">
        <f>IF('契約台帳'!$I$16="","",'契約台帳'!$I$16&amp;IF(ISNUMBER('契約台帳'!$J$16),"・"&amp;'契約台帳'!$J$16&amp;"か月",""))</f>
        <v/>
      </c>
      <c r="J16" s="75">
        <f>IF('契約台帳'!$Z$16="","",'契約台帳'!$Z$16)</f>
        <v/>
      </c>
      <c r="K16" s="36">
        <f>IF(ISNUMBER('契約台帳'!$M$16),'契約台帳'!$M$16&amp;IF('契約台帳'!$N$16="","か月前",'契約台帳'!$N$16),"")</f>
        <v/>
      </c>
      <c r="L16" s="39">
        <f>IF(ISNUMBER('契約台帳'!$O$16),IF('契約台帳'!$P$16="","",'契約台帳'!$P$16&amp;" ")&amp;FIXED('契約台帳'!$O$16,0)&amp;"円",IF('契約台帳'!$P$16="","",'契約台帳'!$P$16))</f>
        <v/>
      </c>
      <c r="M16" s="36">
        <f>IF('契約台帳'!$Q$16="","",'契約台帳'!$Q$16)</f>
        <v/>
      </c>
      <c r="N16" s="39">
        <f>IF('契約台帳'!$R$16="","",'契約台帳'!$R$16)</f>
        <v/>
      </c>
      <c r="O16" s="36">
        <f>IF('契約台帳'!$S$16="","",'契約台帳'!$S$16)</f>
        <v/>
      </c>
      <c r="P16" s="36">
        <f>IF('契約台帳'!$AC$16="","",'契約台帳'!$AC$16)</f>
        <v/>
      </c>
    </row>
    <row r="17" ht="21" customHeight="1">
      <c r="A17" s="51" t="n">
        <v>13</v>
      </c>
      <c r="B17" s="36">
        <f>IF('契約台帳'!$B$17="","",'契約台帳'!$B$17)</f>
        <v/>
      </c>
      <c r="C17" s="39">
        <f>IF('契約台帳'!$C$17="","",'契約台帳'!$C$17)</f>
        <v/>
      </c>
      <c r="D17" s="36">
        <f>IF('契約台帳'!$D$17="","",'契約台帳'!$D$17)</f>
        <v/>
      </c>
      <c r="E17" s="39">
        <f>IF('契約台帳'!$E$17="","",'契約台帳'!$E$17)</f>
        <v/>
      </c>
      <c r="F17" s="75">
        <f>IF('契約台帳'!$F$17="","",'契約台帳'!$F$17)</f>
        <v/>
      </c>
      <c r="G17" s="75">
        <f>IF('契約台帳'!$G$17="","",'契約台帳'!$G$17)</f>
        <v/>
      </c>
      <c r="H17" s="75">
        <f>IF('契約台帳'!$Y$17="","",'契約台帳'!$Y$17)</f>
        <v/>
      </c>
      <c r="I17" s="36">
        <f>IF('契約台帳'!$I$17="","",'契約台帳'!$I$17&amp;IF(ISNUMBER('契約台帳'!$J$17),"・"&amp;'契約台帳'!$J$17&amp;"か月",""))</f>
        <v/>
      </c>
      <c r="J17" s="75">
        <f>IF('契約台帳'!$Z$17="","",'契約台帳'!$Z$17)</f>
        <v/>
      </c>
      <c r="K17" s="36">
        <f>IF(ISNUMBER('契約台帳'!$M$17),'契約台帳'!$M$17&amp;IF('契約台帳'!$N$17="","か月前",'契約台帳'!$N$17),"")</f>
        <v/>
      </c>
      <c r="L17" s="39">
        <f>IF(ISNUMBER('契約台帳'!$O$17),IF('契約台帳'!$P$17="","",'契約台帳'!$P$17&amp;" ")&amp;FIXED('契約台帳'!$O$17,0)&amp;"円",IF('契約台帳'!$P$17="","",'契約台帳'!$P$17))</f>
        <v/>
      </c>
      <c r="M17" s="36">
        <f>IF('契約台帳'!$Q$17="","",'契約台帳'!$Q$17)</f>
        <v/>
      </c>
      <c r="N17" s="39">
        <f>IF('契約台帳'!$R$17="","",'契約台帳'!$R$17)</f>
        <v/>
      </c>
      <c r="O17" s="36">
        <f>IF('契約台帳'!$S$17="","",'契約台帳'!$S$17)</f>
        <v/>
      </c>
      <c r="P17" s="36">
        <f>IF('契約台帳'!$AC$17="","",'契約台帳'!$AC$17)</f>
        <v/>
      </c>
    </row>
    <row r="18" ht="21" customHeight="1">
      <c r="A18" s="51" t="n">
        <v>14</v>
      </c>
      <c r="B18" s="36">
        <f>IF('契約台帳'!$B$18="","",'契約台帳'!$B$18)</f>
        <v/>
      </c>
      <c r="C18" s="39">
        <f>IF('契約台帳'!$C$18="","",'契約台帳'!$C$18)</f>
        <v/>
      </c>
      <c r="D18" s="36">
        <f>IF('契約台帳'!$D$18="","",'契約台帳'!$D$18)</f>
        <v/>
      </c>
      <c r="E18" s="39">
        <f>IF('契約台帳'!$E$18="","",'契約台帳'!$E$18)</f>
        <v/>
      </c>
      <c r="F18" s="75">
        <f>IF('契約台帳'!$F$18="","",'契約台帳'!$F$18)</f>
        <v/>
      </c>
      <c r="G18" s="75">
        <f>IF('契約台帳'!$G$18="","",'契約台帳'!$G$18)</f>
        <v/>
      </c>
      <c r="H18" s="75">
        <f>IF('契約台帳'!$Y$18="","",'契約台帳'!$Y$18)</f>
        <v/>
      </c>
      <c r="I18" s="36">
        <f>IF('契約台帳'!$I$18="","",'契約台帳'!$I$18&amp;IF(ISNUMBER('契約台帳'!$J$18),"・"&amp;'契約台帳'!$J$18&amp;"か月",""))</f>
        <v/>
      </c>
      <c r="J18" s="75">
        <f>IF('契約台帳'!$Z$18="","",'契約台帳'!$Z$18)</f>
        <v/>
      </c>
      <c r="K18" s="36">
        <f>IF(ISNUMBER('契約台帳'!$M$18),'契約台帳'!$M$18&amp;IF('契約台帳'!$N$18="","か月前",'契約台帳'!$N$18),"")</f>
        <v/>
      </c>
      <c r="L18" s="39">
        <f>IF(ISNUMBER('契約台帳'!$O$18),IF('契約台帳'!$P$18="","",'契約台帳'!$P$18&amp;" ")&amp;FIXED('契約台帳'!$O$18,0)&amp;"円",IF('契約台帳'!$P$18="","",'契約台帳'!$P$18))</f>
        <v/>
      </c>
      <c r="M18" s="36">
        <f>IF('契約台帳'!$Q$18="","",'契約台帳'!$Q$18)</f>
        <v/>
      </c>
      <c r="N18" s="39">
        <f>IF('契約台帳'!$R$18="","",'契約台帳'!$R$18)</f>
        <v/>
      </c>
      <c r="O18" s="36">
        <f>IF('契約台帳'!$S$18="","",'契約台帳'!$S$18)</f>
        <v/>
      </c>
      <c r="P18" s="36">
        <f>IF('契約台帳'!$AC$18="","",'契約台帳'!$AC$18)</f>
        <v/>
      </c>
    </row>
    <row r="19" ht="21" customHeight="1">
      <c r="A19" s="51" t="n">
        <v>15</v>
      </c>
      <c r="B19" s="36">
        <f>IF('契約台帳'!$B$19="","",'契約台帳'!$B$19)</f>
        <v/>
      </c>
      <c r="C19" s="39">
        <f>IF('契約台帳'!$C$19="","",'契約台帳'!$C$19)</f>
        <v/>
      </c>
      <c r="D19" s="36">
        <f>IF('契約台帳'!$D$19="","",'契約台帳'!$D$19)</f>
        <v/>
      </c>
      <c r="E19" s="39">
        <f>IF('契約台帳'!$E$19="","",'契約台帳'!$E$19)</f>
        <v/>
      </c>
      <c r="F19" s="75">
        <f>IF('契約台帳'!$F$19="","",'契約台帳'!$F$19)</f>
        <v/>
      </c>
      <c r="G19" s="75">
        <f>IF('契約台帳'!$G$19="","",'契約台帳'!$G$19)</f>
        <v/>
      </c>
      <c r="H19" s="75">
        <f>IF('契約台帳'!$Y$19="","",'契約台帳'!$Y$19)</f>
        <v/>
      </c>
      <c r="I19" s="36">
        <f>IF('契約台帳'!$I$19="","",'契約台帳'!$I$19&amp;IF(ISNUMBER('契約台帳'!$J$19),"・"&amp;'契約台帳'!$J$19&amp;"か月",""))</f>
        <v/>
      </c>
      <c r="J19" s="75">
        <f>IF('契約台帳'!$Z$19="","",'契約台帳'!$Z$19)</f>
        <v/>
      </c>
      <c r="K19" s="36">
        <f>IF(ISNUMBER('契約台帳'!$M$19),'契約台帳'!$M$19&amp;IF('契約台帳'!$N$19="","か月前",'契約台帳'!$N$19),"")</f>
        <v/>
      </c>
      <c r="L19" s="39">
        <f>IF(ISNUMBER('契約台帳'!$O$19),IF('契約台帳'!$P$19="","",'契約台帳'!$P$19&amp;" ")&amp;FIXED('契約台帳'!$O$19,0)&amp;"円",IF('契約台帳'!$P$19="","",'契約台帳'!$P$19))</f>
        <v/>
      </c>
      <c r="M19" s="36">
        <f>IF('契約台帳'!$Q$19="","",'契約台帳'!$Q$19)</f>
        <v/>
      </c>
      <c r="N19" s="39">
        <f>IF('契約台帳'!$R$19="","",'契約台帳'!$R$19)</f>
        <v/>
      </c>
      <c r="O19" s="36">
        <f>IF('契約台帳'!$S$19="","",'契約台帳'!$S$19)</f>
        <v/>
      </c>
      <c r="P19" s="36">
        <f>IF('契約台帳'!$AC$19="","",'契約台帳'!$AC$19)</f>
        <v/>
      </c>
    </row>
    <row r="20" ht="21" customHeight="1">
      <c r="A20" s="51" t="n">
        <v>16</v>
      </c>
      <c r="B20" s="36">
        <f>IF('契約台帳'!$B$20="","",'契約台帳'!$B$20)</f>
        <v/>
      </c>
      <c r="C20" s="39">
        <f>IF('契約台帳'!$C$20="","",'契約台帳'!$C$20)</f>
        <v/>
      </c>
      <c r="D20" s="36">
        <f>IF('契約台帳'!$D$20="","",'契約台帳'!$D$20)</f>
        <v/>
      </c>
      <c r="E20" s="39">
        <f>IF('契約台帳'!$E$20="","",'契約台帳'!$E$20)</f>
        <v/>
      </c>
      <c r="F20" s="75">
        <f>IF('契約台帳'!$F$20="","",'契約台帳'!$F$20)</f>
        <v/>
      </c>
      <c r="G20" s="75">
        <f>IF('契約台帳'!$G$20="","",'契約台帳'!$G$20)</f>
        <v/>
      </c>
      <c r="H20" s="75">
        <f>IF('契約台帳'!$Y$20="","",'契約台帳'!$Y$20)</f>
        <v/>
      </c>
      <c r="I20" s="36">
        <f>IF('契約台帳'!$I$20="","",'契約台帳'!$I$20&amp;IF(ISNUMBER('契約台帳'!$J$20),"・"&amp;'契約台帳'!$J$20&amp;"か月",""))</f>
        <v/>
      </c>
      <c r="J20" s="75">
        <f>IF('契約台帳'!$Z$20="","",'契約台帳'!$Z$20)</f>
        <v/>
      </c>
      <c r="K20" s="36">
        <f>IF(ISNUMBER('契約台帳'!$M$20),'契約台帳'!$M$20&amp;IF('契約台帳'!$N$20="","か月前",'契約台帳'!$N$20),"")</f>
        <v/>
      </c>
      <c r="L20" s="39">
        <f>IF(ISNUMBER('契約台帳'!$O$20),IF('契約台帳'!$P$20="","",'契約台帳'!$P$20&amp;" ")&amp;FIXED('契約台帳'!$O$20,0)&amp;"円",IF('契約台帳'!$P$20="","",'契約台帳'!$P$20))</f>
        <v/>
      </c>
      <c r="M20" s="36">
        <f>IF('契約台帳'!$Q$20="","",'契約台帳'!$Q$20)</f>
        <v/>
      </c>
      <c r="N20" s="39">
        <f>IF('契約台帳'!$R$20="","",'契約台帳'!$R$20)</f>
        <v/>
      </c>
      <c r="O20" s="36">
        <f>IF('契約台帳'!$S$20="","",'契約台帳'!$S$20)</f>
        <v/>
      </c>
      <c r="P20" s="36">
        <f>IF('契約台帳'!$AC$20="","",'契約台帳'!$AC$20)</f>
        <v/>
      </c>
    </row>
    <row r="21" ht="21" customHeight="1">
      <c r="A21" s="51" t="n">
        <v>17</v>
      </c>
      <c r="B21" s="36">
        <f>IF('契約台帳'!$B$21="","",'契約台帳'!$B$21)</f>
        <v/>
      </c>
      <c r="C21" s="39">
        <f>IF('契約台帳'!$C$21="","",'契約台帳'!$C$21)</f>
        <v/>
      </c>
      <c r="D21" s="36">
        <f>IF('契約台帳'!$D$21="","",'契約台帳'!$D$21)</f>
        <v/>
      </c>
      <c r="E21" s="39">
        <f>IF('契約台帳'!$E$21="","",'契約台帳'!$E$21)</f>
        <v/>
      </c>
      <c r="F21" s="75">
        <f>IF('契約台帳'!$F$21="","",'契約台帳'!$F$21)</f>
        <v/>
      </c>
      <c r="G21" s="75">
        <f>IF('契約台帳'!$G$21="","",'契約台帳'!$G$21)</f>
        <v/>
      </c>
      <c r="H21" s="75">
        <f>IF('契約台帳'!$Y$21="","",'契約台帳'!$Y$21)</f>
        <v/>
      </c>
      <c r="I21" s="36">
        <f>IF('契約台帳'!$I$21="","",'契約台帳'!$I$21&amp;IF(ISNUMBER('契約台帳'!$J$21),"・"&amp;'契約台帳'!$J$21&amp;"か月",""))</f>
        <v/>
      </c>
      <c r="J21" s="75">
        <f>IF('契約台帳'!$Z$21="","",'契約台帳'!$Z$21)</f>
        <v/>
      </c>
      <c r="K21" s="36">
        <f>IF(ISNUMBER('契約台帳'!$M$21),'契約台帳'!$M$21&amp;IF('契約台帳'!$N$21="","か月前",'契約台帳'!$N$21),"")</f>
        <v/>
      </c>
      <c r="L21" s="39">
        <f>IF(ISNUMBER('契約台帳'!$O$21),IF('契約台帳'!$P$21="","",'契約台帳'!$P$21&amp;" ")&amp;FIXED('契約台帳'!$O$21,0)&amp;"円",IF('契約台帳'!$P$21="","",'契約台帳'!$P$21))</f>
        <v/>
      </c>
      <c r="M21" s="36">
        <f>IF('契約台帳'!$Q$21="","",'契約台帳'!$Q$21)</f>
        <v/>
      </c>
      <c r="N21" s="39">
        <f>IF('契約台帳'!$R$21="","",'契約台帳'!$R$21)</f>
        <v/>
      </c>
      <c r="O21" s="36">
        <f>IF('契約台帳'!$S$21="","",'契約台帳'!$S$21)</f>
        <v/>
      </c>
      <c r="P21" s="36">
        <f>IF('契約台帳'!$AC$21="","",'契約台帳'!$AC$21)</f>
        <v/>
      </c>
    </row>
    <row r="22" ht="21" customHeight="1">
      <c r="A22" s="51" t="n">
        <v>18</v>
      </c>
      <c r="B22" s="36">
        <f>IF('契約台帳'!$B$22="","",'契約台帳'!$B$22)</f>
        <v/>
      </c>
      <c r="C22" s="39">
        <f>IF('契約台帳'!$C$22="","",'契約台帳'!$C$22)</f>
        <v/>
      </c>
      <c r="D22" s="36">
        <f>IF('契約台帳'!$D$22="","",'契約台帳'!$D$22)</f>
        <v/>
      </c>
      <c r="E22" s="39">
        <f>IF('契約台帳'!$E$22="","",'契約台帳'!$E$22)</f>
        <v/>
      </c>
      <c r="F22" s="75">
        <f>IF('契約台帳'!$F$22="","",'契約台帳'!$F$22)</f>
        <v/>
      </c>
      <c r="G22" s="75">
        <f>IF('契約台帳'!$G$22="","",'契約台帳'!$G$22)</f>
        <v/>
      </c>
      <c r="H22" s="75">
        <f>IF('契約台帳'!$Y$22="","",'契約台帳'!$Y$22)</f>
        <v/>
      </c>
      <c r="I22" s="36">
        <f>IF('契約台帳'!$I$22="","",'契約台帳'!$I$22&amp;IF(ISNUMBER('契約台帳'!$J$22),"・"&amp;'契約台帳'!$J$22&amp;"か月",""))</f>
        <v/>
      </c>
      <c r="J22" s="75">
        <f>IF('契約台帳'!$Z$22="","",'契約台帳'!$Z$22)</f>
        <v/>
      </c>
      <c r="K22" s="36">
        <f>IF(ISNUMBER('契約台帳'!$M$22),'契約台帳'!$M$22&amp;IF('契約台帳'!$N$22="","か月前",'契約台帳'!$N$22),"")</f>
        <v/>
      </c>
      <c r="L22" s="39">
        <f>IF(ISNUMBER('契約台帳'!$O$22),IF('契約台帳'!$P$22="","",'契約台帳'!$P$22&amp;" ")&amp;FIXED('契約台帳'!$O$22,0)&amp;"円",IF('契約台帳'!$P$22="","",'契約台帳'!$P$22))</f>
        <v/>
      </c>
      <c r="M22" s="36">
        <f>IF('契約台帳'!$Q$22="","",'契約台帳'!$Q$22)</f>
        <v/>
      </c>
      <c r="N22" s="39">
        <f>IF('契約台帳'!$R$22="","",'契約台帳'!$R$22)</f>
        <v/>
      </c>
      <c r="O22" s="36">
        <f>IF('契約台帳'!$S$22="","",'契約台帳'!$S$22)</f>
        <v/>
      </c>
      <c r="P22" s="36">
        <f>IF('契約台帳'!$AC$22="","",'契約台帳'!$AC$22)</f>
        <v/>
      </c>
    </row>
    <row r="23" ht="21" customHeight="1">
      <c r="A23" s="51" t="n">
        <v>19</v>
      </c>
      <c r="B23" s="36">
        <f>IF('契約台帳'!$B$23="","",'契約台帳'!$B$23)</f>
        <v/>
      </c>
      <c r="C23" s="39">
        <f>IF('契約台帳'!$C$23="","",'契約台帳'!$C$23)</f>
        <v/>
      </c>
      <c r="D23" s="36">
        <f>IF('契約台帳'!$D$23="","",'契約台帳'!$D$23)</f>
        <v/>
      </c>
      <c r="E23" s="39">
        <f>IF('契約台帳'!$E$23="","",'契約台帳'!$E$23)</f>
        <v/>
      </c>
      <c r="F23" s="75">
        <f>IF('契約台帳'!$F$23="","",'契約台帳'!$F$23)</f>
        <v/>
      </c>
      <c r="G23" s="75">
        <f>IF('契約台帳'!$G$23="","",'契約台帳'!$G$23)</f>
        <v/>
      </c>
      <c r="H23" s="75">
        <f>IF('契約台帳'!$Y$23="","",'契約台帳'!$Y$23)</f>
        <v/>
      </c>
      <c r="I23" s="36">
        <f>IF('契約台帳'!$I$23="","",'契約台帳'!$I$23&amp;IF(ISNUMBER('契約台帳'!$J$23),"・"&amp;'契約台帳'!$J$23&amp;"か月",""))</f>
        <v/>
      </c>
      <c r="J23" s="75">
        <f>IF('契約台帳'!$Z$23="","",'契約台帳'!$Z$23)</f>
        <v/>
      </c>
      <c r="K23" s="36">
        <f>IF(ISNUMBER('契約台帳'!$M$23),'契約台帳'!$M$23&amp;IF('契約台帳'!$N$23="","か月前",'契約台帳'!$N$23),"")</f>
        <v/>
      </c>
      <c r="L23" s="39">
        <f>IF(ISNUMBER('契約台帳'!$O$23),IF('契約台帳'!$P$23="","",'契約台帳'!$P$23&amp;" ")&amp;FIXED('契約台帳'!$O$23,0)&amp;"円",IF('契約台帳'!$P$23="","",'契約台帳'!$P$23))</f>
        <v/>
      </c>
      <c r="M23" s="36">
        <f>IF('契約台帳'!$Q$23="","",'契約台帳'!$Q$23)</f>
        <v/>
      </c>
      <c r="N23" s="39">
        <f>IF('契約台帳'!$R$23="","",'契約台帳'!$R$23)</f>
        <v/>
      </c>
      <c r="O23" s="36">
        <f>IF('契約台帳'!$S$23="","",'契約台帳'!$S$23)</f>
        <v/>
      </c>
      <c r="P23" s="36">
        <f>IF('契約台帳'!$AC$23="","",'契約台帳'!$AC$23)</f>
        <v/>
      </c>
    </row>
    <row r="24" ht="21" customHeight="1">
      <c r="A24" s="51" t="n">
        <v>20</v>
      </c>
      <c r="B24" s="36">
        <f>IF('契約台帳'!$B$24="","",'契約台帳'!$B$24)</f>
        <v/>
      </c>
      <c r="C24" s="39">
        <f>IF('契約台帳'!$C$24="","",'契約台帳'!$C$24)</f>
        <v/>
      </c>
      <c r="D24" s="36">
        <f>IF('契約台帳'!$D$24="","",'契約台帳'!$D$24)</f>
        <v/>
      </c>
      <c r="E24" s="39">
        <f>IF('契約台帳'!$E$24="","",'契約台帳'!$E$24)</f>
        <v/>
      </c>
      <c r="F24" s="75">
        <f>IF('契約台帳'!$F$24="","",'契約台帳'!$F$24)</f>
        <v/>
      </c>
      <c r="G24" s="75">
        <f>IF('契約台帳'!$G$24="","",'契約台帳'!$G$24)</f>
        <v/>
      </c>
      <c r="H24" s="75">
        <f>IF('契約台帳'!$Y$24="","",'契約台帳'!$Y$24)</f>
        <v/>
      </c>
      <c r="I24" s="36">
        <f>IF('契約台帳'!$I$24="","",'契約台帳'!$I$24&amp;IF(ISNUMBER('契約台帳'!$J$24),"・"&amp;'契約台帳'!$J$24&amp;"か月",""))</f>
        <v/>
      </c>
      <c r="J24" s="75">
        <f>IF('契約台帳'!$Z$24="","",'契約台帳'!$Z$24)</f>
        <v/>
      </c>
      <c r="K24" s="36">
        <f>IF(ISNUMBER('契約台帳'!$M$24),'契約台帳'!$M$24&amp;IF('契約台帳'!$N$24="","か月前",'契約台帳'!$N$24),"")</f>
        <v/>
      </c>
      <c r="L24" s="39">
        <f>IF(ISNUMBER('契約台帳'!$O$24),IF('契約台帳'!$P$24="","",'契約台帳'!$P$24&amp;" ")&amp;FIXED('契約台帳'!$O$24,0)&amp;"円",IF('契約台帳'!$P$24="","",'契約台帳'!$P$24))</f>
        <v/>
      </c>
      <c r="M24" s="36">
        <f>IF('契約台帳'!$Q$24="","",'契約台帳'!$Q$24)</f>
        <v/>
      </c>
      <c r="N24" s="39">
        <f>IF('契約台帳'!$R$24="","",'契約台帳'!$R$24)</f>
        <v/>
      </c>
      <c r="O24" s="36">
        <f>IF('契約台帳'!$S$24="","",'契約台帳'!$S$24)</f>
        <v/>
      </c>
      <c r="P24" s="36">
        <f>IF('契約台帳'!$AC$24="","",'契約台帳'!$AC$24)</f>
        <v/>
      </c>
    </row>
    <row r="25" ht="21" customHeight="1">
      <c r="A25" s="51" t="n">
        <v>21</v>
      </c>
      <c r="B25" s="36">
        <f>IF('契約台帳'!$B$25="","",'契約台帳'!$B$25)</f>
        <v/>
      </c>
      <c r="C25" s="39">
        <f>IF('契約台帳'!$C$25="","",'契約台帳'!$C$25)</f>
        <v/>
      </c>
      <c r="D25" s="36">
        <f>IF('契約台帳'!$D$25="","",'契約台帳'!$D$25)</f>
        <v/>
      </c>
      <c r="E25" s="39">
        <f>IF('契約台帳'!$E$25="","",'契約台帳'!$E$25)</f>
        <v/>
      </c>
      <c r="F25" s="75">
        <f>IF('契約台帳'!$F$25="","",'契約台帳'!$F$25)</f>
        <v/>
      </c>
      <c r="G25" s="75">
        <f>IF('契約台帳'!$G$25="","",'契約台帳'!$G$25)</f>
        <v/>
      </c>
      <c r="H25" s="75">
        <f>IF('契約台帳'!$Y$25="","",'契約台帳'!$Y$25)</f>
        <v/>
      </c>
      <c r="I25" s="36">
        <f>IF('契約台帳'!$I$25="","",'契約台帳'!$I$25&amp;IF(ISNUMBER('契約台帳'!$J$25),"・"&amp;'契約台帳'!$J$25&amp;"か月",""))</f>
        <v/>
      </c>
      <c r="J25" s="75">
        <f>IF('契約台帳'!$Z$25="","",'契約台帳'!$Z$25)</f>
        <v/>
      </c>
      <c r="K25" s="36">
        <f>IF(ISNUMBER('契約台帳'!$M$25),'契約台帳'!$M$25&amp;IF('契約台帳'!$N$25="","か月前",'契約台帳'!$N$25),"")</f>
        <v/>
      </c>
      <c r="L25" s="39">
        <f>IF(ISNUMBER('契約台帳'!$O$25),IF('契約台帳'!$P$25="","",'契約台帳'!$P$25&amp;" ")&amp;FIXED('契約台帳'!$O$25,0)&amp;"円",IF('契約台帳'!$P$25="","",'契約台帳'!$P$25))</f>
        <v/>
      </c>
      <c r="M25" s="36">
        <f>IF('契約台帳'!$Q$25="","",'契約台帳'!$Q$25)</f>
        <v/>
      </c>
      <c r="N25" s="39">
        <f>IF('契約台帳'!$R$25="","",'契約台帳'!$R$25)</f>
        <v/>
      </c>
      <c r="O25" s="36">
        <f>IF('契約台帳'!$S$25="","",'契約台帳'!$S$25)</f>
        <v/>
      </c>
      <c r="P25" s="36">
        <f>IF('契約台帳'!$AC$25="","",'契約台帳'!$AC$25)</f>
        <v/>
      </c>
    </row>
    <row r="26" ht="21" customHeight="1">
      <c r="A26" s="51" t="n">
        <v>22</v>
      </c>
      <c r="B26" s="36">
        <f>IF('契約台帳'!$B$26="","",'契約台帳'!$B$26)</f>
        <v/>
      </c>
      <c r="C26" s="39">
        <f>IF('契約台帳'!$C$26="","",'契約台帳'!$C$26)</f>
        <v/>
      </c>
      <c r="D26" s="36">
        <f>IF('契約台帳'!$D$26="","",'契約台帳'!$D$26)</f>
        <v/>
      </c>
      <c r="E26" s="39">
        <f>IF('契約台帳'!$E$26="","",'契約台帳'!$E$26)</f>
        <v/>
      </c>
      <c r="F26" s="75">
        <f>IF('契約台帳'!$F$26="","",'契約台帳'!$F$26)</f>
        <v/>
      </c>
      <c r="G26" s="75">
        <f>IF('契約台帳'!$G$26="","",'契約台帳'!$G$26)</f>
        <v/>
      </c>
      <c r="H26" s="75">
        <f>IF('契約台帳'!$Y$26="","",'契約台帳'!$Y$26)</f>
        <v/>
      </c>
      <c r="I26" s="36">
        <f>IF('契約台帳'!$I$26="","",'契約台帳'!$I$26&amp;IF(ISNUMBER('契約台帳'!$J$26),"・"&amp;'契約台帳'!$J$26&amp;"か月",""))</f>
        <v/>
      </c>
      <c r="J26" s="75">
        <f>IF('契約台帳'!$Z$26="","",'契約台帳'!$Z$26)</f>
        <v/>
      </c>
      <c r="K26" s="36">
        <f>IF(ISNUMBER('契約台帳'!$M$26),'契約台帳'!$M$26&amp;IF('契約台帳'!$N$26="","か月前",'契約台帳'!$N$26),"")</f>
        <v/>
      </c>
      <c r="L26" s="39">
        <f>IF(ISNUMBER('契約台帳'!$O$26),IF('契約台帳'!$P$26="","",'契約台帳'!$P$26&amp;" ")&amp;FIXED('契約台帳'!$O$26,0)&amp;"円",IF('契約台帳'!$P$26="","",'契約台帳'!$P$26))</f>
        <v/>
      </c>
      <c r="M26" s="36">
        <f>IF('契約台帳'!$Q$26="","",'契約台帳'!$Q$26)</f>
        <v/>
      </c>
      <c r="N26" s="39">
        <f>IF('契約台帳'!$R$26="","",'契約台帳'!$R$26)</f>
        <v/>
      </c>
      <c r="O26" s="36">
        <f>IF('契約台帳'!$S$26="","",'契約台帳'!$S$26)</f>
        <v/>
      </c>
      <c r="P26" s="36">
        <f>IF('契約台帳'!$AC$26="","",'契約台帳'!$AC$26)</f>
        <v/>
      </c>
    </row>
    <row r="27" ht="21" customHeight="1">
      <c r="A27" s="51" t="n">
        <v>23</v>
      </c>
      <c r="B27" s="36">
        <f>IF('契約台帳'!$B$27="","",'契約台帳'!$B$27)</f>
        <v/>
      </c>
      <c r="C27" s="39">
        <f>IF('契約台帳'!$C$27="","",'契約台帳'!$C$27)</f>
        <v/>
      </c>
      <c r="D27" s="36">
        <f>IF('契約台帳'!$D$27="","",'契約台帳'!$D$27)</f>
        <v/>
      </c>
      <c r="E27" s="39">
        <f>IF('契約台帳'!$E$27="","",'契約台帳'!$E$27)</f>
        <v/>
      </c>
      <c r="F27" s="75">
        <f>IF('契約台帳'!$F$27="","",'契約台帳'!$F$27)</f>
        <v/>
      </c>
      <c r="G27" s="75">
        <f>IF('契約台帳'!$G$27="","",'契約台帳'!$G$27)</f>
        <v/>
      </c>
      <c r="H27" s="75">
        <f>IF('契約台帳'!$Y$27="","",'契約台帳'!$Y$27)</f>
        <v/>
      </c>
      <c r="I27" s="36">
        <f>IF('契約台帳'!$I$27="","",'契約台帳'!$I$27&amp;IF(ISNUMBER('契約台帳'!$J$27),"・"&amp;'契約台帳'!$J$27&amp;"か月",""))</f>
        <v/>
      </c>
      <c r="J27" s="75">
        <f>IF('契約台帳'!$Z$27="","",'契約台帳'!$Z$27)</f>
        <v/>
      </c>
      <c r="K27" s="36">
        <f>IF(ISNUMBER('契約台帳'!$M$27),'契約台帳'!$M$27&amp;IF('契約台帳'!$N$27="","か月前",'契約台帳'!$N$27),"")</f>
        <v/>
      </c>
      <c r="L27" s="39">
        <f>IF(ISNUMBER('契約台帳'!$O$27),IF('契約台帳'!$P$27="","",'契約台帳'!$P$27&amp;" ")&amp;FIXED('契約台帳'!$O$27,0)&amp;"円",IF('契約台帳'!$P$27="","",'契約台帳'!$P$27))</f>
        <v/>
      </c>
      <c r="M27" s="36">
        <f>IF('契約台帳'!$Q$27="","",'契約台帳'!$Q$27)</f>
        <v/>
      </c>
      <c r="N27" s="39">
        <f>IF('契約台帳'!$R$27="","",'契約台帳'!$R$27)</f>
        <v/>
      </c>
      <c r="O27" s="36">
        <f>IF('契約台帳'!$S$27="","",'契約台帳'!$S$27)</f>
        <v/>
      </c>
      <c r="P27" s="36">
        <f>IF('契約台帳'!$AC$27="","",'契約台帳'!$AC$27)</f>
        <v/>
      </c>
    </row>
    <row r="28" ht="21" customHeight="1">
      <c r="A28" s="51" t="n">
        <v>24</v>
      </c>
      <c r="B28" s="36">
        <f>IF('契約台帳'!$B$28="","",'契約台帳'!$B$28)</f>
        <v/>
      </c>
      <c r="C28" s="39">
        <f>IF('契約台帳'!$C$28="","",'契約台帳'!$C$28)</f>
        <v/>
      </c>
      <c r="D28" s="36">
        <f>IF('契約台帳'!$D$28="","",'契約台帳'!$D$28)</f>
        <v/>
      </c>
      <c r="E28" s="39">
        <f>IF('契約台帳'!$E$28="","",'契約台帳'!$E$28)</f>
        <v/>
      </c>
      <c r="F28" s="75">
        <f>IF('契約台帳'!$F$28="","",'契約台帳'!$F$28)</f>
        <v/>
      </c>
      <c r="G28" s="75">
        <f>IF('契約台帳'!$G$28="","",'契約台帳'!$G$28)</f>
        <v/>
      </c>
      <c r="H28" s="75">
        <f>IF('契約台帳'!$Y$28="","",'契約台帳'!$Y$28)</f>
        <v/>
      </c>
      <c r="I28" s="36">
        <f>IF('契約台帳'!$I$28="","",'契約台帳'!$I$28&amp;IF(ISNUMBER('契約台帳'!$J$28),"・"&amp;'契約台帳'!$J$28&amp;"か月",""))</f>
        <v/>
      </c>
      <c r="J28" s="75">
        <f>IF('契約台帳'!$Z$28="","",'契約台帳'!$Z$28)</f>
        <v/>
      </c>
      <c r="K28" s="36">
        <f>IF(ISNUMBER('契約台帳'!$M$28),'契約台帳'!$M$28&amp;IF('契約台帳'!$N$28="","か月前",'契約台帳'!$N$28),"")</f>
        <v/>
      </c>
      <c r="L28" s="39">
        <f>IF(ISNUMBER('契約台帳'!$O$28),IF('契約台帳'!$P$28="","",'契約台帳'!$P$28&amp;" ")&amp;FIXED('契約台帳'!$O$28,0)&amp;"円",IF('契約台帳'!$P$28="","",'契約台帳'!$P$28))</f>
        <v/>
      </c>
      <c r="M28" s="36">
        <f>IF('契約台帳'!$Q$28="","",'契約台帳'!$Q$28)</f>
        <v/>
      </c>
      <c r="N28" s="39">
        <f>IF('契約台帳'!$R$28="","",'契約台帳'!$R$28)</f>
        <v/>
      </c>
      <c r="O28" s="36">
        <f>IF('契約台帳'!$S$28="","",'契約台帳'!$S$28)</f>
        <v/>
      </c>
      <c r="P28" s="36">
        <f>IF('契約台帳'!$AC$28="","",'契約台帳'!$AC$28)</f>
        <v/>
      </c>
    </row>
    <row r="29" ht="21" customHeight="1">
      <c r="A29" s="51" t="n">
        <v>25</v>
      </c>
      <c r="B29" s="36">
        <f>IF('契約台帳'!$B$29="","",'契約台帳'!$B$29)</f>
        <v/>
      </c>
      <c r="C29" s="39">
        <f>IF('契約台帳'!$C$29="","",'契約台帳'!$C$29)</f>
        <v/>
      </c>
      <c r="D29" s="36">
        <f>IF('契約台帳'!$D$29="","",'契約台帳'!$D$29)</f>
        <v/>
      </c>
      <c r="E29" s="39">
        <f>IF('契約台帳'!$E$29="","",'契約台帳'!$E$29)</f>
        <v/>
      </c>
      <c r="F29" s="75">
        <f>IF('契約台帳'!$F$29="","",'契約台帳'!$F$29)</f>
        <v/>
      </c>
      <c r="G29" s="75">
        <f>IF('契約台帳'!$G$29="","",'契約台帳'!$G$29)</f>
        <v/>
      </c>
      <c r="H29" s="75">
        <f>IF('契約台帳'!$Y$29="","",'契約台帳'!$Y$29)</f>
        <v/>
      </c>
      <c r="I29" s="36">
        <f>IF('契約台帳'!$I$29="","",'契約台帳'!$I$29&amp;IF(ISNUMBER('契約台帳'!$J$29),"・"&amp;'契約台帳'!$J$29&amp;"か月",""))</f>
        <v/>
      </c>
      <c r="J29" s="75">
        <f>IF('契約台帳'!$Z$29="","",'契約台帳'!$Z$29)</f>
        <v/>
      </c>
      <c r="K29" s="36">
        <f>IF(ISNUMBER('契約台帳'!$M$29),'契約台帳'!$M$29&amp;IF('契約台帳'!$N$29="","か月前",'契約台帳'!$N$29),"")</f>
        <v/>
      </c>
      <c r="L29" s="39">
        <f>IF(ISNUMBER('契約台帳'!$O$29),IF('契約台帳'!$P$29="","",'契約台帳'!$P$29&amp;" ")&amp;FIXED('契約台帳'!$O$29,0)&amp;"円",IF('契約台帳'!$P$29="","",'契約台帳'!$P$29))</f>
        <v/>
      </c>
      <c r="M29" s="36">
        <f>IF('契約台帳'!$Q$29="","",'契約台帳'!$Q$29)</f>
        <v/>
      </c>
      <c r="N29" s="39">
        <f>IF('契約台帳'!$R$29="","",'契約台帳'!$R$29)</f>
        <v/>
      </c>
      <c r="O29" s="36">
        <f>IF('契約台帳'!$S$29="","",'契約台帳'!$S$29)</f>
        <v/>
      </c>
      <c r="P29" s="36">
        <f>IF('契約台帳'!$AC$29="","",'契約台帳'!$AC$29)</f>
        <v/>
      </c>
    </row>
    <row r="30" ht="21" customHeight="1">
      <c r="A30" s="51" t="n">
        <v>26</v>
      </c>
      <c r="B30" s="36">
        <f>IF('契約台帳'!$B$30="","",'契約台帳'!$B$30)</f>
        <v/>
      </c>
      <c r="C30" s="39">
        <f>IF('契約台帳'!$C$30="","",'契約台帳'!$C$30)</f>
        <v/>
      </c>
      <c r="D30" s="36">
        <f>IF('契約台帳'!$D$30="","",'契約台帳'!$D$30)</f>
        <v/>
      </c>
      <c r="E30" s="39">
        <f>IF('契約台帳'!$E$30="","",'契約台帳'!$E$30)</f>
        <v/>
      </c>
      <c r="F30" s="75">
        <f>IF('契約台帳'!$F$30="","",'契約台帳'!$F$30)</f>
        <v/>
      </c>
      <c r="G30" s="75">
        <f>IF('契約台帳'!$G$30="","",'契約台帳'!$G$30)</f>
        <v/>
      </c>
      <c r="H30" s="75">
        <f>IF('契約台帳'!$Y$30="","",'契約台帳'!$Y$30)</f>
        <v/>
      </c>
      <c r="I30" s="36">
        <f>IF('契約台帳'!$I$30="","",'契約台帳'!$I$30&amp;IF(ISNUMBER('契約台帳'!$J$30),"・"&amp;'契約台帳'!$J$30&amp;"か月",""))</f>
        <v/>
      </c>
      <c r="J30" s="75">
        <f>IF('契約台帳'!$Z$30="","",'契約台帳'!$Z$30)</f>
        <v/>
      </c>
      <c r="K30" s="36">
        <f>IF(ISNUMBER('契約台帳'!$M$30),'契約台帳'!$M$30&amp;IF('契約台帳'!$N$30="","か月前",'契約台帳'!$N$30),"")</f>
        <v/>
      </c>
      <c r="L30" s="39">
        <f>IF(ISNUMBER('契約台帳'!$O$30),IF('契約台帳'!$P$30="","",'契約台帳'!$P$30&amp;" ")&amp;FIXED('契約台帳'!$O$30,0)&amp;"円",IF('契約台帳'!$P$30="","",'契約台帳'!$P$30))</f>
        <v/>
      </c>
      <c r="M30" s="36">
        <f>IF('契約台帳'!$Q$30="","",'契約台帳'!$Q$30)</f>
        <v/>
      </c>
      <c r="N30" s="39">
        <f>IF('契約台帳'!$R$30="","",'契約台帳'!$R$30)</f>
        <v/>
      </c>
      <c r="O30" s="36">
        <f>IF('契約台帳'!$S$30="","",'契約台帳'!$S$30)</f>
        <v/>
      </c>
      <c r="P30" s="36">
        <f>IF('契約台帳'!$AC$30="","",'契約台帳'!$AC$30)</f>
        <v/>
      </c>
    </row>
    <row r="31" ht="21" customHeight="1">
      <c r="A31" s="51" t="n">
        <v>27</v>
      </c>
      <c r="B31" s="36">
        <f>IF('契約台帳'!$B$31="","",'契約台帳'!$B$31)</f>
        <v/>
      </c>
      <c r="C31" s="39">
        <f>IF('契約台帳'!$C$31="","",'契約台帳'!$C$31)</f>
        <v/>
      </c>
      <c r="D31" s="36">
        <f>IF('契約台帳'!$D$31="","",'契約台帳'!$D$31)</f>
        <v/>
      </c>
      <c r="E31" s="39">
        <f>IF('契約台帳'!$E$31="","",'契約台帳'!$E$31)</f>
        <v/>
      </c>
      <c r="F31" s="75">
        <f>IF('契約台帳'!$F$31="","",'契約台帳'!$F$31)</f>
        <v/>
      </c>
      <c r="G31" s="75">
        <f>IF('契約台帳'!$G$31="","",'契約台帳'!$G$31)</f>
        <v/>
      </c>
      <c r="H31" s="75">
        <f>IF('契約台帳'!$Y$31="","",'契約台帳'!$Y$31)</f>
        <v/>
      </c>
      <c r="I31" s="36">
        <f>IF('契約台帳'!$I$31="","",'契約台帳'!$I$31&amp;IF(ISNUMBER('契約台帳'!$J$31),"・"&amp;'契約台帳'!$J$31&amp;"か月",""))</f>
        <v/>
      </c>
      <c r="J31" s="75">
        <f>IF('契約台帳'!$Z$31="","",'契約台帳'!$Z$31)</f>
        <v/>
      </c>
      <c r="K31" s="36">
        <f>IF(ISNUMBER('契約台帳'!$M$31),'契約台帳'!$M$31&amp;IF('契約台帳'!$N$31="","か月前",'契約台帳'!$N$31),"")</f>
        <v/>
      </c>
      <c r="L31" s="39">
        <f>IF(ISNUMBER('契約台帳'!$O$31),IF('契約台帳'!$P$31="","",'契約台帳'!$P$31&amp;" ")&amp;FIXED('契約台帳'!$O$31,0)&amp;"円",IF('契約台帳'!$P$31="","",'契約台帳'!$P$31))</f>
        <v/>
      </c>
      <c r="M31" s="36">
        <f>IF('契約台帳'!$Q$31="","",'契約台帳'!$Q$31)</f>
        <v/>
      </c>
      <c r="N31" s="39">
        <f>IF('契約台帳'!$R$31="","",'契約台帳'!$R$31)</f>
        <v/>
      </c>
      <c r="O31" s="36">
        <f>IF('契約台帳'!$S$31="","",'契約台帳'!$S$31)</f>
        <v/>
      </c>
      <c r="P31" s="36">
        <f>IF('契約台帳'!$AC$31="","",'契約台帳'!$AC$31)</f>
        <v/>
      </c>
    </row>
    <row r="32" ht="21" customHeight="1">
      <c r="A32" s="51" t="n">
        <v>28</v>
      </c>
      <c r="B32" s="36">
        <f>IF('契約台帳'!$B$32="","",'契約台帳'!$B$32)</f>
        <v/>
      </c>
      <c r="C32" s="39">
        <f>IF('契約台帳'!$C$32="","",'契約台帳'!$C$32)</f>
        <v/>
      </c>
      <c r="D32" s="36">
        <f>IF('契約台帳'!$D$32="","",'契約台帳'!$D$32)</f>
        <v/>
      </c>
      <c r="E32" s="39">
        <f>IF('契約台帳'!$E$32="","",'契約台帳'!$E$32)</f>
        <v/>
      </c>
      <c r="F32" s="75">
        <f>IF('契約台帳'!$F$32="","",'契約台帳'!$F$32)</f>
        <v/>
      </c>
      <c r="G32" s="75">
        <f>IF('契約台帳'!$G$32="","",'契約台帳'!$G$32)</f>
        <v/>
      </c>
      <c r="H32" s="75">
        <f>IF('契約台帳'!$Y$32="","",'契約台帳'!$Y$32)</f>
        <v/>
      </c>
      <c r="I32" s="36">
        <f>IF('契約台帳'!$I$32="","",'契約台帳'!$I$32&amp;IF(ISNUMBER('契約台帳'!$J$32),"・"&amp;'契約台帳'!$J$32&amp;"か月",""))</f>
        <v/>
      </c>
      <c r="J32" s="75">
        <f>IF('契約台帳'!$Z$32="","",'契約台帳'!$Z$32)</f>
        <v/>
      </c>
      <c r="K32" s="36">
        <f>IF(ISNUMBER('契約台帳'!$M$32),'契約台帳'!$M$32&amp;IF('契約台帳'!$N$32="","か月前",'契約台帳'!$N$32),"")</f>
        <v/>
      </c>
      <c r="L32" s="39">
        <f>IF(ISNUMBER('契約台帳'!$O$32),IF('契約台帳'!$P$32="","",'契約台帳'!$P$32&amp;" ")&amp;FIXED('契約台帳'!$O$32,0)&amp;"円",IF('契約台帳'!$P$32="","",'契約台帳'!$P$32))</f>
        <v/>
      </c>
      <c r="M32" s="36">
        <f>IF('契約台帳'!$Q$32="","",'契約台帳'!$Q$32)</f>
        <v/>
      </c>
      <c r="N32" s="39">
        <f>IF('契約台帳'!$R$32="","",'契約台帳'!$R$32)</f>
        <v/>
      </c>
      <c r="O32" s="36">
        <f>IF('契約台帳'!$S$32="","",'契約台帳'!$S$32)</f>
        <v/>
      </c>
      <c r="P32" s="36">
        <f>IF('契約台帳'!$AC$32="","",'契約台帳'!$AC$32)</f>
        <v/>
      </c>
    </row>
    <row r="33" ht="21" customHeight="1">
      <c r="A33" s="51" t="n">
        <v>29</v>
      </c>
      <c r="B33" s="36">
        <f>IF('契約台帳'!$B$33="","",'契約台帳'!$B$33)</f>
        <v/>
      </c>
      <c r="C33" s="39">
        <f>IF('契約台帳'!$C$33="","",'契約台帳'!$C$33)</f>
        <v/>
      </c>
      <c r="D33" s="36">
        <f>IF('契約台帳'!$D$33="","",'契約台帳'!$D$33)</f>
        <v/>
      </c>
      <c r="E33" s="39">
        <f>IF('契約台帳'!$E$33="","",'契約台帳'!$E$33)</f>
        <v/>
      </c>
      <c r="F33" s="75">
        <f>IF('契約台帳'!$F$33="","",'契約台帳'!$F$33)</f>
        <v/>
      </c>
      <c r="G33" s="75">
        <f>IF('契約台帳'!$G$33="","",'契約台帳'!$G$33)</f>
        <v/>
      </c>
      <c r="H33" s="75">
        <f>IF('契約台帳'!$Y$33="","",'契約台帳'!$Y$33)</f>
        <v/>
      </c>
      <c r="I33" s="36">
        <f>IF('契約台帳'!$I$33="","",'契約台帳'!$I$33&amp;IF(ISNUMBER('契約台帳'!$J$33),"・"&amp;'契約台帳'!$J$33&amp;"か月",""))</f>
        <v/>
      </c>
      <c r="J33" s="75">
        <f>IF('契約台帳'!$Z$33="","",'契約台帳'!$Z$33)</f>
        <v/>
      </c>
      <c r="K33" s="36">
        <f>IF(ISNUMBER('契約台帳'!$M$33),'契約台帳'!$M$33&amp;IF('契約台帳'!$N$33="","か月前",'契約台帳'!$N$33),"")</f>
        <v/>
      </c>
      <c r="L33" s="39">
        <f>IF(ISNUMBER('契約台帳'!$O$33),IF('契約台帳'!$P$33="","",'契約台帳'!$P$33&amp;" ")&amp;FIXED('契約台帳'!$O$33,0)&amp;"円",IF('契約台帳'!$P$33="","",'契約台帳'!$P$33))</f>
        <v/>
      </c>
      <c r="M33" s="36">
        <f>IF('契約台帳'!$Q$33="","",'契約台帳'!$Q$33)</f>
        <v/>
      </c>
      <c r="N33" s="39">
        <f>IF('契約台帳'!$R$33="","",'契約台帳'!$R$33)</f>
        <v/>
      </c>
      <c r="O33" s="36">
        <f>IF('契約台帳'!$S$33="","",'契約台帳'!$S$33)</f>
        <v/>
      </c>
      <c r="P33" s="36">
        <f>IF('契約台帳'!$AC$33="","",'契約台帳'!$AC$33)</f>
        <v/>
      </c>
    </row>
    <row r="34" ht="21" customHeight="1">
      <c r="A34" s="51" t="n">
        <v>30</v>
      </c>
      <c r="B34" s="36">
        <f>IF('契約台帳'!$B$34="","",'契約台帳'!$B$34)</f>
        <v/>
      </c>
      <c r="C34" s="39">
        <f>IF('契約台帳'!$C$34="","",'契約台帳'!$C$34)</f>
        <v/>
      </c>
      <c r="D34" s="36">
        <f>IF('契約台帳'!$D$34="","",'契約台帳'!$D$34)</f>
        <v/>
      </c>
      <c r="E34" s="39">
        <f>IF('契約台帳'!$E$34="","",'契約台帳'!$E$34)</f>
        <v/>
      </c>
      <c r="F34" s="75">
        <f>IF('契約台帳'!$F$34="","",'契約台帳'!$F$34)</f>
        <v/>
      </c>
      <c r="G34" s="75">
        <f>IF('契約台帳'!$G$34="","",'契約台帳'!$G$34)</f>
        <v/>
      </c>
      <c r="H34" s="75">
        <f>IF('契約台帳'!$Y$34="","",'契約台帳'!$Y$34)</f>
        <v/>
      </c>
      <c r="I34" s="36">
        <f>IF('契約台帳'!$I$34="","",'契約台帳'!$I$34&amp;IF(ISNUMBER('契約台帳'!$J$34),"・"&amp;'契約台帳'!$J$34&amp;"か月",""))</f>
        <v/>
      </c>
      <c r="J34" s="75">
        <f>IF('契約台帳'!$Z$34="","",'契約台帳'!$Z$34)</f>
        <v/>
      </c>
      <c r="K34" s="36">
        <f>IF(ISNUMBER('契約台帳'!$M$34),'契約台帳'!$M$34&amp;IF('契約台帳'!$N$34="","か月前",'契約台帳'!$N$34),"")</f>
        <v/>
      </c>
      <c r="L34" s="39">
        <f>IF(ISNUMBER('契約台帳'!$O$34),IF('契約台帳'!$P$34="","",'契約台帳'!$P$34&amp;" ")&amp;FIXED('契約台帳'!$O$34,0)&amp;"円",IF('契約台帳'!$P$34="","",'契約台帳'!$P$34))</f>
        <v/>
      </c>
      <c r="M34" s="36">
        <f>IF('契約台帳'!$Q$34="","",'契約台帳'!$Q$34)</f>
        <v/>
      </c>
      <c r="N34" s="39">
        <f>IF('契約台帳'!$R$34="","",'契約台帳'!$R$34)</f>
        <v/>
      </c>
      <c r="O34" s="36">
        <f>IF('契約台帳'!$S$34="","",'契約台帳'!$S$34)</f>
        <v/>
      </c>
      <c r="P34" s="36">
        <f>IF('契約台帳'!$AC$34="","",'契約台帳'!$AC$34)</f>
        <v/>
      </c>
    </row>
    <row r="35">
      <c r="A35" s="56" t="inlineStr">
        <is>
          <t>契約台帳の1〜30行目を並べています。31件目からは、契約台帳を絞り込んで印刷します。</t>
        </is>
      </c>
      <c r="B35" s="53" t="n"/>
      <c r="C35" s="53" t="n"/>
      <c r="D35" s="53" t="n"/>
      <c r="E35" s="53" t="n"/>
      <c r="F35" s="53" t="n"/>
      <c r="G35" s="53" t="n"/>
      <c r="H35" s="53" t="n"/>
      <c r="I35" s="53" t="n"/>
      <c r="J35" s="53" t="n"/>
      <c r="K35" s="53" t="n"/>
      <c r="L35" s="53" t="n"/>
      <c r="M35" s="53" t="n"/>
      <c r="N35" s="53" t="n"/>
      <c r="O35" s="53" t="n"/>
      <c r="P35" s="53" t="n"/>
    </row>
  </sheetData>
  <mergeCells count="7">
    <mergeCell ref="C2:E2"/>
    <mergeCell ref="A2:B2"/>
    <mergeCell ref="G2:H2"/>
    <mergeCell ref="A1:P1"/>
    <mergeCell ref="A35:P35"/>
    <mergeCell ref="I2:P2"/>
    <mergeCell ref="A3:P3"/>
  </mergeCells>
  <printOptions horizontalCentered="1"/>
  <pageMargins left="0.35" right="0.35" top="0.4" bottom="0.4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2026-10-02T18:45:43Z</dcterms:created>
  <dcterms:modified xmlns:dcterms="http://purl.org/dc/terms/" xmlns:xsi="http://www.w3.org/2001/XMLSchema-instance" xsi:type="dcterms:W3CDTF">2026-10-02T18:45:48Z</dcterms:modified>
</cp:coreProperties>
</file>