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年間カレンダー" sheetId="1" state="visible" r:id="rId1"/>
    <sheet xmlns:r="http://schemas.openxmlformats.org/officeDocument/2006/relationships" name="区分表" sheetId="2" state="visible" r:id="rId2"/>
    <sheet xmlns:r="http://schemas.openxmlformats.org/officeDocument/2006/relationships" name="判定" sheetId="3" state="visible" r:id="rId3"/>
    <sheet xmlns:r="http://schemas.openxmlformats.org/officeDocument/2006/relationships" name="記入例_年間カレンダー" sheetId="4" state="visible" r:id="rId4"/>
    <sheet xmlns:r="http://schemas.openxmlformats.org/officeDocument/2006/relationships" name="記入例_区分表" sheetId="5" state="visible" r:id="rId5"/>
    <sheet xmlns:r="http://schemas.openxmlformats.org/officeDocument/2006/relationships" name="記入例_判定" sheetId="6" state="visible" r:id="rId6"/>
  </sheets>
  <definedNames>
    <definedName name="_xlnm.Print_Titles" localSheetId="0">'年間カレンダー'!$11:$11</definedName>
    <definedName name="_xlnm.Print_Titles" localSheetId="2">'判定'!$26:$26</definedName>
    <definedName name="_xlnm.Print_Area" localSheetId="2">'判定'!$A$1:$D$23,'判定'!$F$26:$O$79</definedName>
    <definedName name="_xlnm.Print_Titles" localSheetId="3">'記入例_年間カレンダー'!$11:$11</definedName>
    <definedName name="_xlnm.Print_Titles" localSheetId="5">'記入例_判定'!$26:$26</definedName>
    <definedName name="_xlnm.Print_Area" localSheetId="5">'記入例_判定'!$A$1:$D$23,'記入例_判定'!$F$26:$O$79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&quot;年&quot;m&quot;月&quot;d&quot;日&quot;"/>
    <numFmt numFmtId="165" formatCode="yyyy/m/d"/>
    <numFmt numFmtId="166" formatCode="0.0;-0.0;;@"/>
    <numFmt numFmtId="167" formatCode="0;-0;;@"/>
    <numFmt numFmtId="168" formatCode="0.0"/>
    <numFmt numFmtId="169" formatCode="m/d"/>
  </numFmts>
  <fonts count="11">
    <font>
      <name val="Calibri"/>
      <family val="2"/>
      <color theme="1"/>
      <sz val="11"/>
      <scheme val="minor"/>
    </font>
    <font>
      <name val="Yu Gothic"/>
      <b val="1"/>
      <color rgb="001B3A5C"/>
      <sz val="14"/>
    </font>
    <font>
      <name val="Yu Gothic"/>
      <color rgb="0066707A"/>
      <sz val="8.5"/>
    </font>
    <font>
      <name val="Yu Gothic"/>
      <b val="1"/>
      <sz val="10"/>
    </font>
    <font>
      <name val="Yu Gothic"/>
      <sz val="10"/>
    </font>
    <font>
      <name val="Yu Gothic"/>
      <b val="1"/>
      <color rgb="00FFFFFF"/>
      <sz val="9"/>
    </font>
    <font>
      <name val="Yu Gothic"/>
      <b val="1"/>
      <sz val="9"/>
    </font>
    <font>
      <name val="Yu Gothic"/>
      <sz val="8"/>
    </font>
    <font>
      <name val="Yu Gothic"/>
      <sz val="9"/>
    </font>
    <font>
      <name val="Yu Gothic"/>
      <b val="1"/>
      <color rgb="FF1B3A5C"/>
      <sz val="14"/>
    </font>
    <font>
      <name val="Yu Gothic"/>
      <color theme="1"/>
      <sz val="11"/>
    </font>
  </fonts>
  <fills count="6">
    <fill>
      <patternFill/>
    </fill>
    <fill>
      <patternFill patternType="gray125"/>
    </fill>
    <fill>
      <patternFill patternType="solid">
        <fgColor rgb="00F2F2EF"/>
      </patternFill>
    </fill>
    <fill>
      <patternFill patternType="solid">
        <fgColor rgb="00FFF9E6"/>
      </patternFill>
    </fill>
    <fill>
      <patternFill patternType="solid">
        <fgColor rgb="00E8F8EE"/>
      </patternFill>
    </fill>
    <fill>
      <patternFill patternType="solid">
        <fgColor rgb="001B3A5C"/>
      </patternFill>
    </fill>
  </fills>
  <borders count="7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/>
      <right/>
      <top/>
      <bottom/>
    </border>
    <border>
      <left/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20" fontId="4" fillId="3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68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68" fontId="3" fillId="4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top" wrapText="1"/>
    </xf>
    <xf numFmtId="1" fontId="6" fillId="2" borderId="1" applyAlignment="1" pivotButton="0" quotePrefix="0" xfId="0">
      <alignment horizontal="center" vertical="center"/>
    </xf>
    <xf numFmtId="169" fontId="8" fillId="4" borderId="1" applyAlignment="1" pivotButton="0" quotePrefix="0" xfId="0">
      <alignment horizontal="center" vertical="center"/>
    </xf>
    <xf numFmtId="168" fontId="8" fillId="4" borderId="1" applyAlignment="1" pivotButton="0" quotePrefix="0" xfId="0">
      <alignment horizontal="center" vertical="center"/>
    </xf>
    <xf numFmtId="1" fontId="8" fillId="4" borderId="1" applyAlignment="1" pivotButton="0" quotePrefix="0" xfId="0">
      <alignment horizontal="center" vertical="center"/>
    </xf>
    <xf numFmtId="165" fontId="8" fillId="4" borderId="1" applyAlignment="1" pivotButton="0" quotePrefix="0" xfId="0">
      <alignment horizontal="center" vertical="center"/>
    </xf>
    <xf numFmtId="0" fontId="9" fillId="0" borderId="5" applyAlignment="1" pivotButton="0" quotePrefix="0" xfId="0">
      <alignment horizontal="left" vertical="center"/>
    </xf>
    <xf numFmtId="0" fontId="10" fillId="0" borderId="5" pivotButton="0" quotePrefix="0" xfId="0"/>
    <xf numFmtId="0" fontId="2" fillId="0" borderId="5" applyAlignment="1" pivotButton="0" quotePrefix="0" xfId="0">
      <alignment horizontal="left" vertical="center"/>
    </xf>
    <xf numFmtId="0" fontId="10" fillId="0" borderId="6" pivotButton="0" quotePrefix="0" xfId="0"/>
    <xf numFmtId="0" fontId="9" fillId="0" borderId="5" applyAlignment="1" pivotButton="0" quotePrefix="0" xfId="0">
      <alignment horizontal="left" vertical="center" wrapText="1"/>
    </xf>
    <xf numFmtId="0" fontId="2" fillId="0" borderId="5" applyAlignment="1" pivotButton="0" quotePrefix="0" xfId="0">
      <alignment horizontal="left" vertical="top" wrapText="1"/>
    </xf>
    <xf numFmtId="0" fontId="2" fillId="2" borderId="5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b val="1"/>
        <color rgb="001E6F3E"/>
      </font>
      <fill>
        <patternFill patternType="solid">
          <fgColor rgb="00E8F8EE"/>
        </patternFill>
      </fill>
    </dxf>
    <dxf>
      <font>
        <b val="1"/>
        <color rgb="00B3261E"/>
      </font>
      <fill>
        <patternFill patternType="solid">
          <fgColor rgb="00F8D7D3"/>
        </patternFill>
      </fill>
    </dxf>
    <dxf>
      <font>
        <b val="1"/>
        <color rgb="007A5900"/>
      </font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77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7" customWidth="1" min="3" max="3"/>
    <col width="8" customWidth="1" min="4" max="4"/>
    <col width="8" customWidth="1" min="5" max="5"/>
    <col width="9" customWidth="1" min="6" max="6"/>
    <col width="9" customWidth="1" min="7" max="7"/>
    <col width="4.5" customWidth="1" min="8" max="8"/>
    <col width="12" customWidth="1" min="9" max="9"/>
    <col width="8" customWidth="1" min="10" max="10"/>
  </cols>
  <sheetData>
    <row r="1">
      <c r="A1" s="37" t="inlineStr">
        <is>
          <t>別紙 年間カレンダー（1年単位の変形労働時間制）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</row>
    <row r="2">
      <c r="A2" s="39" t="inlineStr">
        <is>
          <t>黄色のセルに入力します。区分表と判定のシートは自動で計算します。</t>
        </is>
      </c>
      <c r="B2" s="38" t="n"/>
      <c r="C2" s="38" t="n"/>
      <c r="D2" s="38" t="n"/>
      <c r="E2" s="38" t="n"/>
      <c r="F2" s="38" t="n"/>
      <c r="G2" s="38" t="n"/>
      <c r="H2" s="38" t="n"/>
      <c r="I2" s="38" t="n"/>
      <c r="J2" s="38" t="n"/>
    </row>
    <row r="3">
      <c r="A3" s="38" t="n"/>
      <c r="B3" s="38" t="n"/>
      <c r="C3" s="38" t="n"/>
      <c r="D3" s="38" t="n"/>
      <c r="E3" s="38" t="n"/>
      <c r="F3" s="38" t="n"/>
      <c r="G3" s="38" t="n"/>
      <c r="H3" s="38" t="n"/>
      <c r="I3" s="38" t="n"/>
      <c r="J3" s="38" t="n"/>
    </row>
    <row r="4">
      <c r="A4" s="3" t="inlineStr">
        <is>
          <t>対象期間の開始日</t>
        </is>
      </c>
      <c r="B4" s="4" t="n"/>
      <c r="C4" s="40" t="n"/>
      <c r="D4" s="38" t="n"/>
      <c r="E4" s="38" t="n"/>
      <c r="F4" s="38" t="n"/>
      <c r="G4" s="38" t="n"/>
      <c r="H4" s="38" t="n"/>
      <c r="I4" s="38" t="n"/>
      <c r="J4" s="38" t="n"/>
    </row>
    <row r="5">
      <c r="A5" s="3" t="inlineStr">
        <is>
          <t>対象期間の終了日</t>
        </is>
      </c>
      <c r="B5" s="4" t="str">
        <f>IF(ISNUMBER(B4),EDATE(B4,12)-1,"")</f>
        <v/>
      </c>
      <c r="C5" s="40" t="n"/>
      <c r="D5" s="39" t="inlineStr">
        <is>
          <t>← 1年のときは自動で入ります。1年未満のときは日付を入れ直します。</t>
        </is>
      </c>
      <c r="E5" s="38" t="n"/>
      <c r="F5" s="38" t="n"/>
      <c r="G5" s="38" t="n"/>
      <c r="H5" s="38" t="n"/>
      <c r="I5" s="38" t="n"/>
      <c r="J5" s="38" t="n"/>
    </row>
    <row r="6">
      <c r="A6" s="3" t="inlineStr">
        <is>
          <t>対象期間の暦日数</t>
        </is>
      </c>
      <c r="B6" s="6" t="str">
        <f>IF(AND(ISNUMBER(B4),ISNUMBER(B5)),B5-B4+1,"")</f>
        <v/>
      </c>
      <c r="C6" s="40" t="n"/>
      <c r="D6" s="38" t="n"/>
      <c r="E6" s="38" t="n"/>
      <c r="F6" s="38" t="n"/>
      <c r="G6" s="38" t="n"/>
      <c r="H6" s="38" t="n"/>
      <c r="I6" s="38" t="n"/>
      <c r="J6" s="38" t="n"/>
    </row>
    <row r="7">
      <c r="A7" s="3" t="inlineStr">
        <is>
          <t>特定期間（開始）</t>
        </is>
      </c>
      <c r="B7" s="4" t="n"/>
      <c r="C7" s="40" t="n"/>
      <c r="D7" s="38" t="n"/>
      <c r="E7" s="38" t="n"/>
      <c r="F7" s="38" t="n"/>
      <c r="G7" s="38" t="n"/>
      <c r="H7" s="38" t="n"/>
      <c r="I7" s="38" t="n"/>
      <c r="J7" s="38" t="n"/>
    </row>
    <row r="8">
      <c r="A8" s="3" t="inlineStr">
        <is>
          <t>特定期間（終了）</t>
        </is>
      </c>
      <c r="B8" s="4" t="n"/>
      <c r="C8" s="40" t="n"/>
      <c r="D8" s="39" t="inlineStr">
        <is>
          <t>← 特定期間を定めないときは空欄</t>
        </is>
      </c>
      <c r="E8" s="38" t="n"/>
      <c r="F8" s="38" t="n"/>
      <c r="G8" s="38" t="n"/>
      <c r="H8" s="38" t="n"/>
      <c r="I8" s="38" t="n"/>
      <c r="J8" s="38" t="n"/>
    </row>
    <row r="9">
      <c r="A9" s="38" t="n"/>
      <c r="B9" s="38" t="n"/>
      <c r="C9" s="38" t="n"/>
      <c r="D9" s="38" t="n"/>
      <c r="E9" s="38" t="n"/>
      <c r="F9" s="38" t="n"/>
      <c r="G9" s="38" t="n"/>
      <c r="H9" s="38" t="n"/>
      <c r="I9" s="38" t="n"/>
      <c r="J9" s="38" t="n"/>
    </row>
    <row r="10">
      <c r="A10" s="39" t="inlineStr">
        <is>
          <t>日ごとの勤務（区分・始業・終業・休憩を入力）</t>
        </is>
      </c>
      <c r="B10" s="38" t="n"/>
      <c r="C10" s="38" t="n"/>
      <c r="D10" s="38" t="n"/>
      <c r="E10" s="38" t="n"/>
      <c r="F10" s="38" t="n"/>
      <c r="G10" s="38" t="n"/>
      <c r="H10" s="38" t="n"/>
      <c r="I10" s="38" t="n"/>
      <c r="J10" s="38" t="n"/>
    </row>
    <row r="11">
      <c r="A11" s="8" t="inlineStr">
        <is>
          <t>日付</t>
        </is>
      </c>
      <c r="B11" s="8" t="inlineStr">
        <is>
          <t>曜日</t>
        </is>
      </c>
      <c r="C11" s="8" t="inlineStr">
        <is>
          <t>区分</t>
        </is>
      </c>
      <c r="D11" s="8" t="inlineStr">
        <is>
          <t>始業</t>
        </is>
      </c>
      <c r="E11" s="8" t="inlineStr">
        <is>
          <t>終業</t>
        </is>
      </c>
      <c r="F11" s="8" t="inlineStr">
        <is>
          <t>休憩（分）</t>
        </is>
      </c>
      <c r="G11" s="8" t="inlineStr">
        <is>
          <t>労働時間</t>
        </is>
      </c>
      <c r="H11" s="8" t="inlineStr">
        <is>
          <t>週</t>
        </is>
      </c>
      <c r="I11" s="8" t="inlineStr">
        <is>
          <t>連続労働日数</t>
        </is>
      </c>
      <c r="J11" s="8" t="inlineStr">
        <is>
          <t>特定期間</t>
        </is>
      </c>
    </row>
    <row r="12">
      <c r="A12" s="9" t="str">
        <f>IF(ISNUMBER($B$4),IF(ISNUMBER($B$5),IF($B$4+0&lt;=$B$5,$B$4+0,""),""),"")</f>
        <v/>
      </c>
      <c r="B12" s="10" t="str">
        <f>IF(A12="","",CHOOSE(WEEKDAY(A12),"日","月","火","水","木","金","土"))</f>
        <v/>
      </c>
      <c r="C12" s="11" t="n"/>
      <c r="D12" s="12" t="n"/>
      <c r="E12" s="12" t="n"/>
      <c r="F12" s="13" t="n"/>
      <c r="G12" s="14">
        <f>IF(OR(A12="",C12&lt;&gt;"労働日"),0,MAX(0,MOD(E12-D12,1)*24-F12/60))</f>
        <v>0</v>
      </c>
      <c r="H12" s="15" t="str">
        <f>IF(A12="","",INT((A12-$B$4)/7)+1)</f>
        <v/>
      </c>
      <c r="I12" s="16">
        <f>IF(AND(A12&lt;&gt;"",C12="労働日"),0+1,0)</f>
        <v>0</v>
      </c>
      <c r="J12" s="16">
        <f>IF(AND(A12&lt;&gt;"",ISNUMBER($B$7),ISNUMBER($B$8)),IF(AND(A12&gt;=$B$7,A12&lt;=$B$8),1,0),0)</f>
        <v>0</v>
      </c>
    </row>
    <row r="13">
      <c r="A13" s="9" t="str">
        <f>IF(ISNUMBER($B$4),IF(ISNUMBER($B$5),IF($B$4+1&lt;=$B$5,$B$4+1,""),""),"")</f>
        <v/>
      </c>
      <c r="B13" s="10" t="str">
        <f>IF(A13="","",CHOOSE(WEEKDAY(A13),"日","月","火","水","木","金","土"))</f>
        <v/>
      </c>
      <c r="C13" s="11" t="n"/>
      <c r="D13" s="12" t="n"/>
      <c r="E13" s="12" t="n"/>
      <c r="F13" s="13" t="n"/>
      <c r="G13" s="14">
        <f>IF(OR(A13="",C13&lt;&gt;"労働日"),0,MAX(0,MOD(E13-D13,1)*24-F13/60))</f>
        <v>0</v>
      </c>
      <c r="H13" s="15" t="str">
        <f>IF(A13="","",INT((A13-$B$4)/7)+1)</f>
        <v/>
      </c>
      <c r="I13" s="16">
        <f>IF(AND(A13&lt;&gt;"",C13="労働日"),I12+1,0)</f>
        <v>0</v>
      </c>
      <c r="J13" s="16">
        <f>IF(AND(A13&lt;&gt;"",ISNUMBER($B$7),ISNUMBER($B$8)),IF(AND(A13&gt;=$B$7,A13&lt;=$B$8),1,0),0)</f>
        <v>0</v>
      </c>
    </row>
    <row r="14">
      <c r="A14" s="9" t="str">
        <f>IF(ISNUMBER($B$4),IF(ISNUMBER($B$5),IF($B$4+2&lt;=$B$5,$B$4+2,""),""),"")</f>
        <v/>
      </c>
      <c r="B14" s="10" t="str">
        <f>IF(A14="","",CHOOSE(WEEKDAY(A14),"日","月","火","水","木","金","土"))</f>
        <v/>
      </c>
      <c r="C14" s="11" t="n"/>
      <c r="D14" s="12" t="n"/>
      <c r="E14" s="12" t="n"/>
      <c r="F14" s="13" t="n"/>
      <c r="G14" s="14">
        <f>IF(OR(A14="",C14&lt;&gt;"労働日"),0,MAX(0,MOD(E14-D14,1)*24-F14/60))</f>
        <v>0</v>
      </c>
      <c r="H14" s="15" t="str">
        <f>IF(A14="","",INT((A14-$B$4)/7)+1)</f>
        <v/>
      </c>
      <c r="I14" s="16">
        <f>IF(AND(A14&lt;&gt;"",C14="労働日"),I13+1,0)</f>
        <v>0</v>
      </c>
      <c r="J14" s="16">
        <f>IF(AND(A14&lt;&gt;"",ISNUMBER($B$7),ISNUMBER($B$8)),IF(AND(A14&gt;=$B$7,A14&lt;=$B$8),1,0),0)</f>
        <v>0</v>
      </c>
    </row>
    <row r="15">
      <c r="A15" s="9" t="str">
        <f>IF(ISNUMBER($B$4),IF(ISNUMBER($B$5),IF($B$4+3&lt;=$B$5,$B$4+3,""),""),"")</f>
        <v/>
      </c>
      <c r="B15" s="10" t="str">
        <f>IF(A15="","",CHOOSE(WEEKDAY(A15),"日","月","火","水","木","金","土"))</f>
        <v/>
      </c>
      <c r="C15" s="11" t="n"/>
      <c r="D15" s="12" t="n"/>
      <c r="E15" s="12" t="n"/>
      <c r="F15" s="13" t="n"/>
      <c r="G15" s="14">
        <f>IF(OR(A15="",C15&lt;&gt;"労働日"),0,MAX(0,MOD(E15-D15,1)*24-F15/60))</f>
        <v>0</v>
      </c>
      <c r="H15" s="15" t="str">
        <f>IF(A15="","",INT((A15-$B$4)/7)+1)</f>
        <v/>
      </c>
      <c r="I15" s="16">
        <f>IF(AND(A15&lt;&gt;"",C15="労働日"),I14+1,0)</f>
        <v>0</v>
      </c>
      <c r="J15" s="16">
        <f>IF(AND(A15&lt;&gt;"",ISNUMBER($B$7),ISNUMBER($B$8)),IF(AND(A15&gt;=$B$7,A15&lt;=$B$8),1,0),0)</f>
        <v>0</v>
      </c>
    </row>
    <row r="16">
      <c r="A16" s="9" t="str">
        <f>IF(ISNUMBER($B$4),IF(ISNUMBER($B$5),IF($B$4+4&lt;=$B$5,$B$4+4,""),""),"")</f>
        <v/>
      </c>
      <c r="B16" s="10" t="str">
        <f>IF(A16="","",CHOOSE(WEEKDAY(A16),"日","月","火","水","木","金","土"))</f>
        <v/>
      </c>
      <c r="C16" s="11" t="n"/>
      <c r="D16" s="12" t="n"/>
      <c r="E16" s="12" t="n"/>
      <c r="F16" s="13" t="n"/>
      <c r="G16" s="14">
        <f>IF(OR(A16="",C16&lt;&gt;"労働日"),0,MAX(0,MOD(E16-D16,1)*24-F16/60))</f>
        <v>0</v>
      </c>
      <c r="H16" s="15" t="str">
        <f>IF(A16="","",INT((A16-$B$4)/7)+1)</f>
        <v/>
      </c>
      <c r="I16" s="16">
        <f>IF(AND(A16&lt;&gt;"",C16="労働日"),I15+1,0)</f>
        <v>0</v>
      </c>
      <c r="J16" s="16">
        <f>IF(AND(A16&lt;&gt;"",ISNUMBER($B$7),ISNUMBER($B$8)),IF(AND(A16&gt;=$B$7,A16&lt;=$B$8),1,0),0)</f>
        <v>0</v>
      </c>
    </row>
    <row r="17">
      <c r="A17" s="9" t="str">
        <f>IF(ISNUMBER($B$4),IF(ISNUMBER($B$5),IF($B$4+5&lt;=$B$5,$B$4+5,""),""),"")</f>
        <v/>
      </c>
      <c r="B17" s="10" t="str">
        <f>IF(A17="","",CHOOSE(WEEKDAY(A17),"日","月","火","水","木","金","土"))</f>
        <v/>
      </c>
      <c r="C17" s="11" t="n"/>
      <c r="D17" s="12" t="n"/>
      <c r="E17" s="12" t="n"/>
      <c r="F17" s="13" t="n"/>
      <c r="G17" s="14">
        <f>IF(OR(A17="",C17&lt;&gt;"労働日"),0,MAX(0,MOD(E17-D17,1)*24-F17/60))</f>
        <v>0</v>
      </c>
      <c r="H17" s="15" t="str">
        <f>IF(A17="","",INT((A17-$B$4)/7)+1)</f>
        <v/>
      </c>
      <c r="I17" s="16">
        <f>IF(AND(A17&lt;&gt;"",C17="労働日"),I16+1,0)</f>
        <v>0</v>
      </c>
      <c r="J17" s="16">
        <f>IF(AND(A17&lt;&gt;"",ISNUMBER($B$7),ISNUMBER($B$8)),IF(AND(A17&gt;=$B$7,A17&lt;=$B$8),1,0),0)</f>
        <v>0</v>
      </c>
    </row>
    <row r="18">
      <c r="A18" s="9" t="str">
        <f>IF(ISNUMBER($B$4),IF(ISNUMBER($B$5),IF($B$4+6&lt;=$B$5,$B$4+6,""),""),"")</f>
        <v/>
      </c>
      <c r="B18" s="10" t="str">
        <f>IF(A18="","",CHOOSE(WEEKDAY(A18),"日","月","火","水","木","金","土"))</f>
        <v/>
      </c>
      <c r="C18" s="11" t="n"/>
      <c r="D18" s="12" t="n"/>
      <c r="E18" s="12" t="n"/>
      <c r="F18" s="13" t="n"/>
      <c r="G18" s="14">
        <f>IF(OR(A18="",C18&lt;&gt;"労働日"),0,MAX(0,MOD(E18-D18,1)*24-F18/60))</f>
        <v>0</v>
      </c>
      <c r="H18" s="15" t="str">
        <f>IF(A18="","",INT((A18-$B$4)/7)+1)</f>
        <v/>
      </c>
      <c r="I18" s="16">
        <f>IF(AND(A18&lt;&gt;"",C18="労働日"),I17+1,0)</f>
        <v>0</v>
      </c>
      <c r="J18" s="16">
        <f>IF(AND(A18&lt;&gt;"",ISNUMBER($B$7),ISNUMBER($B$8)),IF(AND(A18&gt;=$B$7,A18&lt;=$B$8),1,0),0)</f>
        <v>0</v>
      </c>
    </row>
    <row r="19">
      <c r="A19" s="9" t="str">
        <f>IF(ISNUMBER($B$4),IF(ISNUMBER($B$5),IF($B$4+7&lt;=$B$5,$B$4+7,""),""),"")</f>
        <v/>
      </c>
      <c r="B19" s="10" t="str">
        <f>IF(A19="","",CHOOSE(WEEKDAY(A19),"日","月","火","水","木","金","土"))</f>
        <v/>
      </c>
      <c r="C19" s="11" t="n"/>
      <c r="D19" s="12" t="n"/>
      <c r="E19" s="12" t="n"/>
      <c r="F19" s="13" t="n"/>
      <c r="G19" s="14">
        <f>IF(OR(A19="",C19&lt;&gt;"労働日"),0,MAX(0,MOD(E19-D19,1)*24-F19/60))</f>
        <v>0</v>
      </c>
      <c r="H19" s="15" t="str">
        <f>IF(A19="","",INT((A19-$B$4)/7)+1)</f>
        <v/>
      </c>
      <c r="I19" s="16">
        <f>IF(AND(A19&lt;&gt;"",C19="労働日"),I18+1,0)</f>
        <v>0</v>
      </c>
      <c r="J19" s="16">
        <f>IF(AND(A19&lt;&gt;"",ISNUMBER($B$7),ISNUMBER($B$8)),IF(AND(A19&gt;=$B$7,A19&lt;=$B$8),1,0),0)</f>
        <v>0</v>
      </c>
    </row>
    <row r="20">
      <c r="A20" s="9" t="str">
        <f>IF(ISNUMBER($B$4),IF(ISNUMBER($B$5),IF($B$4+8&lt;=$B$5,$B$4+8,""),""),"")</f>
        <v/>
      </c>
      <c r="B20" s="10" t="str">
        <f>IF(A20="","",CHOOSE(WEEKDAY(A20),"日","月","火","水","木","金","土"))</f>
        <v/>
      </c>
      <c r="C20" s="11" t="n"/>
      <c r="D20" s="12" t="n"/>
      <c r="E20" s="12" t="n"/>
      <c r="F20" s="13" t="n"/>
      <c r="G20" s="14">
        <f>IF(OR(A20="",C20&lt;&gt;"労働日"),0,MAX(0,MOD(E20-D20,1)*24-F20/60))</f>
        <v>0</v>
      </c>
      <c r="H20" s="15" t="str">
        <f>IF(A20="","",INT((A20-$B$4)/7)+1)</f>
        <v/>
      </c>
      <c r="I20" s="16">
        <f>IF(AND(A20&lt;&gt;"",C20="労働日"),I19+1,0)</f>
        <v>0</v>
      </c>
      <c r="J20" s="16">
        <f>IF(AND(A20&lt;&gt;"",ISNUMBER($B$7),ISNUMBER($B$8)),IF(AND(A20&gt;=$B$7,A20&lt;=$B$8),1,0),0)</f>
        <v>0</v>
      </c>
    </row>
    <row r="21">
      <c r="A21" s="9" t="str">
        <f>IF(ISNUMBER($B$4),IF(ISNUMBER($B$5),IF($B$4+9&lt;=$B$5,$B$4+9,""),""),"")</f>
        <v/>
      </c>
      <c r="B21" s="10" t="str">
        <f>IF(A21="","",CHOOSE(WEEKDAY(A21),"日","月","火","水","木","金","土"))</f>
        <v/>
      </c>
      <c r="C21" s="11" t="n"/>
      <c r="D21" s="12" t="n"/>
      <c r="E21" s="12" t="n"/>
      <c r="F21" s="13" t="n"/>
      <c r="G21" s="14">
        <f>IF(OR(A21="",C21&lt;&gt;"労働日"),0,MAX(0,MOD(E21-D21,1)*24-F21/60))</f>
        <v>0</v>
      </c>
      <c r="H21" s="15" t="str">
        <f>IF(A21="","",INT((A21-$B$4)/7)+1)</f>
        <v/>
      </c>
      <c r="I21" s="16">
        <f>IF(AND(A21&lt;&gt;"",C21="労働日"),I20+1,0)</f>
        <v>0</v>
      </c>
      <c r="J21" s="16">
        <f>IF(AND(A21&lt;&gt;"",ISNUMBER($B$7),ISNUMBER($B$8)),IF(AND(A21&gt;=$B$7,A21&lt;=$B$8),1,0),0)</f>
        <v>0</v>
      </c>
    </row>
    <row r="22">
      <c r="A22" s="9" t="str">
        <f>IF(ISNUMBER($B$4),IF(ISNUMBER($B$5),IF($B$4+10&lt;=$B$5,$B$4+10,""),""),"")</f>
        <v/>
      </c>
      <c r="B22" s="10" t="str">
        <f>IF(A22="","",CHOOSE(WEEKDAY(A22),"日","月","火","水","木","金","土"))</f>
        <v/>
      </c>
      <c r="C22" s="11" t="n"/>
      <c r="D22" s="12" t="n"/>
      <c r="E22" s="12" t="n"/>
      <c r="F22" s="13" t="n"/>
      <c r="G22" s="14">
        <f>IF(OR(A22="",C22&lt;&gt;"労働日"),0,MAX(0,MOD(E22-D22,1)*24-F22/60))</f>
        <v>0</v>
      </c>
      <c r="H22" s="15" t="str">
        <f>IF(A22="","",INT((A22-$B$4)/7)+1)</f>
        <v/>
      </c>
      <c r="I22" s="16">
        <f>IF(AND(A22&lt;&gt;"",C22="労働日"),I21+1,0)</f>
        <v>0</v>
      </c>
      <c r="J22" s="16">
        <f>IF(AND(A22&lt;&gt;"",ISNUMBER($B$7),ISNUMBER($B$8)),IF(AND(A22&gt;=$B$7,A22&lt;=$B$8),1,0),0)</f>
        <v>0</v>
      </c>
    </row>
    <row r="23">
      <c r="A23" s="9" t="str">
        <f>IF(ISNUMBER($B$4),IF(ISNUMBER($B$5),IF($B$4+11&lt;=$B$5,$B$4+11,""),""),"")</f>
        <v/>
      </c>
      <c r="B23" s="10" t="str">
        <f>IF(A23="","",CHOOSE(WEEKDAY(A23),"日","月","火","水","木","金","土"))</f>
        <v/>
      </c>
      <c r="C23" s="11" t="n"/>
      <c r="D23" s="12" t="n"/>
      <c r="E23" s="12" t="n"/>
      <c r="F23" s="13" t="n"/>
      <c r="G23" s="14">
        <f>IF(OR(A23="",C23&lt;&gt;"労働日"),0,MAX(0,MOD(E23-D23,1)*24-F23/60))</f>
        <v>0</v>
      </c>
      <c r="H23" s="15" t="str">
        <f>IF(A23="","",INT((A23-$B$4)/7)+1)</f>
        <v/>
      </c>
      <c r="I23" s="16">
        <f>IF(AND(A23&lt;&gt;"",C23="労働日"),I22+1,0)</f>
        <v>0</v>
      </c>
      <c r="J23" s="16">
        <f>IF(AND(A23&lt;&gt;"",ISNUMBER($B$7),ISNUMBER($B$8)),IF(AND(A23&gt;=$B$7,A23&lt;=$B$8),1,0),0)</f>
        <v>0</v>
      </c>
    </row>
    <row r="24">
      <c r="A24" s="9" t="str">
        <f>IF(ISNUMBER($B$4),IF(ISNUMBER($B$5),IF($B$4+12&lt;=$B$5,$B$4+12,""),""),"")</f>
        <v/>
      </c>
      <c r="B24" s="10" t="str">
        <f>IF(A24="","",CHOOSE(WEEKDAY(A24),"日","月","火","水","木","金","土"))</f>
        <v/>
      </c>
      <c r="C24" s="11" t="n"/>
      <c r="D24" s="12" t="n"/>
      <c r="E24" s="12" t="n"/>
      <c r="F24" s="13" t="n"/>
      <c r="G24" s="14">
        <f>IF(OR(A24="",C24&lt;&gt;"労働日"),0,MAX(0,MOD(E24-D24,1)*24-F24/60))</f>
        <v>0</v>
      </c>
      <c r="H24" s="15" t="str">
        <f>IF(A24="","",INT((A24-$B$4)/7)+1)</f>
        <v/>
      </c>
      <c r="I24" s="16">
        <f>IF(AND(A24&lt;&gt;"",C24="労働日"),I23+1,0)</f>
        <v>0</v>
      </c>
      <c r="J24" s="16">
        <f>IF(AND(A24&lt;&gt;"",ISNUMBER($B$7),ISNUMBER($B$8)),IF(AND(A24&gt;=$B$7,A24&lt;=$B$8),1,0),0)</f>
        <v>0</v>
      </c>
    </row>
    <row r="25">
      <c r="A25" s="9" t="str">
        <f>IF(ISNUMBER($B$4),IF(ISNUMBER($B$5),IF($B$4+13&lt;=$B$5,$B$4+13,""),""),"")</f>
        <v/>
      </c>
      <c r="B25" s="10" t="str">
        <f>IF(A25="","",CHOOSE(WEEKDAY(A25),"日","月","火","水","木","金","土"))</f>
        <v/>
      </c>
      <c r="C25" s="11" t="n"/>
      <c r="D25" s="12" t="n"/>
      <c r="E25" s="12" t="n"/>
      <c r="F25" s="13" t="n"/>
      <c r="G25" s="14">
        <f>IF(OR(A25="",C25&lt;&gt;"労働日"),0,MAX(0,MOD(E25-D25,1)*24-F25/60))</f>
        <v>0</v>
      </c>
      <c r="H25" s="15" t="str">
        <f>IF(A25="","",INT((A25-$B$4)/7)+1)</f>
        <v/>
      </c>
      <c r="I25" s="16">
        <f>IF(AND(A25&lt;&gt;"",C25="労働日"),I24+1,0)</f>
        <v>0</v>
      </c>
      <c r="J25" s="16">
        <f>IF(AND(A25&lt;&gt;"",ISNUMBER($B$7),ISNUMBER($B$8)),IF(AND(A25&gt;=$B$7,A25&lt;=$B$8),1,0),0)</f>
        <v>0</v>
      </c>
    </row>
    <row r="26">
      <c r="A26" s="9" t="str">
        <f>IF(ISNUMBER($B$4),IF(ISNUMBER($B$5),IF($B$4+14&lt;=$B$5,$B$4+14,""),""),"")</f>
        <v/>
      </c>
      <c r="B26" s="10" t="str">
        <f>IF(A26="","",CHOOSE(WEEKDAY(A26),"日","月","火","水","木","金","土"))</f>
        <v/>
      </c>
      <c r="C26" s="11" t="n"/>
      <c r="D26" s="12" t="n"/>
      <c r="E26" s="12" t="n"/>
      <c r="F26" s="13" t="n"/>
      <c r="G26" s="14">
        <f>IF(OR(A26="",C26&lt;&gt;"労働日"),0,MAX(0,MOD(E26-D26,1)*24-F26/60))</f>
        <v>0</v>
      </c>
      <c r="H26" s="15" t="str">
        <f>IF(A26="","",INT((A26-$B$4)/7)+1)</f>
        <v/>
      </c>
      <c r="I26" s="16">
        <f>IF(AND(A26&lt;&gt;"",C26="労働日"),I25+1,0)</f>
        <v>0</v>
      </c>
      <c r="J26" s="16">
        <f>IF(AND(A26&lt;&gt;"",ISNUMBER($B$7),ISNUMBER($B$8)),IF(AND(A26&gt;=$B$7,A26&lt;=$B$8),1,0),0)</f>
        <v>0</v>
      </c>
    </row>
    <row r="27">
      <c r="A27" s="9" t="str">
        <f>IF(ISNUMBER($B$4),IF(ISNUMBER($B$5),IF($B$4+15&lt;=$B$5,$B$4+15,""),""),"")</f>
        <v/>
      </c>
      <c r="B27" s="10" t="str">
        <f>IF(A27="","",CHOOSE(WEEKDAY(A27),"日","月","火","水","木","金","土"))</f>
        <v/>
      </c>
      <c r="C27" s="11" t="n"/>
      <c r="D27" s="12" t="n"/>
      <c r="E27" s="12" t="n"/>
      <c r="F27" s="13" t="n"/>
      <c r="G27" s="14">
        <f>IF(OR(A27="",C27&lt;&gt;"労働日"),0,MAX(0,MOD(E27-D27,1)*24-F27/60))</f>
        <v>0</v>
      </c>
      <c r="H27" s="15" t="str">
        <f>IF(A27="","",INT((A27-$B$4)/7)+1)</f>
        <v/>
      </c>
      <c r="I27" s="16">
        <f>IF(AND(A27&lt;&gt;"",C27="労働日"),I26+1,0)</f>
        <v>0</v>
      </c>
      <c r="J27" s="16">
        <f>IF(AND(A27&lt;&gt;"",ISNUMBER($B$7),ISNUMBER($B$8)),IF(AND(A27&gt;=$B$7,A27&lt;=$B$8),1,0),0)</f>
        <v>0</v>
      </c>
    </row>
    <row r="28">
      <c r="A28" s="9" t="str">
        <f>IF(ISNUMBER($B$4),IF(ISNUMBER($B$5),IF($B$4+16&lt;=$B$5,$B$4+16,""),""),"")</f>
        <v/>
      </c>
      <c r="B28" s="10" t="str">
        <f>IF(A28="","",CHOOSE(WEEKDAY(A28),"日","月","火","水","木","金","土"))</f>
        <v/>
      </c>
      <c r="C28" s="11" t="n"/>
      <c r="D28" s="12" t="n"/>
      <c r="E28" s="12" t="n"/>
      <c r="F28" s="13" t="n"/>
      <c r="G28" s="14">
        <f>IF(OR(A28="",C28&lt;&gt;"労働日"),0,MAX(0,MOD(E28-D28,1)*24-F28/60))</f>
        <v>0</v>
      </c>
      <c r="H28" s="15" t="str">
        <f>IF(A28="","",INT((A28-$B$4)/7)+1)</f>
        <v/>
      </c>
      <c r="I28" s="16">
        <f>IF(AND(A28&lt;&gt;"",C28="労働日"),I27+1,0)</f>
        <v>0</v>
      </c>
      <c r="J28" s="16">
        <f>IF(AND(A28&lt;&gt;"",ISNUMBER($B$7),ISNUMBER($B$8)),IF(AND(A28&gt;=$B$7,A28&lt;=$B$8),1,0),0)</f>
        <v>0</v>
      </c>
    </row>
    <row r="29">
      <c r="A29" s="9" t="str">
        <f>IF(ISNUMBER($B$4),IF(ISNUMBER($B$5),IF($B$4+17&lt;=$B$5,$B$4+17,""),""),"")</f>
        <v/>
      </c>
      <c r="B29" s="10" t="str">
        <f>IF(A29="","",CHOOSE(WEEKDAY(A29),"日","月","火","水","木","金","土"))</f>
        <v/>
      </c>
      <c r="C29" s="11" t="n"/>
      <c r="D29" s="12" t="n"/>
      <c r="E29" s="12" t="n"/>
      <c r="F29" s="13" t="n"/>
      <c r="G29" s="14">
        <f>IF(OR(A29="",C29&lt;&gt;"労働日"),0,MAX(0,MOD(E29-D29,1)*24-F29/60))</f>
        <v>0</v>
      </c>
      <c r="H29" s="15" t="str">
        <f>IF(A29="","",INT((A29-$B$4)/7)+1)</f>
        <v/>
      </c>
      <c r="I29" s="16">
        <f>IF(AND(A29&lt;&gt;"",C29="労働日"),I28+1,0)</f>
        <v>0</v>
      </c>
      <c r="J29" s="16">
        <f>IF(AND(A29&lt;&gt;"",ISNUMBER($B$7),ISNUMBER($B$8)),IF(AND(A29&gt;=$B$7,A29&lt;=$B$8),1,0),0)</f>
        <v>0</v>
      </c>
    </row>
    <row r="30">
      <c r="A30" s="9" t="str">
        <f>IF(ISNUMBER($B$4),IF(ISNUMBER($B$5),IF($B$4+18&lt;=$B$5,$B$4+18,""),""),"")</f>
        <v/>
      </c>
      <c r="B30" s="10" t="str">
        <f>IF(A30="","",CHOOSE(WEEKDAY(A30),"日","月","火","水","木","金","土"))</f>
        <v/>
      </c>
      <c r="C30" s="11" t="n"/>
      <c r="D30" s="12" t="n"/>
      <c r="E30" s="12" t="n"/>
      <c r="F30" s="13" t="n"/>
      <c r="G30" s="14">
        <f>IF(OR(A30="",C30&lt;&gt;"労働日"),0,MAX(0,MOD(E30-D30,1)*24-F30/60))</f>
        <v>0</v>
      </c>
      <c r="H30" s="15" t="str">
        <f>IF(A30="","",INT((A30-$B$4)/7)+1)</f>
        <v/>
      </c>
      <c r="I30" s="16">
        <f>IF(AND(A30&lt;&gt;"",C30="労働日"),I29+1,0)</f>
        <v>0</v>
      </c>
      <c r="J30" s="16">
        <f>IF(AND(A30&lt;&gt;"",ISNUMBER($B$7),ISNUMBER($B$8)),IF(AND(A30&gt;=$B$7,A30&lt;=$B$8),1,0),0)</f>
        <v>0</v>
      </c>
    </row>
    <row r="31">
      <c r="A31" s="9" t="str">
        <f>IF(ISNUMBER($B$4),IF(ISNUMBER($B$5),IF($B$4+19&lt;=$B$5,$B$4+19,""),""),"")</f>
        <v/>
      </c>
      <c r="B31" s="10" t="str">
        <f>IF(A31="","",CHOOSE(WEEKDAY(A31),"日","月","火","水","木","金","土"))</f>
        <v/>
      </c>
      <c r="C31" s="11" t="n"/>
      <c r="D31" s="12" t="n"/>
      <c r="E31" s="12" t="n"/>
      <c r="F31" s="13" t="n"/>
      <c r="G31" s="14">
        <f>IF(OR(A31="",C31&lt;&gt;"労働日"),0,MAX(0,MOD(E31-D31,1)*24-F31/60))</f>
        <v>0</v>
      </c>
      <c r="H31" s="15" t="str">
        <f>IF(A31="","",INT((A31-$B$4)/7)+1)</f>
        <v/>
      </c>
      <c r="I31" s="16">
        <f>IF(AND(A31&lt;&gt;"",C31="労働日"),I30+1,0)</f>
        <v>0</v>
      </c>
      <c r="J31" s="16">
        <f>IF(AND(A31&lt;&gt;"",ISNUMBER($B$7),ISNUMBER($B$8)),IF(AND(A31&gt;=$B$7,A31&lt;=$B$8),1,0),0)</f>
        <v>0</v>
      </c>
    </row>
    <row r="32">
      <c r="A32" s="9" t="str">
        <f>IF(ISNUMBER($B$4),IF(ISNUMBER($B$5),IF($B$4+20&lt;=$B$5,$B$4+20,""),""),"")</f>
        <v/>
      </c>
      <c r="B32" s="10" t="str">
        <f>IF(A32="","",CHOOSE(WEEKDAY(A32),"日","月","火","水","木","金","土"))</f>
        <v/>
      </c>
      <c r="C32" s="11" t="n"/>
      <c r="D32" s="12" t="n"/>
      <c r="E32" s="12" t="n"/>
      <c r="F32" s="13" t="n"/>
      <c r="G32" s="14">
        <f>IF(OR(A32="",C32&lt;&gt;"労働日"),0,MAX(0,MOD(E32-D32,1)*24-F32/60))</f>
        <v>0</v>
      </c>
      <c r="H32" s="15" t="str">
        <f>IF(A32="","",INT((A32-$B$4)/7)+1)</f>
        <v/>
      </c>
      <c r="I32" s="16">
        <f>IF(AND(A32&lt;&gt;"",C32="労働日"),I31+1,0)</f>
        <v>0</v>
      </c>
      <c r="J32" s="16">
        <f>IF(AND(A32&lt;&gt;"",ISNUMBER($B$7),ISNUMBER($B$8)),IF(AND(A32&gt;=$B$7,A32&lt;=$B$8),1,0),0)</f>
        <v>0</v>
      </c>
    </row>
    <row r="33">
      <c r="A33" s="9" t="str">
        <f>IF(ISNUMBER($B$4),IF(ISNUMBER($B$5),IF($B$4+21&lt;=$B$5,$B$4+21,""),""),"")</f>
        <v/>
      </c>
      <c r="B33" s="10" t="str">
        <f>IF(A33="","",CHOOSE(WEEKDAY(A33),"日","月","火","水","木","金","土"))</f>
        <v/>
      </c>
      <c r="C33" s="11" t="n"/>
      <c r="D33" s="12" t="n"/>
      <c r="E33" s="12" t="n"/>
      <c r="F33" s="13" t="n"/>
      <c r="G33" s="14">
        <f>IF(OR(A33="",C33&lt;&gt;"労働日"),0,MAX(0,MOD(E33-D33,1)*24-F33/60))</f>
        <v>0</v>
      </c>
      <c r="H33" s="15" t="str">
        <f>IF(A33="","",INT((A33-$B$4)/7)+1)</f>
        <v/>
      </c>
      <c r="I33" s="16">
        <f>IF(AND(A33&lt;&gt;"",C33="労働日"),I32+1,0)</f>
        <v>0</v>
      </c>
      <c r="J33" s="16">
        <f>IF(AND(A33&lt;&gt;"",ISNUMBER($B$7),ISNUMBER($B$8)),IF(AND(A33&gt;=$B$7,A33&lt;=$B$8),1,0),0)</f>
        <v>0</v>
      </c>
    </row>
    <row r="34">
      <c r="A34" s="9" t="str">
        <f>IF(ISNUMBER($B$4),IF(ISNUMBER($B$5),IF($B$4+22&lt;=$B$5,$B$4+22,""),""),"")</f>
        <v/>
      </c>
      <c r="B34" s="10" t="str">
        <f>IF(A34="","",CHOOSE(WEEKDAY(A34),"日","月","火","水","木","金","土"))</f>
        <v/>
      </c>
      <c r="C34" s="11" t="n"/>
      <c r="D34" s="12" t="n"/>
      <c r="E34" s="12" t="n"/>
      <c r="F34" s="13" t="n"/>
      <c r="G34" s="14">
        <f>IF(OR(A34="",C34&lt;&gt;"労働日"),0,MAX(0,MOD(E34-D34,1)*24-F34/60))</f>
        <v>0</v>
      </c>
      <c r="H34" s="15" t="str">
        <f>IF(A34="","",INT((A34-$B$4)/7)+1)</f>
        <v/>
      </c>
      <c r="I34" s="16">
        <f>IF(AND(A34&lt;&gt;"",C34="労働日"),I33+1,0)</f>
        <v>0</v>
      </c>
      <c r="J34" s="16">
        <f>IF(AND(A34&lt;&gt;"",ISNUMBER($B$7),ISNUMBER($B$8)),IF(AND(A34&gt;=$B$7,A34&lt;=$B$8),1,0),0)</f>
        <v>0</v>
      </c>
    </row>
    <row r="35">
      <c r="A35" s="9" t="str">
        <f>IF(ISNUMBER($B$4),IF(ISNUMBER($B$5),IF($B$4+23&lt;=$B$5,$B$4+23,""),""),"")</f>
        <v/>
      </c>
      <c r="B35" s="10" t="str">
        <f>IF(A35="","",CHOOSE(WEEKDAY(A35),"日","月","火","水","木","金","土"))</f>
        <v/>
      </c>
      <c r="C35" s="11" t="n"/>
      <c r="D35" s="12" t="n"/>
      <c r="E35" s="12" t="n"/>
      <c r="F35" s="13" t="n"/>
      <c r="G35" s="14">
        <f>IF(OR(A35="",C35&lt;&gt;"労働日"),0,MAX(0,MOD(E35-D35,1)*24-F35/60))</f>
        <v>0</v>
      </c>
      <c r="H35" s="15" t="str">
        <f>IF(A35="","",INT((A35-$B$4)/7)+1)</f>
        <v/>
      </c>
      <c r="I35" s="16">
        <f>IF(AND(A35&lt;&gt;"",C35="労働日"),I34+1,0)</f>
        <v>0</v>
      </c>
      <c r="J35" s="16">
        <f>IF(AND(A35&lt;&gt;"",ISNUMBER($B$7),ISNUMBER($B$8)),IF(AND(A35&gt;=$B$7,A35&lt;=$B$8),1,0),0)</f>
        <v>0</v>
      </c>
    </row>
    <row r="36">
      <c r="A36" s="9" t="str">
        <f>IF(ISNUMBER($B$4),IF(ISNUMBER($B$5),IF($B$4+24&lt;=$B$5,$B$4+24,""),""),"")</f>
        <v/>
      </c>
      <c r="B36" s="10" t="str">
        <f>IF(A36="","",CHOOSE(WEEKDAY(A36),"日","月","火","水","木","金","土"))</f>
        <v/>
      </c>
      <c r="C36" s="11" t="n"/>
      <c r="D36" s="12" t="n"/>
      <c r="E36" s="12" t="n"/>
      <c r="F36" s="13" t="n"/>
      <c r="G36" s="14">
        <f>IF(OR(A36="",C36&lt;&gt;"労働日"),0,MAX(0,MOD(E36-D36,1)*24-F36/60))</f>
        <v>0</v>
      </c>
      <c r="H36" s="15" t="str">
        <f>IF(A36="","",INT((A36-$B$4)/7)+1)</f>
        <v/>
      </c>
      <c r="I36" s="16">
        <f>IF(AND(A36&lt;&gt;"",C36="労働日"),I35+1,0)</f>
        <v>0</v>
      </c>
      <c r="J36" s="16">
        <f>IF(AND(A36&lt;&gt;"",ISNUMBER($B$7),ISNUMBER($B$8)),IF(AND(A36&gt;=$B$7,A36&lt;=$B$8),1,0),0)</f>
        <v>0</v>
      </c>
    </row>
    <row r="37">
      <c r="A37" s="9" t="str">
        <f>IF(ISNUMBER($B$4),IF(ISNUMBER($B$5),IF($B$4+25&lt;=$B$5,$B$4+25,""),""),"")</f>
        <v/>
      </c>
      <c r="B37" s="10" t="str">
        <f>IF(A37="","",CHOOSE(WEEKDAY(A37),"日","月","火","水","木","金","土"))</f>
        <v/>
      </c>
      <c r="C37" s="11" t="n"/>
      <c r="D37" s="12" t="n"/>
      <c r="E37" s="12" t="n"/>
      <c r="F37" s="13" t="n"/>
      <c r="G37" s="14">
        <f>IF(OR(A37="",C37&lt;&gt;"労働日"),0,MAX(0,MOD(E37-D37,1)*24-F37/60))</f>
        <v>0</v>
      </c>
      <c r="H37" s="15" t="str">
        <f>IF(A37="","",INT((A37-$B$4)/7)+1)</f>
        <v/>
      </c>
      <c r="I37" s="16">
        <f>IF(AND(A37&lt;&gt;"",C37="労働日"),I36+1,0)</f>
        <v>0</v>
      </c>
      <c r="J37" s="16">
        <f>IF(AND(A37&lt;&gt;"",ISNUMBER($B$7),ISNUMBER($B$8)),IF(AND(A37&gt;=$B$7,A37&lt;=$B$8),1,0),0)</f>
        <v>0</v>
      </c>
    </row>
    <row r="38">
      <c r="A38" s="9" t="str">
        <f>IF(ISNUMBER($B$4),IF(ISNUMBER($B$5),IF($B$4+26&lt;=$B$5,$B$4+26,""),""),"")</f>
        <v/>
      </c>
      <c r="B38" s="10" t="str">
        <f>IF(A38="","",CHOOSE(WEEKDAY(A38),"日","月","火","水","木","金","土"))</f>
        <v/>
      </c>
      <c r="C38" s="11" t="n"/>
      <c r="D38" s="12" t="n"/>
      <c r="E38" s="12" t="n"/>
      <c r="F38" s="13" t="n"/>
      <c r="G38" s="14">
        <f>IF(OR(A38="",C38&lt;&gt;"労働日"),0,MAX(0,MOD(E38-D38,1)*24-F38/60))</f>
        <v>0</v>
      </c>
      <c r="H38" s="15" t="str">
        <f>IF(A38="","",INT((A38-$B$4)/7)+1)</f>
        <v/>
      </c>
      <c r="I38" s="16">
        <f>IF(AND(A38&lt;&gt;"",C38="労働日"),I37+1,0)</f>
        <v>0</v>
      </c>
      <c r="J38" s="16">
        <f>IF(AND(A38&lt;&gt;"",ISNUMBER($B$7),ISNUMBER($B$8)),IF(AND(A38&gt;=$B$7,A38&lt;=$B$8),1,0),0)</f>
        <v>0</v>
      </c>
    </row>
    <row r="39">
      <c r="A39" s="9" t="str">
        <f>IF(ISNUMBER($B$4),IF(ISNUMBER($B$5),IF($B$4+27&lt;=$B$5,$B$4+27,""),""),"")</f>
        <v/>
      </c>
      <c r="B39" s="10" t="str">
        <f>IF(A39="","",CHOOSE(WEEKDAY(A39),"日","月","火","水","木","金","土"))</f>
        <v/>
      </c>
      <c r="C39" s="11" t="n"/>
      <c r="D39" s="12" t="n"/>
      <c r="E39" s="12" t="n"/>
      <c r="F39" s="13" t="n"/>
      <c r="G39" s="14">
        <f>IF(OR(A39="",C39&lt;&gt;"労働日"),0,MAX(0,MOD(E39-D39,1)*24-F39/60))</f>
        <v>0</v>
      </c>
      <c r="H39" s="15" t="str">
        <f>IF(A39="","",INT((A39-$B$4)/7)+1)</f>
        <v/>
      </c>
      <c r="I39" s="16">
        <f>IF(AND(A39&lt;&gt;"",C39="労働日"),I38+1,0)</f>
        <v>0</v>
      </c>
      <c r="J39" s="16">
        <f>IF(AND(A39&lt;&gt;"",ISNUMBER($B$7),ISNUMBER($B$8)),IF(AND(A39&gt;=$B$7,A39&lt;=$B$8),1,0),0)</f>
        <v>0</v>
      </c>
    </row>
    <row r="40">
      <c r="A40" s="9" t="str">
        <f>IF(ISNUMBER($B$4),IF(ISNUMBER($B$5),IF($B$4+28&lt;=$B$5,$B$4+28,""),""),"")</f>
        <v/>
      </c>
      <c r="B40" s="10" t="str">
        <f>IF(A40="","",CHOOSE(WEEKDAY(A40),"日","月","火","水","木","金","土"))</f>
        <v/>
      </c>
      <c r="C40" s="11" t="n"/>
      <c r="D40" s="12" t="n"/>
      <c r="E40" s="12" t="n"/>
      <c r="F40" s="13" t="n"/>
      <c r="G40" s="14">
        <f>IF(OR(A40="",C40&lt;&gt;"労働日"),0,MAX(0,MOD(E40-D40,1)*24-F40/60))</f>
        <v>0</v>
      </c>
      <c r="H40" s="15" t="str">
        <f>IF(A40="","",INT((A40-$B$4)/7)+1)</f>
        <v/>
      </c>
      <c r="I40" s="16">
        <f>IF(AND(A40&lt;&gt;"",C40="労働日"),I39+1,0)</f>
        <v>0</v>
      </c>
      <c r="J40" s="16">
        <f>IF(AND(A40&lt;&gt;"",ISNUMBER($B$7),ISNUMBER($B$8)),IF(AND(A40&gt;=$B$7,A40&lt;=$B$8),1,0),0)</f>
        <v>0</v>
      </c>
    </row>
    <row r="41">
      <c r="A41" s="9" t="str">
        <f>IF(ISNUMBER($B$4),IF(ISNUMBER($B$5),IF($B$4+29&lt;=$B$5,$B$4+29,""),""),"")</f>
        <v/>
      </c>
      <c r="B41" s="10" t="str">
        <f>IF(A41="","",CHOOSE(WEEKDAY(A41),"日","月","火","水","木","金","土"))</f>
        <v/>
      </c>
      <c r="C41" s="11" t="n"/>
      <c r="D41" s="12" t="n"/>
      <c r="E41" s="12" t="n"/>
      <c r="F41" s="13" t="n"/>
      <c r="G41" s="14">
        <f>IF(OR(A41="",C41&lt;&gt;"労働日"),0,MAX(0,MOD(E41-D41,1)*24-F41/60))</f>
        <v>0</v>
      </c>
      <c r="H41" s="15" t="str">
        <f>IF(A41="","",INT((A41-$B$4)/7)+1)</f>
        <v/>
      </c>
      <c r="I41" s="16">
        <f>IF(AND(A41&lt;&gt;"",C41="労働日"),I40+1,0)</f>
        <v>0</v>
      </c>
      <c r="J41" s="16">
        <f>IF(AND(A41&lt;&gt;"",ISNUMBER($B$7),ISNUMBER($B$8)),IF(AND(A41&gt;=$B$7,A41&lt;=$B$8),1,0),0)</f>
        <v>0</v>
      </c>
    </row>
    <row r="42">
      <c r="A42" s="9" t="str">
        <f>IF(ISNUMBER($B$4),IF(ISNUMBER($B$5),IF($B$4+30&lt;=$B$5,$B$4+30,""),""),"")</f>
        <v/>
      </c>
      <c r="B42" s="10" t="str">
        <f>IF(A42="","",CHOOSE(WEEKDAY(A42),"日","月","火","水","木","金","土"))</f>
        <v/>
      </c>
      <c r="C42" s="11" t="n"/>
      <c r="D42" s="12" t="n"/>
      <c r="E42" s="12" t="n"/>
      <c r="F42" s="13" t="n"/>
      <c r="G42" s="14">
        <f>IF(OR(A42="",C42&lt;&gt;"労働日"),0,MAX(0,MOD(E42-D42,1)*24-F42/60))</f>
        <v>0</v>
      </c>
      <c r="H42" s="15" t="str">
        <f>IF(A42="","",INT((A42-$B$4)/7)+1)</f>
        <v/>
      </c>
      <c r="I42" s="16">
        <f>IF(AND(A42&lt;&gt;"",C42="労働日"),I41+1,0)</f>
        <v>0</v>
      </c>
      <c r="J42" s="16">
        <f>IF(AND(A42&lt;&gt;"",ISNUMBER($B$7),ISNUMBER($B$8)),IF(AND(A42&gt;=$B$7,A42&lt;=$B$8),1,0),0)</f>
        <v>0</v>
      </c>
    </row>
    <row r="43">
      <c r="A43" s="9" t="str">
        <f>IF(ISNUMBER($B$4),IF(ISNUMBER($B$5),IF($B$4+31&lt;=$B$5,$B$4+31,""),""),"")</f>
        <v/>
      </c>
      <c r="B43" s="10" t="str">
        <f>IF(A43="","",CHOOSE(WEEKDAY(A43),"日","月","火","水","木","金","土"))</f>
        <v/>
      </c>
      <c r="C43" s="11" t="n"/>
      <c r="D43" s="12" t="n"/>
      <c r="E43" s="12" t="n"/>
      <c r="F43" s="13" t="n"/>
      <c r="G43" s="14">
        <f>IF(OR(A43="",C43&lt;&gt;"労働日"),0,MAX(0,MOD(E43-D43,1)*24-F43/60))</f>
        <v>0</v>
      </c>
      <c r="H43" s="15" t="str">
        <f>IF(A43="","",INT((A43-$B$4)/7)+1)</f>
        <v/>
      </c>
      <c r="I43" s="16">
        <f>IF(AND(A43&lt;&gt;"",C43="労働日"),I42+1,0)</f>
        <v>0</v>
      </c>
      <c r="J43" s="16">
        <f>IF(AND(A43&lt;&gt;"",ISNUMBER($B$7),ISNUMBER($B$8)),IF(AND(A43&gt;=$B$7,A43&lt;=$B$8),1,0),0)</f>
        <v>0</v>
      </c>
    </row>
    <row r="44">
      <c r="A44" s="9" t="str">
        <f>IF(ISNUMBER($B$4),IF(ISNUMBER($B$5),IF($B$4+32&lt;=$B$5,$B$4+32,""),""),"")</f>
        <v/>
      </c>
      <c r="B44" s="10" t="str">
        <f>IF(A44="","",CHOOSE(WEEKDAY(A44),"日","月","火","水","木","金","土"))</f>
        <v/>
      </c>
      <c r="C44" s="11" t="n"/>
      <c r="D44" s="12" t="n"/>
      <c r="E44" s="12" t="n"/>
      <c r="F44" s="13" t="n"/>
      <c r="G44" s="14">
        <f>IF(OR(A44="",C44&lt;&gt;"労働日"),0,MAX(0,MOD(E44-D44,1)*24-F44/60))</f>
        <v>0</v>
      </c>
      <c r="H44" s="15" t="str">
        <f>IF(A44="","",INT((A44-$B$4)/7)+1)</f>
        <v/>
      </c>
      <c r="I44" s="16">
        <f>IF(AND(A44&lt;&gt;"",C44="労働日"),I43+1,0)</f>
        <v>0</v>
      </c>
      <c r="J44" s="16">
        <f>IF(AND(A44&lt;&gt;"",ISNUMBER($B$7),ISNUMBER($B$8)),IF(AND(A44&gt;=$B$7,A44&lt;=$B$8),1,0),0)</f>
        <v>0</v>
      </c>
    </row>
    <row r="45">
      <c r="A45" s="9" t="str">
        <f>IF(ISNUMBER($B$4),IF(ISNUMBER($B$5),IF($B$4+33&lt;=$B$5,$B$4+33,""),""),"")</f>
        <v/>
      </c>
      <c r="B45" s="10" t="str">
        <f>IF(A45="","",CHOOSE(WEEKDAY(A45),"日","月","火","水","木","金","土"))</f>
        <v/>
      </c>
      <c r="C45" s="11" t="n"/>
      <c r="D45" s="12" t="n"/>
      <c r="E45" s="12" t="n"/>
      <c r="F45" s="13" t="n"/>
      <c r="G45" s="14">
        <f>IF(OR(A45="",C45&lt;&gt;"労働日"),0,MAX(0,MOD(E45-D45,1)*24-F45/60))</f>
        <v>0</v>
      </c>
      <c r="H45" s="15" t="str">
        <f>IF(A45="","",INT((A45-$B$4)/7)+1)</f>
        <v/>
      </c>
      <c r="I45" s="16">
        <f>IF(AND(A45&lt;&gt;"",C45="労働日"),I44+1,0)</f>
        <v>0</v>
      </c>
      <c r="J45" s="16">
        <f>IF(AND(A45&lt;&gt;"",ISNUMBER($B$7),ISNUMBER($B$8)),IF(AND(A45&gt;=$B$7,A45&lt;=$B$8),1,0),0)</f>
        <v>0</v>
      </c>
    </row>
    <row r="46">
      <c r="A46" s="9" t="str">
        <f>IF(ISNUMBER($B$4),IF(ISNUMBER($B$5),IF($B$4+34&lt;=$B$5,$B$4+34,""),""),"")</f>
        <v/>
      </c>
      <c r="B46" s="10" t="str">
        <f>IF(A46="","",CHOOSE(WEEKDAY(A46),"日","月","火","水","木","金","土"))</f>
        <v/>
      </c>
      <c r="C46" s="11" t="n"/>
      <c r="D46" s="12" t="n"/>
      <c r="E46" s="12" t="n"/>
      <c r="F46" s="13" t="n"/>
      <c r="G46" s="14">
        <f>IF(OR(A46="",C46&lt;&gt;"労働日"),0,MAX(0,MOD(E46-D46,1)*24-F46/60))</f>
        <v>0</v>
      </c>
      <c r="H46" s="15" t="str">
        <f>IF(A46="","",INT((A46-$B$4)/7)+1)</f>
        <v/>
      </c>
      <c r="I46" s="16">
        <f>IF(AND(A46&lt;&gt;"",C46="労働日"),I45+1,0)</f>
        <v>0</v>
      </c>
      <c r="J46" s="16">
        <f>IF(AND(A46&lt;&gt;"",ISNUMBER($B$7),ISNUMBER($B$8)),IF(AND(A46&gt;=$B$7,A46&lt;=$B$8),1,0),0)</f>
        <v>0</v>
      </c>
    </row>
    <row r="47">
      <c r="A47" s="9" t="str">
        <f>IF(ISNUMBER($B$4),IF(ISNUMBER($B$5),IF($B$4+35&lt;=$B$5,$B$4+35,""),""),"")</f>
        <v/>
      </c>
      <c r="B47" s="10" t="str">
        <f>IF(A47="","",CHOOSE(WEEKDAY(A47),"日","月","火","水","木","金","土"))</f>
        <v/>
      </c>
      <c r="C47" s="11" t="n"/>
      <c r="D47" s="12" t="n"/>
      <c r="E47" s="12" t="n"/>
      <c r="F47" s="13" t="n"/>
      <c r="G47" s="14">
        <f>IF(OR(A47="",C47&lt;&gt;"労働日"),0,MAX(0,MOD(E47-D47,1)*24-F47/60))</f>
        <v>0</v>
      </c>
      <c r="H47" s="15" t="str">
        <f>IF(A47="","",INT((A47-$B$4)/7)+1)</f>
        <v/>
      </c>
      <c r="I47" s="16">
        <f>IF(AND(A47&lt;&gt;"",C47="労働日"),I46+1,0)</f>
        <v>0</v>
      </c>
      <c r="J47" s="16">
        <f>IF(AND(A47&lt;&gt;"",ISNUMBER($B$7),ISNUMBER($B$8)),IF(AND(A47&gt;=$B$7,A47&lt;=$B$8),1,0),0)</f>
        <v>0</v>
      </c>
    </row>
    <row r="48">
      <c r="A48" s="9" t="str">
        <f>IF(ISNUMBER($B$4),IF(ISNUMBER($B$5),IF($B$4+36&lt;=$B$5,$B$4+36,""),""),"")</f>
        <v/>
      </c>
      <c r="B48" s="10" t="str">
        <f>IF(A48="","",CHOOSE(WEEKDAY(A48),"日","月","火","水","木","金","土"))</f>
        <v/>
      </c>
      <c r="C48" s="11" t="n"/>
      <c r="D48" s="12" t="n"/>
      <c r="E48" s="12" t="n"/>
      <c r="F48" s="13" t="n"/>
      <c r="G48" s="14">
        <f>IF(OR(A48="",C48&lt;&gt;"労働日"),0,MAX(0,MOD(E48-D48,1)*24-F48/60))</f>
        <v>0</v>
      </c>
      <c r="H48" s="15" t="str">
        <f>IF(A48="","",INT((A48-$B$4)/7)+1)</f>
        <v/>
      </c>
      <c r="I48" s="16">
        <f>IF(AND(A48&lt;&gt;"",C48="労働日"),I47+1,0)</f>
        <v>0</v>
      </c>
      <c r="J48" s="16">
        <f>IF(AND(A48&lt;&gt;"",ISNUMBER($B$7),ISNUMBER($B$8)),IF(AND(A48&gt;=$B$7,A48&lt;=$B$8),1,0),0)</f>
        <v>0</v>
      </c>
    </row>
    <row r="49">
      <c r="A49" s="9" t="str">
        <f>IF(ISNUMBER($B$4),IF(ISNUMBER($B$5),IF($B$4+37&lt;=$B$5,$B$4+37,""),""),"")</f>
        <v/>
      </c>
      <c r="B49" s="10" t="str">
        <f>IF(A49="","",CHOOSE(WEEKDAY(A49),"日","月","火","水","木","金","土"))</f>
        <v/>
      </c>
      <c r="C49" s="11" t="n"/>
      <c r="D49" s="12" t="n"/>
      <c r="E49" s="12" t="n"/>
      <c r="F49" s="13" t="n"/>
      <c r="G49" s="14">
        <f>IF(OR(A49="",C49&lt;&gt;"労働日"),0,MAX(0,MOD(E49-D49,1)*24-F49/60))</f>
        <v>0</v>
      </c>
      <c r="H49" s="15" t="str">
        <f>IF(A49="","",INT((A49-$B$4)/7)+1)</f>
        <v/>
      </c>
      <c r="I49" s="16">
        <f>IF(AND(A49&lt;&gt;"",C49="労働日"),I48+1,0)</f>
        <v>0</v>
      </c>
      <c r="J49" s="16">
        <f>IF(AND(A49&lt;&gt;"",ISNUMBER($B$7),ISNUMBER($B$8)),IF(AND(A49&gt;=$B$7,A49&lt;=$B$8),1,0),0)</f>
        <v>0</v>
      </c>
    </row>
    <row r="50">
      <c r="A50" s="9" t="str">
        <f>IF(ISNUMBER($B$4),IF(ISNUMBER($B$5),IF($B$4+38&lt;=$B$5,$B$4+38,""),""),"")</f>
        <v/>
      </c>
      <c r="B50" s="10" t="str">
        <f>IF(A50="","",CHOOSE(WEEKDAY(A50),"日","月","火","水","木","金","土"))</f>
        <v/>
      </c>
      <c r="C50" s="11" t="n"/>
      <c r="D50" s="12" t="n"/>
      <c r="E50" s="12" t="n"/>
      <c r="F50" s="13" t="n"/>
      <c r="G50" s="14">
        <f>IF(OR(A50="",C50&lt;&gt;"労働日"),0,MAX(0,MOD(E50-D50,1)*24-F50/60))</f>
        <v>0</v>
      </c>
      <c r="H50" s="15" t="str">
        <f>IF(A50="","",INT((A50-$B$4)/7)+1)</f>
        <v/>
      </c>
      <c r="I50" s="16">
        <f>IF(AND(A50&lt;&gt;"",C50="労働日"),I49+1,0)</f>
        <v>0</v>
      </c>
      <c r="J50" s="16">
        <f>IF(AND(A50&lt;&gt;"",ISNUMBER($B$7),ISNUMBER($B$8)),IF(AND(A50&gt;=$B$7,A50&lt;=$B$8),1,0),0)</f>
        <v>0</v>
      </c>
    </row>
    <row r="51">
      <c r="A51" s="9" t="str">
        <f>IF(ISNUMBER($B$4),IF(ISNUMBER($B$5),IF($B$4+39&lt;=$B$5,$B$4+39,""),""),"")</f>
        <v/>
      </c>
      <c r="B51" s="10" t="str">
        <f>IF(A51="","",CHOOSE(WEEKDAY(A51),"日","月","火","水","木","金","土"))</f>
        <v/>
      </c>
      <c r="C51" s="11" t="n"/>
      <c r="D51" s="12" t="n"/>
      <c r="E51" s="12" t="n"/>
      <c r="F51" s="13" t="n"/>
      <c r="G51" s="14">
        <f>IF(OR(A51="",C51&lt;&gt;"労働日"),0,MAX(0,MOD(E51-D51,1)*24-F51/60))</f>
        <v>0</v>
      </c>
      <c r="H51" s="15" t="str">
        <f>IF(A51="","",INT((A51-$B$4)/7)+1)</f>
        <v/>
      </c>
      <c r="I51" s="16">
        <f>IF(AND(A51&lt;&gt;"",C51="労働日"),I50+1,0)</f>
        <v>0</v>
      </c>
      <c r="J51" s="16">
        <f>IF(AND(A51&lt;&gt;"",ISNUMBER($B$7),ISNUMBER($B$8)),IF(AND(A51&gt;=$B$7,A51&lt;=$B$8),1,0),0)</f>
        <v>0</v>
      </c>
    </row>
    <row r="52">
      <c r="A52" s="9" t="str">
        <f>IF(ISNUMBER($B$4),IF(ISNUMBER($B$5),IF($B$4+40&lt;=$B$5,$B$4+40,""),""),"")</f>
        <v/>
      </c>
      <c r="B52" s="10" t="str">
        <f>IF(A52="","",CHOOSE(WEEKDAY(A52),"日","月","火","水","木","金","土"))</f>
        <v/>
      </c>
      <c r="C52" s="11" t="n"/>
      <c r="D52" s="12" t="n"/>
      <c r="E52" s="12" t="n"/>
      <c r="F52" s="13" t="n"/>
      <c r="G52" s="14">
        <f>IF(OR(A52="",C52&lt;&gt;"労働日"),0,MAX(0,MOD(E52-D52,1)*24-F52/60))</f>
        <v>0</v>
      </c>
      <c r="H52" s="15" t="str">
        <f>IF(A52="","",INT((A52-$B$4)/7)+1)</f>
        <v/>
      </c>
      <c r="I52" s="16">
        <f>IF(AND(A52&lt;&gt;"",C52="労働日"),I51+1,0)</f>
        <v>0</v>
      </c>
      <c r="J52" s="16">
        <f>IF(AND(A52&lt;&gt;"",ISNUMBER($B$7),ISNUMBER($B$8)),IF(AND(A52&gt;=$B$7,A52&lt;=$B$8),1,0),0)</f>
        <v>0</v>
      </c>
    </row>
    <row r="53">
      <c r="A53" s="9" t="str">
        <f>IF(ISNUMBER($B$4),IF(ISNUMBER($B$5),IF($B$4+41&lt;=$B$5,$B$4+41,""),""),"")</f>
        <v/>
      </c>
      <c r="B53" s="10" t="str">
        <f>IF(A53="","",CHOOSE(WEEKDAY(A53),"日","月","火","水","木","金","土"))</f>
        <v/>
      </c>
      <c r="C53" s="11" t="n"/>
      <c r="D53" s="12" t="n"/>
      <c r="E53" s="12" t="n"/>
      <c r="F53" s="13" t="n"/>
      <c r="G53" s="14">
        <f>IF(OR(A53="",C53&lt;&gt;"労働日"),0,MAX(0,MOD(E53-D53,1)*24-F53/60))</f>
        <v>0</v>
      </c>
      <c r="H53" s="15" t="str">
        <f>IF(A53="","",INT((A53-$B$4)/7)+1)</f>
        <v/>
      </c>
      <c r="I53" s="16">
        <f>IF(AND(A53&lt;&gt;"",C53="労働日"),I52+1,0)</f>
        <v>0</v>
      </c>
      <c r="J53" s="16">
        <f>IF(AND(A53&lt;&gt;"",ISNUMBER($B$7),ISNUMBER($B$8)),IF(AND(A53&gt;=$B$7,A53&lt;=$B$8),1,0),0)</f>
        <v>0</v>
      </c>
    </row>
    <row r="54">
      <c r="A54" s="9" t="str">
        <f>IF(ISNUMBER($B$4),IF(ISNUMBER($B$5),IF($B$4+42&lt;=$B$5,$B$4+42,""),""),"")</f>
        <v/>
      </c>
      <c r="B54" s="10" t="str">
        <f>IF(A54="","",CHOOSE(WEEKDAY(A54),"日","月","火","水","木","金","土"))</f>
        <v/>
      </c>
      <c r="C54" s="11" t="n"/>
      <c r="D54" s="12" t="n"/>
      <c r="E54" s="12" t="n"/>
      <c r="F54" s="13" t="n"/>
      <c r="G54" s="14">
        <f>IF(OR(A54="",C54&lt;&gt;"労働日"),0,MAX(0,MOD(E54-D54,1)*24-F54/60))</f>
        <v>0</v>
      </c>
      <c r="H54" s="15" t="str">
        <f>IF(A54="","",INT((A54-$B$4)/7)+1)</f>
        <v/>
      </c>
      <c r="I54" s="16">
        <f>IF(AND(A54&lt;&gt;"",C54="労働日"),I53+1,0)</f>
        <v>0</v>
      </c>
      <c r="J54" s="16">
        <f>IF(AND(A54&lt;&gt;"",ISNUMBER($B$7),ISNUMBER($B$8)),IF(AND(A54&gt;=$B$7,A54&lt;=$B$8),1,0),0)</f>
        <v>0</v>
      </c>
    </row>
    <row r="55">
      <c r="A55" s="9" t="str">
        <f>IF(ISNUMBER($B$4),IF(ISNUMBER($B$5),IF($B$4+43&lt;=$B$5,$B$4+43,""),""),"")</f>
        <v/>
      </c>
      <c r="B55" s="10" t="str">
        <f>IF(A55="","",CHOOSE(WEEKDAY(A55),"日","月","火","水","木","金","土"))</f>
        <v/>
      </c>
      <c r="C55" s="11" t="n"/>
      <c r="D55" s="12" t="n"/>
      <c r="E55" s="12" t="n"/>
      <c r="F55" s="13" t="n"/>
      <c r="G55" s="14">
        <f>IF(OR(A55="",C55&lt;&gt;"労働日"),0,MAX(0,MOD(E55-D55,1)*24-F55/60))</f>
        <v>0</v>
      </c>
      <c r="H55" s="15" t="str">
        <f>IF(A55="","",INT((A55-$B$4)/7)+1)</f>
        <v/>
      </c>
      <c r="I55" s="16">
        <f>IF(AND(A55&lt;&gt;"",C55="労働日"),I54+1,0)</f>
        <v>0</v>
      </c>
      <c r="J55" s="16">
        <f>IF(AND(A55&lt;&gt;"",ISNUMBER($B$7),ISNUMBER($B$8)),IF(AND(A55&gt;=$B$7,A55&lt;=$B$8),1,0),0)</f>
        <v>0</v>
      </c>
    </row>
    <row r="56">
      <c r="A56" s="9" t="str">
        <f>IF(ISNUMBER($B$4),IF(ISNUMBER($B$5),IF($B$4+44&lt;=$B$5,$B$4+44,""),""),"")</f>
        <v/>
      </c>
      <c r="B56" s="10" t="str">
        <f>IF(A56="","",CHOOSE(WEEKDAY(A56),"日","月","火","水","木","金","土"))</f>
        <v/>
      </c>
      <c r="C56" s="11" t="n"/>
      <c r="D56" s="12" t="n"/>
      <c r="E56" s="12" t="n"/>
      <c r="F56" s="13" t="n"/>
      <c r="G56" s="14">
        <f>IF(OR(A56="",C56&lt;&gt;"労働日"),0,MAX(0,MOD(E56-D56,1)*24-F56/60))</f>
        <v>0</v>
      </c>
      <c r="H56" s="15" t="str">
        <f>IF(A56="","",INT((A56-$B$4)/7)+1)</f>
        <v/>
      </c>
      <c r="I56" s="16">
        <f>IF(AND(A56&lt;&gt;"",C56="労働日"),I55+1,0)</f>
        <v>0</v>
      </c>
      <c r="J56" s="16">
        <f>IF(AND(A56&lt;&gt;"",ISNUMBER($B$7),ISNUMBER($B$8)),IF(AND(A56&gt;=$B$7,A56&lt;=$B$8),1,0),0)</f>
        <v>0</v>
      </c>
    </row>
    <row r="57">
      <c r="A57" s="9" t="str">
        <f>IF(ISNUMBER($B$4),IF(ISNUMBER($B$5),IF($B$4+45&lt;=$B$5,$B$4+45,""),""),"")</f>
        <v/>
      </c>
      <c r="B57" s="10" t="str">
        <f>IF(A57="","",CHOOSE(WEEKDAY(A57),"日","月","火","水","木","金","土"))</f>
        <v/>
      </c>
      <c r="C57" s="11" t="n"/>
      <c r="D57" s="12" t="n"/>
      <c r="E57" s="12" t="n"/>
      <c r="F57" s="13" t="n"/>
      <c r="G57" s="14">
        <f>IF(OR(A57="",C57&lt;&gt;"労働日"),0,MAX(0,MOD(E57-D57,1)*24-F57/60))</f>
        <v>0</v>
      </c>
      <c r="H57" s="15" t="str">
        <f>IF(A57="","",INT((A57-$B$4)/7)+1)</f>
        <v/>
      </c>
      <c r="I57" s="16">
        <f>IF(AND(A57&lt;&gt;"",C57="労働日"),I56+1,0)</f>
        <v>0</v>
      </c>
      <c r="J57" s="16">
        <f>IF(AND(A57&lt;&gt;"",ISNUMBER($B$7),ISNUMBER($B$8)),IF(AND(A57&gt;=$B$7,A57&lt;=$B$8),1,0),0)</f>
        <v>0</v>
      </c>
    </row>
    <row r="58">
      <c r="A58" s="9" t="str">
        <f>IF(ISNUMBER($B$4),IF(ISNUMBER($B$5),IF($B$4+46&lt;=$B$5,$B$4+46,""),""),"")</f>
        <v/>
      </c>
      <c r="B58" s="10" t="str">
        <f>IF(A58="","",CHOOSE(WEEKDAY(A58),"日","月","火","水","木","金","土"))</f>
        <v/>
      </c>
      <c r="C58" s="11" t="n"/>
      <c r="D58" s="12" t="n"/>
      <c r="E58" s="12" t="n"/>
      <c r="F58" s="13" t="n"/>
      <c r="G58" s="14">
        <f>IF(OR(A58="",C58&lt;&gt;"労働日"),0,MAX(0,MOD(E58-D58,1)*24-F58/60))</f>
        <v>0</v>
      </c>
      <c r="H58" s="15" t="str">
        <f>IF(A58="","",INT((A58-$B$4)/7)+1)</f>
        <v/>
      </c>
      <c r="I58" s="16">
        <f>IF(AND(A58&lt;&gt;"",C58="労働日"),I57+1,0)</f>
        <v>0</v>
      </c>
      <c r="J58" s="16">
        <f>IF(AND(A58&lt;&gt;"",ISNUMBER($B$7),ISNUMBER($B$8)),IF(AND(A58&gt;=$B$7,A58&lt;=$B$8),1,0),0)</f>
        <v>0</v>
      </c>
    </row>
    <row r="59">
      <c r="A59" s="9" t="str">
        <f>IF(ISNUMBER($B$4),IF(ISNUMBER($B$5),IF($B$4+47&lt;=$B$5,$B$4+47,""),""),"")</f>
        <v/>
      </c>
      <c r="B59" s="10" t="str">
        <f>IF(A59="","",CHOOSE(WEEKDAY(A59),"日","月","火","水","木","金","土"))</f>
        <v/>
      </c>
      <c r="C59" s="11" t="n"/>
      <c r="D59" s="12" t="n"/>
      <c r="E59" s="12" t="n"/>
      <c r="F59" s="13" t="n"/>
      <c r="G59" s="14">
        <f>IF(OR(A59="",C59&lt;&gt;"労働日"),0,MAX(0,MOD(E59-D59,1)*24-F59/60))</f>
        <v>0</v>
      </c>
      <c r="H59" s="15" t="str">
        <f>IF(A59="","",INT((A59-$B$4)/7)+1)</f>
        <v/>
      </c>
      <c r="I59" s="16">
        <f>IF(AND(A59&lt;&gt;"",C59="労働日"),I58+1,0)</f>
        <v>0</v>
      </c>
      <c r="J59" s="16">
        <f>IF(AND(A59&lt;&gt;"",ISNUMBER($B$7),ISNUMBER($B$8)),IF(AND(A59&gt;=$B$7,A59&lt;=$B$8),1,0),0)</f>
        <v>0</v>
      </c>
    </row>
    <row r="60">
      <c r="A60" s="9" t="str">
        <f>IF(ISNUMBER($B$4),IF(ISNUMBER($B$5),IF($B$4+48&lt;=$B$5,$B$4+48,""),""),"")</f>
        <v/>
      </c>
      <c r="B60" s="10" t="str">
        <f>IF(A60="","",CHOOSE(WEEKDAY(A60),"日","月","火","水","木","金","土"))</f>
        <v/>
      </c>
      <c r="C60" s="11" t="n"/>
      <c r="D60" s="12" t="n"/>
      <c r="E60" s="12" t="n"/>
      <c r="F60" s="13" t="n"/>
      <c r="G60" s="14">
        <f>IF(OR(A60="",C60&lt;&gt;"労働日"),0,MAX(0,MOD(E60-D60,1)*24-F60/60))</f>
        <v>0</v>
      </c>
      <c r="H60" s="15" t="str">
        <f>IF(A60="","",INT((A60-$B$4)/7)+1)</f>
        <v/>
      </c>
      <c r="I60" s="16">
        <f>IF(AND(A60&lt;&gt;"",C60="労働日"),I59+1,0)</f>
        <v>0</v>
      </c>
      <c r="J60" s="16">
        <f>IF(AND(A60&lt;&gt;"",ISNUMBER($B$7),ISNUMBER($B$8)),IF(AND(A60&gt;=$B$7,A60&lt;=$B$8),1,0),0)</f>
        <v>0</v>
      </c>
    </row>
    <row r="61">
      <c r="A61" s="9" t="str">
        <f>IF(ISNUMBER($B$4),IF(ISNUMBER($B$5),IF($B$4+49&lt;=$B$5,$B$4+49,""),""),"")</f>
        <v/>
      </c>
      <c r="B61" s="10" t="str">
        <f>IF(A61="","",CHOOSE(WEEKDAY(A61),"日","月","火","水","木","金","土"))</f>
        <v/>
      </c>
      <c r="C61" s="11" t="n"/>
      <c r="D61" s="12" t="n"/>
      <c r="E61" s="12" t="n"/>
      <c r="F61" s="13" t="n"/>
      <c r="G61" s="14">
        <f>IF(OR(A61="",C61&lt;&gt;"労働日"),0,MAX(0,MOD(E61-D61,1)*24-F61/60))</f>
        <v>0</v>
      </c>
      <c r="H61" s="15" t="str">
        <f>IF(A61="","",INT((A61-$B$4)/7)+1)</f>
        <v/>
      </c>
      <c r="I61" s="16">
        <f>IF(AND(A61&lt;&gt;"",C61="労働日"),I60+1,0)</f>
        <v>0</v>
      </c>
      <c r="J61" s="16">
        <f>IF(AND(A61&lt;&gt;"",ISNUMBER($B$7),ISNUMBER($B$8)),IF(AND(A61&gt;=$B$7,A61&lt;=$B$8),1,0),0)</f>
        <v>0</v>
      </c>
    </row>
    <row r="62">
      <c r="A62" s="9" t="str">
        <f>IF(ISNUMBER($B$4),IF(ISNUMBER($B$5),IF($B$4+50&lt;=$B$5,$B$4+50,""),""),"")</f>
        <v/>
      </c>
      <c r="B62" s="10" t="str">
        <f>IF(A62="","",CHOOSE(WEEKDAY(A62),"日","月","火","水","木","金","土"))</f>
        <v/>
      </c>
      <c r="C62" s="11" t="n"/>
      <c r="D62" s="12" t="n"/>
      <c r="E62" s="12" t="n"/>
      <c r="F62" s="13" t="n"/>
      <c r="G62" s="14">
        <f>IF(OR(A62="",C62&lt;&gt;"労働日"),0,MAX(0,MOD(E62-D62,1)*24-F62/60))</f>
        <v>0</v>
      </c>
      <c r="H62" s="15" t="str">
        <f>IF(A62="","",INT((A62-$B$4)/7)+1)</f>
        <v/>
      </c>
      <c r="I62" s="16">
        <f>IF(AND(A62&lt;&gt;"",C62="労働日"),I61+1,0)</f>
        <v>0</v>
      </c>
      <c r="J62" s="16">
        <f>IF(AND(A62&lt;&gt;"",ISNUMBER($B$7),ISNUMBER($B$8)),IF(AND(A62&gt;=$B$7,A62&lt;=$B$8),1,0),0)</f>
        <v>0</v>
      </c>
    </row>
    <row r="63">
      <c r="A63" s="9" t="str">
        <f>IF(ISNUMBER($B$4),IF(ISNUMBER($B$5),IF($B$4+51&lt;=$B$5,$B$4+51,""),""),"")</f>
        <v/>
      </c>
      <c r="B63" s="10" t="str">
        <f>IF(A63="","",CHOOSE(WEEKDAY(A63),"日","月","火","水","木","金","土"))</f>
        <v/>
      </c>
      <c r="C63" s="11" t="n"/>
      <c r="D63" s="12" t="n"/>
      <c r="E63" s="12" t="n"/>
      <c r="F63" s="13" t="n"/>
      <c r="G63" s="14">
        <f>IF(OR(A63="",C63&lt;&gt;"労働日"),0,MAX(0,MOD(E63-D63,1)*24-F63/60))</f>
        <v>0</v>
      </c>
      <c r="H63" s="15" t="str">
        <f>IF(A63="","",INT((A63-$B$4)/7)+1)</f>
        <v/>
      </c>
      <c r="I63" s="16">
        <f>IF(AND(A63&lt;&gt;"",C63="労働日"),I62+1,0)</f>
        <v>0</v>
      </c>
      <c r="J63" s="16">
        <f>IF(AND(A63&lt;&gt;"",ISNUMBER($B$7),ISNUMBER($B$8)),IF(AND(A63&gt;=$B$7,A63&lt;=$B$8),1,0),0)</f>
        <v>0</v>
      </c>
    </row>
    <row r="64">
      <c r="A64" s="9" t="str">
        <f>IF(ISNUMBER($B$4),IF(ISNUMBER($B$5),IF($B$4+52&lt;=$B$5,$B$4+52,""),""),"")</f>
        <v/>
      </c>
      <c r="B64" s="10" t="str">
        <f>IF(A64="","",CHOOSE(WEEKDAY(A64),"日","月","火","水","木","金","土"))</f>
        <v/>
      </c>
      <c r="C64" s="11" t="n"/>
      <c r="D64" s="12" t="n"/>
      <c r="E64" s="12" t="n"/>
      <c r="F64" s="13" t="n"/>
      <c r="G64" s="14">
        <f>IF(OR(A64="",C64&lt;&gt;"労働日"),0,MAX(0,MOD(E64-D64,1)*24-F64/60))</f>
        <v>0</v>
      </c>
      <c r="H64" s="15" t="str">
        <f>IF(A64="","",INT((A64-$B$4)/7)+1)</f>
        <v/>
      </c>
      <c r="I64" s="16">
        <f>IF(AND(A64&lt;&gt;"",C64="労働日"),I63+1,0)</f>
        <v>0</v>
      </c>
      <c r="J64" s="16">
        <f>IF(AND(A64&lt;&gt;"",ISNUMBER($B$7),ISNUMBER($B$8)),IF(AND(A64&gt;=$B$7,A64&lt;=$B$8),1,0),0)</f>
        <v>0</v>
      </c>
    </row>
    <row r="65">
      <c r="A65" s="9" t="str">
        <f>IF(ISNUMBER($B$4),IF(ISNUMBER($B$5),IF($B$4+53&lt;=$B$5,$B$4+53,""),""),"")</f>
        <v/>
      </c>
      <c r="B65" s="10" t="str">
        <f>IF(A65="","",CHOOSE(WEEKDAY(A65),"日","月","火","水","木","金","土"))</f>
        <v/>
      </c>
      <c r="C65" s="11" t="n"/>
      <c r="D65" s="12" t="n"/>
      <c r="E65" s="12" t="n"/>
      <c r="F65" s="13" t="n"/>
      <c r="G65" s="14">
        <f>IF(OR(A65="",C65&lt;&gt;"労働日"),0,MAX(0,MOD(E65-D65,1)*24-F65/60))</f>
        <v>0</v>
      </c>
      <c r="H65" s="15" t="str">
        <f>IF(A65="","",INT((A65-$B$4)/7)+1)</f>
        <v/>
      </c>
      <c r="I65" s="16">
        <f>IF(AND(A65&lt;&gt;"",C65="労働日"),I64+1,0)</f>
        <v>0</v>
      </c>
      <c r="J65" s="16">
        <f>IF(AND(A65&lt;&gt;"",ISNUMBER($B$7),ISNUMBER($B$8)),IF(AND(A65&gt;=$B$7,A65&lt;=$B$8),1,0),0)</f>
        <v>0</v>
      </c>
    </row>
    <row r="66">
      <c r="A66" s="9" t="str">
        <f>IF(ISNUMBER($B$4),IF(ISNUMBER($B$5),IF($B$4+54&lt;=$B$5,$B$4+54,""),""),"")</f>
        <v/>
      </c>
      <c r="B66" s="10" t="str">
        <f>IF(A66="","",CHOOSE(WEEKDAY(A66),"日","月","火","水","木","金","土"))</f>
        <v/>
      </c>
      <c r="C66" s="11" t="n"/>
      <c r="D66" s="12" t="n"/>
      <c r="E66" s="12" t="n"/>
      <c r="F66" s="13" t="n"/>
      <c r="G66" s="14">
        <f>IF(OR(A66="",C66&lt;&gt;"労働日"),0,MAX(0,MOD(E66-D66,1)*24-F66/60))</f>
        <v>0</v>
      </c>
      <c r="H66" s="15" t="str">
        <f>IF(A66="","",INT((A66-$B$4)/7)+1)</f>
        <v/>
      </c>
      <c r="I66" s="16">
        <f>IF(AND(A66&lt;&gt;"",C66="労働日"),I65+1,0)</f>
        <v>0</v>
      </c>
      <c r="J66" s="16">
        <f>IF(AND(A66&lt;&gt;"",ISNUMBER($B$7),ISNUMBER($B$8)),IF(AND(A66&gt;=$B$7,A66&lt;=$B$8),1,0),0)</f>
        <v>0</v>
      </c>
    </row>
    <row r="67">
      <c r="A67" s="9" t="str">
        <f>IF(ISNUMBER($B$4),IF(ISNUMBER($B$5),IF($B$4+55&lt;=$B$5,$B$4+55,""),""),"")</f>
        <v/>
      </c>
      <c r="B67" s="10" t="str">
        <f>IF(A67="","",CHOOSE(WEEKDAY(A67),"日","月","火","水","木","金","土"))</f>
        <v/>
      </c>
      <c r="C67" s="11" t="n"/>
      <c r="D67" s="12" t="n"/>
      <c r="E67" s="12" t="n"/>
      <c r="F67" s="13" t="n"/>
      <c r="G67" s="14">
        <f>IF(OR(A67="",C67&lt;&gt;"労働日"),0,MAX(0,MOD(E67-D67,1)*24-F67/60))</f>
        <v>0</v>
      </c>
      <c r="H67" s="15" t="str">
        <f>IF(A67="","",INT((A67-$B$4)/7)+1)</f>
        <v/>
      </c>
      <c r="I67" s="16">
        <f>IF(AND(A67&lt;&gt;"",C67="労働日"),I66+1,0)</f>
        <v>0</v>
      </c>
      <c r="J67" s="16">
        <f>IF(AND(A67&lt;&gt;"",ISNUMBER($B$7),ISNUMBER($B$8)),IF(AND(A67&gt;=$B$7,A67&lt;=$B$8),1,0),0)</f>
        <v>0</v>
      </c>
    </row>
    <row r="68">
      <c r="A68" s="9" t="str">
        <f>IF(ISNUMBER($B$4),IF(ISNUMBER($B$5),IF($B$4+56&lt;=$B$5,$B$4+56,""),""),"")</f>
        <v/>
      </c>
      <c r="B68" s="10" t="str">
        <f>IF(A68="","",CHOOSE(WEEKDAY(A68),"日","月","火","水","木","金","土"))</f>
        <v/>
      </c>
      <c r="C68" s="11" t="n"/>
      <c r="D68" s="12" t="n"/>
      <c r="E68" s="12" t="n"/>
      <c r="F68" s="13" t="n"/>
      <c r="G68" s="14">
        <f>IF(OR(A68="",C68&lt;&gt;"労働日"),0,MAX(0,MOD(E68-D68,1)*24-F68/60))</f>
        <v>0</v>
      </c>
      <c r="H68" s="15" t="str">
        <f>IF(A68="","",INT((A68-$B$4)/7)+1)</f>
        <v/>
      </c>
      <c r="I68" s="16">
        <f>IF(AND(A68&lt;&gt;"",C68="労働日"),I67+1,0)</f>
        <v>0</v>
      </c>
      <c r="J68" s="16">
        <f>IF(AND(A68&lt;&gt;"",ISNUMBER($B$7),ISNUMBER($B$8)),IF(AND(A68&gt;=$B$7,A68&lt;=$B$8),1,0),0)</f>
        <v>0</v>
      </c>
    </row>
    <row r="69">
      <c r="A69" s="9" t="str">
        <f>IF(ISNUMBER($B$4),IF(ISNUMBER($B$5),IF($B$4+57&lt;=$B$5,$B$4+57,""),""),"")</f>
        <v/>
      </c>
      <c r="B69" s="10" t="str">
        <f>IF(A69="","",CHOOSE(WEEKDAY(A69),"日","月","火","水","木","金","土"))</f>
        <v/>
      </c>
      <c r="C69" s="11" t="n"/>
      <c r="D69" s="12" t="n"/>
      <c r="E69" s="12" t="n"/>
      <c r="F69" s="13" t="n"/>
      <c r="G69" s="14">
        <f>IF(OR(A69="",C69&lt;&gt;"労働日"),0,MAX(0,MOD(E69-D69,1)*24-F69/60))</f>
        <v>0</v>
      </c>
      <c r="H69" s="15" t="str">
        <f>IF(A69="","",INT((A69-$B$4)/7)+1)</f>
        <v/>
      </c>
      <c r="I69" s="16">
        <f>IF(AND(A69&lt;&gt;"",C69="労働日"),I68+1,0)</f>
        <v>0</v>
      </c>
      <c r="J69" s="16">
        <f>IF(AND(A69&lt;&gt;"",ISNUMBER($B$7),ISNUMBER($B$8)),IF(AND(A69&gt;=$B$7,A69&lt;=$B$8),1,0),0)</f>
        <v>0</v>
      </c>
    </row>
    <row r="70">
      <c r="A70" s="9" t="str">
        <f>IF(ISNUMBER($B$4),IF(ISNUMBER($B$5),IF($B$4+58&lt;=$B$5,$B$4+58,""),""),"")</f>
        <v/>
      </c>
      <c r="B70" s="10" t="str">
        <f>IF(A70="","",CHOOSE(WEEKDAY(A70),"日","月","火","水","木","金","土"))</f>
        <v/>
      </c>
      <c r="C70" s="11" t="n"/>
      <c r="D70" s="12" t="n"/>
      <c r="E70" s="12" t="n"/>
      <c r="F70" s="13" t="n"/>
      <c r="G70" s="14">
        <f>IF(OR(A70="",C70&lt;&gt;"労働日"),0,MAX(0,MOD(E70-D70,1)*24-F70/60))</f>
        <v>0</v>
      </c>
      <c r="H70" s="15" t="str">
        <f>IF(A70="","",INT((A70-$B$4)/7)+1)</f>
        <v/>
      </c>
      <c r="I70" s="16">
        <f>IF(AND(A70&lt;&gt;"",C70="労働日"),I69+1,0)</f>
        <v>0</v>
      </c>
      <c r="J70" s="16">
        <f>IF(AND(A70&lt;&gt;"",ISNUMBER($B$7),ISNUMBER($B$8)),IF(AND(A70&gt;=$B$7,A70&lt;=$B$8),1,0),0)</f>
        <v>0</v>
      </c>
    </row>
    <row r="71">
      <c r="A71" s="9" t="str">
        <f>IF(ISNUMBER($B$4),IF(ISNUMBER($B$5),IF($B$4+59&lt;=$B$5,$B$4+59,""),""),"")</f>
        <v/>
      </c>
      <c r="B71" s="10" t="str">
        <f>IF(A71="","",CHOOSE(WEEKDAY(A71),"日","月","火","水","木","金","土"))</f>
        <v/>
      </c>
      <c r="C71" s="11" t="n"/>
      <c r="D71" s="12" t="n"/>
      <c r="E71" s="12" t="n"/>
      <c r="F71" s="13" t="n"/>
      <c r="G71" s="14">
        <f>IF(OR(A71="",C71&lt;&gt;"労働日"),0,MAX(0,MOD(E71-D71,1)*24-F71/60))</f>
        <v>0</v>
      </c>
      <c r="H71" s="15" t="str">
        <f>IF(A71="","",INT((A71-$B$4)/7)+1)</f>
        <v/>
      </c>
      <c r="I71" s="16">
        <f>IF(AND(A71&lt;&gt;"",C71="労働日"),I70+1,0)</f>
        <v>0</v>
      </c>
      <c r="J71" s="16">
        <f>IF(AND(A71&lt;&gt;"",ISNUMBER($B$7),ISNUMBER($B$8)),IF(AND(A71&gt;=$B$7,A71&lt;=$B$8),1,0),0)</f>
        <v>0</v>
      </c>
    </row>
    <row r="72">
      <c r="A72" s="9" t="str">
        <f>IF(ISNUMBER($B$4),IF(ISNUMBER($B$5),IF($B$4+60&lt;=$B$5,$B$4+60,""),""),"")</f>
        <v/>
      </c>
      <c r="B72" s="10" t="str">
        <f>IF(A72="","",CHOOSE(WEEKDAY(A72),"日","月","火","水","木","金","土"))</f>
        <v/>
      </c>
      <c r="C72" s="11" t="n"/>
      <c r="D72" s="12" t="n"/>
      <c r="E72" s="12" t="n"/>
      <c r="F72" s="13" t="n"/>
      <c r="G72" s="14">
        <f>IF(OR(A72="",C72&lt;&gt;"労働日"),0,MAX(0,MOD(E72-D72,1)*24-F72/60))</f>
        <v>0</v>
      </c>
      <c r="H72" s="15" t="str">
        <f>IF(A72="","",INT((A72-$B$4)/7)+1)</f>
        <v/>
      </c>
      <c r="I72" s="16">
        <f>IF(AND(A72&lt;&gt;"",C72="労働日"),I71+1,0)</f>
        <v>0</v>
      </c>
      <c r="J72" s="16">
        <f>IF(AND(A72&lt;&gt;"",ISNUMBER($B$7),ISNUMBER($B$8)),IF(AND(A72&gt;=$B$7,A72&lt;=$B$8),1,0),0)</f>
        <v>0</v>
      </c>
    </row>
    <row r="73">
      <c r="A73" s="9" t="str">
        <f>IF(ISNUMBER($B$4),IF(ISNUMBER($B$5),IF($B$4+61&lt;=$B$5,$B$4+61,""),""),"")</f>
        <v/>
      </c>
      <c r="B73" s="10" t="str">
        <f>IF(A73="","",CHOOSE(WEEKDAY(A73),"日","月","火","水","木","金","土"))</f>
        <v/>
      </c>
      <c r="C73" s="11" t="n"/>
      <c r="D73" s="12" t="n"/>
      <c r="E73" s="12" t="n"/>
      <c r="F73" s="13" t="n"/>
      <c r="G73" s="14">
        <f>IF(OR(A73="",C73&lt;&gt;"労働日"),0,MAX(0,MOD(E73-D73,1)*24-F73/60))</f>
        <v>0</v>
      </c>
      <c r="H73" s="15" t="str">
        <f>IF(A73="","",INT((A73-$B$4)/7)+1)</f>
        <v/>
      </c>
      <c r="I73" s="16">
        <f>IF(AND(A73&lt;&gt;"",C73="労働日"),I72+1,0)</f>
        <v>0</v>
      </c>
      <c r="J73" s="16">
        <f>IF(AND(A73&lt;&gt;"",ISNUMBER($B$7),ISNUMBER($B$8)),IF(AND(A73&gt;=$B$7,A73&lt;=$B$8),1,0),0)</f>
        <v>0</v>
      </c>
    </row>
    <row r="74">
      <c r="A74" s="9" t="str">
        <f>IF(ISNUMBER($B$4),IF(ISNUMBER($B$5),IF($B$4+62&lt;=$B$5,$B$4+62,""),""),"")</f>
        <v/>
      </c>
      <c r="B74" s="10" t="str">
        <f>IF(A74="","",CHOOSE(WEEKDAY(A74),"日","月","火","水","木","金","土"))</f>
        <v/>
      </c>
      <c r="C74" s="11" t="n"/>
      <c r="D74" s="12" t="n"/>
      <c r="E74" s="12" t="n"/>
      <c r="F74" s="13" t="n"/>
      <c r="G74" s="14">
        <f>IF(OR(A74="",C74&lt;&gt;"労働日"),0,MAX(0,MOD(E74-D74,1)*24-F74/60))</f>
        <v>0</v>
      </c>
      <c r="H74" s="15" t="str">
        <f>IF(A74="","",INT((A74-$B$4)/7)+1)</f>
        <v/>
      </c>
      <c r="I74" s="16">
        <f>IF(AND(A74&lt;&gt;"",C74="労働日"),I73+1,0)</f>
        <v>0</v>
      </c>
      <c r="J74" s="16">
        <f>IF(AND(A74&lt;&gt;"",ISNUMBER($B$7),ISNUMBER($B$8)),IF(AND(A74&gt;=$B$7,A74&lt;=$B$8),1,0),0)</f>
        <v>0</v>
      </c>
    </row>
    <row r="75">
      <c r="A75" s="9" t="str">
        <f>IF(ISNUMBER($B$4),IF(ISNUMBER($B$5),IF($B$4+63&lt;=$B$5,$B$4+63,""),""),"")</f>
        <v/>
      </c>
      <c r="B75" s="10" t="str">
        <f>IF(A75="","",CHOOSE(WEEKDAY(A75),"日","月","火","水","木","金","土"))</f>
        <v/>
      </c>
      <c r="C75" s="11" t="n"/>
      <c r="D75" s="12" t="n"/>
      <c r="E75" s="12" t="n"/>
      <c r="F75" s="13" t="n"/>
      <c r="G75" s="14">
        <f>IF(OR(A75="",C75&lt;&gt;"労働日"),0,MAX(0,MOD(E75-D75,1)*24-F75/60))</f>
        <v>0</v>
      </c>
      <c r="H75" s="15" t="str">
        <f>IF(A75="","",INT((A75-$B$4)/7)+1)</f>
        <v/>
      </c>
      <c r="I75" s="16">
        <f>IF(AND(A75&lt;&gt;"",C75="労働日"),I74+1,0)</f>
        <v>0</v>
      </c>
      <c r="J75" s="16">
        <f>IF(AND(A75&lt;&gt;"",ISNUMBER($B$7),ISNUMBER($B$8)),IF(AND(A75&gt;=$B$7,A75&lt;=$B$8),1,0),0)</f>
        <v>0</v>
      </c>
    </row>
    <row r="76">
      <c r="A76" s="9" t="str">
        <f>IF(ISNUMBER($B$4),IF(ISNUMBER($B$5),IF($B$4+64&lt;=$B$5,$B$4+64,""),""),"")</f>
        <v/>
      </c>
      <c r="B76" s="10" t="str">
        <f>IF(A76="","",CHOOSE(WEEKDAY(A76),"日","月","火","水","木","金","土"))</f>
        <v/>
      </c>
      <c r="C76" s="11" t="n"/>
      <c r="D76" s="12" t="n"/>
      <c r="E76" s="12" t="n"/>
      <c r="F76" s="13" t="n"/>
      <c r="G76" s="14">
        <f>IF(OR(A76="",C76&lt;&gt;"労働日"),0,MAX(0,MOD(E76-D76,1)*24-F76/60))</f>
        <v>0</v>
      </c>
      <c r="H76" s="15" t="str">
        <f>IF(A76="","",INT((A76-$B$4)/7)+1)</f>
        <v/>
      </c>
      <c r="I76" s="16">
        <f>IF(AND(A76&lt;&gt;"",C76="労働日"),I75+1,0)</f>
        <v>0</v>
      </c>
      <c r="J76" s="16">
        <f>IF(AND(A76&lt;&gt;"",ISNUMBER($B$7),ISNUMBER($B$8)),IF(AND(A76&gt;=$B$7,A76&lt;=$B$8),1,0),0)</f>
        <v>0</v>
      </c>
    </row>
    <row r="77">
      <c r="A77" s="9" t="str">
        <f>IF(ISNUMBER($B$4),IF(ISNUMBER($B$5),IF($B$4+65&lt;=$B$5,$B$4+65,""),""),"")</f>
        <v/>
      </c>
      <c r="B77" s="10" t="str">
        <f>IF(A77="","",CHOOSE(WEEKDAY(A77),"日","月","火","水","木","金","土"))</f>
        <v/>
      </c>
      <c r="C77" s="11" t="n"/>
      <c r="D77" s="12" t="n"/>
      <c r="E77" s="12" t="n"/>
      <c r="F77" s="13" t="n"/>
      <c r="G77" s="14">
        <f>IF(OR(A77="",C77&lt;&gt;"労働日"),0,MAX(0,MOD(E77-D77,1)*24-F77/60))</f>
        <v>0</v>
      </c>
      <c r="H77" s="15" t="str">
        <f>IF(A77="","",INT((A77-$B$4)/7)+1)</f>
        <v/>
      </c>
      <c r="I77" s="16">
        <f>IF(AND(A77&lt;&gt;"",C77="労働日"),I76+1,0)</f>
        <v>0</v>
      </c>
      <c r="J77" s="16">
        <f>IF(AND(A77&lt;&gt;"",ISNUMBER($B$7),ISNUMBER($B$8)),IF(AND(A77&gt;=$B$7,A77&lt;=$B$8),1,0),0)</f>
        <v>0</v>
      </c>
    </row>
    <row r="78">
      <c r="A78" s="9" t="str">
        <f>IF(ISNUMBER($B$4),IF(ISNUMBER($B$5),IF($B$4+66&lt;=$B$5,$B$4+66,""),""),"")</f>
        <v/>
      </c>
      <c r="B78" s="10" t="str">
        <f>IF(A78="","",CHOOSE(WEEKDAY(A78),"日","月","火","水","木","金","土"))</f>
        <v/>
      </c>
      <c r="C78" s="11" t="n"/>
      <c r="D78" s="12" t="n"/>
      <c r="E78" s="12" t="n"/>
      <c r="F78" s="13" t="n"/>
      <c r="G78" s="14">
        <f>IF(OR(A78="",C78&lt;&gt;"労働日"),0,MAX(0,MOD(E78-D78,1)*24-F78/60))</f>
        <v>0</v>
      </c>
      <c r="H78" s="15" t="str">
        <f>IF(A78="","",INT((A78-$B$4)/7)+1)</f>
        <v/>
      </c>
      <c r="I78" s="16">
        <f>IF(AND(A78&lt;&gt;"",C78="労働日"),I77+1,0)</f>
        <v>0</v>
      </c>
      <c r="J78" s="16">
        <f>IF(AND(A78&lt;&gt;"",ISNUMBER($B$7),ISNUMBER($B$8)),IF(AND(A78&gt;=$B$7,A78&lt;=$B$8),1,0),0)</f>
        <v>0</v>
      </c>
    </row>
    <row r="79">
      <c r="A79" s="9" t="str">
        <f>IF(ISNUMBER($B$4),IF(ISNUMBER($B$5),IF($B$4+67&lt;=$B$5,$B$4+67,""),""),"")</f>
        <v/>
      </c>
      <c r="B79" s="10" t="str">
        <f>IF(A79="","",CHOOSE(WEEKDAY(A79),"日","月","火","水","木","金","土"))</f>
        <v/>
      </c>
      <c r="C79" s="11" t="n"/>
      <c r="D79" s="12" t="n"/>
      <c r="E79" s="12" t="n"/>
      <c r="F79" s="13" t="n"/>
      <c r="G79" s="14">
        <f>IF(OR(A79="",C79&lt;&gt;"労働日"),0,MAX(0,MOD(E79-D79,1)*24-F79/60))</f>
        <v>0</v>
      </c>
      <c r="H79" s="15" t="str">
        <f>IF(A79="","",INT((A79-$B$4)/7)+1)</f>
        <v/>
      </c>
      <c r="I79" s="16">
        <f>IF(AND(A79&lt;&gt;"",C79="労働日"),I78+1,0)</f>
        <v>0</v>
      </c>
      <c r="J79" s="16">
        <f>IF(AND(A79&lt;&gt;"",ISNUMBER($B$7),ISNUMBER($B$8)),IF(AND(A79&gt;=$B$7,A79&lt;=$B$8),1,0),0)</f>
        <v>0</v>
      </c>
    </row>
    <row r="80">
      <c r="A80" s="9" t="str">
        <f>IF(ISNUMBER($B$4),IF(ISNUMBER($B$5),IF($B$4+68&lt;=$B$5,$B$4+68,""),""),"")</f>
        <v/>
      </c>
      <c r="B80" s="10" t="str">
        <f>IF(A80="","",CHOOSE(WEEKDAY(A80),"日","月","火","水","木","金","土"))</f>
        <v/>
      </c>
      <c r="C80" s="11" t="n"/>
      <c r="D80" s="12" t="n"/>
      <c r="E80" s="12" t="n"/>
      <c r="F80" s="13" t="n"/>
      <c r="G80" s="14">
        <f>IF(OR(A80="",C80&lt;&gt;"労働日"),0,MAX(0,MOD(E80-D80,1)*24-F80/60))</f>
        <v>0</v>
      </c>
      <c r="H80" s="15" t="str">
        <f>IF(A80="","",INT((A80-$B$4)/7)+1)</f>
        <v/>
      </c>
      <c r="I80" s="16">
        <f>IF(AND(A80&lt;&gt;"",C80="労働日"),I79+1,0)</f>
        <v>0</v>
      </c>
      <c r="J80" s="16">
        <f>IF(AND(A80&lt;&gt;"",ISNUMBER($B$7),ISNUMBER($B$8)),IF(AND(A80&gt;=$B$7,A80&lt;=$B$8),1,0),0)</f>
        <v>0</v>
      </c>
    </row>
    <row r="81">
      <c r="A81" s="9" t="str">
        <f>IF(ISNUMBER($B$4),IF(ISNUMBER($B$5),IF($B$4+69&lt;=$B$5,$B$4+69,""),""),"")</f>
        <v/>
      </c>
      <c r="B81" s="10" t="str">
        <f>IF(A81="","",CHOOSE(WEEKDAY(A81),"日","月","火","水","木","金","土"))</f>
        <v/>
      </c>
      <c r="C81" s="11" t="n"/>
      <c r="D81" s="12" t="n"/>
      <c r="E81" s="12" t="n"/>
      <c r="F81" s="13" t="n"/>
      <c r="G81" s="14">
        <f>IF(OR(A81="",C81&lt;&gt;"労働日"),0,MAX(0,MOD(E81-D81,1)*24-F81/60))</f>
        <v>0</v>
      </c>
      <c r="H81" s="15" t="str">
        <f>IF(A81="","",INT((A81-$B$4)/7)+1)</f>
        <v/>
      </c>
      <c r="I81" s="16">
        <f>IF(AND(A81&lt;&gt;"",C81="労働日"),I80+1,0)</f>
        <v>0</v>
      </c>
      <c r="J81" s="16">
        <f>IF(AND(A81&lt;&gt;"",ISNUMBER($B$7),ISNUMBER($B$8)),IF(AND(A81&gt;=$B$7,A81&lt;=$B$8),1,0),0)</f>
        <v>0</v>
      </c>
    </row>
    <row r="82">
      <c r="A82" s="9" t="str">
        <f>IF(ISNUMBER($B$4),IF(ISNUMBER($B$5),IF($B$4+70&lt;=$B$5,$B$4+70,""),""),"")</f>
        <v/>
      </c>
      <c r="B82" s="10" t="str">
        <f>IF(A82="","",CHOOSE(WEEKDAY(A82),"日","月","火","水","木","金","土"))</f>
        <v/>
      </c>
      <c r="C82" s="11" t="n"/>
      <c r="D82" s="12" t="n"/>
      <c r="E82" s="12" t="n"/>
      <c r="F82" s="13" t="n"/>
      <c r="G82" s="14">
        <f>IF(OR(A82="",C82&lt;&gt;"労働日"),0,MAX(0,MOD(E82-D82,1)*24-F82/60))</f>
        <v>0</v>
      </c>
      <c r="H82" s="15" t="str">
        <f>IF(A82="","",INT((A82-$B$4)/7)+1)</f>
        <v/>
      </c>
      <c r="I82" s="16">
        <f>IF(AND(A82&lt;&gt;"",C82="労働日"),I81+1,0)</f>
        <v>0</v>
      </c>
      <c r="J82" s="16">
        <f>IF(AND(A82&lt;&gt;"",ISNUMBER($B$7),ISNUMBER($B$8)),IF(AND(A82&gt;=$B$7,A82&lt;=$B$8),1,0),0)</f>
        <v>0</v>
      </c>
    </row>
    <row r="83">
      <c r="A83" s="9" t="str">
        <f>IF(ISNUMBER($B$4),IF(ISNUMBER($B$5),IF($B$4+71&lt;=$B$5,$B$4+71,""),""),"")</f>
        <v/>
      </c>
      <c r="B83" s="10" t="str">
        <f>IF(A83="","",CHOOSE(WEEKDAY(A83),"日","月","火","水","木","金","土"))</f>
        <v/>
      </c>
      <c r="C83" s="11" t="n"/>
      <c r="D83" s="12" t="n"/>
      <c r="E83" s="12" t="n"/>
      <c r="F83" s="13" t="n"/>
      <c r="G83" s="14">
        <f>IF(OR(A83="",C83&lt;&gt;"労働日"),0,MAX(0,MOD(E83-D83,1)*24-F83/60))</f>
        <v>0</v>
      </c>
      <c r="H83" s="15" t="str">
        <f>IF(A83="","",INT((A83-$B$4)/7)+1)</f>
        <v/>
      </c>
      <c r="I83" s="16">
        <f>IF(AND(A83&lt;&gt;"",C83="労働日"),I82+1,0)</f>
        <v>0</v>
      </c>
      <c r="J83" s="16">
        <f>IF(AND(A83&lt;&gt;"",ISNUMBER($B$7),ISNUMBER($B$8)),IF(AND(A83&gt;=$B$7,A83&lt;=$B$8),1,0),0)</f>
        <v>0</v>
      </c>
    </row>
    <row r="84">
      <c r="A84" s="9" t="str">
        <f>IF(ISNUMBER($B$4),IF(ISNUMBER($B$5),IF($B$4+72&lt;=$B$5,$B$4+72,""),""),"")</f>
        <v/>
      </c>
      <c r="B84" s="10" t="str">
        <f>IF(A84="","",CHOOSE(WEEKDAY(A84),"日","月","火","水","木","金","土"))</f>
        <v/>
      </c>
      <c r="C84" s="11" t="n"/>
      <c r="D84" s="12" t="n"/>
      <c r="E84" s="12" t="n"/>
      <c r="F84" s="13" t="n"/>
      <c r="G84" s="14">
        <f>IF(OR(A84="",C84&lt;&gt;"労働日"),0,MAX(0,MOD(E84-D84,1)*24-F84/60))</f>
        <v>0</v>
      </c>
      <c r="H84" s="15" t="str">
        <f>IF(A84="","",INT((A84-$B$4)/7)+1)</f>
        <v/>
      </c>
      <c r="I84" s="16">
        <f>IF(AND(A84&lt;&gt;"",C84="労働日"),I83+1,0)</f>
        <v>0</v>
      </c>
      <c r="J84" s="16">
        <f>IF(AND(A84&lt;&gt;"",ISNUMBER($B$7),ISNUMBER($B$8)),IF(AND(A84&gt;=$B$7,A84&lt;=$B$8),1,0),0)</f>
        <v>0</v>
      </c>
    </row>
    <row r="85">
      <c r="A85" s="9" t="str">
        <f>IF(ISNUMBER($B$4),IF(ISNUMBER($B$5),IF($B$4+73&lt;=$B$5,$B$4+73,""),""),"")</f>
        <v/>
      </c>
      <c r="B85" s="10" t="str">
        <f>IF(A85="","",CHOOSE(WEEKDAY(A85),"日","月","火","水","木","金","土"))</f>
        <v/>
      </c>
      <c r="C85" s="11" t="n"/>
      <c r="D85" s="12" t="n"/>
      <c r="E85" s="12" t="n"/>
      <c r="F85" s="13" t="n"/>
      <c r="G85" s="14">
        <f>IF(OR(A85="",C85&lt;&gt;"労働日"),0,MAX(0,MOD(E85-D85,1)*24-F85/60))</f>
        <v>0</v>
      </c>
      <c r="H85" s="15" t="str">
        <f>IF(A85="","",INT((A85-$B$4)/7)+1)</f>
        <v/>
      </c>
      <c r="I85" s="16">
        <f>IF(AND(A85&lt;&gt;"",C85="労働日"),I84+1,0)</f>
        <v>0</v>
      </c>
      <c r="J85" s="16">
        <f>IF(AND(A85&lt;&gt;"",ISNUMBER($B$7),ISNUMBER($B$8)),IF(AND(A85&gt;=$B$7,A85&lt;=$B$8),1,0),0)</f>
        <v>0</v>
      </c>
    </row>
    <row r="86">
      <c r="A86" s="9" t="str">
        <f>IF(ISNUMBER($B$4),IF(ISNUMBER($B$5),IF($B$4+74&lt;=$B$5,$B$4+74,""),""),"")</f>
        <v/>
      </c>
      <c r="B86" s="10" t="str">
        <f>IF(A86="","",CHOOSE(WEEKDAY(A86),"日","月","火","水","木","金","土"))</f>
        <v/>
      </c>
      <c r="C86" s="11" t="n"/>
      <c r="D86" s="12" t="n"/>
      <c r="E86" s="12" t="n"/>
      <c r="F86" s="13" t="n"/>
      <c r="G86" s="14">
        <f>IF(OR(A86="",C86&lt;&gt;"労働日"),0,MAX(0,MOD(E86-D86,1)*24-F86/60))</f>
        <v>0</v>
      </c>
      <c r="H86" s="15" t="str">
        <f>IF(A86="","",INT((A86-$B$4)/7)+1)</f>
        <v/>
      </c>
      <c r="I86" s="16">
        <f>IF(AND(A86&lt;&gt;"",C86="労働日"),I85+1,0)</f>
        <v>0</v>
      </c>
      <c r="J86" s="16">
        <f>IF(AND(A86&lt;&gt;"",ISNUMBER($B$7),ISNUMBER($B$8)),IF(AND(A86&gt;=$B$7,A86&lt;=$B$8),1,0),0)</f>
        <v>0</v>
      </c>
    </row>
    <row r="87">
      <c r="A87" s="9" t="str">
        <f>IF(ISNUMBER($B$4),IF(ISNUMBER($B$5),IF($B$4+75&lt;=$B$5,$B$4+75,""),""),"")</f>
        <v/>
      </c>
      <c r="B87" s="10" t="str">
        <f>IF(A87="","",CHOOSE(WEEKDAY(A87),"日","月","火","水","木","金","土"))</f>
        <v/>
      </c>
      <c r="C87" s="11" t="n"/>
      <c r="D87" s="12" t="n"/>
      <c r="E87" s="12" t="n"/>
      <c r="F87" s="13" t="n"/>
      <c r="G87" s="14">
        <f>IF(OR(A87="",C87&lt;&gt;"労働日"),0,MAX(0,MOD(E87-D87,1)*24-F87/60))</f>
        <v>0</v>
      </c>
      <c r="H87" s="15" t="str">
        <f>IF(A87="","",INT((A87-$B$4)/7)+1)</f>
        <v/>
      </c>
      <c r="I87" s="16">
        <f>IF(AND(A87&lt;&gt;"",C87="労働日"),I86+1,0)</f>
        <v>0</v>
      </c>
      <c r="J87" s="16">
        <f>IF(AND(A87&lt;&gt;"",ISNUMBER($B$7),ISNUMBER($B$8)),IF(AND(A87&gt;=$B$7,A87&lt;=$B$8),1,0),0)</f>
        <v>0</v>
      </c>
    </row>
    <row r="88">
      <c r="A88" s="9" t="str">
        <f>IF(ISNUMBER($B$4),IF(ISNUMBER($B$5),IF($B$4+76&lt;=$B$5,$B$4+76,""),""),"")</f>
        <v/>
      </c>
      <c r="B88" s="10" t="str">
        <f>IF(A88="","",CHOOSE(WEEKDAY(A88),"日","月","火","水","木","金","土"))</f>
        <v/>
      </c>
      <c r="C88" s="11" t="n"/>
      <c r="D88" s="12" t="n"/>
      <c r="E88" s="12" t="n"/>
      <c r="F88" s="13" t="n"/>
      <c r="G88" s="14">
        <f>IF(OR(A88="",C88&lt;&gt;"労働日"),0,MAX(0,MOD(E88-D88,1)*24-F88/60))</f>
        <v>0</v>
      </c>
      <c r="H88" s="15" t="str">
        <f>IF(A88="","",INT((A88-$B$4)/7)+1)</f>
        <v/>
      </c>
      <c r="I88" s="16">
        <f>IF(AND(A88&lt;&gt;"",C88="労働日"),I87+1,0)</f>
        <v>0</v>
      </c>
      <c r="J88" s="16">
        <f>IF(AND(A88&lt;&gt;"",ISNUMBER($B$7),ISNUMBER($B$8)),IF(AND(A88&gt;=$B$7,A88&lt;=$B$8),1,0),0)</f>
        <v>0</v>
      </c>
    </row>
    <row r="89">
      <c r="A89" s="9" t="str">
        <f>IF(ISNUMBER($B$4),IF(ISNUMBER($B$5),IF($B$4+77&lt;=$B$5,$B$4+77,""),""),"")</f>
        <v/>
      </c>
      <c r="B89" s="10" t="str">
        <f>IF(A89="","",CHOOSE(WEEKDAY(A89),"日","月","火","水","木","金","土"))</f>
        <v/>
      </c>
      <c r="C89" s="11" t="n"/>
      <c r="D89" s="12" t="n"/>
      <c r="E89" s="12" t="n"/>
      <c r="F89" s="13" t="n"/>
      <c r="G89" s="14">
        <f>IF(OR(A89="",C89&lt;&gt;"労働日"),0,MAX(0,MOD(E89-D89,1)*24-F89/60))</f>
        <v>0</v>
      </c>
      <c r="H89" s="15" t="str">
        <f>IF(A89="","",INT((A89-$B$4)/7)+1)</f>
        <v/>
      </c>
      <c r="I89" s="16">
        <f>IF(AND(A89&lt;&gt;"",C89="労働日"),I88+1,0)</f>
        <v>0</v>
      </c>
      <c r="J89" s="16">
        <f>IF(AND(A89&lt;&gt;"",ISNUMBER($B$7),ISNUMBER($B$8)),IF(AND(A89&gt;=$B$7,A89&lt;=$B$8),1,0),0)</f>
        <v>0</v>
      </c>
    </row>
    <row r="90">
      <c r="A90" s="9" t="str">
        <f>IF(ISNUMBER($B$4),IF(ISNUMBER($B$5),IF($B$4+78&lt;=$B$5,$B$4+78,""),""),"")</f>
        <v/>
      </c>
      <c r="B90" s="10" t="str">
        <f>IF(A90="","",CHOOSE(WEEKDAY(A90),"日","月","火","水","木","金","土"))</f>
        <v/>
      </c>
      <c r="C90" s="11" t="n"/>
      <c r="D90" s="12" t="n"/>
      <c r="E90" s="12" t="n"/>
      <c r="F90" s="13" t="n"/>
      <c r="G90" s="14">
        <f>IF(OR(A90="",C90&lt;&gt;"労働日"),0,MAX(0,MOD(E90-D90,1)*24-F90/60))</f>
        <v>0</v>
      </c>
      <c r="H90" s="15" t="str">
        <f>IF(A90="","",INT((A90-$B$4)/7)+1)</f>
        <v/>
      </c>
      <c r="I90" s="16">
        <f>IF(AND(A90&lt;&gt;"",C90="労働日"),I89+1,0)</f>
        <v>0</v>
      </c>
      <c r="J90" s="16">
        <f>IF(AND(A90&lt;&gt;"",ISNUMBER($B$7),ISNUMBER($B$8)),IF(AND(A90&gt;=$B$7,A90&lt;=$B$8),1,0),0)</f>
        <v>0</v>
      </c>
    </row>
    <row r="91">
      <c r="A91" s="9" t="str">
        <f>IF(ISNUMBER($B$4),IF(ISNUMBER($B$5),IF($B$4+79&lt;=$B$5,$B$4+79,""),""),"")</f>
        <v/>
      </c>
      <c r="B91" s="10" t="str">
        <f>IF(A91="","",CHOOSE(WEEKDAY(A91),"日","月","火","水","木","金","土"))</f>
        <v/>
      </c>
      <c r="C91" s="11" t="n"/>
      <c r="D91" s="12" t="n"/>
      <c r="E91" s="12" t="n"/>
      <c r="F91" s="13" t="n"/>
      <c r="G91" s="14">
        <f>IF(OR(A91="",C91&lt;&gt;"労働日"),0,MAX(0,MOD(E91-D91,1)*24-F91/60))</f>
        <v>0</v>
      </c>
      <c r="H91" s="15" t="str">
        <f>IF(A91="","",INT((A91-$B$4)/7)+1)</f>
        <v/>
      </c>
      <c r="I91" s="16">
        <f>IF(AND(A91&lt;&gt;"",C91="労働日"),I90+1,0)</f>
        <v>0</v>
      </c>
      <c r="J91" s="16">
        <f>IF(AND(A91&lt;&gt;"",ISNUMBER($B$7),ISNUMBER($B$8)),IF(AND(A91&gt;=$B$7,A91&lt;=$B$8),1,0),0)</f>
        <v>0</v>
      </c>
    </row>
    <row r="92">
      <c r="A92" s="9" t="str">
        <f>IF(ISNUMBER($B$4),IF(ISNUMBER($B$5),IF($B$4+80&lt;=$B$5,$B$4+80,""),""),"")</f>
        <v/>
      </c>
      <c r="B92" s="10" t="str">
        <f>IF(A92="","",CHOOSE(WEEKDAY(A92),"日","月","火","水","木","金","土"))</f>
        <v/>
      </c>
      <c r="C92" s="11" t="n"/>
      <c r="D92" s="12" t="n"/>
      <c r="E92" s="12" t="n"/>
      <c r="F92" s="13" t="n"/>
      <c r="G92" s="14">
        <f>IF(OR(A92="",C92&lt;&gt;"労働日"),0,MAX(0,MOD(E92-D92,1)*24-F92/60))</f>
        <v>0</v>
      </c>
      <c r="H92" s="15" t="str">
        <f>IF(A92="","",INT((A92-$B$4)/7)+1)</f>
        <v/>
      </c>
      <c r="I92" s="16">
        <f>IF(AND(A92&lt;&gt;"",C92="労働日"),I91+1,0)</f>
        <v>0</v>
      </c>
      <c r="J92" s="16">
        <f>IF(AND(A92&lt;&gt;"",ISNUMBER($B$7),ISNUMBER($B$8)),IF(AND(A92&gt;=$B$7,A92&lt;=$B$8),1,0),0)</f>
        <v>0</v>
      </c>
    </row>
    <row r="93">
      <c r="A93" s="9" t="str">
        <f>IF(ISNUMBER($B$4),IF(ISNUMBER($B$5),IF($B$4+81&lt;=$B$5,$B$4+81,""),""),"")</f>
        <v/>
      </c>
      <c r="B93" s="10" t="str">
        <f>IF(A93="","",CHOOSE(WEEKDAY(A93),"日","月","火","水","木","金","土"))</f>
        <v/>
      </c>
      <c r="C93" s="11" t="n"/>
      <c r="D93" s="12" t="n"/>
      <c r="E93" s="12" t="n"/>
      <c r="F93" s="13" t="n"/>
      <c r="G93" s="14">
        <f>IF(OR(A93="",C93&lt;&gt;"労働日"),0,MAX(0,MOD(E93-D93,1)*24-F93/60))</f>
        <v>0</v>
      </c>
      <c r="H93" s="15" t="str">
        <f>IF(A93="","",INT((A93-$B$4)/7)+1)</f>
        <v/>
      </c>
      <c r="I93" s="16">
        <f>IF(AND(A93&lt;&gt;"",C93="労働日"),I92+1,0)</f>
        <v>0</v>
      </c>
      <c r="J93" s="16">
        <f>IF(AND(A93&lt;&gt;"",ISNUMBER($B$7),ISNUMBER($B$8)),IF(AND(A93&gt;=$B$7,A93&lt;=$B$8),1,0),0)</f>
        <v>0</v>
      </c>
    </row>
    <row r="94">
      <c r="A94" s="9" t="str">
        <f>IF(ISNUMBER($B$4),IF(ISNUMBER($B$5),IF($B$4+82&lt;=$B$5,$B$4+82,""),""),"")</f>
        <v/>
      </c>
      <c r="B94" s="10" t="str">
        <f>IF(A94="","",CHOOSE(WEEKDAY(A94),"日","月","火","水","木","金","土"))</f>
        <v/>
      </c>
      <c r="C94" s="11" t="n"/>
      <c r="D94" s="12" t="n"/>
      <c r="E94" s="12" t="n"/>
      <c r="F94" s="13" t="n"/>
      <c r="G94" s="14">
        <f>IF(OR(A94="",C94&lt;&gt;"労働日"),0,MAX(0,MOD(E94-D94,1)*24-F94/60))</f>
        <v>0</v>
      </c>
      <c r="H94" s="15" t="str">
        <f>IF(A94="","",INT((A94-$B$4)/7)+1)</f>
        <v/>
      </c>
      <c r="I94" s="16">
        <f>IF(AND(A94&lt;&gt;"",C94="労働日"),I93+1,0)</f>
        <v>0</v>
      </c>
      <c r="J94" s="16">
        <f>IF(AND(A94&lt;&gt;"",ISNUMBER($B$7),ISNUMBER($B$8)),IF(AND(A94&gt;=$B$7,A94&lt;=$B$8),1,0),0)</f>
        <v>0</v>
      </c>
    </row>
    <row r="95">
      <c r="A95" s="9" t="str">
        <f>IF(ISNUMBER($B$4),IF(ISNUMBER($B$5),IF($B$4+83&lt;=$B$5,$B$4+83,""),""),"")</f>
        <v/>
      </c>
      <c r="B95" s="10" t="str">
        <f>IF(A95="","",CHOOSE(WEEKDAY(A95),"日","月","火","水","木","金","土"))</f>
        <v/>
      </c>
      <c r="C95" s="11" t="n"/>
      <c r="D95" s="12" t="n"/>
      <c r="E95" s="12" t="n"/>
      <c r="F95" s="13" t="n"/>
      <c r="G95" s="14">
        <f>IF(OR(A95="",C95&lt;&gt;"労働日"),0,MAX(0,MOD(E95-D95,1)*24-F95/60))</f>
        <v>0</v>
      </c>
      <c r="H95" s="15" t="str">
        <f>IF(A95="","",INT((A95-$B$4)/7)+1)</f>
        <v/>
      </c>
      <c r="I95" s="16">
        <f>IF(AND(A95&lt;&gt;"",C95="労働日"),I94+1,0)</f>
        <v>0</v>
      </c>
      <c r="J95" s="16">
        <f>IF(AND(A95&lt;&gt;"",ISNUMBER($B$7),ISNUMBER($B$8)),IF(AND(A95&gt;=$B$7,A95&lt;=$B$8),1,0),0)</f>
        <v>0</v>
      </c>
    </row>
    <row r="96">
      <c r="A96" s="9" t="str">
        <f>IF(ISNUMBER($B$4),IF(ISNUMBER($B$5),IF($B$4+84&lt;=$B$5,$B$4+84,""),""),"")</f>
        <v/>
      </c>
      <c r="B96" s="10" t="str">
        <f>IF(A96="","",CHOOSE(WEEKDAY(A96),"日","月","火","水","木","金","土"))</f>
        <v/>
      </c>
      <c r="C96" s="11" t="n"/>
      <c r="D96" s="12" t="n"/>
      <c r="E96" s="12" t="n"/>
      <c r="F96" s="13" t="n"/>
      <c r="G96" s="14">
        <f>IF(OR(A96="",C96&lt;&gt;"労働日"),0,MAX(0,MOD(E96-D96,1)*24-F96/60))</f>
        <v>0</v>
      </c>
      <c r="H96" s="15" t="str">
        <f>IF(A96="","",INT((A96-$B$4)/7)+1)</f>
        <v/>
      </c>
      <c r="I96" s="16">
        <f>IF(AND(A96&lt;&gt;"",C96="労働日"),I95+1,0)</f>
        <v>0</v>
      </c>
      <c r="J96" s="16">
        <f>IF(AND(A96&lt;&gt;"",ISNUMBER($B$7),ISNUMBER($B$8)),IF(AND(A96&gt;=$B$7,A96&lt;=$B$8),1,0),0)</f>
        <v>0</v>
      </c>
    </row>
    <row r="97">
      <c r="A97" s="9" t="str">
        <f>IF(ISNUMBER($B$4),IF(ISNUMBER($B$5),IF($B$4+85&lt;=$B$5,$B$4+85,""),""),"")</f>
        <v/>
      </c>
      <c r="B97" s="10" t="str">
        <f>IF(A97="","",CHOOSE(WEEKDAY(A97),"日","月","火","水","木","金","土"))</f>
        <v/>
      </c>
      <c r="C97" s="11" t="n"/>
      <c r="D97" s="12" t="n"/>
      <c r="E97" s="12" t="n"/>
      <c r="F97" s="13" t="n"/>
      <c r="G97" s="14">
        <f>IF(OR(A97="",C97&lt;&gt;"労働日"),0,MAX(0,MOD(E97-D97,1)*24-F97/60))</f>
        <v>0</v>
      </c>
      <c r="H97" s="15" t="str">
        <f>IF(A97="","",INT((A97-$B$4)/7)+1)</f>
        <v/>
      </c>
      <c r="I97" s="16">
        <f>IF(AND(A97&lt;&gt;"",C97="労働日"),I96+1,0)</f>
        <v>0</v>
      </c>
      <c r="J97" s="16">
        <f>IF(AND(A97&lt;&gt;"",ISNUMBER($B$7),ISNUMBER($B$8)),IF(AND(A97&gt;=$B$7,A97&lt;=$B$8),1,0),0)</f>
        <v>0</v>
      </c>
    </row>
    <row r="98">
      <c r="A98" s="9" t="str">
        <f>IF(ISNUMBER($B$4),IF(ISNUMBER($B$5),IF($B$4+86&lt;=$B$5,$B$4+86,""),""),"")</f>
        <v/>
      </c>
      <c r="B98" s="10" t="str">
        <f>IF(A98="","",CHOOSE(WEEKDAY(A98),"日","月","火","水","木","金","土"))</f>
        <v/>
      </c>
      <c r="C98" s="11" t="n"/>
      <c r="D98" s="12" t="n"/>
      <c r="E98" s="12" t="n"/>
      <c r="F98" s="13" t="n"/>
      <c r="G98" s="14">
        <f>IF(OR(A98="",C98&lt;&gt;"労働日"),0,MAX(0,MOD(E98-D98,1)*24-F98/60))</f>
        <v>0</v>
      </c>
      <c r="H98" s="15" t="str">
        <f>IF(A98="","",INT((A98-$B$4)/7)+1)</f>
        <v/>
      </c>
      <c r="I98" s="16">
        <f>IF(AND(A98&lt;&gt;"",C98="労働日"),I97+1,0)</f>
        <v>0</v>
      </c>
      <c r="J98" s="16">
        <f>IF(AND(A98&lt;&gt;"",ISNUMBER($B$7),ISNUMBER($B$8)),IF(AND(A98&gt;=$B$7,A98&lt;=$B$8),1,0),0)</f>
        <v>0</v>
      </c>
    </row>
    <row r="99">
      <c r="A99" s="9" t="str">
        <f>IF(ISNUMBER($B$4),IF(ISNUMBER($B$5),IF($B$4+87&lt;=$B$5,$B$4+87,""),""),"")</f>
        <v/>
      </c>
      <c r="B99" s="10" t="str">
        <f>IF(A99="","",CHOOSE(WEEKDAY(A99),"日","月","火","水","木","金","土"))</f>
        <v/>
      </c>
      <c r="C99" s="11" t="n"/>
      <c r="D99" s="12" t="n"/>
      <c r="E99" s="12" t="n"/>
      <c r="F99" s="13" t="n"/>
      <c r="G99" s="14">
        <f>IF(OR(A99="",C99&lt;&gt;"労働日"),0,MAX(0,MOD(E99-D99,1)*24-F99/60))</f>
        <v>0</v>
      </c>
      <c r="H99" s="15" t="str">
        <f>IF(A99="","",INT((A99-$B$4)/7)+1)</f>
        <v/>
      </c>
      <c r="I99" s="16">
        <f>IF(AND(A99&lt;&gt;"",C99="労働日"),I98+1,0)</f>
        <v>0</v>
      </c>
      <c r="J99" s="16">
        <f>IF(AND(A99&lt;&gt;"",ISNUMBER($B$7),ISNUMBER($B$8)),IF(AND(A99&gt;=$B$7,A99&lt;=$B$8),1,0),0)</f>
        <v>0</v>
      </c>
    </row>
    <row r="100">
      <c r="A100" s="9" t="str">
        <f>IF(ISNUMBER($B$4),IF(ISNUMBER($B$5),IF($B$4+88&lt;=$B$5,$B$4+88,""),""),"")</f>
        <v/>
      </c>
      <c r="B100" s="10" t="str">
        <f>IF(A100="","",CHOOSE(WEEKDAY(A100),"日","月","火","水","木","金","土"))</f>
        <v/>
      </c>
      <c r="C100" s="11" t="n"/>
      <c r="D100" s="12" t="n"/>
      <c r="E100" s="12" t="n"/>
      <c r="F100" s="13" t="n"/>
      <c r="G100" s="14">
        <f>IF(OR(A100="",C100&lt;&gt;"労働日"),0,MAX(0,MOD(E100-D100,1)*24-F100/60))</f>
        <v>0</v>
      </c>
      <c r="H100" s="15" t="str">
        <f>IF(A100="","",INT((A100-$B$4)/7)+1)</f>
        <v/>
      </c>
      <c r="I100" s="16">
        <f>IF(AND(A100&lt;&gt;"",C100="労働日"),I99+1,0)</f>
        <v>0</v>
      </c>
      <c r="J100" s="16">
        <f>IF(AND(A100&lt;&gt;"",ISNUMBER($B$7),ISNUMBER($B$8)),IF(AND(A100&gt;=$B$7,A100&lt;=$B$8),1,0),0)</f>
        <v>0</v>
      </c>
    </row>
    <row r="101">
      <c r="A101" s="9" t="str">
        <f>IF(ISNUMBER($B$4),IF(ISNUMBER($B$5),IF($B$4+89&lt;=$B$5,$B$4+89,""),""),"")</f>
        <v/>
      </c>
      <c r="B101" s="10" t="str">
        <f>IF(A101="","",CHOOSE(WEEKDAY(A101),"日","月","火","水","木","金","土"))</f>
        <v/>
      </c>
      <c r="C101" s="11" t="n"/>
      <c r="D101" s="12" t="n"/>
      <c r="E101" s="12" t="n"/>
      <c r="F101" s="13" t="n"/>
      <c r="G101" s="14">
        <f>IF(OR(A101="",C101&lt;&gt;"労働日"),0,MAX(0,MOD(E101-D101,1)*24-F101/60))</f>
        <v>0</v>
      </c>
      <c r="H101" s="15" t="str">
        <f>IF(A101="","",INT((A101-$B$4)/7)+1)</f>
        <v/>
      </c>
      <c r="I101" s="16">
        <f>IF(AND(A101&lt;&gt;"",C101="労働日"),I100+1,0)</f>
        <v>0</v>
      </c>
      <c r="J101" s="16">
        <f>IF(AND(A101&lt;&gt;"",ISNUMBER($B$7),ISNUMBER($B$8)),IF(AND(A101&gt;=$B$7,A101&lt;=$B$8),1,0),0)</f>
        <v>0</v>
      </c>
    </row>
    <row r="102">
      <c r="A102" s="9" t="str">
        <f>IF(ISNUMBER($B$4),IF(ISNUMBER($B$5),IF($B$4+90&lt;=$B$5,$B$4+90,""),""),"")</f>
        <v/>
      </c>
      <c r="B102" s="10" t="str">
        <f>IF(A102="","",CHOOSE(WEEKDAY(A102),"日","月","火","水","木","金","土"))</f>
        <v/>
      </c>
      <c r="C102" s="11" t="n"/>
      <c r="D102" s="12" t="n"/>
      <c r="E102" s="12" t="n"/>
      <c r="F102" s="13" t="n"/>
      <c r="G102" s="14">
        <f>IF(OR(A102="",C102&lt;&gt;"労働日"),0,MAX(0,MOD(E102-D102,1)*24-F102/60))</f>
        <v>0</v>
      </c>
      <c r="H102" s="15" t="str">
        <f>IF(A102="","",INT((A102-$B$4)/7)+1)</f>
        <v/>
      </c>
      <c r="I102" s="16">
        <f>IF(AND(A102&lt;&gt;"",C102="労働日"),I101+1,0)</f>
        <v>0</v>
      </c>
      <c r="J102" s="16">
        <f>IF(AND(A102&lt;&gt;"",ISNUMBER($B$7),ISNUMBER($B$8)),IF(AND(A102&gt;=$B$7,A102&lt;=$B$8),1,0),0)</f>
        <v>0</v>
      </c>
    </row>
    <row r="103">
      <c r="A103" s="9" t="str">
        <f>IF(ISNUMBER($B$4),IF(ISNUMBER($B$5),IF($B$4+91&lt;=$B$5,$B$4+91,""),""),"")</f>
        <v/>
      </c>
      <c r="B103" s="10" t="str">
        <f>IF(A103="","",CHOOSE(WEEKDAY(A103),"日","月","火","水","木","金","土"))</f>
        <v/>
      </c>
      <c r="C103" s="11" t="n"/>
      <c r="D103" s="12" t="n"/>
      <c r="E103" s="12" t="n"/>
      <c r="F103" s="13" t="n"/>
      <c r="G103" s="14">
        <f>IF(OR(A103="",C103&lt;&gt;"労働日"),0,MAX(0,MOD(E103-D103,1)*24-F103/60))</f>
        <v>0</v>
      </c>
      <c r="H103" s="15" t="str">
        <f>IF(A103="","",INT((A103-$B$4)/7)+1)</f>
        <v/>
      </c>
      <c r="I103" s="16">
        <f>IF(AND(A103&lt;&gt;"",C103="労働日"),I102+1,0)</f>
        <v>0</v>
      </c>
      <c r="J103" s="16">
        <f>IF(AND(A103&lt;&gt;"",ISNUMBER($B$7),ISNUMBER($B$8)),IF(AND(A103&gt;=$B$7,A103&lt;=$B$8),1,0),0)</f>
        <v>0</v>
      </c>
    </row>
    <row r="104">
      <c r="A104" s="9" t="str">
        <f>IF(ISNUMBER($B$4),IF(ISNUMBER($B$5),IF($B$4+92&lt;=$B$5,$B$4+92,""),""),"")</f>
        <v/>
      </c>
      <c r="B104" s="10" t="str">
        <f>IF(A104="","",CHOOSE(WEEKDAY(A104),"日","月","火","水","木","金","土"))</f>
        <v/>
      </c>
      <c r="C104" s="11" t="n"/>
      <c r="D104" s="12" t="n"/>
      <c r="E104" s="12" t="n"/>
      <c r="F104" s="13" t="n"/>
      <c r="G104" s="14">
        <f>IF(OR(A104="",C104&lt;&gt;"労働日"),0,MAX(0,MOD(E104-D104,1)*24-F104/60))</f>
        <v>0</v>
      </c>
      <c r="H104" s="15" t="str">
        <f>IF(A104="","",INT((A104-$B$4)/7)+1)</f>
        <v/>
      </c>
      <c r="I104" s="16">
        <f>IF(AND(A104&lt;&gt;"",C104="労働日"),I103+1,0)</f>
        <v>0</v>
      </c>
      <c r="J104" s="16">
        <f>IF(AND(A104&lt;&gt;"",ISNUMBER($B$7),ISNUMBER($B$8)),IF(AND(A104&gt;=$B$7,A104&lt;=$B$8),1,0),0)</f>
        <v>0</v>
      </c>
    </row>
    <row r="105">
      <c r="A105" s="9" t="str">
        <f>IF(ISNUMBER($B$4),IF(ISNUMBER($B$5),IF($B$4+93&lt;=$B$5,$B$4+93,""),""),"")</f>
        <v/>
      </c>
      <c r="B105" s="10" t="str">
        <f>IF(A105="","",CHOOSE(WEEKDAY(A105),"日","月","火","水","木","金","土"))</f>
        <v/>
      </c>
      <c r="C105" s="11" t="n"/>
      <c r="D105" s="12" t="n"/>
      <c r="E105" s="12" t="n"/>
      <c r="F105" s="13" t="n"/>
      <c r="G105" s="14">
        <f>IF(OR(A105="",C105&lt;&gt;"労働日"),0,MAX(0,MOD(E105-D105,1)*24-F105/60))</f>
        <v>0</v>
      </c>
      <c r="H105" s="15" t="str">
        <f>IF(A105="","",INT((A105-$B$4)/7)+1)</f>
        <v/>
      </c>
      <c r="I105" s="16">
        <f>IF(AND(A105&lt;&gt;"",C105="労働日"),I104+1,0)</f>
        <v>0</v>
      </c>
      <c r="J105" s="16">
        <f>IF(AND(A105&lt;&gt;"",ISNUMBER($B$7),ISNUMBER($B$8)),IF(AND(A105&gt;=$B$7,A105&lt;=$B$8),1,0),0)</f>
        <v>0</v>
      </c>
    </row>
    <row r="106">
      <c r="A106" s="9" t="str">
        <f>IF(ISNUMBER($B$4),IF(ISNUMBER($B$5),IF($B$4+94&lt;=$B$5,$B$4+94,""),""),"")</f>
        <v/>
      </c>
      <c r="B106" s="10" t="str">
        <f>IF(A106="","",CHOOSE(WEEKDAY(A106),"日","月","火","水","木","金","土"))</f>
        <v/>
      </c>
      <c r="C106" s="11" t="n"/>
      <c r="D106" s="12" t="n"/>
      <c r="E106" s="12" t="n"/>
      <c r="F106" s="13" t="n"/>
      <c r="G106" s="14">
        <f>IF(OR(A106="",C106&lt;&gt;"労働日"),0,MAX(0,MOD(E106-D106,1)*24-F106/60))</f>
        <v>0</v>
      </c>
      <c r="H106" s="15" t="str">
        <f>IF(A106="","",INT((A106-$B$4)/7)+1)</f>
        <v/>
      </c>
      <c r="I106" s="16">
        <f>IF(AND(A106&lt;&gt;"",C106="労働日"),I105+1,0)</f>
        <v>0</v>
      </c>
      <c r="J106" s="16">
        <f>IF(AND(A106&lt;&gt;"",ISNUMBER($B$7),ISNUMBER($B$8)),IF(AND(A106&gt;=$B$7,A106&lt;=$B$8),1,0),0)</f>
        <v>0</v>
      </c>
    </row>
    <row r="107">
      <c r="A107" s="9" t="str">
        <f>IF(ISNUMBER($B$4),IF(ISNUMBER($B$5),IF($B$4+95&lt;=$B$5,$B$4+95,""),""),"")</f>
        <v/>
      </c>
      <c r="B107" s="10" t="str">
        <f>IF(A107="","",CHOOSE(WEEKDAY(A107),"日","月","火","水","木","金","土"))</f>
        <v/>
      </c>
      <c r="C107" s="11" t="n"/>
      <c r="D107" s="12" t="n"/>
      <c r="E107" s="12" t="n"/>
      <c r="F107" s="13" t="n"/>
      <c r="G107" s="14">
        <f>IF(OR(A107="",C107&lt;&gt;"労働日"),0,MAX(0,MOD(E107-D107,1)*24-F107/60))</f>
        <v>0</v>
      </c>
      <c r="H107" s="15" t="str">
        <f>IF(A107="","",INT((A107-$B$4)/7)+1)</f>
        <v/>
      </c>
      <c r="I107" s="16">
        <f>IF(AND(A107&lt;&gt;"",C107="労働日"),I106+1,0)</f>
        <v>0</v>
      </c>
      <c r="J107" s="16">
        <f>IF(AND(A107&lt;&gt;"",ISNUMBER($B$7),ISNUMBER($B$8)),IF(AND(A107&gt;=$B$7,A107&lt;=$B$8),1,0),0)</f>
        <v>0</v>
      </c>
    </row>
    <row r="108">
      <c r="A108" s="9" t="str">
        <f>IF(ISNUMBER($B$4),IF(ISNUMBER($B$5),IF($B$4+96&lt;=$B$5,$B$4+96,""),""),"")</f>
        <v/>
      </c>
      <c r="B108" s="10" t="str">
        <f>IF(A108="","",CHOOSE(WEEKDAY(A108),"日","月","火","水","木","金","土"))</f>
        <v/>
      </c>
      <c r="C108" s="11" t="n"/>
      <c r="D108" s="12" t="n"/>
      <c r="E108" s="12" t="n"/>
      <c r="F108" s="13" t="n"/>
      <c r="G108" s="14">
        <f>IF(OR(A108="",C108&lt;&gt;"労働日"),0,MAX(0,MOD(E108-D108,1)*24-F108/60))</f>
        <v>0</v>
      </c>
      <c r="H108" s="15" t="str">
        <f>IF(A108="","",INT((A108-$B$4)/7)+1)</f>
        <v/>
      </c>
      <c r="I108" s="16">
        <f>IF(AND(A108&lt;&gt;"",C108="労働日"),I107+1,0)</f>
        <v>0</v>
      </c>
      <c r="J108" s="16">
        <f>IF(AND(A108&lt;&gt;"",ISNUMBER($B$7),ISNUMBER($B$8)),IF(AND(A108&gt;=$B$7,A108&lt;=$B$8),1,0),0)</f>
        <v>0</v>
      </c>
    </row>
    <row r="109">
      <c r="A109" s="9" t="str">
        <f>IF(ISNUMBER($B$4),IF(ISNUMBER($B$5),IF($B$4+97&lt;=$B$5,$B$4+97,""),""),"")</f>
        <v/>
      </c>
      <c r="B109" s="10" t="str">
        <f>IF(A109="","",CHOOSE(WEEKDAY(A109),"日","月","火","水","木","金","土"))</f>
        <v/>
      </c>
      <c r="C109" s="11" t="n"/>
      <c r="D109" s="12" t="n"/>
      <c r="E109" s="12" t="n"/>
      <c r="F109" s="13" t="n"/>
      <c r="G109" s="14">
        <f>IF(OR(A109="",C109&lt;&gt;"労働日"),0,MAX(0,MOD(E109-D109,1)*24-F109/60))</f>
        <v>0</v>
      </c>
      <c r="H109" s="15" t="str">
        <f>IF(A109="","",INT((A109-$B$4)/7)+1)</f>
        <v/>
      </c>
      <c r="I109" s="16">
        <f>IF(AND(A109&lt;&gt;"",C109="労働日"),I108+1,0)</f>
        <v>0</v>
      </c>
      <c r="J109" s="16">
        <f>IF(AND(A109&lt;&gt;"",ISNUMBER($B$7),ISNUMBER($B$8)),IF(AND(A109&gt;=$B$7,A109&lt;=$B$8),1,0),0)</f>
        <v>0</v>
      </c>
    </row>
    <row r="110">
      <c r="A110" s="9" t="str">
        <f>IF(ISNUMBER($B$4),IF(ISNUMBER($B$5),IF($B$4+98&lt;=$B$5,$B$4+98,""),""),"")</f>
        <v/>
      </c>
      <c r="B110" s="10" t="str">
        <f>IF(A110="","",CHOOSE(WEEKDAY(A110),"日","月","火","水","木","金","土"))</f>
        <v/>
      </c>
      <c r="C110" s="11" t="n"/>
      <c r="D110" s="12" t="n"/>
      <c r="E110" s="12" t="n"/>
      <c r="F110" s="13" t="n"/>
      <c r="G110" s="14">
        <f>IF(OR(A110="",C110&lt;&gt;"労働日"),0,MAX(0,MOD(E110-D110,1)*24-F110/60))</f>
        <v>0</v>
      </c>
      <c r="H110" s="15" t="str">
        <f>IF(A110="","",INT((A110-$B$4)/7)+1)</f>
        <v/>
      </c>
      <c r="I110" s="16">
        <f>IF(AND(A110&lt;&gt;"",C110="労働日"),I109+1,0)</f>
        <v>0</v>
      </c>
      <c r="J110" s="16">
        <f>IF(AND(A110&lt;&gt;"",ISNUMBER($B$7),ISNUMBER($B$8)),IF(AND(A110&gt;=$B$7,A110&lt;=$B$8),1,0),0)</f>
        <v>0</v>
      </c>
    </row>
    <row r="111">
      <c r="A111" s="9" t="str">
        <f>IF(ISNUMBER($B$4),IF(ISNUMBER($B$5),IF($B$4+99&lt;=$B$5,$B$4+99,""),""),"")</f>
        <v/>
      </c>
      <c r="B111" s="10" t="str">
        <f>IF(A111="","",CHOOSE(WEEKDAY(A111),"日","月","火","水","木","金","土"))</f>
        <v/>
      </c>
      <c r="C111" s="11" t="n"/>
      <c r="D111" s="12" t="n"/>
      <c r="E111" s="12" t="n"/>
      <c r="F111" s="13" t="n"/>
      <c r="G111" s="14">
        <f>IF(OR(A111="",C111&lt;&gt;"労働日"),0,MAX(0,MOD(E111-D111,1)*24-F111/60))</f>
        <v>0</v>
      </c>
      <c r="H111" s="15" t="str">
        <f>IF(A111="","",INT((A111-$B$4)/7)+1)</f>
        <v/>
      </c>
      <c r="I111" s="16">
        <f>IF(AND(A111&lt;&gt;"",C111="労働日"),I110+1,0)</f>
        <v>0</v>
      </c>
      <c r="J111" s="16">
        <f>IF(AND(A111&lt;&gt;"",ISNUMBER($B$7),ISNUMBER($B$8)),IF(AND(A111&gt;=$B$7,A111&lt;=$B$8),1,0),0)</f>
        <v>0</v>
      </c>
    </row>
    <row r="112">
      <c r="A112" s="9" t="str">
        <f>IF(ISNUMBER($B$4),IF(ISNUMBER($B$5),IF($B$4+100&lt;=$B$5,$B$4+100,""),""),"")</f>
        <v/>
      </c>
      <c r="B112" s="10" t="str">
        <f>IF(A112="","",CHOOSE(WEEKDAY(A112),"日","月","火","水","木","金","土"))</f>
        <v/>
      </c>
      <c r="C112" s="11" t="n"/>
      <c r="D112" s="12" t="n"/>
      <c r="E112" s="12" t="n"/>
      <c r="F112" s="13" t="n"/>
      <c r="G112" s="14">
        <f>IF(OR(A112="",C112&lt;&gt;"労働日"),0,MAX(0,MOD(E112-D112,1)*24-F112/60))</f>
        <v>0</v>
      </c>
      <c r="H112" s="15" t="str">
        <f>IF(A112="","",INT((A112-$B$4)/7)+1)</f>
        <v/>
      </c>
      <c r="I112" s="16">
        <f>IF(AND(A112&lt;&gt;"",C112="労働日"),I111+1,0)</f>
        <v>0</v>
      </c>
      <c r="J112" s="16">
        <f>IF(AND(A112&lt;&gt;"",ISNUMBER($B$7),ISNUMBER($B$8)),IF(AND(A112&gt;=$B$7,A112&lt;=$B$8),1,0),0)</f>
        <v>0</v>
      </c>
    </row>
    <row r="113">
      <c r="A113" s="9" t="str">
        <f>IF(ISNUMBER($B$4),IF(ISNUMBER($B$5),IF($B$4+101&lt;=$B$5,$B$4+101,""),""),"")</f>
        <v/>
      </c>
      <c r="B113" s="10" t="str">
        <f>IF(A113="","",CHOOSE(WEEKDAY(A113),"日","月","火","水","木","金","土"))</f>
        <v/>
      </c>
      <c r="C113" s="11" t="n"/>
      <c r="D113" s="12" t="n"/>
      <c r="E113" s="12" t="n"/>
      <c r="F113" s="13" t="n"/>
      <c r="G113" s="14">
        <f>IF(OR(A113="",C113&lt;&gt;"労働日"),0,MAX(0,MOD(E113-D113,1)*24-F113/60))</f>
        <v>0</v>
      </c>
      <c r="H113" s="15" t="str">
        <f>IF(A113="","",INT((A113-$B$4)/7)+1)</f>
        <v/>
      </c>
      <c r="I113" s="16">
        <f>IF(AND(A113&lt;&gt;"",C113="労働日"),I112+1,0)</f>
        <v>0</v>
      </c>
      <c r="J113" s="16">
        <f>IF(AND(A113&lt;&gt;"",ISNUMBER($B$7),ISNUMBER($B$8)),IF(AND(A113&gt;=$B$7,A113&lt;=$B$8),1,0),0)</f>
        <v>0</v>
      </c>
    </row>
    <row r="114">
      <c r="A114" s="9" t="str">
        <f>IF(ISNUMBER($B$4),IF(ISNUMBER($B$5),IF($B$4+102&lt;=$B$5,$B$4+102,""),""),"")</f>
        <v/>
      </c>
      <c r="B114" s="10" t="str">
        <f>IF(A114="","",CHOOSE(WEEKDAY(A114),"日","月","火","水","木","金","土"))</f>
        <v/>
      </c>
      <c r="C114" s="11" t="n"/>
      <c r="D114" s="12" t="n"/>
      <c r="E114" s="12" t="n"/>
      <c r="F114" s="13" t="n"/>
      <c r="G114" s="14">
        <f>IF(OR(A114="",C114&lt;&gt;"労働日"),0,MAX(0,MOD(E114-D114,1)*24-F114/60))</f>
        <v>0</v>
      </c>
      <c r="H114" s="15" t="str">
        <f>IF(A114="","",INT((A114-$B$4)/7)+1)</f>
        <v/>
      </c>
      <c r="I114" s="16">
        <f>IF(AND(A114&lt;&gt;"",C114="労働日"),I113+1,0)</f>
        <v>0</v>
      </c>
      <c r="J114" s="16">
        <f>IF(AND(A114&lt;&gt;"",ISNUMBER($B$7),ISNUMBER($B$8)),IF(AND(A114&gt;=$B$7,A114&lt;=$B$8),1,0),0)</f>
        <v>0</v>
      </c>
    </row>
    <row r="115">
      <c r="A115" s="9" t="str">
        <f>IF(ISNUMBER($B$4),IF(ISNUMBER($B$5),IF($B$4+103&lt;=$B$5,$B$4+103,""),""),"")</f>
        <v/>
      </c>
      <c r="B115" s="10" t="str">
        <f>IF(A115="","",CHOOSE(WEEKDAY(A115),"日","月","火","水","木","金","土"))</f>
        <v/>
      </c>
      <c r="C115" s="11" t="n"/>
      <c r="D115" s="12" t="n"/>
      <c r="E115" s="12" t="n"/>
      <c r="F115" s="13" t="n"/>
      <c r="G115" s="14">
        <f>IF(OR(A115="",C115&lt;&gt;"労働日"),0,MAX(0,MOD(E115-D115,1)*24-F115/60))</f>
        <v>0</v>
      </c>
      <c r="H115" s="15" t="str">
        <f>IF(A115="","",INT((A115-$B$4)/7)+1)</f>
        <v/>
      </c>
      <c r="I115" s="16">
        <f>IF(AND(A115&lt;&gt;"",C115="労働日"),I114+1,0)</f>
        <v>0</v>
      </c>
      <c r="J115" s="16">
        <f>IF(AND(A115&lt;&gt;"",ISNUMBER($B$7),ISNUMBER($B$8)),IF(AND(A115&gt;=$B$7,A115&lt;=$B$8),1,0),0)</f>
        <v>0</v>
      </c>
    </row>
    <row r="116">
      <c r="A116" s="9" t="str">
        <f>IF(ISNUMBER($B$4),IF(ISNUMBER($B$5),IF($B$4+104&lt;=$B$5,$B$4+104,""),""),"")</f>
        <v/>
      </c>
      <c r="B116" s="10" t="str">
        <f>IF(A116="","",CHOOSE(WEEKDAY(A116),"日","月","火","水","木","金","土"))</f>
        <v/>
      </c>
      <c r="C116" s="11" t="n"/>
      <c r="D116" s="12" t="n"/>
      <c r="E116" s="12" t="n"/>
      <c r="F116" s="13" t="n"/>
      <c r="G116" s="14">
        <f>IF(OR(A116="",C116&lt;&gt;"労働日"),0,MAX(0,MOD(E116-D116,1)*24-F116/60))</f>
        <v>0</v>
      </c>
      <c r="H116" s="15" t="str">
        <f>IF(A116="","",INT((A116-$B$4)/7)+1)</f>
        <v/>
      </c>
      <c r="I116" s="16">
        <f>IF(AND(A116&lt;&gt;"",C116="労働日"),I115+1,0)</f>
        <v>0</v>
      </c>
      <c r="J116" s="16">
        <f>IF(AND(A116&lt;&gt;"",ISNUMBER($B$7),ISNUMBER($B$8)),IF(AND(A116&gt;=$B$7,A116&lt;=$B$8),1,0),0)</f>
        <v>0</v>
      </c>
    </row>
    <row r="117">
      <c r="A117" s="9" t="str">
        <f>IF(ISNUMBER($B$4),IF(ISNUMBER($B$5),IF($B$4+105&lt;=$B$5,$B$4+105,""),""),"")</f>
        <v/>
      </c>
      <c r="B117" s="10" t="str">
        <f>IF(A117="","",CHOOSE(WEEKDAY(A117),"日","月","火","水","木","金","土"))</f>
        <v/>
      </c>
      <c r="C117" s="11" t="n"/>
      <c r="D117" s="12" t="n"/>
      <c r="E117" s="12" t="n"/>
      <c r="F117" s="13" t="n"/>
      <c r="G117" s="14">
        <f>IF(OR(A117="",C117&lt;&gt;"労働日"),0,MAX(0,MOD(E117-D117,1)*24-F117/60))</f>
        <v>0</v>
      </c>
      <c r="H117" s="15" t="str">
        <f>IF(A117="","",INT((A117-$B$4)/7)+1)</f>
        <v/>
      </c>
      <c r="I117" s="16">
        <f>IF(AND(A117&lt;&gt;"",C117="労働日"),I116+1,0)</f>
        <v>0</v>
      </c>
      <c r="J117" s="16">
        <f>IF(AND(A117&lt;&gt;"",ISNUMBER($B$7),ISNUMBER($B$8)),IF(AND(A117&gt;=$B$7,A117&lt;=$B$8),1,0),0)</f>
        <v>0</v>
      </c>
    </row>
    <row r="118">
      <c r="A118" s="9" t="str">
        <f>IF(ISNUMBER($B$4),IF(ISNUMBER($B$5),IF($B$4+106&lt;=$B$5,$B$4+106,""),""),"")</f>
        <v/>
      </c>
      <c r="B118" s="10" t="str">
        <f>IF(A118="","",CHOOSE(WEEKDAY(A118),"日","月","火","水","木","金","土"))</f>
        <v/>
      </c>
      <c r="C118" s="11" t="n"/>
      <c r="D118" s="12" t="n"/>
      <c r="E118" s="12" t="n"/>
      <c r="F118" s="13" t="n"/>
      <c r="G118" s="14">
        <f>IF(OR(A118="",C118&lt;&gt;"労働日"),0,MAX(0,MOD(E118-D118,1)*24-F118/60))</f>
        <v>0</v>
      </c>
      <c r="H118" s="15" t="str">
        <f>IF(A118="","",INT((A118-$B$4)/7)+1)</f>
        <v/>
      </c>
      <c r="I118" s="16">
        <f>IF(AND(A118&lt;&gt;"",C118="労働日"),I117+1,0)</f>
        <v>0</v>
      </c>
      <c r="J118" s="16">
        <f>IF(AND(A118&lt;&gt;"",ISNUMBER($B$7),ISNUMBER($B$8)),IF(AND(A118&gt;=$B$7,A118&lt;=$B$8),1,0),0)</f>
        <v>0</v>
      </c>
    </row>
    <row r="119">
      <c r="A119" s="9" t="str">
        <f>IF(ISNUMBER($B$4),IF(ISNUMBER($B$5),IF($B$4+107&lt;=$B$5,$B$4+107,""),""),"")</f>
        <v/>
      </c>
      <c r="B119" s="10" t="str">
        <f>IF(A119="","",CHOOSE(WEEKDAY(A119),"日","月","火","水","木","金","土"))</f>
        <v/>
      </c>
      <c r="C119" s="11" t="n"/>
      <c r="D119" s="12" t="n"/>
      <c r="E119" s="12" t="n"/>
      <c r="F119" s="13" t="n"/>
      <c r="G119" s="14">
        <f>IF(OR(A119="",C119&lt;&gt;"労働日"),0,MAX(0,MOD(E119-D119,1)*24-F119/60))</f>
        <v>0</v>
      </c>
      <c r="H119" s="15" t="str">
        <f>IF(A119="","",INT((A119-$B$4)/7)+1)</f>
        <v/>
      </c>
      <c r="I119" s="16">
        <f>IF(AND(A119&lt;&gt;"",C119="労働日"),I118+1,0)</f>
        <v>0</v>
      </c>
      <c r="J119" s="16">
        <f>IF(AND(A119&lt;&gt;"",ISNUMBER($B$7),ISNUMBER($B$8)),IF(AND(A119&gt;=$B$7,A119&lt;=$B$8),1,0),0)</f>
        <v>0</v>
      </c>
    </row>
    <row r="120">
      <c r="A120" s="9" t="str">
        <f>IF(ISNUMBER($B$4),IF(ISNUMBER($B$5),IF($B$4+108&lt;=$B$5,$B$4+108,""),""),"")</f>
        <v/>
      </c>
      <c r="B120" s="10" t="str">
        <f>IF(A120="","",CHOOSE(WEEKDAY(A120),"日","月","火","水","木","金","土"))</f>
        <v/>
      </c>
      <c r="C120" s="11" t="n"/>
      <c r="D120" s="12" t="n"/>
      <c r="E120" s="12" t="n"/>
      <c r="F120" s="13" t="n"/>
      <c r="G120" s="14">
        <f>IF(OR(A120="",C120&lt;&gt;"労働日"),0,MAX(0,MOD(E120-D120,1)*24-F120/60))</f>
        <v>0</v>
      </c>
      <c r="H120" s="15" t="str">
        <f>IF(A120="","",INT((A120-$B$4)/7)+1)</f>
        <v/>
      </c>
      <c r="I120" s="16">
        <f>IF(AND(A120&lt;&gt;"",C120="労働日"),I119+1,0)</f>
        <v>0</v>
      </c>
      <c r="J120" s="16">
        <f>IF(AND(A120&lt;&gt;"",ISNUMBER($B$7),ISNUMBER($B$8)),IF(AND(A120&gt;=$B$7,A120&lt;=$B$8),1,0),0)</f>
        <v>0</v>
      </c>
    </row>
    <row r="121">
      <c r="A121" s="9" t="str">
        <f>IF(ISNUMBER($B$4),IF(ISNUMBER($B$5),IF($B$4+109&lt;=$B$5,$B$4+109,""),""),"")</f>
        <v/>
      </c>
      <c r="B121" s="10" t="str">
        <f>IF(A121="","",CHOOSE(WEEKDAY(A121),"日","月","火","水","木","金","土"))</f>
        <v/>
      </c>
      <c r="C121" s="11" t="n"/>
      <c r="D121" s="12" t="n"/>
      <c r="E121" s="12" t="n"/>
      <c r="F121" s="13" t="n"/>
      <c r="G121" s="14">
        <f>IF(OR(A121="",C121&lt;&gt;"労働日"),0,MAX(0,MOD(E121-D121,1)*24-F121/60))</f>
        <v>0</v>
      </c>
      <c r="H121" s="15" t="str">
        <f>IF(A121="","",INT((A121-$B$4)/7)+1)</f>
        <v/>
      </c>
      <c r="I121" s="16">
        <f>IF(AND(A121&lt;&gt;"",C121="労働日"),I120+1,0)</f>
        <v>0</v>
      </c>
      <c r="J121" s="16">
        <f>IF(AND(A121&lt;&gt;"",ISNUMBER($B$7),ISNUMBER($B$8)),IF(AND(A121&gt;=$B$7,A121&lt;=$B$8),1,0),0)</f>
        <v>0</v>
      </c>
    </row>
    <row r="122">
      <c r="A122" s="9" t="str">
        <f>IF(ISNUMBER($B$4),IF(ISNUMBER($B$5),IF($B$4+110&lt;=$B$5,$B$4+110,""),""),"")</f>
        <v/>
      </c>
      <c r="B122" s="10" t="str">
        <f>IF(A122="","",CHOOSE(WEEKDAY(A122),"日","月","火","水","木","金","土"))</f>
        <v/>
      </c>
      <c r="C122" s="11" t="n"/>
      <c r="D122" s="12" t="n"/>
      <c r="E122" s="12" t="n"/>
      <c r="F122" s="13" t="n"/>
      <c r="G122" s="14">
        <f>IF(OR(A122="",C122&lt;&gt;"労働日"),0,MAX(0,MOD(E122-D122,1)*24-F122/60))</f>
        <v>0</v>
      </c>
      <c r="H122" s="15" t="str">
        <f>IF(A122="","",INT((A122-$B$4)/7)+1)</f>
        <v/>
      </c>
      <c r="I122" s="16">
        <f>IF(AND(A122&lt;&gt;"",C122="労働日"),I121+1,0)</f>
        <v>0</v>
      </c>
      <c r="J122" s="16">
        <f>IF(AND(A122&lt;&gt;"",ISNUMBER($B$7),ISNUMBER($B$8)),IF(AND(A122&gt;=$B$7,A122&lt;=$B$8),1,0),0)</f>
        <v>0</v>
      </c>
    </row>
    <row r="123">
      <c r="A123" s="9" t="str">
        <f>IF(ISNUMBER($B$4),IF(ISNUMBER($B$5),IF($B$4+111&lt;=$B$5,$B$4+111,""),""),"")</f>
        <v/>
      </c>
      <c r="B123" s="10" t="str">
        <f>IF(A123="","",CHOOSE(WEEKDAY(A123),"日","月","火","水","木","金","土"))</f>
        <v/>
      </c>
      <c r="C123" s="11" t="n"/>
      <c r="D123" s="12" t="n"/>
      <c r="E123" s="12" t="n"/>
      <c r="F123" s="13" t="n"/>
      <c r="G123" s="14">
        <f>IF(OR(A123="",C123&lt;&gt;"労働日"),0,MAX(0,MOD(E123-D123,1)*24-F123/60))</f>
        <v>0</v>
      </c>
      <c r="H123" s="15" t="str">
        <f>IF(A123="","",INT((A123-$B$4)/7)+1)</f>
        <v/>
      </c>
      <c r="I123" s="16">
        <f>IF(AND(A123&lt;&gt;"",C123="労働日"),I122+1,0)</f>
        <v>0</v>
      </c>
      <c r="J123" s="16">
        <f>IF(AND(A123&lt;&gt;"",ISNUMBER($B$7),ISNUMBER($B$8)),IF(AND(A123&gt;=$B$7,A123&lt;=$B$8),1,0),0)</f>
        <v>0</v>
      </c>
    </row>
    <row r="124">
      <c r="A124" s="9" t="str">
        <f>IF(ISNUMBER($B$4),IF(ISNUMBER($B$5),IF($B$4+112&lt;=$B$5,$B$4+112,""),""),"")</f>
        <v/>
      </c>
      <c r="B124" s="10" t="str">
        <f>IF(A124="","",CHOOSE(WEEKDAY(A124),"日","月","火","水","木","金","土"))</f>
        <v/>
      </c>
      <c r="C124" s="11" t="n"/>
      <c r="D124" s="12" t="n"/>
      <c r="E124" s="12" t="n"/>
      <c r="F124" s="13" t="n"/>
      <c r="G124" s="14">
        <f>IF(OR(A124="",C124&lt;&gt;"労働日"),0,MAX(0,MOD(E124-D124,1)*24-F124/60))</f>
        <v>0</v>
      </c>
      <c r="H124" s="15" t="str">
        <f>IF(A124="","",INT((A124-$B$4)/7)+1)</f>
        <v/>
      </c>
      <c r="I124" s="16">
        <f>IF(AND(A124&lt;&gt;"",C124="労働日"),I123+1,0)</f>
        <v>0</v>
      </c>
      <c r="J124" s="16">
        <f>IF(AND(A124&lt;&gt;"",ISNUMBER($B$7),ISNUMBER($B$8)),IF(AND(A124&gt;=$B$7,A124&lt;=$B$8),1,0),0)</f>
        <v>0</v>
      </c>
    </row>
    <row r="125">
      <c r="A125" s="9" t="str">
        <f>IF(ISNUMBER($B$4),IF(ISNUMBER($B$5),IF($B$4+113&lt;=$B$5,$B$4+113,""),""),"")</f>
        <v/>
      </c>
      <c r="B125" s="10" t="str">
        <f>IF(A125="","",CHOOSE(WEEKDAY(A125),"日","月","火","水","木","金","土"))</f>
        <v/>
      </c>
      <c r="C125" s="11" t="n"/>
      <c r="D125" s="12" t="n"/>
      <c r="E125" s="12" t="n"/>
      <c r="F125" s="13" t="n"/>
      <c r="G125" s="14">
        <f>IF(OR(A125="",C125&lt;&gt;"労働日"),0,MAX(0,MOD(E125-D125,1)*24-F125/60))</f>
        <v>0</v>
      </c>
      <c r="H125" s="15" t="str">
        <f>IF(A125="","",INT((A125-$B$4)/7)+1)</f>
        <v/>
      </c>
      <c r="I125" s="16">
        <f>IF(AND(A125&lt;&gt;"",C125="労働日"),I124+1,0)</f>
        <v>0</v>
      </c>
      <c r="J125" s="16">
        <f>IF(AND(A125&lt;&gt;"",ISNUMBER($B$7),ISNUMBER($B$8)),IF(AND(A125&gt;=$B$7,A125&lt;=$B$8),1,0),0)</f>
        <v>0</v>
      </c>
    </row>
    <row r="126">
      <c r="A126" s="9" t="str">
        <f>IF(ISNUMBER($B$4),IF(ISNUMBER($B$5),IF($B$4+114&lt;=$B$5,$B$4+114,""),""),"")</f>
        <v/>
      </c>
      <c r="B126" s="10" t="str">
        <f>IF(A126="","",CHOOSE(WEEKDAY(A126),"日","月","火","水","木","金","土"))</f>
        <v/>
      </c>
      <c r="C126" s="11" t="n"/>
      <c r="D126" s="12" t="n"/>
      <c r="E126" s="12" t="n"/>
      <c r="F126" s="13" t="n"/>
      <c r="G126" s="14">
        <f>IF(OR(A126="",C126&lt;&gt;"労働日"),0,MAX(0,MOD(E126-D126,1)*24-F126/60))</f>
        <v>0</v>
      </c>
      <c r="H126" s="15" t="str">
        <f>IF(A126="","",INT((A126-$B$4)/7)+1)</f>
        <v/>
      </c>
      <c r="I126" s="16">
        <f>IF(AND(A126&lt;&gt;"",C126="労働日"),I125+1,0)</f>
        <v>0</v>
      </c>
      <c r="J126" s="16">
        <f>IF(AND(A126&lt;&gt;"",ISNUMBER($B$7),ISNUMBER($B$8)),IF(AND(A126&gt;=$B$7,A126&lt;=$B$8),1,0),0)</f>
        <v>0</v>
      </c>
    </row>
    <row r="127">
      <c r="A127" s="9" t="str">
        <f>IF(ISNUMBER($B$4),IF(ISNUMBER($B$5),IF($B$4+115&lt;=$B$5,$B$4+115,""),""),"")</f>
        <v/>
      </c>
      <c r="B127" s="10" t="str">
        <f>IF(A127="","",CHOOSE(WEEKDAY(A127),"日","月","火","水","木","金","土"))</f>
        <v/>
      </c>
      <c r="C127" s="11" t="n"/>
      <c r="D127" s="12" t="n"/>
      <c r="E127" s="12" t="n"/>
      <c r="F127" s="13" t="n"/>
      <c r="G127" s="14">
        <f>IF(OR(A127="",C127&lt;&gt;"労働日"),0,MAX(0,MOD(E127-D127,1)*24-F127/60))</f>
        <v>0</v>
      </c>
      <c r="H127" s="15" t="str">
        <f>IF(A127="","",INT((A127-$B$4)/7)+1)</f>
        <v/>
      </c>
      <c r="I127" s="16">
        <f>IF(AND(A127&lt;&gt;"",C127="労働日"),I126+1,0)</f>
        <v>0</v>
      </c>
      <c r="J127" s="16">
        <f>IF(AND(A127&lt;&gt;"",ISNUMBER($B$7),ISNUMBER($B$8)),IF(AND(A127&gt;=$B$7,A127&lt;=$B$8),1,0),0)</f>
        <v>0</v>
      </c>
    </row>
    <row r="128">
      <c r="A128" s="9" t="str">
        <f>IF(ISNUMBER($B$4),IF(ISNUMBER($B$5),IF($B$4+116&lt;=$B$5,$B$4+116,""),""),"")</f>
        <v/>
      </c>
      <c r="B128" s="10" t="str">
        <f>IF(A128="","",CHOOSE(WEEKDAY(A128),"日","月","火","水","木","金","土"))</f>
        <v/>
      </c>
      <c r="C128" s="11" t="n"/>
      <c r="D128" s="12" t="n"/>
      <c r="E128" s="12" t="n"/>
      <c r="F128" s="13" t="n"/>
      <c r="G128" s="14">
        <f>IF(OR(A128="",C128&lt;&gt;"労働日"),0,MAX(0,MOD(E128-D128,1)*24-F128/60))</f>
        <v>0</v>
      </c>
      <c r="H128" s="15" t="str">
        <f>IF(A128="","",INT((A128-$B$4)/7)+1)</f>
        <v/>
      </c>
      <c r="I128" s="16">
        <f>IF(AND(A128&lt;&gt;"",C128="労働日"),I127+1,0)</f>
        <v>0</v>
      </c>
      <c r="J128" s="16">
        <f>IF(AND(A128&lt;&gt;"",ISNUMBER($B$7),ISNUMBER($B$8)),IF(AND(A128&gt;=$B$7,A128&lt;=$B$8),1,0),0)</f>
        <v>0</v>
      </c>
    </row>
    <row r="129">
      <c r="A129" s="9" t="str">
        <f>IF(ISNUMBER($B$4),IF(ISNUMBER($B$5),IF($B$4+117&lt;=$B$5,$B$4+117,""),""),"")</f>
        <v/>
      </c>
      <c r="B129" s="10" t="str">
        <f>IF(A129="","",CHOOSE(WEEKDAY(A129),"日","月","火","水","木","金","土"))</f>
        <v/>
      </c>
      <c r="C129" s="11" t="n"/>
      <c r="D129" s="12" t="n"/>
      <c r="E129" s="12" t="n"/>
      <c r="F129" s="13" t="n"/>
      <c r="G129" s="14">
        <f>IF(OR(A129="",C129&lt;&gt;"労働日"),0,MAX(0,MOD(E129-D129,1)*24-F129/60))</f>
        <v>0</v>
      </c>
      <c r="H129" s="15" t="str">
        <f>IF(A129="","",INT((A129-$B$4)/7)+1)</f>
        <v/>
      </c>
      <c r="I129" s="16">
        <f>IF(AND(A129&lt;&gt;"",C129="労働日"),I128+1,0)</f>
        <v>0</v>
      </c>
      <c r="J129" s="16">
        <f>IF(AND(A129&lt;&gt;"",ISNUMBER($B$7),ISNUMBER($B$8)),IF(AND(A129&gt;=$B$7,A129&lt;=$B$8),1,0),0)</f>
        <v>0</v>
      </c>
    </row>
    <row r="130">
      <c r="A130" s="9" t="str">
        <f>IF(ISNUMBER($B$4),IF(ISNUMBER($B$5),IF($B$4+118&lt;=$B$5,$B$4+118,""),""),"")</f>
        <v/>
      </c>
      <c r="B130" s="10" t="str">
        <f>IF(A130="","",CHOOSE(WEEKDAY(A130),"日","月","火","水","木","金","土"))</f>
        <v/>
      </c>
      <c r="C130" s="11" t="n"/>
      <c r="D130" s="12" t="n"/>
      <c r="E130" s="12" t="n"/>
      <c r="F130" s="13" t="n"/>
      <c r="G130" s="14">
        <f>IF(OR(A130="",C130&lt;&gt;"労働日"),0,MAX(0,MOD(E130-D130,1)*24-F130/60))</f>
        <v>0</v>
      </c>
      <c r="H130" s="15" t="str">
        <f>IF(A130="","",INT((A130-$B$4)/7)+1)</f>
        <v/>
      </c>
      <c r="I130" s="16">
        <f>IF(AND(A130&lt;&gt;"",C130="労働日"),I129+1,0)</f>
        <v>0</v>
      </c>
      <c r="J130" s="16">
        <f>IF(AND(A130&lt;&gt;"",ISNUMBER($B$7),ISNUMBER($B$8)),IF(AND(A130&gt;=$B$7,A130&lt;=$B$8),1,0),0)</f>
        <v>0</v>
      </c>
    </row>
    <row r="131">
      <c r="A131" s="9" t="str">
        <f>IF(ISNUMBER($B$4),IF(ISNUMBER($B$5),IF($B$4+119&lt;=$B$5,$B$4+119,""),""),"")</f>
        <v/>
      </c>
      <c r="B131" s="10" t="str">
        <f>IF(A131="","",CHOOSE(WEEKDAY(A131),"日","月","火","水","木","金","土"))</f>
        <v/>
      </c>
      <c r="C131" s="11" t="n"/>
      <c r="D131" s="12" t="n"/>
      <c r="E131" s="12" t="n"/>
      <c r="F131" s="13" t="n"/>
      <c r="G131" s="14">
        <f>IF(OR(A131="",C131&lt;&gt;"労働日"),0,MAX(0,MOD(E131-D131,1)*24-F131/60))</f>
        <v>0</v>
      </c>
      <c r="H131" s="15" t="str">
        <f>IF(A131="","",INT((A131-$B$4)/7)+1)</f>
        <v/>
      </c>
      <c r="I131" s="16">
        <f>IF(AND(A131&lt;&gt;"",C131="労働日"),I130+1,0)</f>
        <v>0</v>
      </c>
      <c r="J131" s="16">
        <f>IF(AND(A131&lt;&gt;"",ISNUMBER($B$7),ISNUMBER($B$8)),IF(AND(A131&gt;=$B$7,A131&lt;=$B$8),1,0),0)</f>
        <v>0</v>
      </c>
    </row>
    <row r="132">
      <c r="A132" s="9" t="str">
        <f>IF(ISNUMBER($B$4),IF(ISNUMBER($B$5),IF($B$4+120&lt;=$B$5,$B$4+120,""),""),"")</f>
        <v/>
      </c>
      <c r="B132" s="10" t="str">
        <f>IF(A132="","",CHOOSE(WEEKDAY(A132),"日","月","火","水","木","金","土"))</f>
        <v/>
      </c>
      <c r="C132" s="11" t="n"/>
      <c r="D132" s="12" t="n"/>
      <c r="E132" s="12" t="n"/>
      <c r="F132" s="13" t="n"/>
      <c r="G132" s="14">
        <f>IF(OR(A132="",C132&lt;&gt;"労働日"),0,MAX(0,MOD(E132-D132,1)*24-F132/60))</f>
        <v>0</v>
      </c>
      <c r="H132" s="15" t="str">
        <f>IF(A132="","",INT((A132-$B$4)/7)+1)</f>
        <v/>
      </c>
      <c r="I132" s="16">
        <f>IF(AND(A132&lt;&gt;"",C132="労働日"),I131+1,0)</f>
        <v>0</v>
      </c>
      <c r="J132" s="16">
        <f>IF(AND(A132&lt;&gt;"",ISNUMBER($B$7),ISNUMBER($B$8)),IF(AND(A132&gt;=$B$7,A132&lt;=$B$8),1,0),0)</f>
        <v>0</v>
      </c>
    </row>
    <row r="133">
      <c r="A133" s="9" t="str">
        <f>IF(ISNUMBER($B$4),IF(ISNUMBER($B$5),IF($B$4+121&lt;=$B$5,$B$4+121,""),""),"")</f>
        <v/>
      </c>
      <c r="B133" s="10" t="str">
        <f>IF(A133="","",CHOOSE(WEEKDAY(A133),"日","月","火","水","木","金","土"))</f>
        <v/>
      </c>
      <c r="C133" s="11" t="n"/>
      <c r="D133" s="12" t="n"/>
      <c r="E133" s="12" t="n"/>
      <c r="F133" s="13" t="n"/>
      <c r="G133" s="14">
        <f>IF(OR(A133="",C133&lt;&gt;"労働日"),0,MAX(0,MOD(E133-D133,1)*24-F133/60))</f>
        <v>0</v>
      </c>
      <c r="H133" s="15" t="str">
        <f>IF(A133="","",INT((A133-$B$4)/7)+1)</f>
        <v/>
      </c>
      <c r="I133" s="16">
        <f>IF(AND(A133&lt;&gt;"",C133="労働日"),I132+1,0)</f>
        <v>0</v>
      </c>
      <c r="J133" s="16">
        <f>IF(AND(A133&lt;&gt;"",ISNUMBER($B$7),ISNUMBER($B$8)),IF(AND(A133&gt;=$B$7,A133&lt;=$B$8),1,0),0)</f>
        <v>0</v>
      </c>
    </row>
    <row r="134">
      <c r="A134" s="9" t="str">
        <f>IF(ISNUMBER($B$4),IF(ISNUMBER($B$5),IF($B$4+122&lt;=$B$5,$B$4+122,""),""),"")</f>
        <v/>
      </c>
      <c r="B134" s="10" t="str">
        <f>IF(A134="","",CHOOSE(WEEKDAY(A134),"日","月","火","水","木","金","土"))</f>
        <v/>
      </c>
      <c r="C134" s="11" t="n"/>
      <c r="D134" s="12" t="n"/>
      <c r="E134" s="12" t="n"/>
      <c r="F134" s="13" t="n"/>
      <c r="G134" s="14">
        <f>IF(OR(A134="",C134&lt;&gt;"労働日"),0,MAX(0,MOD(E134-D134,1)*24-F134/60))</f>
        <v>0</v>
      </c>
      <c r="H134" s="15" t="str">
        <f>IF(A134="","",INT((A134-$B$4)/7)+1)</f>
        <v/>
      </c>
      <c r="I134" s="16">
        <f>IF(AND(A134&lt;&gt;"",C134="労働日"),I133+1,0)</f>
        <v>0</v>
      </c>
      <c r="J134" s="16">
        <f>IF(AND(A134&lt;&gt;"",ISNUMBER($B$7),ISNUMBER($B$8)),IF(AND(A134&gt;=$B$7,A134&lt;=$B$8),1,0),0)</f>
        <v>0</v>
      </c>
    </row>
    <row r="135">
      <c r="A135" s="9" t="str">
        <f>IF(ISNUMBER($B$4),IF(ISNUMBER($B$5),IF($B$4+123&lt;=$B$5,$B$4+123,""),""),"")</f>
        <v/>
      </c>
      <c r="B135" s="10" t="str">
        <f>IF(A135="","",CHOOSE(WEEKDAY(A135),"日","月","火","水","木","金","土"))</f>
        <v/>
      </c>
      <c r="C135" s="11" t="n"/>
      <c r="D135" s="12" t="n"/>
      <c r="E135" s="12" t="n"/>
      <c r="F135" s="13" t="n"/>
      <c r="G135" s="14">
        <f>IF(OR(A135="",C135&lt;&gt;"労働日"),0,MAX(0,MOD(E135-D135,1)*24-F135/60))</f>
        <v>0</v>
      </c>
      <c r="H135" s="15" t="str">
        <f>IF(A135="","",INT((A135-$B$4)/7)+1)</f>
        <v/>
      </c>
      <c r="I135" s="16">
        <f>IF(AND(A135&lt;&gt;"",C135="労働日"),I134+1,0)</f>
        <v>0</v>
      </c>
      <c r="J135" s="16">
        <f>IF(AND(A135&lt;&gt;"",ISNUMBER($B$7),ISNUMBER($B$8)),IF(AND(A135&gt;=$B$7,A135&lt;=$B$8),1,0),0)</f>
        <v>0</v>
      </c>
    </row>
    <row r="136">
      <c r="A136" s="9" t="str">
        <f>IF(ISNUMBER($B$4),IF(ISNUMBER($B$5),IF($B$4+124&lt;=$B$5,$B$4+124,""),""),"")</f>
        <v/>
      </c>
      <c r="B136" s="10" t="str">
        <f>IF(A136="","",CHOOSE(WEEKDAY(A136),"日","月","火","水","木","金","土"))</f>
        <v/>
      </c>
      <c r="C136" s="11" t="n"/>
      <c r="D136" s="12" t="n"/>
      <c r="E136" s="12" t="n"/>
      <c r="F136" s="13" t="n"/>
      <c r="G136" s="14">
        <f>IF(OR(A136="",C136&lt;&gt;"労働日"),0,MAX(0,MOD(E136-D136,1)*24-F136/60))</f>
        <v>0</v>
      </c>
      <c r="H136" s="15" t="str">
        <f>IF(A136="","",INT((A136-$B$4)/7)+1)</f>
        <v/>
      </c>
      <c r="I136" s="16">
        <f>IF(AND(A136&lt;&gt;"",C136="労働日"),I135+1,0)</f>
        <v>0</v>
      </c>
      <c r="J136" s="16">
        <f>IF(AND(A136&lt;&gt;"",ISNUMBER($B$7),ISNUMBER($B$8)),IF(AND(A136&gt;=$B$7,A136&lt;=$B$8),1,0),0)</f>
        <v>0</v>
      </c>
    </row>
    <row r="137">
      <c r="A137" s="9" t="str">
        <f>IF(ISNUMBER($B$4),IF(ISNUMBER($B$5),IF($B$4+125&lt;=$B$5,$B$4+125,""),""),"")</f>
        <v/>
      </c>
      <c r="B137" s="10" t="str">
        <f>IF(A137="","",CHOOSE(WEEKDAY(A137),"日","月","火","水","木","金","土"))</f>
        <v/>
      </c>
      <c r="C137" s="11" t="n"/>
      <c r="D137" s="12" t="n"/>
      <c r="E137" s="12" t="n"/>
      <c r="F137" s="13" t="n"/>
      <c r="G137" s="14">
        <f>IF(OR(A137="",C137&lt;&gt;"労働日"),0,MAX(0,MOD(E137-D137,1)*24-F137/60))</f>
        <v>0</v>
      </c>
      <c r="H137" s="15" t="str">
        <f>IF(A137="","",INT((A137-$B$4)/7)+1)</f>
        <v/>
      </c>
      <c r="I137" s="16">
        <f>IF(AND(A137&lt;&gt;"",C137="労働日"),I136+1,0)</f>
        <v>0</v>
      </c>
      <c r="J137" s="16">
        <f>IF(AND(A137&lt;&gt;"",ISNUMBER($B$7),ISNUMBER($B$8)),IF(AND(A137&gt;=$B$7,A137&lt;=$B$8),1,0),0)</f>
        <v>0</v>
      </c>
    </row>
    <row r="138">
      <c r="A138" s="9" t="str">
        <f>IF(ISNUMBER($B$4),IF(ISNUMBER($B$5),IF($B$4+126&lt;=$B$5,$B$4+126,""),""),"")</f>
        <v/>
      </c>
      <c r="B138" s="10" t="str">
        <f>IF(A138="","",CHOOSE(WEEKDAY(A138),"日","月","火","水","木","金","土"))</f>
        <v/>
      </c>
      <c r="C138" s="11" t="n"/>
      <c r="D138" s="12" t="n"/>
      <c r="E138" s="12" t="n"/>
      <c r="F138" s="13" t="n"/>
      <c r="G138" s="14">
        <f>IF(OR(A138="",C138&lt;&gt;"労働日"),0,MAX(0,MOD(E138-D138,1)*24-F138/60))</f>
        <v>0</v>
      </c>
      <c r="H138" s="15" t="str">
        <f>IF(A138="","",INT((A138-$B$4)/7)+1)</f>
        <v/>
      </c>
      <c r="I138" s="16">
        <f>IF(AND(A138&lt;&gt;"",C138="労働日"),I137+1,0)</f>
        <v>0</v>
      </c>
      <c r="J138" s="16">
        <f>IF(AND(A138&lt;&gt;"",ISNUMBER($B$7),ISNUMBER($B$8)),IF(AND(A138&gt;=$B$7,A138&lt;=$B$8),1,0),0)</f>
        <v>0</v>
      </c>
    </row>
    <row r="139">
      <c r="A139" s="9" t="str">
        <f>IF(ISNUMBER($B$4),IF(ISNUMBER($B$5),IF($B$4+127&lt;=$B$5,$B$4+127,""),""),"")</f>
        <v/>
      </c>
      <c r="B139" s="10" t="str">
        <f>IF(A139="","",CHOOSE(WEEKDAY(A139),"日","月","火","水","木","金","土"))</f>
        <v/>
      </c>
      <c r="C139" s="11" t="n"/>
      <c r="D139" s="12" t="n"/>
      <c r="E139" s="12" t="n"/>
      <c r="F139" s="13" t="n"/>
      <c r="G139" s="14">
        <f>IF(OR(A139="",C139&lt;&gt;"労働日"),0,MAX(0,MOD(E139-D139,1)*24-F139/60))</f>
        <v>0</v>
      </c>
      <c r="H139" s="15" t="str">
        <f>IF(A139="","",INT((A139-$B$4)/7)+1)</f>
        <v/>
      </c>
      <c r="I139" s="16">
        <f>IF(AND(A139&lt;&gt;"",C139="労働日"),I138+1,0)</f>
        <v>0</v>
      </c>
      <c r="J139" s="16">
        <f>IF(AND(A139&lt;&gt;"",ISNUMBER($B$7),ISNUMBER($B$8)),IF(AND(A139&gt;=$B$7,A139&lt;=$B$8),1,0),0)</f>
        <v>0</v>
      </c>
    </row>
    <row r="140">
      <c r="A140" s="9" t="str">
        <f>IF(ISNUMBER($B$4),IF(ISNUMBER($B$5),IF($B$4+128&lt;=$B$5,$B$4+128,""),""),"")</f>
        <v/>
      </c>
      <c r="B140" s="10" t="str">
        <f>IF(A140="","",CHOOSE(WEEKDAY(A140),"日","月","火","水","木","金","土"))</f>
        <v/>
      </c>
      <c r="C140" s="11" t="n"/>
      <c r="D140" s="12" t="n"/>
      <c r="E140" s="12" t="n"/>
      <c r="F140" s="13" t="n"/>
      <c r="G140" s="14">
        <f>IF(OR(A140="",C140&lt;&gt;"労働日"),0,MAX(0,MOD(E140-D140,1)*24-F140/60))</f>
        <v>0</v>
      </c>
      <c r="H140" s="15" t="str">
        <f>IF(A140="","",INT((A140-$B$4)/7)+1)</f>
        <v/>
      </c>
      <c r="I140" s="16">
        <f>IF(AND(A140&lt;&gt;"",C140="労働日"),I139+1,0)</f>
        <v>0</v>
      </c>
      <c r="J140" s="16">
        <f>IF(AND(A140&lt;&gt;"",ISNUMBER($B$7),ISNUMBER($B$8)),IF(AND(A140&gt;=$B$7,A140&lt;=$B$8),1,0),0)</f>
        <v>0</v>
      </c>
    </row>
    <row r="141">
      <c r="A141" s="9" t="str">
        <f>IF(ISNUMBER($B$4),IF(ISNUMBER($B$5),IF($B$4+129&lt;=$B$5,$B$4+129,""),""),"")</f>
        <v/>
      </c>
      <c r="B141" s="10" t="str">
        <f>IF(A141="","",CHOOSE(WEEKDAY(A141),"日","月","火","水","木","金","土"))</f>
        <v/>
      </c>
      <c r="C141" s="11" t="n"/>
      <c r="D141" s="12" t="n"/>
      <c r="E141" s="12" t="n"/>
      <c r="F141" s="13" t="n"/>
      <c r="G141" s="14">
        <f>IF(OR(A141="",C141&lt;&gt;"労働日"),0,MAX(0,MOD(E141-D141,1)*24-F141/60))</f>
        <v>0</v>
      </c>
      <c r="H141" s="15" t="str">
        <f>IF(A141="","",INT((A141-$B$4)/7)+1)</f>
        <v/>
      </c>
      <c r="I141" s="16">
        <f>IF(AND(A141&lt;&gt;"",C141="労働日"),I140+1,0)</f>
        <v>0</v>
      </c>
      <c r="J141" s="16">
        <f>IF(AND(A141&lt;&gt;"",ISNUMBER($B$7),ISNUMBER($B$8)),IF(AND(A141&gt;=$B$7,A141&lt;=$B$8),1,0),0)</f>
        <v>0</v>
      </c>
    </row>
    <row r="142">
      <c r="A142" s="9" t="str">
        <f>IF(ISNUMBER($B$4),IF(ISNUMBER($B$5),IF($B$4+130&lt;=$B$5,$B$4+130,""),""),"")</f>
        <v/>
      </c>
      <c r="B142" s="10" t="str">
        <f>IF(A142="","",CHOOSE(WEEKDAY(A142),"日","月","火","水","木","金","土"))</f>
        <v/>
      </c>
      <c r="C142" s="11" t="n"/>
      <c r="D142" s="12" t="n"/>
      <c r="E142" s="12" t="n"/>
      <c r="F142" s="13" t="n"/>
      <c r="G142" s="14">
        <f>IF(OR(A142="",C142&lt;&gt;"労働日"),0,MAX(0,MOD(E142-D142,1)*24-F142/60))</f>
        <v>0</v>
      </c>
      <c r="H142" s="15" t="str">
        <f>IF(A142="","",INT((A142-$B$4)/7)+1)</f>
        <v/>
      </c>
      <c r="I142" s="16">
        <f>IF(AND(A142&lt;&gt;"",C142="労働日"),I141+1,0)</f>
        <v>0</v>
      </c>
      <c r="J142" s="16">
        <f>IF(AND(A142&lt;&gt;"",ISNUMBER($B$7),ISNUMBER($B$8)),IF(AND(A142&gt;=$B$7,A142&lt;=$B$8),1,0),0)</f>
        <v>0</v>
      </c>
    </row>
    <row r="143">
      <c r="A143" s="9" t="str">
        <f>IF(ISNUMBER($B$4),IF(ISNUMBER($B$5),IF($B$4+131&lt;=$B$5,$B$4+131,""),""),"")</f>
        <v/>
      </c>
      <c r="B143" s="10" t="str">
        <f>IF(A143="","",CHOOSE(WEEKDAY(A143),"日","月","火","水","木","金","土"))</f>
        <v/>
      </c>
      <c r="C143" s="11" t="n"/>
      <c r="D143" s="12" t="n"/>
      <c r="E143" s="12" t="n"/>
      <c r="F143" s="13" t="n"/>
      <c r="G143" s="14">
        <f>IF(OR(A143="",C143&lt;&gt;"労働日"),0,MAX(0,MOD(E143-D143,1)*24-F143/60))</f>
        <v>0</v>
      </c>
      <c r="H143" s="15" t="str">
        <f>IF(A143="","",INT((A143-$B$4)/7)+1)</f>
        <v/>
      </c>
      <c r="I143" s="16">
        <f>IF(AND(A143&lt;&gt;"",C143="労働日"),I142+1,0)</f>
        <v>0</v>
      </c>
      <c r="J143" s="16">
        <f>IF(AND(A143&lt;&gt;"",ISNUMBER($B$7),ISNUMBER($B$8)),IF(AND(A143&gt;=$B$7,A143&lt;=$B$8),1,0),0)</f>
        <v>0</v>
      </c>
    </row>
    <row r="144">
      <c r="A144" s="9" t="str">
        <f>IF(ISNUMBER($B$4),IF(ISNUMBER($B$5),IF($B$4+132&lt;=$B$5,$B$4+132,""),""),"")</f>
        <v/>
      </c>
      <c r="B144" s="10" t="str">
        <f>IF(A144="","",CHOOSE(WEEKDAY(A144),"日","月","火","水","木","金","土"))</f>
        <v/>
      </c>
      <c r="C144" s="11" t="n"/>
      <c r="D144" s="12" t="n"/>
      <c r="E144" s="12" t="n"/>
      <c r="F144" s="13" t="n"/>
      <c r="G144" s="14">
        <f>IF(OR(A144="",C144&lt;&gt;"労働日"),0,MAX(0,MOD(E144-D144,1)*24-F144/60))</f>
        <v>0</v>
      </c>
      <c r="H144" s="15" t="str">
        <f>IF(A144="","",INT((A144-$B$4)/7)+1)</f>
        <v/>
      </c>
      <c r="I144" s="16">
        <f>IF(AND(A144&lt;&gt;"",C144="労働日"),I143+1,0)</f>
        <v>0</v>
      </c>
      <c r="J144" s="16">
        <f>IF(AND(A144&lt;&gt;"",ISNUMBER($B$7),ISNUMBER($B$8)),IF(AND(A144&gt;=$B$7,A144&lt;=$B$8),1,0),0)</f>
        <v>0</v>
      </c>
    </row>
    <row r="145">
      <c r="A145" s="9" t="str">
        <f>IF(ISNUMBER($B$4),IF(ISNUMBER($B$5),IF($B$4+133&lt;=$B$5,$B$4+133,""),""),"")</f>
        <v/>
      </c>
      <c r="B145" s="10" t="str">
        <f>IF(A145="","",CHOOSE(WEEKDAY(A145),"日","月","火","水","木","金","土"))</f>
        <v/>
      </c>
      <c r="C145" s="11" t="n"/>
      <c r="D145" s="12" t="n"/>
      <c r="E145" s="12" t="n"/>
      <c r="F145" s="13" t="n"/>
      <c r="G145" s="14">
        <f>IF(OR(A145="",C145&lt;&gt;"労働日"),0,MAX(0,MOD(E145-D145,1)*24-F145/60))</f>
        <v>0</v>
      </c>
      <c r="H145" s="15" t="str">
        <f>IF(A145="","",INT((A145-$B$4)/7)+1)</f>
        <v/>
      </c>
      <c r="I145" s="16">
        <f>IF(AND(A145&lt;&gt;"",C145="労働日"),I144+1,0)</f>
        <v>0</v>
      </c>
      <c r="J145" s="16">
        <f>IF(AND(A145&lt;&gt;"",ISNUMBER($B$7),ISNUMBER($B$8)),IF(AND(A145&gt;=$B$7,A145&lt;=$B$8),1,0),0)</f>
        <v>0</v>
      </c>
    </row>
    <row r="146">
      <c r="A146" s="9" t="str">
        <f>IF(ISNUMBER($B$4),IF(ISNUMBER($B$5),IF($B$4+134&lt;=$B$5,$B$4+134,""),""),"")</f>
        <v/>
      </c>
      <c r="B146" s="10" t="str">
        <f>IF(A146="","",CHOOSE(WEEKDAY(A146),"日","月","火","水","木","金","土"))</f>
        <v/>
      </c>
      <c r="C146" s="11" t="n"/>
      <c r="D146" s="12" t="n"/>
      <c r="E146" s="12" t="n"/>
      <c r="F146" s="13" t="n"/>
      <c r="G146" s="14">
        <f>IF(OR(A146="",C146&lt;&gt;"労働日"),0,MAX(0,MOD(E146-D146,1)*24-F146/60))</f>
        <v>0</v>
      </c>
      <c r="H146" s="15" t="str">
        <f>IF(A146="","",INT((A146-$B$4)/7)+1)</f>
        <v/>
      </c>
      <c r="I146" s="16">
        <f>IF(AND(A146&lt;&gt;"",C146="労働日"),I145+1,0)</f>
        <v>0</v>
      </c>
      <c r="J146" s="16">
        <f>IF(AND(A146&lt;&gt;"",ISNUMBER($B$7),ISNUMBER($B$8)),IF(AND(A146&gt;=$B$7,A146&lt;=$B$8),1,0),0)</f>
        <v>0</v>
      </c>
    </row>
    <row r="147">
      <c r="A147" s="9" t="str">
        <f>IF(ISNUMBER($B$4),IF(ISNUMBER($B$5),IF($B$4+135&lt;=$B$5,$B$4+135,""),""),"")</f>
        <v/>
      </c>
      <c r="B147" s="10" t="str">
        <f>IF(A147="","",CHOOSE(WEEKDAY(A147),"日","月","火","水","木","金","土"))</f>
        <v/>
      </c>
      <c r="C147" s="11" t="n"/>
      <c r="D147" s="12" t="n"/>
      <c r="E147" s="12" t="n"/>
      <c r="F147" s="13" t="n"/>
      <c r="G147" s="14">
        <f>IF(OR(A147="",C147&lt;&gt;"労働日"),0,MAX(0,MOD(E147-D147,1)*24-F147/60))</f>
        <v>0</v>
      </c>
      <c r="H147" s="15" t="str">
        <f>IF(A147="","",INT((A147-$B$4)/7)+1)</f>
        <v/>
      </c>
      <c r="I147" s="16">
        <f>IF(AND(A147&lt;&gt;"",C147="労働日"),I146+1,0)</f>
        <v>0</v>
      </c>
      <c r="J147" s="16">
        <f>IF(AND(A147&lt;&gt;"",ISNUMBER($B$7),ISNUMBER($B$8)),IF(AND(A147&gt;=$B$7,A147&lt;=$B$8),1,0),0)</f>
        <v>0</v>
      </c>
    </row>
    <row r="148">
      <c r="A148" s="9" t="str">
        <f>IF(ISNUMBER($B$4),IF(ISNUMBER($B$5),IF($B$4+136&lt;=$B$5,$B$4+136,""),""),"")</f>
        <v/>
      </c>
      <c r="B148" s="10" t="str">
        <f>IF(A148="","",CHOOSE(WEEKDAY(A148),"日","月","火","水","木","金","土"))</f>
        <v/>
      </c>
      <c r="C148" s="11" t="n"/>
      <c r="D148" s="12" t="n"/>
      <c r="E148" s="12" t="n"/>
      <c r="F148" s="13" t="n"/>
      <c r="G148" s="14">
        <f>IF(OR(A148="",C148&lt;&gt;"労働日"),0,MAX(0,MOD(E148-D148,1)*24-F148/60))</f>
        <v>0</v>
      </c>
      <c r="H148" s="15" t="str">
        <f>IF(A148="","",INT((A148-$B$4)/7)+1)</f>
        <v/>
      </c>
      <c r="I148" s="16">
        <f>IF(AND(A148&lt;&gt;"",C148="労働日"),I147+1,0)</f>
        <v>0</v>
      </c>
      <c r="J148" s="16">
        <f>IF(AND(A148&lt;&gt;"",ISNUMBER($B$7),ISNUMBER($B$8)),IF(AND(A148&gt;=$B$7,A148&lt;=$B$8),1,0),0)</f>
        <v>0</v>
      </c>
    </row>
    <row r="149">
      <c r="A149" s="9" t="str">
        <f>IF(ISNUMBER($B$4),IF(ISNUMBER($B$5),IF($B$4+137&lt;=$B$5,$B$4+137,""),""),"")</f>
        <v/>
      </c>
      <c r="B149" s="10" t="str">
        <f>IF(A149="","",CHOOSE(WEEKDAY(A149),"日","月","火","水","木","金","土"))</f>
        <v/>
      </c>
      <c r="C149" s="11" t="n"/>
      <c r="D149" s="12" t="n"/>
      <c r="E149" s="12" t="n"/>
      <c r="F149" s="13" t="n"/>
      <c r="G149" s="14">
        <f>IF(OR(A149="",C149&lt;&gt;"労働日"),0,MAX(0,MOD(E149-D149,1)*24-F149/60))</f>
        <v>0</v>
      </c>
      <c r="H149" s="15" t="str">
        <f>IF(A149="","",INT((A149-$B$4)/7)+1)</f>
        <v/>
      </c>
      <c r="I149" s="16">
        <f>IF(AND(A149&lt;&gt;"",C149="労働日"),I148+1,0)</f>
        <v>0</v>
      </c>
      <c r="J149" s="16">
        <f>IF(AND(A149&lt;&gt;"",ISNUMBER($B$7),ISNUMBER($B$8)),IF(AND(A149&gt;=$B$7,A149&lt;=$B$8),1,0),0)</f>
        <v>0</v>
      </c>
    </row>
    <row r="150">
      <c r="A150" s="9" t="str">
        <f>IF(ISNUMBER($B$4),IF(ISNUMBER($B$5),IF($B$4+138&lt;=$B$5,$B$4+138,""),""),"")</f>
        <v/>
      </c>
      <c r="B150" s="10" t="str">
        <f>IF(A150="","",CHOOSE(WEEKDAY(A150),"日","月","火","水","木","金","土"))</f>
        <v/>
      </c>
      <c r="C150" s="11" t="n"/>
      <c r="D150" s="12" t="n"/>
      <c r="E150" s="12" t="n"/>
      <c r="F150" s="13" t="n"/>
      <c r="G150" s="14">
        <f>IF(OR(A150="",C150&lt;&gt;"労働日"),0,MAX(0,MOD(E150-D150,1)*24-F150/60))</f>
        <v>0</v>
      </c>
      <c r="H150" s="15" t="str">
        <f>IF(A150="","",INT((A150-$B$4)/7)+1)</f>
        <v/>
      </c>
      <c r="I150" s="16">
        <f>IF(AND(A150&lt;&gt;"",C150="労働日"),I149+1,0)</f>
        <v>0</v>
      </c>
      <c r="J150" s="16">
        <f>IF(AND(A150&lt;&gt;"",ISNUMBER($B$7),ISNUMBER($B$8)),IF(AND(A150&gt;=$B$7,A150&lt;=$B$8),1,0),0)</f>
        <v>0</v>
      </c>
    </row>
    <row r="151">
      <c r="A151" s="9" t="str">
        <f>IF(ISNUMBER($B$4),IF(ISNUMBER($B$5),IF($B$4+139&lt;=$B$5,$B$4+139,""),""),"")</f>
        <v/>
      </c>
      <c r="B151" s="10" t="str">
        <f>IF(A151="","",CHOOSE(WEEKDAY(A151),"日","月","火","水","木","金","土"))</f>
        <v/>
      </c>
      <c r="C151" s="11" t="n"/>
      <c r="D151" s="12" t="n"/>
      <c r="E151" s="12" t="n"/>
      <c r="F151" s="13" t="n"/>
      <c r="G151" s="14">
        <f>IF(OR(A151="",C151&lt;&gt;"労働日"),0,MAX(0,MOD(E151-D151,1)*24-F151/60))</f>
        <v>0</v>
      </c>
      <c r="H151" s="15" t="str">
        <f>IF(A151="","",INT((A151-$B$4)/7)+1)</f>
        <v/>
      </c>
      <c r="I151" s="16">
        <f>IF(AND(A151&lt;&gt;"",C151="労働日"),I150+1,0)</f>
        <v>0</v>
      </c>
      <c r="J151" s="16">
        <f>IF(AND(A151&lt;&gt;"",ISNUMBER($B$7),ISNUMBER($B$8)),IF(AND(A151&gt;=$B$7,A151&lt;=$B$8),1,0),0)</f>
        <v>0</v>
      </c>
    </row>
    <row r="152">
      <c r="A152" s="9" t="str">
        <f>IF(ISNUMBER($B$4),IF(ISNUMBER($B$5),IF($B$4+140&lt;=$B$5,$B$4+140,""),""),"")</f>
        <v/>
      </c>
      <c r="B152" s="10" t="str">
        <f>IF(A152="","",CHOOSE(WEEKDAY(A152),"日","月","火","水","木","金","土"))</f>
        <v/>
      </c>
      <c r="C152" s="11" t="n"/>
      <c r="D152" s="12" t="n"/>
      <c r="E152" s="12" t="n"/>
      <c r="F152" s="13" t="n"/>
      <c r="G152" s="14">
        <f>IF(OR(A152="",C152&lt;&gt;"労働日"),0,MAX(0,MOD(E152-D152,1)*24-F152/60))</f>
        <v>0</v>
      </c>
      <c r="H152" s="15" t="str">
        <f>IF(A152="","",INT((A152-$B$4)/7)+1)</f>
        <v/>
      </c>
      <c r="I152" s="16">
        <f>IF(AND(A152&lt;&gt;"",C152="労働日"),I151+1,0)</f>
        <v>0</v>
      </c>
      <c r="J152" s="16">
        <f>IF(AND(A152&lt;&gt;"",ISNUMBER($B$7),ISNUMBER($B$8)),IF(AND(A152&gt;=$B$7,A152&lt;=$B$8),1,0),0)</f>
        <v>0</v>
      </c>
    </row>
    <row r="153">
      <c r="A153" s="9" t="str">
        <f>IF(ISNUMBER($B$4),IF(ISNUMBER($B$5),IF($B$4+141&lt;=$B$5,$B$4+141,""),""),"")</f>
        <v/>
      </c>
      <c r="B153" s="10" t="str">
        <f>IF(A153="","",CHOOSE(WEEKDAY(A153),"日","月","火","水","木","金","土"))</f>
        <v/>
      </c>
      <c r="C153" s="11" t="n"/>
      <c r="D153" s="12" t="n"/>
      <c r="E153" s="12" t="n"/>
      <c r="F153" s="13" t="n"/>
      <c r="G153" s="14">
        <f>IF(OR(A153="",C153&lt;&gt;"労働日"),0,MAX(0,MOD(E153-D153,1)*24-F153/60))</f>
        <v>0</v>
      </c>
      <c r="H153" s="15" t="str">
        <f>IF(A153="","",INT((A153-$B$4)/7)+1)</f>
        <v/>
      </c>
      <c r="I153" s="16">
        <f>IF(AND(A153&lt;&gt;"",C153="労働日"),I152+1,0)</f>
        <v>0</v>
      </c>
      <c r="J153" s="16">
        <f>IF(AND(A153&lt;&gt;"",ISNUMBER($B$7),ISNUMBER($B$8)),IF(AND(A153&gt;=$B$7,A153&lt;=$B$8),1,0),0)</f>
        <v>0</v>
      </c>
    </row>
    <row r="154">
      <c r="A154" s="9" t="str">
        <f>IF(ISNUMBER($B$4),IF(ISNUMBER($B$5),IF($B$4+142&lt;=$B$5,$B$4+142,""),""),"")</f>
        <v/>
      </c>
      <c r="B154" s="10" t="str">
        <f>IF(A154="","",CHOOSE(WEEKDAY(A154),"日","月","火","水","木","金","土"))</f>
        <v/>
      </c>
      <c r="C154" s="11" t="n"/>
      <c r="D154" s="12" t="n"/>
      <c r="E154" s="12" t="n"/>
      <c r="F154" s="13" t="n"/>
      <c r="G154" s="14">
        <f>IF(OR(A154="",C154&lt;&gt;"労働日"),0,MAX(0,MOD(E154-D154,1)*24-F154/60))</f>
        <v>0</v>
      </c>
      <c r="H154" s="15" t="str">
        <f>IF(A154="","",INT((A154-$B$4)/7)+1)</f>
        <v/>
      </c>
      <c r="I154" s="16">
        <f>IF(AND(A154&lt;&gt;"",C154="労働日"),I153+1,0)</f>
        <v>0</v>
      </c>
      <c r="J154" s="16">
        <f>IF(AND(A154&lt;&gt;"",ISNUMBER($B$7),ISNUMBER($B$8)),IF(AND(A154&gt;=$B$7,A154&lt;=$B$8),1,0),0)</f>
        <v>0</v>
      </c>
    </row>
    <row r="155">
      <c r="A155" s="9" t="str">
        <f>IF(ISNUMBER($B$4),IF(ISNUMBER($B$5),IF($B$4+143&lt;=$B$5,$B$4+143,""),""),"")</f>
        <v/>
      </c>
      <c r="B155" s="10" t="str">
        <f>IF(A155="","",CHOOSE(WEEKDAY(A155),"日","月","火","水","木","金","土"))</f>
        <v/>
      </c>
      <c r="C155" s="11" t="n"/>
      <c r="D155" s="12" t="n"/>
      <c r="E155" s="12" t="n"/>
      <c r="F155" s="13" t="n"/>
      <c r="G155" s="14">
        <f>IF(OR(A155="",C155&lt;&gt;"労働日"),0,MAX(0,MOD(E155-D155,1)*24-F155/60))</f>
        <v>0</v>
      </c>
      <c r="H155" s="15" t="str">
        <f>IF(A155="","",INT((A155-$B$4)/7)+1)</f>
        <v/>
      </c>
      <c r="I155" s="16">
        <f>IF(AND(A155&lt;&gt;"",C155="労働日"),I154+1,0)</f>
        <v>0</v>
      </c>
      <c r="J155" s="16">
        <f>IF(AND(A155&lt;&gt;"",ISNUMBER($B$7),ISNUMBER($B$8)),IF(AND(A155&gt;=$B$7,A155&lt;=$B$8),1,0),0)</f>
        <v>0</v>
      </c>
    </row>
    <row r="156">
      <c r="A156" s="9" t="str">
        <f>IF(ISNUMBER($B$4),IF(ISNUMBER($B$5),IF($B$4+144&lt;=$B$5,$B$4+144,""),""),"")</f>
        <v/>
      </c>
      <c r="B156" s="10" t="str">
        <f>IF(A156="","",CHOOSE(WEEKDAY(A156),"日","月","火","水","木","金","土"))</f>
        <v/>
      </c>
      <c r="C156" s="11" t="n"/>
      <c r="D156" s="12" t="n"/>
      <c r="E156" s="12" t="n"/>
      <c r="F156" s="13" t="n"/>
      <c r="G156" s="14">
        <f>IF(OR(A156="",C156&lt;&gt;"労働日"),0,MAX(0,MOD(E156-D156,1)*24-F156/60))</f>
        <v>0</v>
      </c>
      <c r="H156" s="15" t="str">
        <f>IF(A156="","",INT((A156-$B$4)/7)+1)</f>
        <v/>
      </c>
      <c r="I156" s="16">
        <f>IF(AND(A156&lt;&gt;"",C156="労働日"),I155+1,0)</f>
        <v>0</v>
      </c>
      <c r="J156" s="16">
        <f>IF(AND(A156&lt;&gt;"",ISNUMBER($B$7),ISNUMBER($B$8)),IF(AND(A156&gt;=$B$7,A156&lt;=$B$8),1,0),0)</f>
        <v>0</v>
      </c>
    </row>
    <row r="157">
      <c r="A157" s="9" t="str">
        <f>IF(ISNUMBER($B$4),IF(ISNUMBER($B$5),IF($B$4+145&lt;=$B$5,$B$4+145,""),""),"")</f>
        <v/>
      </c>
      <c r="B157" s="10" t="str">
        <f>IF(A157="","",CHOOSE(WEEKDAY(A157),"日","月","火","水","木","金","土"))</f>
        <v/>
      </c>
      <c r="C157" s="11" t="n"/>
      <c r="D157" s="12" t="n"/>
      <c r="E157" s="12" t="n"/>
      <c r="F157" s="13" t="n"/>
      <c r="G157" s="14">
        <f>IF(OR(A157="",C157&lt;&gt;"労働日"),0,MAX(0,MOD(E157-D157,1)*24-F157/60))</f>
        <v>0</v>
      </c>
      <c r="H157" s="15" t="str">
        <f>IF(A157="","",INT((A157-$B$4)/7)+1)</f>
        <v/>
      </c>
      <c r="I157" s="16">
        <f>IF(AND(A157&lt;&gt;"",C157="労働日"),I156+1,0)</f>
        <v>0</v>
      </c>
      <c r="J157" s="16">
        <f>IF(AND(A157&lt;&gt;"",ISNUMBER($B$7),ISNUMBER($B$8)),IF(AND(A157&gt;=$B$7,A157&lt;=$B$8),1,0),0)</f>
        <v>0</v>
      </c>
    </row>
    <row r="158">
      <c r="A158" s="9" t="str">
        <f>IF(ISNUMBER($B$4),IF(ISNUMBER($B$5),IF($B$4+146&lt;=$B$5,$B$4+146,""),""),"")</f>
        <v/>
      </c>
      <c r="B158" s="10" t="str">
        <f>IF(A158="","",CHOOSE(WEEKDAY(A158),"日","月","火","水","木","金","土"))</f>
        <v/>
      </c>
      <c r="C158" s="11" t="n"/>
      <c r="D158" s="12" t="n"/>
      <c r="E158" s="12" t="n"/>
      <c r="F158" s="13" t="n"/>
      <c r="G158" s="14">
        <f>IF(OR(A158="",C158&lt;&gt;"労働日"),0,MAX(0,MOD(E158-D158,1)*24-F158/60))</f>
        <v>0</v>
      </c>
      <c r="H158" s="15" t="str">
        <f>IF(A158="","",INT((A158-$B$4)/7)+1)</f>
        <v/>
      </c>
      <c r="I158" s="16">
        <f>IF(AND(A158&lt;&gt;"",C158="労働日"),I157+1,0)</f>
        <v>0</v>
      </c>
      <c r="J158" s="16">
        <f>IF(AND(A158&lt;&gt;"",ISNUMBER($B$7),ISNUMBER($B$8)),IF(AND(A158&gt;=$B$7,A158&lt;=$B$8),1,0),0)</f>
        <v>0</v>
      </c>
    </row>
    <row r="159">
      <c r="A159" s="9" t="str">
        <f>IF(ISNUMBER($B$4),IF(ISNUMBER($B$5),IF($B$4+147&lt;=$B$5,$B$4+147,""),""),"")</f>
        <v/>
      </c>
      <c r="B159" s="10" t="str">
        <f>IF(A159="","",CHOOSE(WEEKDAY(A159),"日","月","火","水","木","金","土"))</f>
        <v/>
      </c>
      <c r="C159" s="11" t="n"/>
      <c r="D159" s="12" t="n"/>
      <c r="E159" s="12" t="n"/>
      <c r="F159" s="13" t="n"/>
      <c r="G159" s="14">
        <f>IF(OR(A159="",C159&lt;&gt;"労働日"),0,MAX(0,MOD(E159-D159,1)*24-F159/60))</f>
        <v>0</v>
      </c>
      <c r="H159" s="15" t="str">
        <f>IF(A159="","",INT((A159-$B$4)/7)+1)</f>
        <v/>
      </c>
      <c r="I159" s="16">
        <f>IF(AND(A159&lt;&gt;"",C159="労働日"),I158+1,0)</f>
        <v>0</v>
      </c>
      <c r="J159" s="16">
        <f>IF(AND(A159&lt;&gt;"",ISNUMBER($B$7),ISNUMBER($B$8)),IF(AND(A159&gt;=$B$7,A159&lt;=$B$8),1,0),0)</f>
        <v>0</v>
      </c>
    </row>
    <row r="160">
      <c r="A160" s="9" t="str">
        <f>IF(ISNUMBER($B$4),IF(ISNUMBER($B$5),IF($B$4+148&lt;=$B$5,$B$4+148,""),""),"")</f>
        <v/>
      </c>
      <c r="B160" s="10" t="str">
        <f>IF(A160="","",CHOOSE(WEEKDAY(A160),"日","月","火","水","木","金","土"))</f>
        <v/>
      </c>
      <c r="C160" s="11" t="n"/>
      <c r="D160" s="12" t="n"/>
      <c r="E160" s="12" t="n"/>
      <c r="F160" s="13" t="n"/>
      <c r="G160" s="14">
        <f>IF(OR(A160="",C160&lt;&gt;"労働日"),0,MAX(0,MOD(E160-D160,1)*24-F160/60))</f>
        <v>0</v>
      </c>
      <c r="H160" s="15" t="str">
        <f>IF(A160="","",INT((A160-$B$4)/7)+1)</f>
        <v/>
      </c>
      <c r="I160" s="16">
        <f>IF(AND(A160&lt;&gt;"",C160="労働日"),I159+1,0)</f>
        <v>0</v>
      </c>
      <c r="J160" s="16">
        <f>IF(AND(A160&lt;&gt;"",ISNUMBER($B$7),ISNUMBER($B$8)),IF(AND(A160&gt;=$B$7,A160&lt;=$B$8),1,0),0)</f>
        <v>0</v>
      </c>
    </row>
    <row r="161">
      <c r="A161" s="9" t="str">
        <f>IF(ISNUMBER($B$4),IF(ISNUMBER($B$5),IF($B$4+149&lt;=$B$5,$B$4+149,""),""),"")</f>
        <v/>
      </c>
      <c r="B161" s="10" t="str">
        <f>IF(A161="","",CHOOSE(WEEKDAY(A161),"日","月","火","水","木","金","土"))</f>
        <v/>
      </c>
      <c r="C161" s="11" t="n"/>
      <c r="D161" s="12" t="n"/>
      <c r="E161" s="12" t="n"/>
      <c r="F161" s="13" t="n"/>
      <c r="G161" s="14">
        <f>IF(OR(A161="",C161&lt;&gt;"労働日"),0,MAX(0,MOD(E161-D161,1)*24-F161/60))</f>
        <v>0</v>
      </c>
      <c r="H161" s="15" t="str">
        <f>IF(A161="","",INT((A161-$B$4)/7)+1)</f>
        <v/>
      </c>
      <c r="I161" s="16">
        <f>IF(AND(A161&lt;&gt;"",C161="労働日"),I160+1,0)</f>
        <v>0</v>
      </c>
      <c r="J161" s="16">
        <f>IF(AND(A161&lt;&gt;"",ISNUMBER($B$7),ISNUMBER($B$8)),IF(AND(A161&gt;=$B$7,A161&lt;=$B$8),1,0),0)</f>
        <v>0</v>
      </c>
    </row>
    <row r="162">
      <c r="A162" s="9" t="str">
        <f>IF(ISNUMBER($B$4),IF(ISNUMBER($B$5),IF($B$4+150&lt;=$B$5,$B$4+150,""),""),"")</f>
        <v/>
      </c>
      <c r="B162" s="10" t="str">
        <f>IF(A162="","",CHOOSE(WEEKDAY(A162),"日","月","火","水","木","金","土"))</f>
        <v/>
      </c>
      <c r="C162" s="11" t="n"/>
      <c r="D162" s="12" t="n"/>
      <c r="E162" s="12" t="n"/>
      <c r="F162" s="13" t="n"/>
      <c r="G162" s="14">
        <f>IF(OR(A162="",C162&lt;&gt;"労働日"),0,MAX(0,MOD(E162-D162,1)*24-F162/60))</f>
        <v>0</v>
      </c>
      <c r="H162" s="15" t="str">
        <f>IF(A162="","",INT((A162-$B$4)/7)+1)</f>
        <v/>
      </c>
      <c r="I162" s="16">
        <f>IF(AND(A162&lt;&gt;"",C162="労働日"),I161+1,0)</f>
        <v>0</v>
      </c>
      <c r="J162" s="16">
        <f>IF(AND(A162&lt;&gt;"",ISNUMBER($B$7),ISNUMBER($B$8)),IF(AND(A162&gt;=$B$7,A162&lt;=$B$8),1,0),0)</f>
        <v>0</v>
      </c>
    </row>
    <row r="163">
      <c r="A163" s="9" t="str">
        <f>IF(ISNUMBER($B$4),IF(ISNUMBER($B$5),IF($B$4+151&lt;=$B$5,$B$4+151,""),""),"")</f>
        <v/>
      </c>
      <c r="B163" s="10" t="str">
        <f>IF(A163="","",CHOOSE(WEEKDAY(A163),"日","月","火","水","木","金","土"))</f>
        <v/>
      </c>
      <c r="C163" s="11" t="n"/>
      <c r="D163" s="12" t="n"/>
      <c r="E163" s="12" t="n"/>
      <c r="F163" s="13" t="n"/>
      <c r="G163" s="14">
        <f>IF(OR(A163="",C163&lt;&gt;"労働日"),0,MAX(0,MOD(E163-D163,1)*24-F163/60))</f>
        <v>0</v>
      </c>
      <c r="H163" s="15" t="str">
        <f>IF(A163="","",INT((A163-$B$4)/7)+1)</f>
        <v/>
      </c>
      <c r="I163" s="16">
        <f>IF(AND(A163&lt;&gt;"",C163="労働日"),I162+1,0)</f>
        <v>0</v>
      </c>
      <c r="J163" s="16">
        <f>IF(AND(A163&lt;&gt;"",ISNUMBER($B$7),ISNUMBER($B$8)),IF(AND(A163&gt;=$B$7,A163&lt;=$B$8),1,0),0)</f>
        <v>0</v>
      </c>
    </row>
    <row r="164">
      <c r="A164" s="9" t="str">
        <f>IF(ISNUMBER($B$4),IF(ISNUMBER($B$5),IF($B$4+152&lt;=$B$5,$B$4+152,""),""),"")</f>
        <v/>
      </c>
      <c r="B164" s="10" t="str">
        <f>IF(A164="","",CHOOSE(WEEKDAY(A164),"日","月","火","水","木","金","土"))</f>
        <v/>
      </c>
      <c r="C164" s="11" t="n"/>
      <c r="D164" s="12" t="n"/>
      <c r="E164" s="12" t="n"/>
      <c r="F164" s="13" t="n"/>
      <c r="G164" s="14">
        <f>IF(OR(A164="",C164&lt;&gt;"労働日"),0,MAX(0,MOD(E164-D164,1)*24-F164/60))</f>
        <v>0</v>
      </c>
      <c r="H164" s="15" t="str">
        <f>IF(A164="","",INT((A164-$B$4)/7)+1)</f>
        <v/>
      </c>
      <c r="I164" s="16">
        <f>IF(AND(A164&lt;&gt;"",C164="労働日"),I163+1,0)</f>
        <v>0</v>
      </c>
      <c r="J164" s="16">
        <f>IF(AND(A164&lt;&gt;"",ISNUMBER($B$7),ISNUMBER($B$8)),IF(AND(A164&gt;=$B$7,A164&lt;=$B$8),1,0),0)</f>
        <v>0</v>
      </c>
    </row>
    <row r="165">
      <c r="A165" s="9" t="str">
        <f>IF(ISNUMBER($B$4),IF(ISNUMBER($B$5),IF($B$4+153&lt;=$B$5,$B$4+153,""),""),"")</f>
        <v/>
      </c>
      <c r="B165" s="10" t="str">
        <f>IF(A165="","",CHOOSE(WEEKDAY(A165),"日","月","火","水","木","金","土"))</f>
        <v/>
      </c>
      <c r="C165" s="11" t="n"/>
      <c r="D165" s="12" t="n"/>
      <c r="E165" s="12" t="n"/>
      <c r="F165" s="13" t="n"/>
      <c r="G165" s="14">
        <f>IF(OR(A165="",C165&lt;&gt;"労働日"),0,MAX(0,MOD(E165-D165,1)*24-F165/60))</f>
        <v>0</v>
      </c>
      <c r="H165" s="15" t="str">
        <f>IF(A165="","",INT((A165-$B$4)/7)+1)</f>
        <v/>
      </c>
      <c r="I165" s="16">
        <f>IF(AND(A165&lt;&gt;"",C165="労働日"),I164+1,0)</f>
        <v>0</v>
      </c>
      <c r="J165" s="16">
        <f>IF(AND(A165&lt;&gt;"",ISNUMBER($B$7),ISNUMBER($B$8)),IF(AND(A165&gt;=$B$7,A165&lt;=$B$8),1,0),0)</f>
        <v>0</v>
      </c>
    </row>
    <row r="166">
      <c r="A166" s="9" t="str">
        <f>IF(ISNUMBER($B$4),IF(ISNUMBER($B$5),IF($B$4+154&lt;=$B$5,$B$4+154,""),""),"")</f>
        <v/>
      </c>
      <c r="B166" s="10" t="str">
        <f>IF(A166="","",CHOOSE(WEEKDAY(A166),"日","月","火","水","木","金","土"))</f>
        <v/>
      </c>
      <c r="C166" s="11" t="n"/>
      <c r="D166" s="12" t="n"/>
      <c r="E166" s="12" t="n"/>
      <c r="F166" s="13" t="n"/>
      <c r="G166" s="14">
        <f>IF(OR(A166="",C166&lt;&gt;"労働日"),0,MAX(0,MOD(E166-D166,1)*24-F166/60))</f>
        <v>0</v>
      </c>
      <c r="H166" s="15" t="str">
        <f>IF(A166="","",INT((A166-$B$4)/7)+1)</f>
        <v/>
      </c>
      <c r="I166" s="16">
        <f>IF(AND(A166&lt;&gt;"",C166="労働日"),I165+1,0)</f>
        <v>0</v>
      </c>
      <c r="J166" s="16">
        <f>IF(AND(A166&lt;&gt;"",ISNUMBER($B$7),ISNUMBER($B$8)),IF(AND(A166&gt;=$B$7,A166&lt;=$B$8),1,0),0)</f>
        <v>0</v>
      </c>
    </row>
    <row r="167">
      <c r="A167" s="9" t="str">
        <f>IF(ISNUMBER($B$4),IF(ISNUMBER($B$5),IF($B$4+155&lt;=$B$5,$B$4+155,""),""),"")</f>
        <v/>
      </c>
      <c r="B167" s="10" t="str">
        <f>IF(A167="","",CHOOSE(WEEKDAY(A167),"日","月","火","水","木","金","土"))</f>
        <v/>
      </c>
      <c r="C167" s="11" t="n"/>
      <c r="D167" s="12" t="n"/>
      <c r="E167" s="12" t="n"/>
      <c r="F167" s="13" t="n"/>
      <c r="G167" s="14">
        <f>IF(OR(A167="",C167&lt;&gt;"労働日"),0,MAX(0,MOD(E167-D167,1)*24-F167/60))</f>
        <v>0</v>
      </c>
      <c r="H167" s="15" t="str">
        <f>IF(A167="","",INT((A167-$B$4)/7)+1)</f>
        <v/>
      </c>
      <c r="I167" s="16">
        <f>IF(AND(A167&lt;&gt;"",C167="労働日"),I166+1,0)</f>
        <v>0</v>
      </c>
      <c r="J167" s="16">
        <f>IF(AND(A167&lt;&gt;"",ISNUMBER($B$7),ISNUMBER($B$8)),IF(AND(A167&gt;=$B$7,A167&lt;=$B$8),1,0),0)</f>
        <v>0</v>
      </c>
    </row>
    <row r="168">
      <c r="A168" s="9" t="str">
        <f>IF(ISNUMBER($B$4),IF(ISNUMBER($B$5),IF($B$4+156&lt;=$B$5,$B$4+156,""),""),"")</f>
        <v/>
      </c>
      <c r="B168" s="10" t="str">
        <f>IF(A168="","",CHOOSE(WEEKDAY(A168),"日","月","火","水","木","金","土"))</f>
        <v/>
      </c>
      <c r="C168" s="11" t="n"/>
      <c r="D168" s="12" t="n"/>
      <c r="E168" s="12" t="n"/>
      <c r="F168" s="13" t="n"/>
      <c r="G168" s="14">
        <f>IF(OR(A168="",C168&lt;&gt;"労働日"),0,MAX(0,MOD(E168-D168,1)*24-F168/60))</f>
        <v>0</v>
      </c>
      <c r="H168" s="15" t="str">
        <f>IF(A168="","",INT((A168-$B$4)/7)+1)</f>
        <v/>
      </c>
      <c r="I168" s="16">
        <f>IF(AND(A168&lt;&gt;"",C168="労働日"),I167+1,0)</f>
        <v>0</v>
      </c>
      <c r="J168" s="16">
        <f>IF(AND(A168&lt;&gt;"",ISNUMBER($B$7),ISNUMBER($B$8)),IF(AND(A168&gt;=$B$7,A168&lt;=$B$8),1,0),0)</f>
        <v>0</v>
      </c>
    </row>
    <row r="169">
      <c r="A169" s="9" t="str">
        <f>IF(ISNUMBER($B$4),IF(ISNUMBER($B$5),IF($B$4+157&lt;=$B$5,$B$4+157,""),""),"")</f>
        <v/>
      </c>
      <c r="B169" s="10" t="str">
        <f>IF(A169="","",CHOOSE(WEEKDAY(A169),"日","月","火","水","木","金","土"))</f>
        <v/>
      </c>
      <c r="C169" s="11" t="n"/>
      <c r="D169" s="12" t="n"/>
      <c r="E169" s="12" t="n"/>
      <c r="F169" s="13" t="n"/>
      <c r="G169" s="14">
        <f>IF(OR(A169="",C169&lt;&gt;"労働日"),0,MAX(0,MOD(E169-D169,1)*24-F169/60))</f>
        <v>0</v>
      </c>
      <c r="H169" s="15" t="str">
        <f>IF(A169="","",INT((A169-$B$4)/7)+1)</f>
        <v/>
      </c>
      <c r="I169" s="16">
        <f>IF(AND(A169&lt;&gt;"",C169="労働日"),I168+1,0)</f>
        <v>0</v>
      </c>
      <c r="J169" s="16">
        <f>IF(AND(A169&lt;&gt;"",ISNUMBER($B$7),ISNUMBER($B$8)),IF(AND(A169&gt;=$B$7,A169&lt;=$B$8),1,0),0)</f>
        <v>0</v>
      </c>
    </row>
    <row r="170">
      <c r="A170" s="9" t="str">
        <f>IF(ISNUMBER($B$4),IF(ISNUMBER($B$5),IF($B$4+158&lt;=$B$5,$B$4+158,""),""),"")</f>
        <v/>
      </c>
      <c r="B170" s="10" t="str">
        <f>IF(A170="","",CHOOSE(WEEKDAY(A170),"日","月","火","水","木","金","土"))</f>
        <v/>
      </c>
      <c r="C170" s="11" t="n"/>
      <c r="D170" s="12" t="n"/>
      <c r="E170" s="12" t="n"/>
      <c r="F170" s="13" t="n"/>
      <c r="G170" s="14">
        <f>IF(OR(A170="",C170&lt;&gt;"労働日"),0,MAX(0,MOD(E170-D170,1)*24-F170/60))</f>
        <v>0</v>
      </c>
      <c r="H170" s="15" t="str">
        <f>IF(A170="","",INT((A170-$B$4)/7)+1)</f>
        <v/>
      </c>
      <c r="I170" s="16">
        <f>IF(AND(A170&lt;&gt;"",C170="労働日"),I169+1,0)</f>
        <v>0</v>
      </c>
      <c r="J170" s="16">
        <f>IF(AND(A170&lt;&gt;"",ISNUMBER($B$7),ISNUMBER($B$8)),IF(AND(A170&gt;=$B$7,A170&lt;=$B$8),1,0),0)</f>
        <v>0</v>
      </c>
    </row>
    <row r="171">
      <c r="A171" s="9" t="str">
        <f>IF(ISNUMBER($B$4),IF(ISNUMBER($B$5),IF($B$4+159&lt;=$B$5,$B$4+159,""),""),"")</f>
        <v/>
      </c>
      <c r="B171" s="10" t="str">
        <f>IF(A171="","",CHOOSE(WEEKDAY(A171),"日","月","火","水","木","金","土"))</f>
        <v/>
      </c>
      <c r="C171" s="11" t="n"/>
      <c r="D171" s="12" t="n"/>
      <c r="E171" s="12" t="n"/>
      <c r="F171" s="13" t="n"/>
      <c r="G171" s="14">
        <f>IF(OR(A171="",C171&lt;&gt;"労働日"),0,MAX(0,MOD(E171-D171,1)*24-F171/60))</f>
        <v>0</v>
      </c>
      <c r="H171" s="15" t="str">
        <f>IF(A171="","",INT((A171-$B$4)/7)+1)</f>
        <v/>
      </c>
      <c r="I171" s="16">
        <f>IF(AND(A171&lt;&gt;"",C171="労働日"),I170+1,0)</f>
        <v>0</v>
      </c>
      <c r="J171" s="16">
        <f>IF(AND(A171&lt;&gt;"",ISNUMBER($B$7),ISNUMBER($B$8)),IF(AND(A171&gt;=$B$7,A171&lt;=$B$8),1,0),0)</f>
        <v>0</v>
      </c>
    </row>
    <row r="172">
      <c r="A172" s="9" t="str">
        <f>IF(ISNUMBER($B$4),IF(ISNUMBER($B$5),IF($B$4+160&lt;=$B$5,$B$4+160,""),""),"")</f>
        <v/>
      </c>
      <c r="B172" s="10" t="str">
        <f>IF(A172="","",CHOOSE(WEEKDAY(A172),"日","月","火","水","木","金","土"))</f>
        <v/>
      </c>
      <c r="C172" s="11" t="n"/>
      <c r="D172" s="12" t="n"/>
      <c r="E172" s="12" t="n"/>
      <c r="F172" s="13" t="n"/>
      <c r="G172" s="14">
        <f>IF(OR(A172="",C172&lt;&gt;"労働日"),0,MAX(0,MOD(E172-D172,1)*24-F172/60))</f>
        <v>0</v>
      </c>
      <c r="H172" s="15" t="str">
        <f>IF(A172="","",INT((A172-$B$4)/7)+1)</f>
        <v/>
      </c>
      <c r="I172" s="16">
        <f>IF(AND(A172&lt;&gt;"",C172="労働日"),I171+1,0)</f>
        <v>0</v>
      </c>
      <c r="J172" s="16">
        <f>IF(AND(A172&lt;&gt;"",ISNUMBER($B$7),ISNUMBER($B$8)),IF(AND(A172&gt;=$B$7,A172&lt;=$B$8),1,0),0)</f>
        <v>0</v>
      </c>
    </row>
    <row r="173">
      <c r="A173" s="9" t="str">
        <f>IF(ISNUMBER($B$4),IF(ISNUMBER($B$5),IF($B$4+161&lt;=$B$5,$B$4+161,""),""),"")</f>
        <v/>
      </c>
      <c r="B173" s="10" t="str">
        <f>IF(A173="","",CHOOSE(WEEKDAY(A173),"日","月","火","水","木","金","土"))</f>
        <v/>
      </c>
      <c r="C173" s="11" t="n"/>
      <c r="D173" s="12" t="n"/>
      <c r="E173" s="12" t="n"/>
      <c r="F173" s="13" t="n"/>
      <c r="G173" s="14">
        <f>IF(OR(A173="",C173&lt;&gt;"労働日"),0,MAX(0,MOD(E173-D173,1)*24-F173/60))</f>
        <v>0</v>
      </c>
      <c r="H173" s="15" t="str">
        <f>IF(A173="","",INT((A173-$B$4)/7)+1)</f>
        <v/>
      </c>
      <c r="I173" s="16">
        <f>IF(AND(A173&lt;&gt;"",C173="労働日"),I172+1,0)</f>
        <v>0</v>
      </c>
      <c r="J173" s="16">
        <f>IF(AND(A173&lt;&gt;"",ISNUMBER($B$7),ISNUMBER($B$8)),IF(AND(A173&gt;=$B$7,A173&lt;=$B$8),1,0),0)</f>
        <v>0</v>
      </c>
    </row>
    <row r="174">
      <c r="A174" s="9" t="str">
        <f>IF(ISNUMBER($B$4),IF(ISNUMBER($B$5),IF($B$4+162&lt;=$B$5,$B$4+162,""),""),"")</f>
        <v/>
      </c>
      <c r="B174" s="10" t="str">
        <f>IF(A174="","",CHOOSE(WEEKDAY(A174),"日","月","火","水","木","金","土"))</f>
        <v/>
      </c>
      <c r="C174" s="11" t="n"/>
      <c r="D174" s="12" t="n"/>
      <c r="E174" s="12" t="n"/>
      <c r="F174" s="13" t="n"/>
      <c r="G174" s="14">
        <f>IF(OR(A174="",C174&lt;&gt;"労働日"),0,MAX(0,MOD(E174-D174,1)*24-F174/60))</f>
        <v>0</v>
      </c>
      <c r="H174" s="15" t="str">
        <f>IF(A174="","",INT((A174-$B$4)/7)+1)</f>
        <v/>
      </c>
      <c r="I174" s="16">
        <f>IF(AND(A174&lt;&gt;"",C174="労働日"),I173+1,0)</f>
        <v>0</v>
      </c>
      <c r="J174" s="16">
        <f>IF(AND(A174&lt;&gt;"",ISNUMBER($B$7),ISNUMBER($B$8)),IF(AND(A174&gt;=$B$7,A174&lt;=$B$8),1,0),0)</f>
        <v>0</v>
      </c>
    </row>
    <row r="175">
      <c r="A175" s="9" t="str">
        <f>IF(ISNUMBER($B$4),IF(ISNUMBER($B$5),IF($B$4+163&lt;=$B$5,$B$4+163,""),""),"")</f>
        <v/>
      </c>
      <c r="B175" s="10" t="str">
        <f>IF(A175="","",CHOOSE(WEEKDAY(A175),"日","月","火","水","木","金","土"))</f>
        <v/>
      </c>
      <c r="C175" s="11" t="n"/>
      <c r="D175" s="12" t="n"/>
      <c r="E175" s="12" t="n"/>
      <c r="F175" s="13" t="n"/>
      <c r="G175" s="14">
        <f>IF(OR(A175="",C175&lt;&gt;"労働日"),0,MAX(0,MOD(E175-D175,1)*24-F175/60))</f>
        <v>0</v>
      </c>
      <c r="H175" s="15" t="str">
        <f>IF(A175="","",INT((A175-$B$4)/7)+1)</f>
        <v/>
      </c>
      <c r="I175" s="16">
        <f>IF(AND(A175&lt;&gt;"",C175="労働日"),I174+1,0)</f>
        <v>0</v>
      </c>
      <c r="J175" s="16">
        <f>IF(AND(A175&lt;&gt;"",ISNUMBER($B$7),ISNUMBER($B$8)),IF(AND(A175&gt;=$B$7,A175&lt;=$B$8),1,0),0)</f>
        <v>0</v>
      </c>
    </row>
    <row r="176">
      <c r="A176" s="9" t="str">
        <f>IF(ISNUMBER($B$4),IF(ISNUMBER($B$5),IF($B$4+164&lt;=$B$5,$B$4+164,""),""),"")</f>
        <v/>
      </c>
      <c r="B176" s="10" t="str">
        <f>IF(A176="","",CHOOSE(WEEKDAY(A176),"日","月","火","水","木","金","土"))</f>
        <v/>
      </c>
      <c r="C176" s="11" t="n"/>
      <c r="D176" s="12" t="n"/>
      <c r="E176" s="12" t="n"/>
      <c r="F176" s="13" t="n"/>
      <c r="G176" s="14">
        <f>IF(OR(A176="",C176&lt;&gt;"労働日"),0,MAX(0,MOD(E176-D176,1)*24-F176/60))</f>
        <v>0</v>
      </c>
      <c r="H176" s="15" t="str">
        <f>IF(A176="","",INT((A176-$B$4)/7)+1)</f>
        <v/>
      </c>
      <c r="I176" s="16">
        <f>IF(AND(A176&lt;&gt;"",C176="労働日"),I175+1,0)</f>
        <v>0</v>
      </c>
      <c r="J176" s="16">
        <f>IF(AND(A176&lt;&gt;"",ISNUMBER($B$7),ISNUMBER($B$8)),IF(AND(A176&gt;=$B$7,A176&lt;=$B$8),1,0),0)</f>
        <v>0</v>
      </c>
    </row>
    <row r="177">
      <c r="A177" s="9" t="str">
        <f>IF(ISNUMBER($B$4),IF(ISNUMBER($B$5),IF($B$4+165&lt;=$B$5,$B$4+165,""),""),"")</f>
        <v/>
      </c>
      <c r="B177" s="10" t="str">
        <f>IF(A177="","",CHOOSE(WEEKDAY(A177),"日","月","火","水","木","金","土"))</f>
        <v/>
      </c>
      <c r="C177" s="11" t="n"/>
      <c r="D177" s="12" t="n"/>
      <c r="E177" s="12" t="n"/>
      <c r="F177" s="13" t="n"/>
      <c r="G177" s="14">
        <f>IF(OR(A177="",C177&lt;&gt;"労働日"),0,MAX(0,MOD(E177-D177,1)*24-F177/60))</f>
        <v>0</v>
      </c>
      <c r="H177" s="15" t="str">
        <f>IF(A177="","",INT((A177-$B$4)/7)+1)</f>
        <v/>
      </c>
      <c r="I177" s="16">
        <f>IF(AND(A177&lt;&gt;"",C177="労働日"),I176+1,0)</f>
        <v>0</v>
      </c>
      <c r="J177" s="16">
        <f>IF(AND(A177&lt;&gt;"",ISNUMBER($B$7),ISNUMBER($B$8)),IF(AND(A177&gt;=$B$7,A177&lt;=$B$8),1,0),0)</f>
        <v>0</v>
      </c>
    </row>
    <row r="178">
      <c r="A178" s="9" t="str">
        <f>IF(ISNUMBER($B$4),IF(ISNUMBER($B$5),IF($B$4+166&lt;=$B$5,$B$4+166,""),""),"")</f>
        <v/>
      </c>
      <c r="B178" s="10" t="str">
        <f>IF(A178="","",CHOOSE(WEEKDAY(A178),"日","月","火","水","木","金","土"))</f>
        <v/>
      </c>
      <c r="C178" s="11" t="n"/>
      <c r="D178" s="12" t="n"/>
      <c r="E178" s="12" t="n"/>
      <c r="F178" s="13" t="n"/>
      <c r="G178" s="14">
        <f>IF(OR(A178="",C178&lt;&gt;"労働日"),0,MAX(0,MOD(E178-D178,1)*24-F178/60))</f>
        <v>0</v>
      </c>
      <c r="H178" s="15" t="str">
        <f>IF(A178="","",INT((A178-$B$4)/7)+1)</f>
        <v/>
      </c>
      <c r="I178" s="16">
        <f>IF(AND(A178&lt;&gt;"",C178="労働日"),I177+1,0)</f>
        <v>0</v>
      </c>
      <c r="J178" s="16">
        <f>IF(AND(A178&lt;&gt;"",ISNUMBER($B$7),ISNUMBER($B$8)),IF(AND(A178&gt;=$B$7,A178&lt;=$B$8),1,0),0)</f>
        <v>0</v>
      </c>
    </row>
    <row r="179">
      <c r="A179" s="9" t="str">
        <f>IF(ISNUMBER($B$4),IF(ISNUMBER($B$5),IF($B$4+167&lt;=$B$5,$B$4+167,""),""),"")</f>
        <v/>
      </c>
      <c r="B179" s="10" t="str">
        <f>IF(A179="","",CHOOSE(WEEKDAY(A179),"日","月","火","水","木","金","土"))</f>
        <v/>
      </c>
      <c r="C179" s="11" t="n"/>
      <c r="D179" s="12" t="n"/>
      <c r="E179" s="12" t="n"/>
      <c r="F179" s="13" t="n"/>
      <c r="G179" s="14">
        <f>IF(OR(A179="",C179&lt;&gt;"労働日"),0,MAX(0,MOD(E179-D179,1)*24-F179/60))</f>
        <v>0</v>
      </c>
      <c r="H179" s="15" t="str">
        <f>IF(A179="","",INT((A179-$B$4)/7)+1)</f>
        <v/>
      </c>
      <c r="I179" s="16">
        <f>IF(AND(A179&lt;&gt;"",C179="労働日"),I178+1,0)</f>
        <v>0</v>
      </c>
      <c r="J179" s="16">
        <f>IF(AND(A179&lt;&gt;"",ISNUMBER($B$7),ISNUMBER($B$8)),IF(AND(A179&gt;=$B$7,A179&lt;=$B$8),1,0),0)</f>
        <v>0</v>
      </c>
    </row>
    <row r="180">
      <c r="A180" s="9" t="str">
        <f>IF(ISNUMBER($B$4),IF(ISNUMBER($B$5),IF($B$4+168&lt;=$B$5,$B$4+168,""),""),"")</f>
        <v/>
      </c>
      <c r="B180" s="10" t="str">
        <f>IF(A180="","",CHOOSE(WEEKDAY(A180),"日","月","火","水","木","金","土"))</f>
        <v/>
      </c>
      <c r="C180" s="11" t="n"/>
      <c r="D180" s="12" t="n"/>
      <c r="E180" s="12" t="n"/>
      <c r="F180" s="13" t="n"/>
      <c r="G180" s="14">
        <f>IF(OR(A180="",C180&lt;&gt;"労働日"),0,MAX(0,MOD(E180-D180,1)*24-F180/60))</f>
        <v>0</v>
      </c>
      <c r="H180" s="15" t="str">
        <f>IF(A180="","",INT((A180-$B$4)/7)+1)</f>
        <v/>
      </c>
      <c r="I180" s="16">
        <f>IF(AND(A180&lt;&gt;"",C180="労働日"),I179+1,0)</f>
        <v>0</v>
      </c>
      <c r="J180" s="16">
        <f>IF(AND(A180&lt;&gt;"",ISNUMBER($B$7),ISNUMBER($B$8)),IF(AND(A180&gt;=$B$7,A180&lt;=$B$8),1,0),0)</f>
        <v>0</v>
      </c>
    </row>
    <row r="181">
      <c r="A181" s="9" t="str">
        <f>IF(ISNUMBER($B$4),IF(ISNUMBER($B$5),IF($B$4+169&lt;=$B$5,$B$4+169,""),""),"")</f>
        <v/>
      </c>
      <c r="B181" s="10" t="str">
        <f>IF(A181="","",CHOOSE(WEEKDAY(A181),"日","月","火","水","木","金","土"))</f>
        <v/>
      </c>
      <c r="C181" s="11" t="n"/>
      <c r="D181" s="12" t="n"/>
      <c r="E181" s="12" t="n"/>
      <c r="F181" s="13" t="n"/>
      <c r="G181" s="14">
        <f>IF(OR(A181="",C181&lt;&gt;"労働日"),0,MAX(0,MOD(E181-D181,1)*24-F181/60))</f>
        <v>0</v>
      </c>
      <c r="H181" s="15" t="str">
        <f>IF(A181="","",INT((A181-$B$4)/7)+1)</f>
        <v/>
      </c>
      <c r="I181" s="16">
        <f>IF(AND(A181&lt;&gt;"",C181="労働日"),I180+1,0)</f>
        <v>0</v>
      </c>
      <c r="J181" s="16">
        <f>IF(AND(A181&lt;&gt;"",ISNUMBER($B$7),ISNUMBER($B$8)),IF(AND(A181&gt;=$B$7,A181&lt;=$B$8),1,0),0)</f>
        <v>0</v>
      </c>
    </row>
    <row r="182">
      <c r="A182" s="9" t="str">
        <f>IF(ISNUMBER($B$4),IF(ISNUMBER($B$5),IF($B$4+170&lt;=$B$5,$B$4+170,""),""),"")</f>
        <v/>
      </c>
      <c r="B182" s="10" t="str">
        <f>IF(A182="","",CHOOSE(WEEKDAY(A182),"日","月","火","水","木","金","土"))</f>
        <v/>
      </c>
      <c r="C182" s="11" t="n"/>
      <c r="D182" s="12" t="n"/>
      <c r="E182" s="12" t="n"/>
      <c r="F182" s="13" t="n"/>
      <c r="G182" s="14">
        <f>IF(OR(A182="",C182&lt;&gt;"労働日"),0,MAX(0,MOD(E182-D182,1)*24-F182/60))</f>
        <v>0</v>
      </c>
      <c r="H182" s="15" t="str">
        <f>IF(A182="","",INT((A182-$B$4)/7)+1)</f>
        <v/>
      </c>
      <c r="I182" s="16">
        <f>IF(AND(A182&lt;&gt;"",C182="労働日"),I181+1,0)</f>
        <v>0</v>
      </c>
      <c r="J182" s="16">
        <f>IF(AND(A182&lt;&gt;"",ISNUMBER($B$7),ISNUMBER($B$8)),IF(AND(A182&gt;=$B$7,A182&lt;=$B$8),1,0),0)</f>
        <v>0</v>
      </c>
    </row>
    <row r="183">
      <c r="A183" s="9" t="str">
        <f>IF(ISNUMBER($B$4),IF(ISNUMBER($B$5),IF($B$4+171&lt;=$B$5,$B$4+171,""),""),"")</f>
        <v/>
      </c>
      <c r="B183" s="10" t="str">
        <f>IF(A183="","",CHOOSE(WEEKDAY(A183),"日","月","火","水","木","金","土"))</f>
        <v/>
      </c>
      <c r="C183" s="11" t="n"/>
      <c r="D183" s="12" t="n"/>
      <c r="E183" s="12" t="n"/>
      <c r="F183" s="13" t="n"/>
      <c r="G183" s="14">
        <f>IF(OR(A183="",C183&lt;&gt;"労働日"),0,MAX(0,MOD(E183-D183,1)*24-F183/60))</f>
        <v>0</v>
      </c>
      <c r="H183" s="15" t="str">
        <f>IF(A183="","",INT((A183-$B$4)/7)+1)</f>
        <v/>
      </c>
      <c r="I183" s="16">
        <f>IF(AND(A183&lt;&gt;"",C183="労働日"),I182+1,0)</f>
        <v>0</v>
      </c>
      <c r="J183" s="16">
        <f>IF(AND(A183&lt;&gt;"",ISNUMBER($B$7),ISNUMBER($B$8)),IF(AND(A183&gt;=$B$7,A183&lt;=$B$8),1,0),0)</f>
        <v>0</v>
      </c>
    </row>
    <row r="184">
      <c r="A184" s="9" t="str">
        <f>IF(ISNUMBER($B$4),IF(ISNUMBER($B$5),IF($B$4+172&lt;=$B$5,$B$4+172,""),""),"")</f>
        <v/>
      </c>
      <c r="B184" s="10" t="str">
        <f>IF(A184="","",CHOOSE(WEEKDAY(A184),"日","月","火","水","木","金","土"))</f>
        <v/>
      </c>
      <c r="C184" s="11" t="n"/>
      <c r="D184" s="12" t="n"/>
      <c r="E184" s="12" t="n"/>
      <c r="F184" s="13" t="n"/>
      <c r="G184" s="14">
        <f>IF(OR(A184="",C184&lt;&gt;"労働日"),0,MAX(0,MOD(E184-D184,1)*24-F184/60))</f>
        <v>0</v>
      </c>
      <c r="H184" s="15" t="str">
        <f>IF(A184="","",INT((A184-$B$4)/7)+1)</f>
        <v/>
      </c>
      <c r="I184" s="16">
        <f>IF(AND(A184&lt;&gt;"",C184="労働日"),I183+1,0)</f>
        <v>0</v>
      </c>
      <c r="J184" s="16">
        <f>IF(AND(A184&lt;&gt;"",ISNUMBER($B$7),ISNUMBER($B$8)),IF(AND(A184&gt;=$B$7,A184&lt;=$B$8),1,0),0)</f>
        <v>0</v>
      </c>
    </row>
    <row r="185">
      <c r="A185" s="9" t="str">
        <f>IF(ISNUMBER($B$4),IF(ISNUMBER($B$5),IF($B$4+173&lt;=$B$5,$B$4+173,""),""),"")</f>
        <v/>
      </c>
      <c r="B185" s="10" t="str">
        <f>IF(A185="","",CHOOSE(WEEKDAY(A185),"日","月","火","水","木","金","土"))</f>
        <v/>
      </c>
      <c r="C185" s="11" t="n"/>
      <c r="D185" s="12" t="n"/>
      <c r="E185" s="12" t="n"/>
      <c r="F185" s="13" t="n"/>
      <c r="G185" s="14">
        <f>IF(OR(A185="",C185&lt;&gt;"労働日"),0,MAX(0,MOD(E185-D185,1)*24-F185/60))</f>
        <v>0</v>
      </c>
      <c r="H185" s="15" t="str">
        <f>IF(A185="","",INT((A185-$B$4)/7)+1)</f>
        <v/>
      </c>
      <c r="I185" s="16">
        <f>IF(AND(A185&lt;&gt;"",C185="労働日"),I184+1,0)</f>
        <v>0</v>
      </c>
      <c r="J185" s="16">
        <f>IF(AND(A185&lt;&gt;"",ISNUMBER($B$7),ISNUMBER($B$8)),IF(AND(A185&gt;=$B$7,A185&lt;=$B$8),1,0),0)</f>
        <v>0</v>
      </c>
    </row>
    <row r="186">
      <c r="A186" s="9" t="str">
        <f>IF(ISNUMBER($B$4),IF(ISNUMBER($B$5),IF($B$4+174&lt;=$B$5,$B$4+174,""),""),"")</f>
        <v/>
      </c>
      <c r="B186" s="10" t="str">
        <f>IF(A186="","",CHOOSE(WEEKDAY(A186),"日","月","火","水","木","金","土"))</f>
        <v/>
      </c>
      <c r="C186" s="11" t="n"/>
      <c r="D186" s="12" t="n"/>
      <c r="E186" s="12" t="n"/>
      <c r="F186" s="13" t="n"/>
      <c r="G186" s="14">
        <f>IF(OR(A186="",C186&lt;&gt;"労働日"),0,MAX(0,MOD(E186-D186,1)*24-F186/60))</f>
        <v>0</v>
      </c>
      <c r="H186" s="15" t="str">
        <f>IF(A186="","",INT((A186-$B$4)/7)+1)</f>
        <v/>
      </c>
      <c r="I186" s="16">
        <f>IF(AND(A186&lt;&gt;"",C186="労働日"),I185+1,0)</f>
        <v>0</v>
      </c>
      <c r="J186" s="16">
        <f>IF(AND(A186&lt;&gt;"",ISNUMBER($B$7),ISNUMBER($B$8)),IF(AND(A186&gt;=$B$7,A186&lt;=$B$8),1,0),0)</f>
        <v>0</v>
      </c>
    </row>
    <row r="187">
      <c r="A187" s="9" t="str">
        <f>IF(ISNUMBER($B$4),IF(ISNUMBER($B$5),IF($B$4+175&lt;=$B$5,$B$4+175,""),""),"")</f>
        <v/>
      </c>
      <c r="B187" s="10" t="str">
        <f>IF(A187="","",CHOOSE(WEEKDAY(A187),"日","月","火","水","木","金","土"))</f>
        <v/>
      </c>
      <c r="C187" s="11" t="n"/>
      <c r="D187" s="12" t="n"/>
      <c r="E187" s="12" t="n"/>
      <c r="F187" s="13" t="n"/>
      <c r="G187" s="14">
        <f>IF(OR(A187="",C187&lt;&gt;"労働日"),0,MAX(0,MOD(E187-D187,1)*24-F187/60))</f>
        <v>0</v>
      </c>
      <c r="H187" s="15" t="str">
        <f>IF(A187="","",INT((A187-$B$4)/7)+1)</f>
        <v/>
      </c>
      <c r="I187" s="16">
        <f>IF(AND(A187&lt;&gt;"",C187="労働日"),I186+1,0)</f>
        <v>0</v>
      </c>
      <c r="J187" s="16">
        <f>IF(AND(A187&lt;&gt;"",ISNUMBER($B$7),ISNUMBER($B$8)),IF(AND(A187&gt;=$B$7,A187&lt;=$B$8),1,0),0)</f>
        <v>0</v>
      </c>
    </row>
    <row r="188">
      <c r="A188" s="9" t="str">
        <f>IF(ISNUMBER($B$4),IF(ISNUMBER($B$5),IF($B$4+176&lt;=$B$5,$B$4+176,""),""),"")</f>
        <v/>
      </c>
      <c r="B188" s="10" t="str">
        <f>IF(A188="","",CHOOSE(WEEKDAY(A188),"日","月","火","水","木","金","土"))</f>
        <v/>
      </c>
      <c r="C188" s="11" t="n"/>
      <c r="D188" s="12" t="n"/>
      <c r="E188" s="12" t="n"/>
      <c r="F188" s="13" t="n"/>
      <c r="G188" s="14">
        <f>IF(OR(A188="",C188&lt;&gt;"労働日"),0,MAX(0,MOD(E188-D188,1)*24-F188/60))</f>
        <v>0</v>
      </c>
      <c r="H188" s="15" t="str">
        <f>IF(A188="","",INT((A188-$B$4)/7)+1)</f>
        <v/>
      </c>
      <c r="I188" s="16">
        <f>IF(AND(A188&lt;&gt;"",C188="労働日"),I187+1,0)</f>
        <v>0</v>
      </c>
      <c r="J188" s="16">
        <f>IF(AND(A188&lt;&gt;"",ISNUMBER($B$7),ISNUMBER($B$8)),IF(AND(A188&gt;=$B$7,A188&lt;=$B$8),1,0),0)</f>
        <v>0</v>
      </c>
    </row>
    <row r="189">
      <c r="A189" s="9" t="str">
        <f>IF(ISNUMBER($B$4),IF(ISNUMBER($B$5),IF($B$4+177&lt;=$B$5,$B$4+177,""),""),"")</f>
        <v/>
      </c>
      <c r="B189" s="10" t="str">
        <f>IF(A189="","",CHOOSE(WEEKDAY(A189),"日","月","火","水","木","金","土"))</f>
        <v/>
      </c>
      <c r="C189" s="11" t="n"/>
      <c r="D189" s="12" t="n"/>
      <c r="E189" s="12" t="n"/>
      <c r="F189" s="13" t="n"/>
      <c r="G189" s="14">
        <f>IF(OR(A189="",C189&lt;&gt;"労働日"),0,MAX(0,MOD(E189-D189,1)*24-F189/60))</f>
        <v>0</v>
      </c>
      <c r="H189" s="15" t="str">
        <f>IF(A189="","",INT((A189-$B$4)/7)+1)</f>
        <v/>
      </c>
      <c r="I189" s="16">
        <f>IF(AND(A189&lt;&gt;"",C189="労働日"),I188+1,0)</f>
        <v>0</v>
      </c>
      <c r="J189" s="16">
        <f>IF(AND(A189&lt;&gt;"",ISNUMBER($B$7),ISNUMBER($B$8)),IF(AND(A189&gt;=$B$7,A189&lt;=$B$8),1,0),0)</f>
        <v>0</v>
      </c>
    </row>
    <row r="190">
      <c r="A190" s="9" t="str">
        <f>IF(ISNUMBER($B$4),IF(ISNUMBER($B$5),IF($B$4+178&lt;=$B$5,$B$4+178,""),""),"")</f>
        <v/>
      </c>
      <c r="B190" s="10" t="str">
        <f>IF(A190="","",CHOOSE(WEEKDAY(A190),"日","月","火","水","木","金","土"))</f>
        <v/>
      </c>
      <c r="C190" s="11" t="n"/>
      <c r="D190" s="12" t="n"/>
      <c r="E190" s="12" t="n"/>
      <c r="F190" s="13" t="n"/>
      <c r="G190" s="14">
        <f>IF(OR(A190="",C190&lt;&gt;"労働日"),0,MAX(0,MOD(E190-D190,1)*24-F190/60))</f>
        <v>0</v>
      </c>
      <c r="H190" s="15" t="str">
        <f>IF(A190="","",INT((A190-$B$4)/7)+1)</f>
        <v/>
      </c>
      <c r="I190" s="16">
        <f>IF(AND(A190&lt;&gt;"",C190="労働日"),I189+1,0)</f>
        <v>0</v>
      </c>
      <c r="J190" s="16">
        <f>IF(AND(A190&lt;&gt;"",ISNUMBER($B$7),ISNUMBER($B$8)),IF(AND(A190&gt;=$B$7,A190&lt;=$B$8),1,0),0)</f>
        <v>0</v>
      </c>
    </row>
    <row r="191">
      <c r="A191" s="9" t="str">
        <f>IF(ISNUMBER($B$4),IF(ISNUMBER($B$5),IF($B$4+179&lt;=$B$5,$B$4+179,""),""),"")</f>
        <v/>
      </c>
      <c r="B191" s="10" t="str">
        <f>IF(A191="","",CHOOSE(WEEKDAY(A191),"日","月","火","水","木","金","土"))</f>
        <v/>
      </c>
      <c r="C191" s="11" t="n"/>
      <c r="D191" s="12" t="n"/>
      <c r="E191" s="12" t="n"/>
      <c r="F191" s="13" t="n"/>
      <c r="G191" s="14">
        <f>IF(OR(A191="",C191&lt;&gt;"労働日"),0,MAX(0,MOD(E191-D191,1)*24-F191/60))</f>
        <v>0</v>
      </c>
      <c r="H191" s="15" t="str">
        <f>IF(A191="","",INT((A191-$B$4)/7)+1)</f>
        <v/>
      </c>
      <c r="I191" s="16">
        <f>IF(AND(A191&lt;&gt;"",C191="労働日"),I190+1,0)</f>
        <v>0</v>
      </c>
      <c r="J191" s="16">
        <f>IF(AND(A191&lt;&gt;"",ISNUMBER($B$7),ISNUMBER($B$8)),IF(AND(A191&gt;=$B$7,A191&lt;=$B$8),1,0),0)</f>
        <v>0</v>
      </c>
    </row>
    <row r="192">
      <c r="A192" s="9" t="str">
        <f>IF(ISNUMBER($B$4),IF(ISNUMBER($B$5),IF($B$4+180&lt;=$B$5,$B$4+180,""),""),"")</f>
        <v/>
      </c>
      <c r="B192" s="10" t="str">
        <f>IF(A192="","",CHOOSE(WEEKDAY(A192),"日","月","火","水","木","金","土"))</f>
        <v/>
      </c>
      <c r="C192" s="11" t="n"/>
      <c r="D192" s="12" t="n"/>
      <c r="E192" s="12" t="n"/>
      <c r="F192" s="13" t="n"/>
      <c r="G192" s="14">
        <f>IF(OR(A192="",C192&lt;&gt;"労働日"),0,MAX(0,MOD(E192-D192,1)*24-F192/60))</f>
        <v>0</v>
      </c>
      <c r="H192" s="15" t="str">
        <f>IF(A192="","",INT((A192-$B$4)/7)+1)</f>
        <v/>
      </c>
      <c r="I192" s="16">
        <f>IF(AND(A192&lt;&gt;"",C192="労働日"),I191+1,0)</f>
        <v>0</v>
      </c>
      <c r="J192" s="16">
        <f>IF(AND(A192&lt;&gt;"",ISNUMBER($B$7),ISNUMBER($B$8)),IF(AND(A192&gt;=$B$7,A192&lt;=$B$8),1,0),0)</f>
        <v>0</v>
      </c>
    </row>
    <row r="193">
      <c r="A193" s="9" t="str">
        <f>IF(ISNUMBER($B$4),IF(ISNUMBER($B$5),IF($B$4+181&lt;=$B$5,$B$4+181,""),""),"")</f>
        <v/>
      </c>
      <c r="B193" s="10" t="str">
        <f>IF(A193="","",CHOOSE(WEEKDAY(A193),"日","月","火","水","木","金","土"))</f>
        <v/>
      </c>
      <c r="C193" s="11" t="n"/>
      <c r="D193" s="12" t="n"/>
      <c r="E193" s="12" t="n"/>
      <c r="F193" s="13" t="n"/>
      <c r="G193" s="14">
        <f>IF(OR(A193="",C193&lt;&gt;"労働日"),0,MAX(0,MOD(E193-D193,1)*24-F193/60))</f>
        <v>0</v>
      </c>
      <c r="H193" s="15" t="str">
        <f>IF(A193="","",INT((A193-$B$4)/7)+1)</f>
        <v/>
      </c>
      <c r="I193" s="16">
        <f>IF(AND(A193&lt;&gt;"",C193="労働日"),I192+1,0)</f>
        <v>0</v>
      </c>
      <c r="J193" s="16">
        <f>IF(AND(A193&lt;&gt;"",ISNUMBER($B$7),ISNUMBER($B$8)),IF(AND(A193&gt;=$B$7,A193&lt;=$B$8),1,0),0)</f>
        <v>0</v>
      </c>
    </row>
    <row r="194">
      <c r="A194" s="9" t="str">
        <f>IF(ISNUMBER($B$4),IF(ISNUMBER($B$5),IF($B$4+182&lt;=$B$5,$B$4+182,""),""),"")</f>
        <v/>
      </c>
      <c r="B194" s="10" t="str">
        <f>IF(A194="","",CHOOSE(WEEKDAY(A194),"日","月","火","水","木","金","土"))</f>
        <v/>
      </c>
      <c r="C194" s="11" t="n"/>
      <c r="D194" s="12" t="n"/>
      <c r="E194" s="12" t="n"/>
      <c r="F194" s="13" t="n"/>
      <c r="G194" s="14">
        <f>IF(OR(A194="",C194&lt;&gt;"労働日"),0,MAX(0,MOD(E194-D194,1)*24-F194/60))</f>
        <v>0</v>
      </c>
      <c r="H194" s="15" t="str">
        <f>IF(A194="","",INT((A194-$B$4)/7)+1)</f>
        <v/>
      </c>
      <c r="I194" s="16">
        <f>IF(AND(A194&lt;&gt;"",C194="労働日"),I193+1,0)</f>
        <v>0</v>
      </c>
      <c r="J194" s="16">
        <f>IF(AND(A194&lt;&gt;"",ISNUMBER($B$7),ISNUMBER($B$8)),IF(AND(A194&gt;=$B$7,A194&lt;=$B$8),1,0),0)</f>
        <v>0</v>
      </c>
    </row>
    <row r="195">
      <c r="A195" s="9" t="str">
        <f>IF(ISNUMBER($B$4),IF(ISNUMBER($B$5),IF($B$4+183&lt;=$B$5,$B$4+183,""),""),"")</f>
        <v/>
      </c>
      <c r="B195" s="10" t="str">
        <f>IF(A195="","",CHOOSE(WEEKDAY(A195),"日","月","火","水","木","金","土"))</f>
        <v/>
      </c>
      <c r="C195" s="11" t="n"/>
      <c r="D195" s="12" t="n"/>
      <c r="E195" s="12" t="n"/>
      <c r="F195" s="13" t="n"/>
      <c r="G195" s="14">
        <f>IF(OR(A195="",C195&lt;&gt;"労働日"),0,MAX(0,MOD(E195-D195,1)*24-F195/60))</f>
        <v>0</v>
      </c>
      <c r="H195" s="15" t="str">
        <f>IF(A195="","",INT((A195-$B$4)/7)+1)</f>
        <v/>
      </c>
      <c r="I195" s="16">
        <f>IF(AND(A195&lt;&gt;"",C195="労働日"),I194+1,0)</f>
        <v>0</v>
      </c>
      <c r="J195" s="16">
        <f>IF(AND(A195&lt;&gt;"",ISNUMBER($B$7),ISNUMBER($B$8)),IF(AND(A195&gt;=$B$7,A195&lt;=$B$8),1,0),0)</f>
        <v>0</v>
      </c>
    </row>
    <row r="196">
      <c r="A196" s="9" t="str">
        <f>IF(ISNUMBER($B$4),IF(ISNUMBER($B$5),IF($B$4+184&lt;=$B$5,$B$4+184,""),""),"")</f>
        <v/>
      </c>
      <c r="B196" s="10" t="str">
        <f>IF(A196="","",CHOOSE(WEEKDAY(A196),"日","月","火","水","木","金","土"))</f>
        <v/>
      </c>
      <c r="C196" s="11" t="n"/>
      <c r="D196" s="12" t="n"/>
      <c r="E196" s="12" t="n"/>
      <c r="F196" s="13" t="n"/>
      <c r="G196" s="14">
        <f>IF(OR(A196="",C196&lt;&gt;"労働日"),0,MAX(0,MOD(E196-D196,1)*24-F196/60))</f>
        <v>0</v>
      </c>
      <c r="H196" s="15" t="str">
        <f>IF(A196="","",INT((A196-$B$4)/7)+1)</f>
        <v/>
      </c>
      <c r="I196" s="16">
        <f>IF(AND(A196&lt;&gt;"",C196="労働日"),I195+1,0)</f>
        <v>0</v>
      </c>
      <c r="J196" s="16">
        <f>IF(AND(A196&lt;&gt;"",ISNUMBER($B$7),ISNUMBER($B$8)),IF(AND(A196&gt;=$B$7,A196&lt;=$B$8),1,0),0)</f>
        <v>0</v>
      </c>
    </row>
    <row r="197">
      <c r="A197" s="9" t="str">
        <f>IF(ISNUMBER($B$4),IF(ISNUMBER($B$5),IF($B$4+185&lt;=$B$5,$B$4+185,""),""),"")</f>
        <v/>
      </c>
      <c r="B197" s="10" t="str">
        <f>IF(A197="","",CHOOSE(WEEKDAY(A197),"日","月","火","水","木","金","土"))</f>
        <v/>
      </c>
      <c r="C197" s="11" t="n"/>
      <c r="D197" s="12" t="n"/>
      <c r="E197" s="12" t="n"/>
      <c r="F197" s="13" t="n"/>
      <c r="G197" s="14">
        <f>IF(OR(A197="",C197&lt;&gt;"労働日"),0,MAX(0,MOD(E197-D197,1)*24-F197/60))</f>
        <v>0</v>
      </c>
      <c r="H197" s="15" t="str">
        <f>IF(A197="","",INT((A197-$B$4)/7)+1)</f>
        <v/>
      </c>
      <c r="I197" s="16">
        <f>IF(AND(A197&lt;&gt;"",C197="労働日"),I196+1,0)</f>
        <v>0</v>
      </c>
      <c r="J197" s="16">
        <f>IF(AND(A197&lt;&gt;"",ISNUMBER($B$7),ISNUMBER($B$8)),IF(AND(A197&gt;=$B$7,A197&lt;=$B$8),1,0),0)</f>
        <v>0</v>
      </c>
    </row>
    <row r="198">
      <c r="A198" s="9" t="str">
        <f>IF(ISNUMBER($B$4),IF(ISNUMBER($B$5),IF($B$4+186&lt;=$B$5,$B$4+186,""),""),"")</f>
        <v/>
      </c>
      <c r="B198" s="10" t="str">
        <f>IF(A198="","",CHOOSE(WEEKDAY(A198),"日","月","火","水","木","金","土"))</f>
        <v/>
      </c>
      <c r="C198" s="11" t="n"/>
      <c r="D198" s="12" t="n"/>
      <c r="E198" s="12" t="n"/>
      <c r="F198" s="13" t="n"/>
      <c r="G198" s="14">
        <f>IF(OR(A198="",C198&lt;&gt;"労働日"),0,MAX(0,MOD(E198-D198,1)*24-F198/60))</f>
        <v>0</v>
      </c>
      <c r="H198" s="15" t="str">
        <f>IF(A198="","",INT((A198-$B$4)/7)+1)</f>
        <v/>
      </c>
      <c r="I198" s="16">
        <f>IF(AND(A198&lt;&gt;"",C198="労働日"),I197+1,0)</f>
        <v>0</v>
      </c>
      <c r="J198" s="16">
        <f>IF(AND(A198&lt;&gt;"",ISNUMBER($B$7),ISNUMBER($B$8)),IF(AND(A198&gt;=$B$7,A198&lt;=$B$8),1,0),0)</f>
        <v>0</v>
      </c>
    </row>
    <row r="199">
      <c r="A199" s="9" t="str">
        <f>IF(ISNUMBER($B$4),IF(ISNUMBER($B$5),IF($B$4+187&lt;=$B$5,$B$4+187,""),""),"")</f>
        <v/>
      </c>
      <c r="B199" s="10" t="str">
        <f>IF(A199="","",CHOOSE(WEEKDAY(A199),"日","月","火","水","木","金","土"))</f>
        <v/>
      </c>
      <c r="C199" s="11" t="n"/>
      <c r="D199" s="12" t="n"/>
      <c r="E199" s="12" t="n"/>
      <c r="F199" s="13" t="n"/>
      <c r="G199" s="14">
        <f>IF(OR(A199="",C199&lt;&gt;"労働日"),0,MAX(0,MOD(E199-D199,1)*24-F199/60))</f>
        <v>0</v>
      </c>
      <c r="H199" s="15" t="str">
        <f>IF(A199="","",INT((A199-$B$4)/7)+1)</f>
        <v/>
      </c>
      <c r="I199" s="16">
        <f>IF(AND(A199&lt;&gt;"",C199="労働日"),I198+1,0)</f>
        <v>0</v>
      </c>
      <c r="J199" s="16">
        <f>IF(AND(A199&lt;&gt;"",ISNUMBER($B$7),ISNUMBER($B$8)),IF(AND(A199&gt;=$B$7,A199&lt;=$B$8),1,0),0)</f>
        <v>0</v>
      </c>
    </row>
    <row r="200">
      <c r="A200" s="9" t="str">
        <f>IF(ISNUMBER($B$4),IF(ISNUMBER($B$5),IF($B$4+188&lt;=$B$5,$B$4+188,""),""),"")</f>
        <v/>
      </c>
      <c r="B200" s="10" t="str">
        <f>IF(A200="","",CHOOSE(WEEKDAY(A200),"日","月","火","水","木","金","土"))</f>
        <v/>
      </c>
      <c r="C200" s="11" t="n"/>
      <c r="D200" s="12" t="n"/>
      <c r="E200" s="12" t="n"/>
      <c r="F200" s="13" t="n"/>
      <c r="G200" s="14">
        <f>IF(OR(A200="",C200&lt;&gt;"労働日"),0,MAX(0,MOD(E200-D200,1)*24-F200/60))</f>
        <v>0</v>
      </c>
      <c r="H200" s="15" t="str">
        <f>IF(A200="","",INT((A200-$B$4)/7)+1)</f>
        <v/>
      </c>
      <c r="I200" s="16">
        <f>IF(AND(A200&lt;&gt;"",C200="労働日"),I199+1,0)</f>
        <v>0</v>
      </c>
      <c r="J200" s="16">
        <f>IF(AND(A200&lt;&gt;"",ISNUMBER($B$7),ISNUMBER($B$8)),IF(AND(A200&gt;=$B$7,A200&lt;=$B$8),1,0),0)</f>
        <v>0</v>
      </c>
    </row>
    <row r="201">
      <c r="A201" s="9" t="str">
        <f>IF(ISNUMBER($B$4),IF(ISNUMBER($B$5),IF($B$4+189&lt;=$B$5,$B$4+189,""),""),"")</f>
        <v/>
      </c>
      <c r="B201" s="10" t="str">
        <f>IF(A201="","",CHOOSE(WEEKDAY(A201),"日","月","火","水","木","金","土"))</f>
        <v/>
      </c>
      <c r="C201" s="11" t="n"/>
      <c r="D201" s="12" t="n"/>
      <c r="E201" s="12" t="n"/>
      <c r="F201" s="13" t="n"/>
      <c r="G201" s="14">
        <f>IF(OR(A201="",C201&lt;&gt;"労働日"),0,MAX(0,MOD(E201-D201,1)*24-F201/60))</f>
        <v>0</v>
      </c>
      <c r="H201" s="15" t="str">
        <f>IF(A201="","",INT((A201-$B$4)/7)+1)</f>
        <v/>
      </c>
      <c r="I201" s="16">
        <f>IF(AND(A201&lt;&gt;"",C201="労働日"),I200+1,0)</f>
        <v>0</v>
      </c>
      <c r="J201" s="16">
        <f>IF(AND(A201&lt;&gt;"",ISNUMBER($B$7),ISNUMBER($B$8)),IF(AND(A201&gt;=$B$7,A201&lt;=$B$8),1,0),0)</f>
        <v>0</v>
      </c>
    </row>
    <row r="202">
      <c r="A202" s="9" t="str">
        <f>IF(ISNUMBER($B$4),IF(ISNUMBER($B$5),IF($B$4+190&lt;=$B$5,$B$4+190,""),""),"")</f>
        <v/>
      </c>
      <c r="B202" s="10" t="str">
        <f>IF(A202="","",CHOOSE(WEEKDAY(A202),"日","月","火","水","木","金","土"))</f>
        <v/>
      </c>
      <c r="C202" s="11" t="n"/>
      <c r="D202" s="12" t="n"/>
      <c r="E202" s="12" t="n"/>
      <c r="F202" s="13" t="n"/>
      <c r="G202" s="14">
        <f>IF(OR(A202="",C202&lt;&gt;"労働日"),0,MAX(0,MOD(E202-D202,1)*24-F202/60))</f>
        <v>0</v>
      </c>
      <c r="H202" s="15" t="str">
        <f>IF(A202="","",INT((A202-$B$4)/7)+1)</f>
        <v/>
      </c>
      <c r="I202" s="16">
        <f>IF(AND(A202&lt;&gt;"",C202="労働日"),I201+1,0)</f>
        <v>0</v>
      </c>
      <c r="J202" s="16">
        <f>IF(AND(A202&lt;&gt;"",ISNUMBER($B$7),ISNUMBER($B$8)),IF(AND(A202&gt;=$B$7,A202&lt;=$B$8),1,0),0)</f>
        <v>0</v>
      </c>
    </row>
    <row r="203">
      <c r="A203" s="9" t="str">
        <f>IF(ISNUMBER($B$4),IF(ISNUMBER($B$5),IF($B$4+191&lt;=$B$5,$B$4+191,""),""),"")</f>
        <v/>
      </c>
      <c r="B203" s="10" t="str">
        <f>IF(A203="","",CHOOSE(WEEKDAY(A203),"日","月","火","水","木","金","土"))</f>
        <v/>
      </c>
      <c r="C203" s="11" t="n"/>
      <c r="D203" s="12" t="n"/>
      <c r="E203" s="12" t="n"/>
      <c r="F203" s="13" t="n"/>
      <c r="G203" s="14">
        <f>IF(OR(A203="",C203&lt;&gt;"労働日"),0,MAX(0,MOD(E203-D203,1)*24-F203/60))</f>
        <v>0</v>
      </c>
      <c r="H203" s="15" t="str">
        <f>IF(A203="","",INT((A203-$B$4)/7)+1)</f>
        <v/>
      </c>
      <c r="I203" s="16">
        <f>IF(AND(A203&lt;&gt;"",C203="労働日"),I202+1,0)</f>
        <v>0</v>
      </c>
      <c r="J203" s="16">
        <f>IF(AND(A203&lt;&gt;"",ISNUMBER($B$7),ISNUMBER($B$8)),IF(AND(A203&gt;=$B$7,A203&lt;=$B$8),1,0),0)</f>
        <v>0</v>
      </c>
    </row>
    <row r="204">
      <c r="A204" s="9" t="str">
        <f>IF(ISNUMBER($B$4),IF(ISNUMBER($B$5),IF($B$4+192&lt;=$B$5,$B$4+192,""),""),"")</f>
        <v/>
      </c>
      <c r="B204" s="10" t="str">
        <f>IF(A204="","",CHOOSE(WEEKDAY(A204),"日","月","火","水","木","金","土"))</f>
        <v/>
      </c>
      <c r="C204" s="11" t="n"/>
      <c r="D204" s="12" t="n"/>
      <c r="E204" s="12" t="n"/>
      <c r="F204" s="13" t="n"/>
      <c r="G204" s="14">
        <f>IF(OR(A204="",C204&lt;&gt;"労働日"),0,MAX(0,MOD(E204-D204,1)*24-F204/60))</f>
        <v>0</v>
      </c>
      <c r="H204" s="15" t="str">
        <f>IF(A204="","",INT((A204-$B$4)/7)+1)</f>
        <v/>
      </c>
      <c r="I204" s="16">
        <f>IF(AND(A204&lt;&gt;"",C204="労働日"),I203+1,0)</f>
        <v>0</v>
      </c>
      <c r="J204" s="16">
        <f>IF(AND(A204&lt;&gt;"",ISNUMBER($B$7),ISNUMBER($B$8)),IF(AND(A204&gt;=$B$7,A204&lt;=$B$8),1,0),0)</f>
        <v>0</v>
      </c>
    </row>
    <row r="205">
      <c r="A205" s="9" t="str">
        <f>IF(ISNUMBER($B$4),IF(ISNUMBER($B$5),IF($B$4+193&lt;=$B$5,$B$4+193,""),""),"")</f>
        <v/>
      </c>
      <c r="B205" s="10" t="str">
        <f>IF(A205="","",CHOOSE(WEEKDAY(A205),"日","月","火","水","木","金","土"))</f>
        <v/>
      </c>
      <c r="C205" s="11" t="n"/>
      <c r="D205" s="12" t="n"/>
      <c r="E205" s="12" t="n"/>
      <c r="F205" s="13" t="n"/>
      <c r="G205" s="14">
        <f>IF(OR(A205="",C205&lt;&gt;"労働日"),0,MAX(0,MOD(E205-D205,1)*24-F205/60))</f>
        <v>0</v>
      </c>
      <c r="H205" s="15" t="str">
        <f>IF(A205="","",INT((A205-$B$4)/7)+1)</f>
        <v/>
      </c>
      <c r="I205" s="16">
        <f>IF(AND(A205&lt;&gt;"",C205="労働日"),I204+1,0)</f>
        <v>0</v>
      </c>
      <c r="J205" s="16">
        <f>IF(AND(A205&lt;&gt;"",ISNUMBER($B$7),ISNUMBER($B$8)),IF(AND(A205&gt;=$B$7,A205&lt;=$B$8),1,0),0)</f>
        <v>0</v>
      </c>
    </row>
    <row r="206">
      <c r="A206" s="9" t="str">
        <f>IF(ISNUMBER($B$4),IF(ISNUMBER($B$5),IF($B$4+194&lt;=$B$5,$B$4+194,""),""),"")</f>
        <v/>
      </c>
      <c r="B206" s="10" t="str">
        <f>IF(A206="","",CHOOSE(WEEKDAY(A206),"日","月","火","水","木","金","土"))</f>
        <v/>
      </c>
      <c r="C206" s="11" t="n"/>
      <c r="D206" s="12" t="n"/>
      <c r="E206" s="12" t="n"/>
      <c r="F206" s="13" t="n"/>
      <c r="G206" s="14">
        <f>IF(OR(A206="",C206&lt;&gt;"労働日"),0,MAX(0,MOD(E206-D206,1)*24-F206/60))</f>
        <v>0</v>
      </c>
      <c r="H206" s="15" t="str">
        <f>IF(A206="","",INT((A206-$B$4)/7)+1)</f>
        <v/>
      </c>
      <c r="I206" s="16">
        <f>IF(AND(A206&lt;&gt;"",C206="労働日"),I205+1,0)</f>
        <v>0</v>
      </c>
      <c r="J206" s="16">
        <f>IF(AND(A206&lt;&gt;"",ISNUMBER($B$7),ISNUMBER($B$8)),IF(AND(A206&gt;=$B$7,A206&lt;=$B$8),1,0),0)</f>
        <v>0</v>
      </c>
    </row>
    <row r="207">
      <c r="A207" s="9" t="str">
        <f>IF(ISNUMBER($B$4),IF(ISNUMBER($B$5),IF($B$4+195&lt;=$B$5,$B$4+195,""),""),"")</f>
        <v/>
      </c>
      <c r="B207" s="10" t="str">
        <f>IF(A207="","",CHOOSE(WEEKDAY(A207),"日","月","火","水","木","金","土"))</f>
        <v/>
      </c>
      <c r="C207" s="11" t="n"/>
      <c r="D207" s="12" t="n"/>
      <c r="E207" s="12" t="n"/>
      <c r="F207" s="13" t="n"/>
      <c r="G207" s="14">
        <f>IF(OR(A207="",C207&lt;&gt;"労働日"),0,MAX(0,MOD(E207-D207,1)*24-F207/60))</f>
        <v>0</v>
      </c>
      <c r="H207" s="15" t="str">
        <f>IF(A207="","",INT((A207-$B$4)/7)+1)</f>
        <v/>
      </c>
      <c r="I207" s="16">
        <f>IF(AND(A207&lt;&gt;"",C207="労働日"),I206+1,0)</f>
        <v>0</v>
      </c>
      <c r="J207" s="16">
        <f>IF(AND(A207&lt;&gt;"",ISNUMBER($B$7),ISNUMBER($B$8)),IF(AND(A207&gt;=$B$7,A207&lt;=$B$8),1,0),0)</f>
        <v>0</v>
      </c>
    </row>
    <row r="208">
      <c r="A208" s="9" t="str">
        <f>IF(ISNUMBER($B$4),IF(ISNUMBER($B$5),IF($B$4+196&lt;=$B$5,$B$4+196,""),""),"")</f>
        <v/>
      </c>
      <c r="B208" s="10" t="str">
        <f>IF(A208="","",CHOOSE(WEEKDAY(A208),"日","月","火","水","木","金","土"))</f>
        <v/>
      </c>
      <c r="C208" s="11" t="n"/>
      <c r="D208" s="12" t="n"/>
      <c r="E208" s="12" t="n"/>
      <c r="F208" s="13" t="n"/>
      <c r="G208" s="14">
        <f>IF(OR(A208="",C208&lt;&gt;"労働日"),0,MAX(0,MOD(E208-D208,1)*24-F208/60))</f>
        <v>0</v>
      </c>
      <c r="H208" s="15" t="str">
        <f>IF(A208="","",INT((A208-$B$4)/7)+1)</f>
        <v/>
      </c>
      <c r="I208" s="16">
        <f>IF(AND(A208&lt;&gt;"",C208="労働日"),I207+1,0)</f>
        <v>0</v>
      </c>
      <c r="J208" s="16">
        <f>IF(AND(A208&lt;&gt;"",ISNUMBER($B$7),ISNUMBER($B$8)),IF(AND(A208&gt;=$B$7,A208&lt;=$B$8),1,0),0)</f>
        <v>0</v>
      </c>
    </row>
    <row r="209">
      <c r="A209" s="9" t="str">
        <f>IF(ISNUMBER($B$4),IF(ISNUMBER($B$5),IF($B$4+197&lt;=$B$5,$B$4+197,""),""),"")</f>
        <v/>
      </c>
      <c r="B209" s="10" t="str">
        <f>IF(A209="","",CHOOSE(WEEKDAY(A209),"日","月","火","水","木","金","土"))</f>
        <v/>
      </c>
      <c r="C209" s="11" t="n"/>
      <c r="D209" s="12" t="n"/>
      <c r="E209" s="12" t="n"/>
      <c r="F209" s="13" t="n"/>
      <c r="G209" s="14">
        <f>IF(OR(A209="",C209&lt;&gt;"労働日"),0,MAX(0,MOD(E209-D209,1)*24-F209/60))</f>
        <v>0</v>
      </c>
      <c r="H209" s="15" t="str">
        <f>IF(A209="","",INT((A209-$B$4)/7)+1)</f>
        <v/>
      </c>
      <c r="I209" s="16">
        <f>IF(AND(A209&lt;&gt;"",C209="労働日"),I208+1,0)</f>
        <v>0</v>
      </c>
      <c r="J209" s="16">
        <f>IF(AND(A209&lt;&gt;"",ISNUMBER($B$7),ISNUMBER($B$8)),IF(AND(A209&gt;=$B$7,A209&lt;=$B$8),1,0),0)</f>
        <v>0</v>
      </c>
    </row>
    <row r="210">
      <c r="A210" s="9" t="str">
        <f>IF(ISNUMBER($B$4),IF(ISNUMBER($B$5),IF($B$4+198&lt;=$B$5,$B$4+198,""),""),"")</f>
        <v/>
      </c>
      <c r="B210" s="10" t="str">
        <f>IF(A210="","",CHOOSE(WEEKDAY(A210),"日","月","火","水","木","金","土"))</f>
        <v/>
      </c>
      <c r="C210" s="11" t="n"/>
      <c r="D210" s="12" t="n"/>
      <c r="E210" s="12" t="n"/>
      <c r="F210" s="13" t="n"/>
      <c r="G210" s="14">
        <f>IF(OR(A210="",C210&lt;&gt;"労働日"),0,MAX(0,MOD(E210-D210,1)*24-F210/60))</f>
        <v>0</v>
      </c>
      <c r="H210" s="15" t="str">
        <f>IF(A210="","",INT((A210-$B$4)/7)+1)</f>
        <v/>
      </c>
      <c r="I210" s="16">
        <f>IF(AND(A210&lt;&gt;"",C210="労働日"),I209+1,0)</f>
        <v>0</v>
      </c>
      <c r="J210" s="16">
        <f>IF(AND(A210&lt;&gt;"",ISNUMBER($B$7),ISNUMBER($B$8)),IF(AND(A210&gt;=$B$7,A210&lt;=$B$8),1,0),0)</f>
        <v>0</v>
      </c>
    </row>
    <row r="211">
      <c r="A211" s="9" t="str">
        <f>IF(ISNUMBER($B$4),IF(ISNUMBER($B$5),IF($B$4+199&lt;=$B$5,$B$4+199,""),""),"")</f>
        <v/>
      </c>
      <c r="B211" s="10" t="str">
        <f>IF(A211="","",CHOOSE(WEEKDAY(A211),"日","月","火","水","木","金","土"))</f>
        <v/>
      </c>
      <c r="C211" s="11" t="n"/>
      <c r="D211" s="12" t="n"/>
      <c r="E211" s="12" t="n"/>
      <c r="F211" s="13" t="n"/>
      <c r="G211" s="14">
        <f>IF(OR(A211="",C211&lt;&gt;"労働日"),0,MAX(0,MOD(E211-D211,1)*24-F211/60))</f>
        <v>0</v>
      </c>
      <c r="H211" s="15" t="str">
        <f>IF(A211="","",INT((A211-$B$4)/7)+1)</f>
        <v/>
      </c>
      <c r="I211" s="16">
        <f>IF(AND(A211&lt;&gt;"",C211="労働日"),I210+1,0)</f>
        <v>0</v>
      </c>
      <c r="J211" s="16">
        <f>IF(AND(A211&lt;&gt;"",ISNUMBER($B$7),ISNUMBER($B$8)),IF(AND(A211&gt;=$B$7,A211&lt;=$B$8),1,0),0)</f>
        <v>0</v>
      </c>
    </row>
    <row r="212">
      <c r="A212" s="9" t="str">
        <f>IF(ISNUMBER($B$4),IF(ISNUMBER($B$5),IF($B$4+200&lt;=$B$5,$B$4+200,""),""),"")</f>
        <v/>
      </c>
      <c r="B212" s="10" t="str">
        <f>IF(A212="","",CHOOSE(WEEKDAY(A212),"日","月","火","水","木","金","土"))</f>
        <v/>
      </c>
      <c r="C212" s="11" t="n"/>
      <c r="D212" s="12" t="n"/>
      <c r="E212" s="12" t="n"/>
      <c r="F212" s="13" t="n"/>
      <c r="G212" s="14">
        <f>IF(OR(A212="",C212&lt;&gt;"労働日"),0,MAX(0,MOD(E212-D212,1)*24-F212/60))</f>
        <v>0</v>
      </c>
      <c r="H212" s="15" t="str">
        <f>IF(A212="","",INT((A212-$B$4)/7)+1)</f>
        <v/>
      </c>
      <c r="I212" s="16">
        <f>IF(AND(A212&lt;&gt;"",C212="労働日"),I211+1,0)</f>
        <v>0</v>
      </c>
      <c r="J212" s="16">
        <f>IF(AND(A212&lt;&gt;"",ISNUMBER($B$7),ISNUMBER($B$8)),IF(AND(A212&gt;=$B$7,A212&lt;=$B$8),1,0),0)</f>
        <v>0</v>
      </c>
    </row>
    <row r="213">
      <c r="A213" s="9" t="str">
        <f>IF(ISNUMBER($B$4),IF(ISNUMBER($B$5),IF($B$4+201&lt;=$B$5,$B$4+201,""),""),"")</f>
        <v/>
      </c>
      <c r="B213" s="10" t="str">
        <f>IF(A213="","",CHOOSE(WEEKDAY(A213),"日","月","火","水","木","金","土"))</f>
        <v/>
      </c>
      <c r="C213" s="11" t="n"/>
      <c r="D213" s="12" t="n"/>
      <c r="E213" s="12" t="n"/>
      <c r="F213" s="13" t="n"/>
      <c r="G213" s="14">
        <f>IF(OR(A213="",C213&lt;&gt;"労働日"),0,MAX(0,MOD(E213-D213,1)*24-F213/60))</f>
        <v>0</v>
      </c>
      <c r="H213" s="15" t="str">
        <f>IF(A213="","",INT((A213-$B$4)/7)+1)</f>
        <v/>
      </c>
      <c r="I213" s="16">
        <f>IF(AND(A213&lt;&gt;"",C213="労働日"),I212+1,0)</f>
        <v>0</v>
      </c>
      <c r="J213" s="16">
        <f>IF(AND(A213&lt;&gt;"",ISNUMBER($B$7),ISNUMBER($B$8)),IF(AND(A213&gt;=$B$7,A213&lt;=$B$8),1,0),0)</f>
        <v>0</v>
      </c>
    </row>
    <row r="214">
      <c r="A214" s="9" t="str">
        <f>IF(ISNUMBER($B$4),IF(ISNUMBER($B$5),IF($B$4+202&lt;=$B$5,$B$4+202,""),""),"")</f>
        <v/>
      </c>
      <c r="B214" s="10" t="str">
        <f>IF(A214="","",CHOOSE(WEEKDAY(A214),"日","月","火","水","木","金","土"))</f>
        <v/>
      </c>
      <c r="C214" s="11" t="n"/>
      <c r="D214" s="12" t="n"/>
      <c r="E214" s="12" t="n"/>
      <c r="F214" s="13" t="n"/>
      <c r="G214" s="14">
        <f>IF(OR(A214="",C214&lt;&gt;"労働日"),0,MAX(0,MOD(E214-D214,1)*24-F214/60))</f>
        <v>0</v>
      </c>
      <c r="H214" s="15" t="str">
        <f>IF(A214="","",INT((A214-$B$4)/7)+1)</f>
        <v/>
      </c>
      <c r="I214" s="16">
        <f>IF(AND(A214&lt;&gt;"",C214="労働日"),I213+1,0)</f>
        <v>0</v>
      </c>
      <c r="J214" s="16">
        <f>IF(AND(A214&lt;&gt;"",ISNUMBER($B$7),ISNUMBER($B$8)),IF(AND(A214&gt;=$B$7,A214&lt;=$B$8),1,0),0)</f>
        <v>0</v>
      </c>
    </row>
    <row r="215">
      <c r="A215" s="9" t="str">
        <f>IF(ISNUMBER($B$4),IF(ISNUMBER($B$5),IF($B$4+203&lt;=$B$5,$B$4+203,""),""),"")</f>
        <v/>
      </c>
      <c r="B215" s="10" t="str">
        <f>IF(A215="","",CHOOSE(WEEKDAY(A215),"日","月","火","水","木","金","土"))</f>
        <v/>
      </c>
      <c r="C215" s="11" t="n"/>
      <c r="D215" s="12" t="n"/>
      <c r="E215" s="12" t="n"/>
      <c r="F215" s="13" t="n"/>
      <c r="G215" s="14">
        <f>IF(OR(A215="",C215&lt;&gt;"労働日"),0,MAX(0,MOD(E215-D215,1)*24-F215/60))</f>
        <v>0</v>
      </c>
      <c r="H215" s="15" t="str">
        <f>IF(A215="","",INT((A215-$B$4)/7)+1)</f>
        <v/>
      </c>
      <c r="I215" s="16">
        <f>IF(AND(A215&lt;&gt;"",C215="労働日"),I214+1,0)</f>
        <v>0</v>
      </c>
      <c r="J215" s="16">
        <f>IF(AND(A215&lt;&gt;"",ISNUMBER($B$7),ISNUMBER($B$8)),IF(AND(A215&gt;=$B$7,A215&lt;=$B$8),1,0),0)</f>
        <v>0</v>
      </c>
    </row>
    <row r="216">
      <c r="A216" s="9" t="str">
        <f>IF(ISNUMBER($B$4),IF(ISNUMBER($B$5),IF($B$4+204&lt;=$B$5,$B$4+204,""),""),"")</f>
        <v/>
      </c>
      <c r="B216" s="10" t="str">
        <f>IF(A216="","",CHOOSE(WEEKDAY(A216),"日","月","火","水","木","金","土"))</f>
        <v/>
      </c>
      <c r="C216" s="11" t="n"/>
      <c r="D216" s="12" t="n"/>
      <c r="E216" s="12" t="n"/>
      <c r="F216" s="13" t="n"/>
      <c r="G216" s="14">
        <f>IF(OR(A216="",C216&lt;&gt;"労働日"),0,MAX(0,MOD(E216-D216,1)*24-F216/60))</f>
        <v>0</v>
      </c>
      <c r="H216" s="15" t="str">
        <f>IF(A216="","",INT((A216-$B$4)/7)+1)</f>
        <v/>
      </c>
      <c r="I216" s="16">
        <f>IF(AND(A216&lt;&gt;"",C216="労働日"),I215+1,0)</f>
        <v>0</v>
      </c>
      <c r="J216" s="16">
        <f>IF(AND(A216&lt;&gt;"",ISNUMBER($B$7),ISNUMBER($B$8)),IF(AND(A216&gt;=$B$7,A216&lt;=$B$8),1,0),0)</f>
        <v>0</v>
      </c>
    </row>
    <row r="217">
      <c r="A217" s="9" t="str">
        <f>IF(ISNUMBER($B$4),IF(ISNUMBER($B$5),IF($B$4+205&lt;=$B$5,$B$4+205,""),""),"")</f>
        <v/>
      </c>
      <c r="B217" s="10" t="str">
        <f>IF(A217="","",CHOOSE(WEEKDAY(A217),"日","月","火","水","木","金","土"))</f>
        <v/>
      </c>
      <c r="C217" s="11" t="n"/>
      <c r="D217" s="12" t="n"/>
      <c r="E217" s="12" t="n"/>
      <c r="F217" s="13" t="n"/>
      <c r="G217" s="14">
        <f>IF(OR(A217="",C217&lt;&gt;"労働日"),0,MAX(0,MOD(E217-D217,1)*24-F217/60))</f>
        <v>0</v>
      </c>
      <c r="H217" s="15" t="str">
        <f>IF(A217="","",INT((A217-$B$4)/7)+1)</f>
        <v/>
      </c>
      <c r="I217" s="16">
        <f>IF(AND(A217&lt;&gt;"",C217="労働日"),I216+1,0)</f>
        <v>0</v>
      </c>
      <c r="J217" s="16">
        <f>IF(AND(A217&lt;&gt;"",ISNUMBER($B$7),ISNUMBER($B$8)),IF(AND(A217&gt;=$B$7,A217&lt;=$B$8),1,0),0)</f>
        <v>0</v>
      </c>
    </row>
    <row r="218">
      <c r="A218" s="9" t="str">
        <f>IF(ISNUMBER($B$4),IF(ISNUMBER($B$5),IF($B$4+206&lt;=$B$5,$B$4+206,""),""),"")</f>
        <v/>
      </c>
      <c r="B218" s="10" t="str">
        <f>IF(A218="","",CHOOSE(WEEKDAY(A218),"日","月","火","水","木","金","土"))</f>
        <v/>
      </c>
      <c r="C218" s="11" t="n"/>
      <c r="D218" s="12" t="n"/>
      <c r="E218" s="12" t="n"/>
      <c r="F218" s="13" t="n"/>
      <c r="G218" s="14">
        <f>IF(OR(A218="",C218&lt;&gt;"労働日"),0,MAX(0,MOD(E218-D218,1)*24-F218/60))</f>
        <v>0</v>
      </c>
      <c r="H218" s="15" t="str">
        <f>IF(A218="","",INT((A218-$B$4)/7)+1)</f>
        <v/>
      </c>
      <c r="I218" s="16">
        <f>IF(AND(A218&lt;&gt;"",C218="労働日"),I217+1,0)</f>
        <v>0</v>
      </c>
      <c r="J218" s="16">
        <f>IF(AND(A218&lt;&gt;"",ISNUMBER($B$7),ISNUMBER($B$8)),IF(AND(A218&gt;=$B$7,A218&lt;=$B$8),1,0),0)</f>
        <v>0</v>
      </c>
    </row>
    <row r="219">
      <c r="A219" s="9" t="str">
        <f>IF(ISNUMBER($B$4),IF(ISNUMBER($B$5),IF($B$4+207&lt;=$B$5,$B$4+207,""),""),"")</f>
        <v/>
      </c>
      <c r="B219" s="10" t="str">
        <f>IF(A219="","",CHOOSE(WEEKDAY(A219),"日","月","火","水","木","金","土"))</f>
        <v/>
      </c>
      <c r="C219" s="11" t="n"/>
      <c r="D219" s="12" t="n"/>
      <c r="E219" s="12" t="n"/>
      <c r="F219" s="13" t="n"/>
      <c r="G219" s="14">
        <f>IF(OR(A219="",C219&lt;&gt;"労働日"),0,MAX(0,MOD(E219-D219,1)*24-F219/60))</f>
        <v>0</v>
      </c>
      <c r="H219" s="15" t="str">
        <f>IF(A219="","",INT((A219-$B$4)/7)+1)</f>
        <v/>
      </c>
      <c r="I219" s="16">
        <f>IF(AND(A219&lt;&gt;"",C219="労働日"),I218+1,0)</f>
        <v>0</v>
      </c>
      <c r="J219" s="16">
        <f>IF(AND(A219&lt;&gt;"",ISNUMBER($B$7),ISNUMBER($B$8)),IF(AND(A219&gt;=$B$7,A219&lt;=$B$8),1,0),0)</f>
        <v>0</v>
      </c>
    </row>
    <row r="220">
      <c r="A220" s="9" t="str">
        <f>IF(ISNUMBER($B$4),IF(ISNUMBER($B$5),IF($B$4+208&lt;=$B$5,$B$4+208,""),""),"")</f>
        <v/>
      </c>
      <c r="B220" s="10" t="str">
        <f>IF(A220="","",CHOOSE(WEEKDAY(A220),"日","月","火","水","木","金","土"))</f>
        <v/>
      </c>
      <c r="C220" s="11" t="n"/>
      <c r="D220" s="12" t="n"/>
      <c r="E220" s="12" t="n"/>
      <c r="F220" s="13" t="n"/>
      <c r="G220" s="14">
        <f>IF(OR(A220="",C220&lt;&gt;"労働日"),0,MAX(0,MOD(E220-D220,1)*24-F220/60))</f>
        <v>0</v>
      </c>
      <c r="H220" s="15" t="str">
        <f>IF(A220="","",INT((A220-$B$4)/7)+1)</f>
        <v/>
      </c>
      <c r="I220" s="16">
        <f>IF(AND(A220&lt;&gt;"",C220="労働日"),I219+1,0)</f>
        <v>0</v>
      </c>
      <c r="J220" s="16">
        <f>IF(AND(A220&lt;&gt;"",ISNUMBER($B$7),ISNUMBER($B$8)),IF(AND(A220&gt;=$B$7,A220&lt;=$B$8),1,0),0)</f>
        <v>0</v>
      </c>
    </row>
    <row r="221">
      <c r="A221" s="9" t="str">
        <f>IF(ISNUMBER($B$4),IF(ISNUMBER($B$5),IF($B$4+209&lt;=$B$5,$B$4+209,""),""),"")</f>
        <v/>
      </c>
      <c r="B221" s="10" t="str">
        <f>IF(A221="","",CHOOSE(WEEKDAY(A221),"日","月","火","水","木","金","土"))</f>
        <v/>
      </c>
      <c r="C221" s="11" t="n"/>
      <c r="D221" s="12" t="n"/>
      <c r="E221" s="12" t="n"/>
      <c r="F221" s="13" t="n"/>
      <c r="G221" s="14">
        <f>IF(OR(A221="",C221&lt;&gt;"労働日"),0,MAX(0,MOD(E221-D221,1)*24-F221/60))</f>
        <v>0</v>
      </c>
      <c r="H221" s="15" t="str">
        <f>IF(A221="","",INT((A221-$B$4)/7)+1)</f>
        <v/>
      </c>
      <c r="I221" s="16">
        <f>IF(AND(A221&lt;&gt;"",C221="労働日"),I220+1,0)</f>
        <v>0</v>
      </c>
      <c r="J221" s="16">
        <f>IF(AND(A221&lt;&gt;"",ISNUMBER($B$7),ISNUMBER($B$8)),IF(AND(A221&gt;=$B$7,A221&lt;=$B$8),1,0),0)</f>
        <v>0</v>
      </c>
    </row>
    <row r="222">
      <c r="A222" s="9" t="str">
        <f>IF(ISNUMBER($B$4),IF(ISNUMBER($B$5),IF($B$4+210&lt;=$B$5,$B$4+210,""),""),"")</f>
        <v/>
      </c>
      <c r="B222" s="10" t="str">
        <f>IF(A222="","",CHOOSE(WEEKDAY(A222),"日","月","火","水","木","金","土"))</f>
        <v/>
      </c>
      <c r="C222" s="11" t="n"/>
      <c r="D222" s="12" t="n"/>
      <c r="E222" s="12" t="n"/>
      <c r="F222" s="13" t="n"/>
      <c r="G222" s="14">
        <f>IF(OR(A222="",C222&lt;&gt;"労働日"),0,MAX(0,MOD(E222-D222,1)*24-F222/60))</f>
        <v>0</v>
      </c>
      <c r="H222" s="15" t="str">
        <f>IF(A222="","",INT((A222-$B$4)/7)+1)</f>
        <v/>
      </c>
      <c r="I222" s="16">
        <f>IF(AND(A222&lt;&gt;"",C222="労働日"),I221+1,0)</f>
        <v>0</v>
      </c>
      <c r="J222" s="16">
        <f>IF(AND(A222&lt;&gt;"",ISNUMBER($B$7),ISNUMBER($B$8)),IF(AND(A222&gt;=$B$7,A222&lt;=$B$8),1,0),0)</f>
        <v>0</v>
      </c>
    </row>
    <row r="223">
      <c r="A223" s="9" t="str">
        <f>IF(ISNUMBER($B$4),IF(ISNUMBER($B$5),IF($B$4+211&lt;=$B$5,$B$4+211,""),""),"")</f>
        <v/>
      </c>
      <c r="B223" s="10" t="str">
        <f>IF(A223="","",CHOOSE(WEEKDAY(A223),"日","月","火","水","木","金","土"))</f>
        <v/>
      </c>
      <c r="C223" s="11" t="n"/>
      <c r="D223" s="12" t="n"/>
      <c r="E223" s="12" t="n"/>
      <c r="F223" s="13" t="n"/>
      <c r="G223" s="14">
        <f>IF(OR(A223="",C223&lt;&gt;"労働日"),0,MAX(0,MOD(E223-D223,1)*24-F223/60))</f>
        <v>0</v>
      </c>
      <c r="H223" s="15" t="str">
        <f>IF(A223="","",INT((A223-$B$4)/7)+1)</f>
        <v/>
      </c>
      <c r="I223" s="16">
        <f>IF(AND(A223&lt;&gt;"",C223="労働日"),I222+1,0)</f>
        <v>0</v>
      </c>
      <c r="J223" s="16">
        <f>IF(AND(A223&lt;&gt;"",ISNUMBER($B$7),ISNUMBER($B$8)),IF(AND(A223&gt;=$B$7,A223&lt;=$B$8),1,0),0)</f>
        <v>0</v>
      </c>
    </row>
    <row r="224">
      <c r="A224" s="9" t="str">
        <f>IF(ISNUMBER($B$4),IF(ISNUMBER($B$5),IF($B$4+212&lt;=$B$5,$B$4+212,""),""),"")</f>
        <v/>
      </c>
      <c r="B224" s="10" t="str">
        <f>IF(A224="","",CHOOSE(WEEKDAY(A224),"日","月","火","水","木","金","土"))</f>
        <v/>
      </c>
      <c r="C224" s="11" t="n"/>
      <c r="D224" s="12" t="n"/>
      <c r="E224" s="12" t="n"/>
      <c r="F224" s="13" t="n"/>
      <c r="G224" s="14">
        <f>IF(OR(A224="",C224&lt;&gt;"労働日"),0,MAX(0,MOD(E224-D224,1)*24-F224/60))</f>
        <v>0</v>
      </c>
      <c r="H224" s="15" t="str">
        <f>IF(A224="","",INT((A224-$B$4)/7)+1)</f>
        <v/>
      </c>
      <c r="I224" s="16">
        <f>IF(AND(A224&lt;&gt;"",C224="労働日"),I223+1,0)</f>
        <v>0</v>
      </c>
      <c r="J224" s="16">
        <f>IF(AND(A224&lt;&gt;"",ISNUMBER($B$7),ISNUMBER($B$8)),IF(AND(A224&gt;=$B$7,A224&lt;=$B$8),1,0),0)</f>
        <v>0</v>
      </c>
    </row>
    <row r="225">
      <c r="A225" s="9" t="str">
        <f>IF(ISNUMBER($B$4),IF(ISNUMBER($B$5),IF($B$4+213&lt;=$B$5,$B$4+213,""),""),"")</f>
        <v/>
      </c>
      <c r="B225" s="10" t="str">
        <f>IF(A225="","",CHOOSE(WEEKDAY(A225),"日","月","火","水","木","金","土"))</f>
        <v/>
      </c>
      <c r="C225" s="11" t="n"/>
      <c r="D225" s="12" t="n"/>
      <c r="E225" s="12" t="n"/>
      <c r="F225" s="13" t="n"/>
      <c r="G225" s="14">
        <f>IF(OR(A225="",C225&lt;&gt;"労働日"),0,MAX(0,MOD(E225-D225,1)*24-F225/60))</f>
        <v>0</v>
      </c>
      <c r="H225" s="15" t="str">
        <f>IF(A225="","",INT((A225-$B$4)/7)+1)</f>
        <v/>
      </c>
      <c r="I225" s="16">
        <f>IF(AND(A225&lt;&gt;"",C225="労働日"),I224+1,0)</f>
        <v>0</v>
      </c>
      <c r="J225" s="16">
        <f>IF(AND(A225&lt;&gt;"",ISNUMBER($B$7),ISNUMBER($B$8)),IF(AND(A225&gt;=$B$7,A225&lt;=$B$8),1,0),0)</f>
        <v>0</v>
      </c>
    </row>
    <row r="226">
      <c r="A226" s="9" t="str">
        <f>IF(ISNUMBER($B$4),IF(ISNUMBER($B$5),IF($B$4+214&lt;=$B$5,$B$4+214,""),""),"")</f>
        <v/>
      </c>
      <c r="B226" s="10" t="str">
        <f>IF(A226="","",CHOOSE(WEEKDAY(A226),"日","月","火","水","木","金","土"))</f>
        <v/>
      </c>
      <c r="C226" s="11" t="n"/>
      <c r="D226" s="12" t="n"/>
      <c r="E226" s="12" t="n"/>
      <c r="F226" s="13" t="n"/>
      <c r="G226" s="14">
        <f>IF(OR(A226="",C226&lt;&gt;"労働日"),0,MAX(0,MOD(E226-D226,1)*24-F226/60))</f>
        <v>0</v>
      </c>
      <c r="H226" s="15" t="str">
        <f>IF(A226="","",INT((A226-$B$4)/7)+1)</f>
        <v/>
      </c>
      <c r="I226" s="16">
        <f>IF(AND(A226&lt;&gt;"",C226="労働日"),I225+1,0)</f>
        <v>0</v>
      </c>
      <c r="J226" s="16">
        <f>IF(AND(A226&lt;&gt;"",ISNUMBER($B$7),ISNUMBER($B$8)),IF(AND(A226&gt;=$B$7,A226&lt;=$B$8),1,0),0)</f>
        <v>0</v>
      </c>
    </row>
    <row r="227">
      <c r="A227" s="9" t="str">
        <f>IF(ISNUMBER($B$4),IF(ISNUMBER($B$5),IF($B$4+215&lt;=$B$5,$B$4+215,""),""),"")</f>
        <v/>
      </c>
      <c r="B227" s="10" t="str">
        <f>IF(A227="","",CHOOSE(WEEKDAY(A227),"日","月","火","水","木","金","土"))</f>
        <v/>
      </c>
      <c r="C227" s="11" t="n"/>
      <c r="D227" s="12" t="n"/>
      <c r="E227" s="12" t="n"/>
      <c r="F227" s="13" t="n"/>
      <c r="G227" s="14">
        <f>IF(OR(A227="",C227&lt;&gt;"労働日"),0,MAX(0,MOD(E227-D227,1)*24-F227/60))</f>
        <v>0</v>
      </c>
      <c r="H227" s="15" t="str">
        <f>IF(A227="","",INT((A227-$B$4)/7)+1)</f>
        <v/>
      </c>
      <c r="I227" s="16">
        <f>IF(AND(A227&lt;&gt;"",C227="労働日"),I226+1,0)</f>
        <v>0</v>
      </c>
      <c r="J227" s="16">
        <f>IF(AND(A227&lt;&gt;"",ISNUMBER($B$7),ISNUMBER($B$8)),IF(AND(A227&gt;=$B$7,A227&lt;=$B$8),1,0),0)</f>
        <v>0</v>
      </c>
    </row>
    <row r="228">
      <c r="A228" s="9" t="str">
        <f>IF(ISNUMBER($B$4),IF(ISNUMBER($B$5),IF($B$4+216&lt;=$B$5,$B$4+216,""),""),"")</f>
        <v/>
      </c>
      <c r="B228" s="10" t="str">
        <f>IF(A228="","",CHOOSE(WEEKDAY(A228),"日","月","火","水","木","金","土"))</f>
        <v/>
      </c>
      <c r="C228" s="11" t="n"/>
      <c r="D228" s="12" t="n"/>
      <c r="E228" s="12" t="n"/>
      <c r="F228" s="13" t="n"/>
      <c r="G228" s="14">
        <f>IF(OR(A228="",C228&lt;&gt;"労働日"),0,MAX(0,MOD(E228-D228,1)*24-F228/60))</f>
        <v>0</v>
      </c>
      <c r="H228" s="15" t="str">
        <f>IF(A228="","",INT((A228-$B$4)/7)+1)</f>
        <v/>
      </c>
      <c r="I228" s="16">
        <f>IF(AND(A228&lt;&gt;"",C228="労働日"),I227+1,0)</f>
        <v>0</v>
      </c>
      <c r="J228" s="16">
        <f>IF(AND(A228&lt;&gt;"",ISNUMBER($B$7),ISNUMBER($B$8)),IF(AND(A228&gt;=$B$7,A228&lt;=$B$8),1,0),0)</f>
        <v>0</v>
      </c>
    </row>
    <row r="229">
      <c r="A229" s="9" t="str">
        <f>IF(ISNUMBER($B$4),IF(ISNUMBER($B$5),IF($B$4+217&lt;=$B$5,$B$4+217,""),""),"")</f>
        <v/>
      </c>
      <c r="B229" s="10" t="str">
        <f>IF(A229="","",CHOOSE(WEEKDAY(A229),"日","月","火","水","木","金","土"))</f>
        <v/>
      </c>
      <c r="C229" s="11" t="n"/>
      <c r="D229" s="12" t="n"/>
      <c r="E229" s="12" t="n"/>
      <c r="F229" s="13" t="n"/>
      <c r="G229" s="14">
        <f>IF(OR(A229="",C229&lt;&gt;"労働日"),0,MAX(0,MOD(E229-D229,1)*24-F229/60))</f>
        <v>0</v>
      </c>
      <c r="H229" s="15" t="str">
        <f>IF(A229="","",INT((A229-$B$4)/7)+1)</f>
        <v/>
      </c>
      <c r="I229" s="16">
        <f>IF(AND(A229&lt;&gt;"",C229="労働日"),I228+1,0)</f>
        <v>0</v>
      </c>
      <c r="J229" s="16">
        <f>IF(AND(A229&lt;&gt;"",ISNUMBER($B$7),ISNUMBER($B$8)),IF(AND(A229&gt;=$B$7,A229&lt;=$B$8),1,0),0)</f>
        <v>0</v>
      </c>
    </row>
    <row r="230">
      <c r="A230" s="9" t="str">
        <f>IF(ISNUMBER($B$4),IF(ISNUMBER($B$5),IF($B$4+218&lt;=$B$5,$B$4+218,""),""),"")</f>
        <v/>
      </c>
      <c r="B230" s="10" t="str">
        <f>IF(A230="","",CHOOSE(WEEKDAY(A230),"日","月","火","水","木","金","土"))</f>
        <v/>
      </c>
      <c r="C230" s="11" t="n"/>
      <c r="D230" s="12" t="n"/>
      <c r="E230" s="12" t="n"/>
      <c r="F230" s="13" t="n"/>
      <c r="G230" s="14">
        <f>IF(OR(A230="",C230&lt;&gt;"労働日"),0,MAX(0,MOD(E230-D230,1)*24-F230/60))</f>
        <v>0</v>
      </c>
      <c r="H230" s="15" t="str">
        <f>IF(A230="","",INT((A230-$B$4)/7)+1)</f>
        <v/>
      </c>
      <c r="I230" s="16">
        <f>IF(AND(A230&lt;&gt;"",C230="労働日"),I229+1,0)</f>
        <v>0</v>
      </c>
      <c r="J230" s="16">
        <f>IF(AND(A230&lt;&gt;"",ISNUMBER($B$7),ISNUMBER($B$8)),IF(AND(A230&gt;=$B$7,A230&lt;=$B$8),1,0),0)</f>
        <v>0</v>
      </c>
    </row>
    <row r="231">
      <c r="A231" s="9" t="str">
        <f>IF(ISNUMBER($B$4),IF(ISNUMBER($B$5),IF($B$4+219&lt;=$B$5,$B$4+219,""),""),"")</f>
        <v/>
      </c>
      <c r="B231" s="10" t="str">
        <f>IF(A231="","",CHOOSE(WEEKDAY(A231),"日","月","火","水","木","金","土"))</f>
        <v/>
      </c>
      <c r="C231" s="11" t="n"/>
      <c r="D231" s="12" t="n"/>
      <c r="E231" s="12" t="n"/>
      <c r="F231" s="13" t="n"/>
      <c r="G231" s="14">
        <f>IF(OR(A231="",C231&lt;&gt;"労働日"),0,MAX(0,MOD(E231-D231,1)*24-F231/60))</f>
        <v>0</v>
      </c>
      <c r="H231" s="15" t="str">
        <f>IF(A231="","",INT((A231-$B$4)/7)+1)</f>
        <v/>
      </c>
      <c r="I231" s="16">
        <f>IF(AND(A231&lt;&gt;"",C231="労働日"),I230+1,0)</f>
        <v>0</v>
      </c>
      <c r="J231" s="16">
        <f>IF(AND(A231&lt;&gt;"",ISNUMBER($B$7),ISNUMBER($B$8)),IF(AND(A231&gt;=$B$7,A231&lt;=$B$8),1,0),0)</f>
        <v>0</v>
      </c>
    </row>
    <row r="232">
      <c r="A232" s="9" t="str">
        <f>IF(ISNUMBER($B$4),IF(ISNUMBER($B$5),IF($B$4+220&lt;=$B$5,$B$4+220,""),""),"")</f>
        <v/>
      </c>
      <c r="B232" s="10" t="str">
        <f>IF(A232="","",CHOOSE(WEEKDAY(A232),"日","月","火","水","木","金","土"))</f>
        <v/>
      </c>
      <c r="C232" s="11" t="n"/>
      <c r="D232" s="12" t="n"/>
      <c r="E232" s="12" t="n"/>
      <c r="F232" s="13" t="n"/>
      <c r="G232" s="14">
        <f>IF(OR(A232="",C232&lt;&gt;"労働日"),0,MAX(0,MOD(E232-D232,1)*24-F232/60))</f>
        <v>0</v>
      </c>
      <c r="H232" s="15" t="str">
        <f>IF(A232="","",INT((A232-$B$4)/7)+1)</f>
        <v/>
      </c>
      <c r="I232" s="16">
        <f>IF(AND(A232&lt;&gt;"",C232="労働日"),I231+1,0)</f>
        <v>0</v>
      </c>
      <c r="J232" s="16">
        <f>IF(AND(A232&lt;&gt;"",ISNUMBER($B$7),ISNUMBER($B$8)),IF(AND(A232&gt;=$B$7,A232&lt;=$B$8),1,0),0)</f>
        <v>0</v>
      </c>
    </row>
    <row r="233">
      <c r="A233" s="9" t="str">
        <f>IF(ISNUMBER($B$4),IF(ISNUMBER($B$5),IF($B$4+221&lt;=$B$5,$B$4+221,""),""),"")</f>
        <v/>
      </c>
      <c r="B233" s="10" t="str">
        <f>IF(A233="","",CHOOSE(WEEKDAY(A233),"日","月","火","水","木","金","土"))</f>
        <v/>
      </c>
      <c r="C233" s="11" t="n"/>
      <c r="D233" s="12" t="n"/>
      <c r="E233" s="12" t="n"/>
      <c r="F233" s="13" t="n"/>
      <c r="G233" s="14">
        <f>IF(OR(A233="",C233&lt;&gt;"労働日"),0,MAX(0,MOD(E233-D233,1)*24-F233/60))</f>
        <v>0</v>
      </c>
      <c r="H233" s="15" t="str">
        <f>IF(A233="","",INT((A233-$B$4)/7)+1)</f>
        <v/>
      </c>
      <c r="I233" s="16">
        <f>IF(AND(A233&lt;&gt;"",C233="労働日"),I232+1,0)</f>
        <v>0</v>
      </c>
      <c r="J233" s="16">
        <f>IF(AND(A233&lt;&gt;"",ISNUMBER($B$7),ISNUMBER($B$8)),IF(AND(A233&gt;=$B$7,A233&lt;=$B$8),1,0),0)</f>
        <v>0</v>
      </c>
    </row>
    <row r="234">
      <c r="A234" s="9" t="str">
        <f>IF(ISNUMBER($B$4),IF(ISNUMBER($B$5),IF($B$4+222&lt;=$B$5,$B$4+222,""),""),"")</f>
        <v/>
      </c>
      <c r="B234" s="10" t="str">
        <f>IF(A234="","",CHOOSE(WEEKDAY(A234),"日","月","火","水","木","金","土"))</f>
        <v/>
      </c>
      <c r="C234" s="11" t="n"/>
      <c r="D234" s="12" t="n"/>
      <c r="E234" s="12" t="n"/>
      <c r="F234" s="13" t="n"/>
      <c r="G234" s="14">
        <f>IF(OR(A234="",C234&lt;&gt;"労働日"),0,MAX(0,MOD(E234-D234,1)*24-F234/60))</f>
        <v>0</v>
      </c>
      <c r="H234" s="15" t="str">
        <f>IF(A234="","",INT((A234-$B$4)/7)+1)</f>
        <v/>
      </c>
      <c r="I234" s="16">
        <f>IF(AND(A234&lt;&gt;"",C234="労働日"),I233+1,0)</f>
        <v>0</v>
      </c>
      <c r="J234" s="16">
        <f>IF(AND(A234&lt;&gt;"",ISNUMBER($B$7),ISNUMBER($B$8)),IF(AND(A234&gt;=$B$7,A234&lt;=$B$8),1,0),0)</f>
        <v>0</v>
      </c>
    </row>
    <row r="235">
      <c r="A235" s="9" t="str">
        <f>IF(ISNUMBER($B$4),IF(ISNUMBER($B$5),IF($B$4+223&lt;=$B$5,$B$4+223,""),""),"")</f>
        <v/>
      </c>
      <c r="B235" s="10" t="str">
        <f>IF(A235="","",CHOOSE(WEEKDAY(A235),"日","月","火","水","木","金","土"))</f>
        <v/>
      </c>
      <c r="C235" s="11" t="n"/>
      <c r="D235" s="12" t="n"/>
      <c r="E235" s="12" t="n"/>
      <c r="F235" s="13" t="n"/>
      <c r="G235" s="14">
        <f>IF(OR(A235="",C235&lt;&gt;"労働日"),0,MAX(0,MOD(E235-D235,1)*24-F235/60))</f>
        <v>0</v>
      </c>
      <c r="H235" s="15" t="str">
        <f>IF(A235="","",INT((A235-$B$4)/7)+1)</f>
        <v/>
      </c>
      <c r="I235" s="16">
        <f>IF(AND(A235&lt;&gt;"",C235="労働日"),I234+1,0)</f>
        <v>0</v>
      </c>
      <c r="J235" s="16">
        <f>IF(AND(A235&lt;&gt;"",ISNUMBER($B$7),ISNUMBER($B$8)),IF(AND(A235&gt;=$B$7,A235&lt;=$B$8),1,0),0)</f>
        <v>0</v>
      </c>
    </row>
    <row r="236">
      <c r="A236" s="9" t="str">
        <f>IF(ISNUMBER($B$4),IF(ISNUMBER($B$5),IF($B$4+224&lt;=$B$5,$B$4+224,""),""),"")</f>
        <v/>
      </c>
      <c r="B236" s="10" t="str">
        <f>IF(A236="","",CHOOSE(WEEKDAY(A236),"日","月","火","水","木","金","土"))</f>
        <v/>
      </c>
      <c r="C236" s="11" t="n"/>
      <c r="D236" s="12" t="n"/>
      <c r="E236" s="12" t="n"/>
      <c r="F236" s="13" t="n"/>
      <c r="G236" s="14">
        <f>IF(OR(A236="",C236&lt;&gt;"労働日"),0,MAX(0,MOD(E236-D236,1)*24-F236/60))</f>
        <v>0</v>
      </c>
      <c r="H236" s="15" t="str">
        <f>IF(A236="","",INT((A236-$B$4)/7)+1)</f>
        <v/>
      </c>
      <c r="I236" s="16">
        <f>IF(AND(A236&lt;&gt;"",C236="労働日"),I235+1,0)</f>
        <v>0</v>
      </c>
      <c r="J236" s="16">
        <f>IF(AND(A236&lt;&gt;"",ISNUMBER($B$7),ISNUMBER($B$8)),IF(AND(A236&gt;=$B$7,A236&lt;=$B$8),1,0),0)</f>
        <v>0</v>
      </c>
    </row>
    <row r="237">
      <c r="A237" s="9" t="str">
        <f>IF(ISNUMBER($B$4),IF(ISNUMBER($B$5),IF($B$4+225&lt;=$B$5,$B$4+225,""),""),"")</f>
        <v/>
      </c>
      <c r="B237" s="10" t="str">
        <f>IF(A237="","",CHOOSE(WEEKDAY(A237),"日","月","火","水","木","金","土"))</f>
        <v/>
      </c>
      <c r="C237" s="11" t="n"/>
      <c r="D237" s="12" t="n"/>
      <c r="E237" s="12" t="n"/>
      <c r="F237" s="13" t="n"/>
      <c r="G237" s="14">
        <f>IF(OR(A237="",C237&lt;&gt;"労働日"),0,MAX(0,MOD(E237-D237,1)*24-F237/60))</f>
        <v>0</v>
      </c>
      <c r="H237" s="15" t="str">
        <f>IF(A237="","",INT((A237-$B$4)/7)+1)</f>
        <v/>
      </c>
      <c r="I237" s="16">
        <f>IF(AND(A237&lt;&gt;"",C237="労働日"),I236+1,0)</f>
        <v>0</v>
      </c>
      <c r="J237" s="16">
        <f>IF(AND(A237&lt;&gt;"",ISNUMBER($B$7),ISNUMBER($B$8)),IF(AND(A237&gt;=$B$7,A237&lt;=$B$8),1,0),0)</f>
        <v>0</v>
      </c>
    </row>
    <row r="238">
      <c r="A238" s="9" t="str">
        <f>IF(ISNUMBER($B$4),IF(ISNUMBER($B$5),IF($B$4+226&lt;=$B$5,$B$4+226,""),""),"")</f>
        <v/>
      </c>
      <c r="B238" s="10" t="str">
        <f>IF(A238="","",CHOOSE(WEEKDAY(A238),"日","月","火","水","木","金","土"))</f>
        <v/>
      </c>
      <c r="C238" s="11" t="n"/>
      <c r="D238" s="12" t="n"/>
      <c r="E238" s="12" t="n"/>
      <c r="F238" s="13" t="n"/>
      <c r="G238" s="14">
        <f>IF(OR(A238="",C238&lt;&gt;"労働日"),0,MAX(0,MOD(E238-D238,1)*24-F238/60))</f>
        <v>0</v>
      </c>
      <c r="H238" s="15" t="str">
        <f>IF(A238="","",INT((A238-$B$4)/7)+1)</f>
        <v/>
      </c>
      <c r="I238" s="16">
        <f>IF(AND(A238&lt;&gt;"",C238="労働日"),I237+1,0)</f>
        <v>0</v>
      </c>
      <c r="J238" s="16">
        <f>IF(AND(A238&lt;&gt;"",ISNUMBER($B$7),ISNUMBER($B$8)),IF(AND(A238&gt;=$B$7,A238&lt;=$B$8),1,0),0)</f>
        <v>0</v>
      </c>
    </row>
    <row r="239">
      <c r="A239" s="9" t="str">
        <f>IF(ISNUMBER($B$4),IF(ISNUMBER($B$5),IF($B$4+227&lt;=$B$5,$B$4+227,""),""),"")</f>
        <v/>
      </c>
      <c r="B239" s="10" t="str">
        <f>IF(A239="","",CHOOSE(WEEKDAY(A239),"日","月","火","水","木","金","土"))</f>
        <v/>
      </c>
      <c r="C239" s="11" t="n"/>
      <c r="D239" s="12" t="n"/>
      <c r="E239" s="12" t="n"/>
      <c r="F239" s="13" t="n"/>
      <c r="G239" s="14">
        <f>IF(OR(A239="",C239&lt;&gt;"労働日"),0,MAX(0,MOD(E239-D239,1)*24-F239/60))</f>
        <v>0</v>
      </c>
      <c r="H239" s="15" t="str">
        <f>IF(A239="","",INT((A239-$B$4)/7)+1)</f>
        <v/>
      </c>
      <c r="I239" s="16">
        <f>IF(AND(A239&lt;&gt;"",C239="労働日"),I238+1,0)</f>
        <v>0</v>
      </c>
      <c r="J239" s="16">
        <f>IF(AND(A239&lt;&gt;"",ISNUMBER($B$7),ISNUMBER($B$8)),IF(AND(A239&gt;=$B$7,A239&lt;=$B$8),1,0),0)</f>
        <v>0</v>
      </c>
    </row>
    <row r="240">
      <c r="A240" s="9" t="str">
        <f>IF(ISNUMBER($B$4),IF(ISNUMBER($B$5),IF($B$4+228&lt;=$B$5,$B$4+228,""),""),"")</f>
        <v/>
      </c>
      <c r="B240" s="10" t="str">
        <f>IF(A240="","",CHOOSE(WEEKDAY(A240),"日","月","火","水","木","金","土"))</f>
        <v/>
      </c>
      <c r="C240" s="11" t="n"/>
      <c r="D240" s="12" t="n"/>
      <c r="E240" s="12" t="n"/>
      <c r="F240" s="13" t="n"/>
      <c r="G240" s="14">
        <f>IF(OR(A240="",C240&lt;&gt;"労働日"),0,MAX(0,MOD(E240-D240,1)*24-F240/60))</f>
        <v>0</v>
      </c>
      <c r="H240" s="15" t="str">
        <f>IF(A240="","",INT((A240-$B$4)/7)+1)</f>
        <v/>
      </c>
      <c r="I240" s="16">
        <f>IF(AND(A240&lt;&gt;"",C240="労働日"),I239+1,0)</f>
        <v>0</v>
      </c>
      <c r="J240" s="16">
        <f>IF(AND(A240&lt;&gt;"",ISNUMBER($B$7),ISNUMBER($B$8)),IF(AND(A240&gt;=$B$7,A240&lt;=$B$8),1,0),0)</f>
        <v>0</v>
      </c>
    </row>
    <row r="241">
      <c r="A241" s="9" t="str">
        <f>IF(ISNUMBER($B$4),IF(ISNUMBER($B$5),IF($B$4+229&lt;=$B$5,$B$4+229,""),""),"")</f>
        <v/>
      </c>
      <c r="B241" s="10" t="str">
        <f>IF(A241="","",CHOOSE(WEEKDAY(A241),"日","月","火","水","木","金","土"))</f>
        <v/>
      </c>
      <c r="C241" s="11" t="n"/>
      <c r="D241" s="12" t="n"/>
      <c r="E241" s="12" t="n"/>
      <c r="F241" s="13" t="n"/>
      <c r="G241" s="14">
        <f>IF(OR(A241="",C241&lt;&gt;"労働日"),0,MAX(0,MOD(E241-D241,1)*24-F241/60))</f>
        <v>0</v>
      </c>
      <c r="H241" s="15" t="str">
        <f>IF(A241="","",INT((A241-$B$4)/7)+1)</f>
        <v/>
      </c>
      <c r="I241" s="16">
        <f>IF(AND(A241&lt;&gt;"",C241="労働日"),I240+1,0)</f>
        <v>0</v>
      </c>
      <c r="J241" s="16">
        <f>IF(AND(A241&lt;&gt;"",ISNUMBER($B$7),ISNUMBER($B$8)),IF(AND(A241&gt;=$B$7,A241&lt;=$B$8),1,0),0)</f>
        <v>0</v>
      </c>
    </row>
    <row r="242">
      <c r="A242" s="9" t="str">
        <f>IF(ISNUMBER($B$4),IF(ISNUMBER($B$5),IF($B$4+230&lt;=$B$5,$B$4+230,""),""),"")</f>
        <v/>
      </c>
      <c r="B242" s="10" t="str">
        <f>IF(A242="","",CHOOSE(WEEKDAY(A242),"日","月","火","水","木","金","土"))</f>
        <v/>
      </c>
      <c r="C242" s="11" t="n"/>
      <c r="D242" s="12" t="n"/>
      <c r="E242" s="12" t="n"/>
      <c r="F242" s="13" t="n"/>
      <c r="G242" s="14">
        <f>IF(OR(A242="",C242&lt;&gt;"労働日"),0,MAX(0,MOD(E242-D242,1)*24-F242/60))</f>
        <v>0</v>
      </c>
      <c r="H242" s="15" t="str">
        <f>IF(A242="","",INT((A242-$B$4)/7)+1)</f>
        <v/>
      </c>
      <c r="I242" s="16">
        <f>IF(AND(A242&lt;&gt;"",C242="労働日"),I241+1,0)</f>
        <v>0</v>
      </c>
      <c r="J242" s="16">
        <f>IF(AND(A242&lt;&gt;"",ISNUMBER($B$7),ISNUMBER($B$8)),IF(AND(A242&gt;=$B$7,A242&lt;=$B$8),1,0),0)</f>
        <v>0</v>
      </c>
    </row>
    <row r="243">
      <c r="A243" s="9" t="str">
        <f>IF(ISNUMBER($B$4),IF(ISNUMBER($B$5),IF($B$4+231&lt;=$B$5,$B$4+231,""),""),"")</f>
        <v/>
      </c>
      <c r="B243" s="10" t="str">
        <f>IF(A243="","",CHOOSE(WEEKDAY(A243),"日","月","火","水","木","金","土"))</f>
        <v/>
      </c>
      <c r="C243" s="11" t="n"/>
      <c r="D243" s="12" t="n"/>
      <c r="E243" s="12" t="n"/>
      <c r="F243" s="13" t="n"/>
      <c r="G243" s="14">
        <f>IF(OR(A243="",C243&lt;&gt;"労働日"),0,MAX(0,MOD(E243-D243,1)*24-F243/60))</f>
        <v>0</v>
      </c>
      <c r="H243" s="15" t="str">
        <f>IF(A243="","",INT((A243-$B$4)/7)+1)</f>
        <v/>
      </c>
      <c r="I243" s="16">
        <f>IF(AND(A243&lt;&gt;"",C243="労働日"),I242+1,0)</f>
        <v>0</v>
      </c>
      <c r="J243" s="16">
        <f>IF(AND(A243&lt;&gt;"",ISNUMBER($B$7),ISNUMBER($B$8)),IF(AND(A243&gt;=$B$7,A243&lt;=$B$8),1,0),0)</f>
        <v>0</v>
      </c>
    </row>
    <row r="244">
      <c r="A244" s="9" t="str">
        <f>IF(ISNUMBER($B$4),IF(ISNUMBER($B$5),IF($B$4+232&lt;=$B$5,$B$4+232,""),""),"")</f>
        <v/>
      </c>
      <c r="B244" s="10" t="str">
        <f>IF(A244="","",CHOOSE(WEEKDAY(A244),"日","月","火","水","木","金","土"))</f>
        <v/>
      </c>
      <c r="C244" s="11" t="n"/>
      <c r="D244" s="12" t="n"/>
      <c r="E244" s="12" t="n"/>
      <c r="F244" s="13" t="n"/>
      <c r="G244" s="14">
        <f>IF(OR(A244="",C244&lt;&gt;"労働日"),0,MAX(0,MOD(E244-D244,1)*24-F244/60))</f>
        <v>0</v>
      </c>
      <c r="H244" s="15" t="str">
        <f>IF(A244="","",INT((A244-$B$4)/7)+1)</f>
        <v/>
      </c>
      <c r="I244" s="16">
        <f>IF(AND(A244&lt;&gt;"",C244="労働日"),I243+1,0)</f>
        <v>0</v>
      </c>
      <c r="J244" s="16">
        <f>IF(AND(A244&lt;&gt;"",ISNUMBER($B$7),ISNUMBER($B$8)),IF(AND(A244&gt;=$B$7,A244&lt;=$B$8),1,0),0)</f>
        <v>0</v>
      </c>
    </row>
    <row r="245">
      <c r="A245" s="9" t="str">
        <f>IF(ISNUMBER($B$4),IF(ISNUMBER($B$5),IF($B$4+233&lt;=$B$5,$B$4+233,""),""),"")</f>
        <v/>
      </c>
      <c r="B245" s="10" t="str">
        <f>IF(A245="","",CHOOSE(WEEKDAY(A245),"日","月","火","水","木","金","土"))</f>
        <v/>
      </c>
      <c r="C245" s="11" t="n"/>
      <c r="D245" s="12" t="n"/>
      <c r="E245" s="12" t="n"/>
      <c r="F245" s="13" t="n"/>
      <c r="G245" s="14">
        <f>IF(OR(A245="",C245&lt;&gt;"労働日"),0,MAX(0,MOD(E245-D245,1)*24-F245/60))</f>
        <v>0</v>
      </c>
      <c r="H245" s="15" t="str">
        <f>IF(A245="","",INT((A245-$B$4)/7)+1)</f>
        <v/>
      </c>
      <c r="I245" s="16">
        <f>IF(AND(A245&lt;&gt;"",C245="労働日"),I244+1,0)</f>
        <v>0</v>
      </c>
      <c r="J245" s="16">
        <f>IF(AND(A245&lt;&gt;"",ISNUMBER($B$7),ISNUMBER($B$8)),IF(AND(A245&gt;=$B$7,A245&lt;=$B$8),1,0),0)</f>
        <v>0</v>
      </c>
    </row>
    <row r="246">
      <c r="A246" s="9" t="str">
        <f>IF(ISNUMBER($B$4),IF(ISNUMBER($B$5),IF($B$4+234&lt;=$B$5,$B$4+234,""),""),"")</f>
        <v/>
      </c>
      <c r="B246" s="10" t="str">
        <f>IF(A246="","",CHOOSE(WEEKDAY(A246),"日","月","火","水","木","金","土"))</f>
        <v/>
      </c>
      <c r="C246" s="11" t="n"/>
      <c r="D246" s="12" t="n"/>
      <c r="E246" s="12" t="n"/>
      <c r="F246" s="13" t="n"/>
      <c r="G246" s="14">
        <f>IF(OR(A246="",C246&lt;&gt;"労働日"),0,MAX(0,MOD(E246-D246,1)*24-F246/60))</f>
        <v>0</v>
      </c>
      <c r="H246" s="15" t="str">
        <f>IF(A246="","",INT((A246-$B$4)/7)+1)</f>
        <v/>
      </c>
      <c r="I246" s="16">
        <f>IF(AND(A246&lt;&gt;"",C246="労働日"),I245+1,0)</f>
        <v>0</v>
      </c>
      <c r="J246" s="16">
        <f>IF(AND(A246&lt;&gt;"",ISNUMBER($B$7),ISNUMBER($B$8)),IF(AND(A246&gt;=$B$7,A246&lt;=$B$8),1,0),0)</f>
        <v>0</v>
      </c>
    </row>
    <row r="247">
      <c r="A247" s="9" t="str">
        <f>IF(ISNUMBER($B$4),IF(ISNUMBER($B$5),IF($B$4+235&lt;=$B$5,$B$4+235,""),""),"")</f>
        <v/>
      </c>
      <c r="B247" s="10" t="str">
        <f>IF(A247="","",CHOOSE(WEEKDAY(A247),"日","月","火","水","木","金","土"))</f>
        <v/>
      </c>
      <c r="C247" s="11" t="n"/>
      <c r="D247" s="12" t="n"/>
      <c r="E247" s="12" t="n"/>
      <c r="F247" s="13" t="n"/>
      <c r="G247" s="14">
        <f>IF(OR(A247="",C247&lt;&gt;"労働日"),0,MAX(0,MOD(E247-D247,1)*24-F247/60))</f>
        <v>0</v>
      </c>
      <c r="H247" s="15" t="str">
        <f>IF(A247="","",INT((A247-$B$4)/7)+1)</f>
        <v/>
      </c>
      <c r="I247" s="16">
        <f>IF(AND(A247&lt;&gt;"",C247="労働日"),I246+1,0)</f>
        <v>0</v>
      </c>
      <c r="J247" s="16">
        <f>IF(AND(A247&lt;&gt;"",ISNUMBER($B$7),ISNUMBER($B$8)),IF(AND(A247&gt;=$B$7,A247&lt;=$B$8),1,0),0)</f>
        <v>0</v>
      </c>
    </row>
    <row r="248">
      <c r="A248" s="9" t="str">
        <f>IF(ISNUMBER($B$4),IF(ISNUMBER($B$5),IF($B$4+236&lt;=$B$5,$B$4+236,""),""),"")</f>
        <v/>
      </c>
      <c r="B248" s="10" t="str">
        <f>IF(A248="","",CHOOSE(WEEKDAY(A248),"日","月","火","水","木","金","土"))</f>
        <v/>
      </c>
      <c r="C248" s="11" t="n"/>
      <c r="D248" s="12" t="n"/>
      <c r="E248" s="12" t="n"/>
      <c r="F248" s="13" t="n"/>
      <c r="G248" s="14">
        <f>IF(OR(A248="",C248&lt;&gt;"労働日"),0,MAX(0,MOD(E248-D248,1)*24-F248/60))</f>
        <v>0</v>
      </c>
      <c r="H248" s="15" t="str">
        <f>IF(A248="","",INT((A248-$B$4)/7)+1)</f>
        <v/>
      </c>
      <c r="I248" s="16">
        <f>IF(AND(A248&lt;&gt;"",C248="労働日"),I247+1,0)</f>
        <v>0</v>
      </c>
      <c r="J248" s="16">
        <f>IF(AND(A248&lt;&gt;"",ISNUMBER($B$7),ISNUMBER($B$8)),IF(AND(A248&gt;=$B$7,A248&lt;=$B$8),1,0),0)</f>
        <v>0</v>
      </c>
    </row>
    <row r="249">
      <c r="A249" s="9" t="str">
        <f>IF(ISNUMBER($B$4),IF(ISNUMBER($B$5),IF($B$4+237&lt;=$B$5,$B$4+237,""),""),"")</f>
        <v/>
      </c>
      <c r="B249" s="10" t="str">
        <f>IF(A249="","",CHOOSE(WEEKDAY(A249),"日","月","火","水","木","金","土"))</f>
        <v/>
      </c>
      <c r="C249" s="11" t="n"/>
      <c r="D249" s="12" t="n"/>
      <c r="E249" s="12" t="n"/>
      <c r="F249" s="13" t="n"/>
      <c r="G249" s="14">
        <f>IF(OR(A249="",C249&lt;&gt;"労働日"),0,MAX(0,MOD(E249-D249,1)*24-F249/60))</f>
        <v>0</v>
      </c>
      <c r="H249" s="15" t="str">
        <f>IF(A249="","",INT((A249-$B$4)/7)+1)</f>
        <v/>
      </c>
      <c r="I249" s="16">
        <f>IF(AND(A249&lt;&gt;"",C249="労働日"),I248+1,0)</f>
        <v>0</v>
      </c>
      <c r="J249" s="16">
        <f>IF(AND(A249&lt;&gt;"",ISNUMBER($B$7),ISNUMBER($B$8)),IF(AND(A249&gt;=$B$7,A249&lt;=$B$8),1,0),0)</f>
        <v>0</v>
      </c>
    </row>
    <row r="250">
      <c r="A250" s="9" t="str">
        <f>IF(ISNUMBER($B$4),IF(ISNUMBER($B$5),IF($B$4+238&lt;=$B$5,$B$4+238,""),""),"")</f>
        <v/>
      </c>
      <c r="B250" s="10" t="str">
        <f>IF(A250="","",CHOOSE(WEEKDAY(A250),"日","月","火","水","木","金","土"))</f>
        <v/>
      </c>
      <c r="C250" s="11" t="n"/>
      <c r="D250" s="12" t="n"/>
      <c r="E250" s="12" t="n"/>
      <c r="F250" s="13" t="n"/>
      <c r="G250" s="14">
        <f>IF(OR(A250="",C250&lt;&gt;"労働日"),0,MAX(0,MOD(E250-D250,1)*24-F250/60))</f>
        <v>0</v>
      </c>
      <c r="H250" s="15" t="str">
        <f>IF(A250="","",INT((A250-$B$4)/7)+1)</f>
        <v/>
      </c>
      <c r="I250" s="16">
        <f>IF(AND(A250&lt;&gt;"",C250="労働日"),I249+1,0)</f>
        <v>0</v>
      </c>
      <c r="J250" s="16">
        <f>IF(AND(A250&lt;&gt;"",ISNUMBER($B$7),ISNUMBER($B$8)),IF(AND(A250&gt;=$B$7,A250&lt;=$B$8),1,0),0)</f>
        <v>0</v>
      </c>
    </row>
    <row r="251">
      <c r="A251" s="9" t="str">
        <f>IF(ISNUMBER($B$4),IF(ISNUMBER($B$5),IF($B$4+239&lt;=$B$5,$B$4+239,""),""),"")</f>
        <v/>
      </c>
      <c r="B251" s="10" t="str">
        <f>IF(A251="","",CHOOSE(WEEKDAY(A251),"日","月","火","水","木","金","土"))</f>
        <v/>
      </c>
      <c r="C251" s="11" t="n"/>
      <c r="D251" s="12" t="n"/>
      <c r="E251" s="12" t="n"/>
      <c r="F251" s="13" t="n"/>
      <c r="G251" s="14">
        <f>IF(OR(A251="",C251&lt;&gt;"労働日"),0,MAX(0,MOD(E251-D251,1)*24-F251/60))</f>
        <v>0</v>
      </c>
      <c r="H251" s="15" t="str">
        <f>IF(A251="","",INT((A251-$B$4)/7)+1)</f>
        <v/>
      </c>
      <c r="I251" s="16">
        <f>IF(AND(A251&lt;&gt;"",C251="労働日"),I250+1,0)</f>
        <v>0</v>
      </c>
      <c r="J251" s="16">
        <f>IF(AND(A251&lt;&gt;"",ISNUMBER($B$7),ISNUMBER($B$8)),IF(AND(A251&gt;=$B$7,A251&lt;=$B$8),1,0),0)</f>
        <v>0</v>
      </c>
    </row>
    <row r="252">
      <c r="A252" s="9" t="str">
        <f>IF(ISNUMBER($B$4),IF(ISNUMBER($B$5),IF($B$4+240&lt;=$B$5,$B$4+240,""),""),"")</f>
        <v/>
      </c>
      <c r="B252" s="10" t="str">
        <f>IF(A252="","",CHOOSE(WEEKDAY(A252),"日","月","火","水","木","金","土"))</f>
        <v/>
      </c>
      <c r="C252" s="11" t="n"/>
      <c r="D252" s="12" t="n"/>
      <c r="E252" s="12" t="n"/>
      <c r="F252" s="13" t="n"/>
      <c r="G252" s="14">
        <f>IF(OR(A252="",C252&lt;&gt;"労働日"),0,MAX(0,MOD(E252-D252,1)*24-F252/60))</f>
        <v>0</v>
      </c>
      <c r="H252" s="15" t="str">
        <f>IF(A252="","",INT((A252-$B$4)/7)+1)</f>
        <v/>
      </c>
      <c r="I252" s="16">
        <f>IF(AND(A252&lt;&gt;"",C252="労働日"),I251+1,0)</f>
        <v>0</v>
      </c>
      <c r="J252" s="16">
        <f>IF(AND(A252&lt;&gt;"",ISNUMBER($B$7),ISNUMBER($B$8)),IF(AND(A252&gt;=$B$7,A252&lt;=$B$8),1,0),0)</f>
        <v>0</v>
      </c>
    </row>
    <row r="253">
      <c r="A253" s="9" t="str">
        <f>IF(ISNUMBER($B$4),IF(ISNUMBER($B$5),IF($B$4+241&lt;=$B$5,$B$4+241,""),""),"")</f>
        <v/>
      </c>
      <c r="B253" s="10" t="str">
        <f>IF(A253="","",CHOOSE(WEEKDAY(A253),"日","月","火","水","木","金","土"))</f>
        <v/>
      </c>
      <c r="C253" s="11" t="n"/>
      <c r="D253" s="12" t="n"/>
      <c r="E253" s="12" t="n"/>
      <c r="F253" s="13" t="n"/>
      <c r="G253" s="14">
        <f>IF(OR(A253="",C253&lt;&gt;"労働日"),0,MAX(0,MOD(E253-D253,1)*24-F253/60))</f>
        <v>0</v>
      </c>
      <c r="H253" s="15" t="str">
        <f>IF(A253="","",INT((A253-$B$4)/7)+1)</f>
        <v/>
      </c>
      <c r="I253" s="16">
        <f>IF(AND(A253&lt;&gt;"",C253="労働日"),I252+1,0)</f>
        <v>0</v>
      </c>
      <c r="J253" s="16">
        <f>IF(AND(A253&lt;&gt;"",ISNUMBER($B$7),ISNUMBER($B$8)),IF(AND(A253&gt;=$B$7,A253&lt;=$B$8),1,0),0)</f>
        <v>0</v>
      </c>
    </row>
    <row r="254">
      <c r="A254" s="9" t="str">
        <f>IF(ISNUMBER($B$4),IF(ISNUMBER($B$5),IF($B$4+242&lt;=$B$5,$B$4+242,""),""),"")</f>
        <v/>
      </c>
      <c r="B254" s="10" t="str">
        <f>IF(A254="","",CHOOSE(WEEKDAY(A254),"日","月","火","水","木","金","土"))</f>
        <v/>
      </c>
      <c r="C254" s="11" t="n"/>
      <c r="D254" s="12" t="n"/>
      <c r="E254" s="12" t="n"/>
      <c r="F254" s="13" t="n"/>
      <c r="G254" s="14">
        <f>IF(OR(A254="",C254&lt;&gt;"労働日"),0,MAX(0,MOD(E254-D254,1)*24-F254/60))</f>
        <v>0</v>
      </c>
      <c r="H254" s="15" t="str">
        <f>IF(A254="","",INT((A254-$B$4)/7)+1)</f>
        <v/>
      </c>
      <c r="I254" s="16">
        <f>IF(AND(A254&lt;&gt;"",C254="労働日"),I253+1,0)</f>
        <v>0</v>
      </c>
      <c r="J254" s="16">
        <f>IF(AND(A254&lt;&gt;"",ISNUMBER($B$7),ISNUMBER($B$8)),IF(AND(A254&gt;=$B$7,A254&lt;=$B$8),1,0),0)</f>
        <v>0</v>
      </c>
    </row>
    <row r="255">
      <c r="A255" s="9" t="str">
        <f>IF(ISNUMBER($B$4),IF(ISNUMBER($B$5),IF($B$4+243&lt;=$B$5,$B$4+243,""),""),"")</f>
        <v/>
      </c>
      <c r="B255" s="10" t="str">
        <f>IF(A255="","",CHOOSE(WEEKDAY(A255),"日","月","火","水","木","金","土"))</f>
        <v/>
      </c>
      <c r="C255" s="11" t="n"/>
      <c r="D255" s="12" t="n"/>
      <c r="E255" s="12" t="n"/>
      <c r="F255" s="13" t="n"/>
      <c r="G255" s="14">
        <f>IF(OR(A255="",C255&lt;&gt;"労働日"),0,MAX(0,MOD(E255-D255,1)*24-F255/60))</f>
        <v>0</v>
      </c>
      <c r="H255" s="15" t="str">
        <f>IF(A255="","",INT((A255-$B$4)/7)+1)</f>
        <v/>
      </c>
      <c r="I255" s="16">
        <f>IF(AND(A255&lt;&gt;"",C255="労働日"),I254+1,0)</f>
        <v>0</v>
      </c>
      <c r="J255" s="16">
        <f>IF(AND(A255&lt;&gt;"",ISNUMBER($B$7),ISNUMBER($B$8)),IF(AND(A255&gt;=$B$7,A255&lt;=$B$8),1,0),0)</f>
        <v>0</v>
      </c>
    </row>
    <row r="256">
      <c r="A256" s="9" t="str">
        <f>IF(ISNUMBER($B$4),IF(ISNUMBER($B$5),IF($B$4+244&lt;=$B$5,$B$4+244,""),""),"")</f>
        <v/>
      </c>
      <c r="B256" s="10" t="str">
        <f>IF(A256="","",CHOOSE(WEEKDAY(A256),"日","月","火","水","木","金","土"))</f>
        <v/>
      </c>
      <c r="C256" s="11" t="n"/>
      <c r="D256" s="12" t="n"/>
      <c r="E256" s="12" t="n"/>
      <c r="F256" s="13" t="n"/>
      <c r="G256" s="14">
        <f>IF(OR(A256="",C256&lt;&gt;"労働日"),0,MAX(0,MOD(E256-D256,1)*24-F256/60))</f>
        <v>0</v>
      </c>
      <c r="H256" s="15" t="str">
        <f>IF(A256="","",INT((A256-$B$4)/7)+1)</f>
        <v/>
      </c>
      <c r="I256" s="16">
        <f>IF(AND(A256&lt;&gt;"",C256="労働日"),I255+1,0)</f>
        <v>0</v>
      </c>
      <c r="J256" s="16">
        <f>IF(AND(A256&lt;&gt;"",ISNUMBER($B$7),ISNUMBER($B$8)),IF(AND(A256&gt;=$B$7,A256&lt;=$B$8),1,0),0)</f>
        <v>0</v>
      </c>
    </row>
    <row r="257">
      <c r="A257" s="9" t="str">
        <f>IF(ISNUMBER($B$4),IF(ISNUMBER($B$5),IF($B$4+245&lt;=$B$5,$B$4+245,""),""),"")</f>
        <v/>
      </c>
      <c r="B257" s="10" t="str">
        <f>IF(A257="","",CHOOSE(WEEKDAY(A257),"日","月","火","水","木","金","土"))</f>
        <v/>
      </c>
      <c r="C257" s="11" t="n"/>
      <c r="D257" s="12" t="n"/>
      <c r="E257" s="12" t="n"/>
      <c r="F257" s="13" t="n"/>
      <c r="G257" s="14">
        <f>IF(OR(A257="",C257&lt;&gt;"労働日"),0,MAX(0,MOD(E257-D257,1)*24-F257/60))</f>
        <v>0</v>
      </c>
      <c r="H257" s="15" t="str">
        <f>IF(A257="","",INT((A257-$B$4)/7)+1)</f>
        <v/>
      </c>
      <c r="I257" s="16">
        <f>IF(AND(A257&lt;&gt;"",C257="労働日"),I256+1,0)</f>
        <v>0</v>
      </c>
      <c r="J257" s="16">
        <f>IF(AND(A257&lt;&gt;"",ISNUMBER($B$7),ISNUMBER($B$8)),IF(AND(A257&gt;=$B$7,A257&lt;=$B$8),1,0),0)</f>
        <v>0</v>
      </c>
    </row>
    <row r="258">
      <c r="A258" s="9" t="str">
        <f>IF(ISNUMBER($B$4),IF(ISNUMBER($B$5),IF($B$4+246&lt;=$B$5,$B$4+246,""),""),"")</f>
        <v/>
      </c>
      <c r="B258" s="10" t="str">
        <f>IF(A258="","",CHOOSE(WEEKDAY(A258),"日","月","火","水","木","金","土"))</f>
        <v/>
      </c>
      <c r="C258" s="11" t="n"/>
      <c r="D258" s="12" t="n"/>
      <c r="E258" s="12" t="n"/>
      <c r="F258" s="13" t="n"/>
      <c r="G258" s="14">
        <f>IF(OR(A258="",C258&lt;&gt;"労働日"),0,MAX(0,MOD(E258-D258,1)*24-F258/60))</f>
        <v>0</v>
      </c>
      <c r="H258" s="15" t="str">
        <f>IF(A258="","",INT((A258-$B$4)/7)+1)</f>
        <v/>
      </c>
      <c r="I258" s="16">
        <f>IF(AND(A258&lt;&gt;"",C258="労働日"),I257+1,0)</f>
        <v>0</v>
      </c>
      <c r="J258" s="16">
        <f>IF(AND(A258&lt;&gt;"",ISNUMBER($B$7),ISNUMBER($B$8)),IF(AND(A258&gt;=$B$7,A258&lt;=$B$8),1,0),0)</f>
        <v>0</v>
      </c>
    </row>
    <row r="259">
      <c r="A259" s="9" t="str">
        <f>IF(ISNUMBER($B$4),IF(ISNUMBER($B$5),IF($B$4+247&lt;=$B$5,$B$4+247,""),""),"")</f>
        <v/>
      </c>
      <c r="B259" s="10" t="str">
        <f>IF(A259="","",CHOOSE(WEEKDAY(A259),"日","月","火","水","木","金","土"))</f>
        <v/>
      </c>
      <c r="C259" s="11" t="n"/>
      <c r="D259" s="12" t="n"/>
      <c r="E259" s="12" t="n"/>
      <c r="F259" s="13" t="n"/>
      <c r="G259" s="14">
        <f>IF(OR(A259="",C259&lt;&gt;"労働日"),0,MAX(0,MOD(E259-D259,1)*24-F259/60))</f>
        <v>0</v>
      </c>
      <c r="H259" s="15" t="str">
        <f>IF(A259="","",INT((A259-$B$4)/7)+1)</f>
        <v/>
      </c>
      <c r="I259" s="16">
        <f>IF(AND(A259&lt;&gt;"",C259="労働日"),I258+1,0)</f>
        <v>0</v>
      </c>
      <c r="J259" s="16">
        <f>IF(AND(A259&lt;&gt;"",ISNUMBER($B$7),ISNUMBER($B$8)),IF(AND(A259&gt;=$B$7,A259&lt;=$B$8),1,0),0)</f>
        <v>0</v>
      </c>
    </row>
    <row r="260">
      <c r="A260" s="9" t="str">
        <f>IF(ISNUMBER($B$4),IF(ISNUMBER($B$5),IF($B$4+248&lt;=$B$5,$B$4+248,""),""),"")</f>
        <v/>
      </c>
      <c r="B260" s="10" t="str">
        <f>IF(A260="","",CHOOSE(WEEKDAY(A260),"日","月","火","水","木","金","土"))</f>
        <v/>
      </c>
      <c r="C260" s="11" t="n"/>
      <c r="D260" s="12" t="n"/>
      <c r="E260" s="12" t="n"/>
      <c r="F260" s="13" t="n"/>
      <c r="G260" s="14">
        <f>IF(OR(A260="",C260&lt;&gt;"労働日"),0,MAX(0,MOD(E260-D260,1)*24-F260/60))</f>
        <v>0</v>
      </c>
      <c r="H260" s="15" t="str">
        <f>IF(A260="","",INT((A260-$B$4)/7)+1)</f>
        <v/>
      </c>
      <c r="I260" s="16">
        <f>IF(AND(A260&lt;&gt;"",C260="労働日"),I259+1,0)</f>
        <v>0</v>
      </c>
      <c r="J260" s="16">
        <f>IF(AND(A260&lt;&gt;"",ISNUMBER($B$7),ISNUMBER($B$8)),IF(AND(A260&gt;=$B$7,A260&lt;=$B$8),1,0),0)</f>
        <v>0</v>
      </c>
    </row>
    <row r="261">
      <c r="A261" s="9" t="str">
        <f>IF(ISNUMBER($B$4),IF(ISNUMBER($B$5),IF($B$4+249&lt;=$B$5,$B$4+249,""),""),"")</f>
        <v/>
      </c>
      <c r="B261" s="10" t="str">
        <f>IF(A261="","",CHOOSE(WEEKDAY(A261),"日","月","火","水","木","金","土"))</f>
        <v/>
      </c>
      <c r="C261" s="11" t="n"/>
      <c r="D261" s="12" t="n"/>
      <c r="E261" s="12" t="n"/>
      <c r="F261" s="13" t="n"/>
      <c r="G261" s="14">
        <f>IF(OR(A261="",C261&lt;&gt;"労働日"),0,MAX(0,MOD(E261-D261,1)*24-F261/60))</f>
        <v>0</v>
      </c>
      <c r="H261" s="15" t="str">
        <f>IF(A261="","",INT((A261-$B$4)/7)+1)</f>
        <v/>
      </c>
      <c r="I261" s="16">
        <f>IF(AND(A261&lt;&gt;"",C261="労働日"),I260+1,0)</f>
        <v>0</v>
      </c>
      <c r="J261" s="16">
        <f>IF(AND(A261&lt;&gt;"",ISNUMBER($B$7),ISNUMBER($B$8)),IF(AND(A261&gt;=$B$7,A261&lt;=$B$8),1,0),0)</f>
        <v>0</v>
      </c>
    </row>
    <row r="262">
      <c r="A262" s="9" t="str">
        <f>IF(ISNUMBER($B$4),IF(ISNUMBER($B$5),IF($B$4+250&lt;=$B$5,$B$4+250,""),""),"")</f>
        <v/>
      </c>
      <c r="B262" s="10" t="str">
        <f>IF(A262="","",CHOOSE(WEEKDAY(A262),"日","月","火","水","木","金","土"))</f>
        <v/>
      </c>
      <c r="C262" s="11" t="n"/>
      <c r="D262" s="12" t="n"/>
      <c r="E262" s="12" t="n"/>
      <c r="F262" s="13" t="n"/>
      <c r="G262" s="14">
        <f>IF(OR(A262="",C262&lt;&gt;"労働日"),0,MAX(0,MOD(E262-D262,1)*24-F262/60))</f>
        <v>0</v>
      </c>
      <c r="H262" s="15" t="str">
        <f>IF(A262="","",INT((A262-$B$4)/7)+1)</f>
        <v/>
      </c>
      <c r="I262" s="16">
        <f>IF(AND(A262&lt;&gt;"",C262="労働日"),I261+1,0)</f>
        <v>0</v>
      </c>
      <c r="J262" s="16">
        <f>IF(AND(A262&lt;&gt;"",ISNUMBER($B$7),ISNUMBER($B$8)),IF(AND(A262&gt;=$B$7,A262&lt;=$B$8),1,0),0)</f>
        <v>0</v>
      </c>
    </row>
    <row r="263">
      <c r="A263" s="9" t="str">
        <f>IF(ISNUMBER($B$4),IF(ISNUMBER($B$5),IF($B$4+251&lt;=$B$5,$B$4+251,""),""),"")</f>
        <v/>
      </c>
      <c r="B263" s="10" t="str">
        <f>IF(A263="","",CHOOSE(WEEKDAY(A263),"日","月","火","水","木","金","土"))</f>
        <v/>
      </c>
      <c r="C263" s="11" t="n"/>
      <c r="D263" s="12" t="n"/>
      <c r="E263" s="12" t="n"/>
      <c r="F263" s="13" t="n"/>
      <c r="G263" s="14">
        <f>IF(OR(A263="",C263&lt;&gt;"労働日"),0,MAX(0,MOD(E263-D263,1)*24-F263/60))</f>
        <v>0</v>
      </c>
      <c r="H263" s="15" t="str">
        <f>IF(A263="","",INT((A263-$B$4)/7)+1)</f>
        <v/>
      </c>
      <c r="I263" s="16">
        <f>IF(AND(A263&lt;&gt;"",C263="労働日"),I262+1,0)</f>
        <v>0</v>
      </c>
      <c r="J263" s="16">
        <f>IF(AND(A263&lt;&gt;"",ISNUMBER($B$7),ISNUMBER($B$8)),IF(AND(A263&gt;=$B$7,A263&lt;=$B$8),1,0),0)</f>
        <v>0</v>
      </c>
    </row>
    <row r="264">
      <c r="A264" s="9" t="str">
        <f>IF(ISNUMBER($B$4),IF(ISNUMBER($B$5),IF($B$4+252&lt;=$B$5,$B$4+252,""),""),"")</f>
        <v/>
      </c>
      <c r="B264" s="10" t="str">
        <f>IF(A264="","",CHOOSE(WEEKDAY(A264),"日","月","火","水","木","金","土"))</f>
        <v/>
      </c>
      <c r="C264" s="11" t="n"/>
      <c r="D264" s="12" t="n"/>
      <c r="E264" s="12" t="n"/>
      <c r="F264" s="13" t="n"/>
      <c r="G264" s="14">
        <f>IF(OR(A264="",C264&lt;&gt;"労働日"),0,MAX(0,MOD(E264-D264,1)*24-F264/60))</f>
        <v>0</v>
      </c>
      <c r="H264" s="15" t="str">
        <f>IF(A264="","",INT((A264-$B$4)/7)+1)</f>
        <v/>
      </c>
      <c r="I264" s="16">
        <f>IF(AND(A264&lt;&gt;"",C264="労働日"),I263+1,0)</f>
        <v>0</v>
      </c>
      <c r="J264" s="16">
        <f>IF(AND(A264&lt;&gt;"",ISNUMBER($B$7),ISNUMBER($B$8)),IF(AND(A264&gt;=$B$7,A264&lt;=$B$8),1,0),0)</f>
        <v>0</v>
      </c>
    </row>
    <row r="265">
      <c r="A265" s="9" t="str">
        <f>IF(ISNUMBER($B$4),IF(ISNUMBER($B$5),IF($B$4+253&lt;=$B$5,$B$4+253,""),""),"")</f>
        <v/>
      </c>
      <c r="B265" s="10" t="str">
        <f>IF(A265="","",CHOOSE(WEEKDAY(A265),"日","月","火","水","木","金","土"))</f>
        <v/>
      </c>
      <c r="C265" s="11" t="n"/>
      <c r="D265" s="12" t="n"/>
      <c r="E265" s="12" t="n"/>
      <c r="F265" s="13" t="n"/>
      <c r="G265" s="14">
        <f>IF(OR(A265="",C265&lt;&gt;"労働日"),0,MAX(0,MOD(E265-D265,1)*24-F265/60))</f>
        <v>0</v>
      </c>
      <c r="H265" s="15" t="str">
        <f>IF(A265="","",INT((A265-$B$4)/7)+1)</f>
        <v/>
      </c>
      <c r="I265" s="16">
        <f>IF(AND(A265&lt;&gt;"",C265="労働日"),I264+1,0)</f>
        <v>0</v>
      </c>
      <c r="J265" s="16">
        <f>IF(AND(A265&lt;&gt;"",ISNUMBER($B$7),ISNUMBER($B$8)),IF(AND(A265&gt;=$B$7,A265&lt;=$B$8),1,0),0)</f>
        <v>0</v>
      </c>
    </row>
    <row r="266">
      <c r="A266" s="9" t="str">
        <f>IF(ISNUMBER($B$4),IF(ISNUMBER($B$5),IF($B$4+254&lt;=$B$5,$B$4+254,""),""),"")</f>
        <v/>
      </c>
      <c r="B266" s="10" t="str">
        <f>IF(A266="","",CHOOSE(WEEKDAY(A266),"日","月","火","水","木","金","土"))</f>
        <v/>
      </c>
      <c r="C266" s="11" t="n"/>
      <c r="D266" s="12" t="n"/>
      <c r="E266" s="12" t="n"/>
      <c r="F266" s="13" t="n"/>
      <c r="G266" s="14">
        <f>IF(OR(A266="",C266&lt;&gt;"労働日"),0,MAX(0,MOD(E266-D266,1)*24-F266/60))</f>
        <v>0</v>
      </c>
      <c r="H266" s="15" t="str">
        <f>IF(A266="","",INT((A266-$B$4)/7)+1)</f>
        <v/>
      </c>
      <c r="I266" s="16">
        <f>IF(AND(A266&lt;&gt;"",C266="労働日"),I265+1,0)</f>
        <v>0</v>
      </c>
      <c r="J266" s="16">
        <f>IF(AND(A266&lt;&gt;"",ISNUMBER($B$7),ISNUMBER($B$8)),IF(AND(A266&gt;=$B$7,A266&lt;=$B$8),1,0),0)</f>
        <v>0</v>
      </c>
    </row>
    <row r="267">
      <c r="A267" s="9" t="str">
        <f>IF(ISNUMBER($B$4),IF(ISNUMBER($B$5),IF($B$4+255&lt;=$B$5,$B$4+255,""),""),"")</f>
        <v/>
      </c>
      <c r="B267" s="10" t="str">
        <f>IF(A267="","",CHOOSE(WEEKDAY(A267),"日","月","火","水","木","金","土"))</f>
        <v/>
      </c>
      <c r="C267" s="11" t="n"/>
      <c r="D267" s="12" t="n"/>
      <c r="E267" s="12" t="n"/>
      <c r="F267" s="13" t="n"/>
      <c r="G267" s="14">
        <f>IF(OR(A267="",C267&lt;&gt;"労働日"),0,MAX(0,MOD(E267-D267,1)*24-F267/60))</f>
        <v>0</v>
      </c>
      <c r="H267" s="15" t="str">
        <f>IF(A267="","",INT((A267-$B$4)/7)+1)</f>
        <v/>
      </c>
      <c r="I267" s="16">
        <f>IF(AND(A267&lt;&gt;"",C267="労働日"),I266+1,0)</f>
        <v>0</v>
      </c>
      <c r="J267" s="16">
        <f>IF(AND(A267&lt;&gt;"",ISNUMBER($B$7),ISNUMBER($B$8)),IF(AND(A267&gt;=$B$7,A267&lt;=$B$8),1,0),0)</f>
        <v>0</v>
      </c>
    </row>
    <row r="268">
      <c r="A268" s="9" t="str">
        <f>IF(ISNUMBER($B$4),IF(ISNUMBER($B$5),IF($B$4+256&lt;=$B$5,$B$4+256,""),""),"")</f>
        <v/>
      </c>
      <c r="B268" s="10" t="str">
        <f>IF(A268="","",CHOOSE(WEEKDAY(A268),"日","月","火","水","木","金","土"))</f>
        <v/>
      </c>
      <c r="C268" s="11" t="n"/>
      <c r="D268" s="12" t="n"/>
      <c r="E268" s="12" t="n"/>
      <c r="F268" s="13" t="n"/>
      <c r="G268" s="14">
        <f>IF(OR(A268="",C268&lt;&gt;"労働日"),0,MAX(0,MOD(E268-D268,1)*24-F268/60))</f>
        <v>0</v>
      </c>
      <c r="H268" s="15" t="str">
        <f>IF(A268="","",INT((A268-$B$4)/7)+1)</f>
        <v/>
      </c>
      <c r="I268" s="16">
        <f>IF(AND(A268&lt;&gt;"",C268="労働日"),I267+1,0)</f>
        <v>0</v>
      </c>
      <c r="J268" s="16">
        <f>IF(AND(A268&lt;&gt;"",ISNUMBER($B$7),ISNUMBER($B$8)),IF(AND(A268&gt;=$B$7,A268&lt;=$B$8),1,0),0)</f>
        <v>0</v>
      </c>
    </row>
    <row r="269">
      <c r="A269" s="9" t="str">
        <f>IF(ISNUMBER($B$4),IF(ISNUMBER($B$5),IF($B$4+257&lt;=$B$5,$B$4+257,""),""),"")</f>
        <v/>
      </c>
      <c r="B269" s="10" t="str">
        <f>IF(A269="","",CHOOSE(WEEKDAY(A269),"日","月","火","水","木","金","土"))</f>
        <v/>
      </c>
      <c r="C269" s="11" t="n"/>
      <c r="D269" s="12" t="n"/>
      <c r="E269" s="12" t="n"/>
      <c r="F269" s="13" t="n"/>
      <c r="G269" s="14">
        <f>IF(OR(A269="",C269&lt;&gt;"労働日"),0,MAX(0,MOD(E269-D269,1)*24-F269/60))</f>
        <v>0</v>
      </c>
      <c r="H269" s="15" t="str">
        <f>IF(A269="","",INT((A269-$B$4)/7)+1)</f>
        <v/>
      </c>
      <c r="I269" s="16">
        <f>IF(AND(A269&lt;&gt;"",C269="労働日"),I268+1,0)</f>
        <v>0</v>
      </c>
      <c r="J269" s="16">
        <f>IF(AND(A269&lt;&gt;"",ISNUMBER($B$7),ISNUMBER($B$8)),IF(AND(A269&gt;=$B$7,A269&lt;=$B$8),1,0),0)</f>
        <v>0</v>
      </c>
    </row>
    <row r="270">
      <c r="A270" s="9" t="str">
        <f>IF(ISNUMBER($B$4),IF(ISNUMBER($B$5),IF($B$4+258&lt;=$B$5,$B$4+258,""),""),"")</f>
        <v/>
      </c>
      <c r="B270" s="10" t="str">
        <f>IF(A270="","",CHOOSE(WEEKDAY(A270),"日","月","火","水","木","金","土"))</f>
        <v/>
      </c>
      <c r="C270" s="11" t="n"/>
      <c r="D270" s="12" t="n"/>
      <c r="E270" s="12" t="n"/>
      <c r="F270" s="13" t="n"/>
      <c r="G270" s="14">
        <f>IF(OR(A270="",C270&lt;&gt;"労働日"),0,MAX(0,MOD(E270-D270,1)*24-F270/60))</f>
        <v>0</v>
      </c>
      <c r="H270" s="15" t="str">
        <f>IF(A270="","",INT((A270-$B$4)/7)+1)</f>
        <v/>
      </c>
      <c r="I270" s="16">
        <f>IF(AND(A270&lt;&gt;"",C270="労働日"),I269+1,0)</f>
        <v>0</v>
      </c>
      <c r="J270" s="16">
        <f>IF(AND(A270&lt;&gt;"",ISNUMBER($B$7),ISNUMBER($B$8)),IF(AND(A270&gt;=$B$7,A270&lt;=$B$8),1,0),0)</f>
        <v>0</v>
      </c>
    </row>
    <row r="271">
      <c r="A271" s="9" t="str">
        <f>IF(ISNUMBER($B$4),IF(ISNUMBER($B$5),IF($B$4+259&lt;=$B$5,$B$4+259,""),""),"")</f>
        <v/>
      </c>
      <c r="B271" s="10" t="str">
        <f>IF(A271="","",CHOOSE(WEEKDAY(A271),"日","月","火","水","木","金","土"))</f>
        <v/>
      </c>
      <c r="C271" s="11" t="n"/>
      <c r="D271" s="12" t="n"/>
      <c r="E271" s="12" t="n"/>
      <c r="F271" s="13" t="n"/>
      <c r="G271" s="14">
        <f>IF(OR(A271="",C271&lt;&gt;"労働日"),0,MAX(0,MOD(E271-D271,1)*24-F271/60))</f>
        <v>0</v>
      </c>
      <c r="H271" s="15" t="str">
        <f>IF(A271="","",INT((A271-$B$4)/7)+1)</f>
        <v/>
      </c>
      <c r="I271" s="16">
        <f>IF(AND(A271&lt;&gt;"",C271="労働日"),I270+1,0)</f>
        <v>0</v>
      </c>
      <c r="J271" s="16">
        <f>IF(AND(A271&lt;&gt;"",ISNUMBER($B$7),ISNUMBER($B$8)),IF(AND(A271&gt;=$B$7,A271&lt;=$B$8),1,0),0)</f>
        <v>0</v>
      </c>
    </row>
    <row r="272">
      <c r="A272" s="9" t="str">
        <f>IF(ISNUMBER($B$4),IF(ISNUMBER($B$5),IF($B$4+260&lt;=$B$5,$B$4+260,""),""),"")</f>
        <v/>
      </c>
      <c r="B272" s="10" t="str">
        <f>IF(A272="","",CHOOSE(WEEKDAY(A272),"日","月","火","水","木","金","土"))</f>
        <v/>
      </c>
      <c r="C272" s="11" t="n"/>
      <c r="D272" s="12" t="n"/>
      <c r="E272" s="12" t="n"/>
      <c r="F272" s="13" t="n"/>
      <c r="G272" s="14">
        <f>IF(OR(A272="",C272&lt;&gt;"労働日"),0,MAX(0,MOD(E272-D272,1)*24-F272/60))</f>
        <v>0</v>
      </c>
      <c r="H272" s="15" t="str">
        <f>IF(A272="","",INT((A272-$B$4)/7)+1)</f>
        <v/>
      </c>
      <c r="I272" s="16">
        <f>IF(AND(A272&lt;&gt;"",C272="労働日"),I271+1,0)</f>
        <v>0</v>
      </c>
      <c r="J272" s="16">
        <f>IF(AND(A272&lt;&gt;"",ISNUMBER($B$7),ISNUMBER($B$8)),IF(AND(A272&gt;=$B$7,A272&lt;=$B$8),1,0),0)</f>
        <v>0</v>
      </c>
    </row>
    <row r="273">
      <c r="A273" s="9" t="str">
        <f>IF(ISNUMBER($B$4),IF(ISNUMBER($B$5),IF($B$4+261&lt;=$B$5,$B$4+261,""),""),"")</f>
        <v/>
      </c>
      <c r="B273" s="10" t="str">
        <f>IF(A273="","",CHOOSE(WEEKDAY(A273),"日","月","火","水","木","金","土"))</f>
        <v/>
      </c>
      <c r="C273" s="11" t="n"/>
      <c r="D273" s="12" t="n"/>
      <c r="E273" s="12" t="n"/>
      <c r="F273" s="13" t="n"/>
      <c r="G273" s="14">
        <f>IF(OR(A273="",C273&lt;&gt;"労働日"),0,MAX(0,MOD(E273-D273,1)*24-F273/60))</f>
        <v>0</v>
      </c>
      <c r="H273" s="15" t="str">
        <f>IF(A273="","",INT((A273-$B$4)/7)+1)</f>
        <v/>
      </c>
      <c r="I273" s="16">
        <f>IF(AND(A273&lt;&gt;"",C273="労働日"),I272+1,0)</f>
        <v>0</v>
      </c>
      <c r="J273" s="16">
        <f>IF(AND(A273&lt;&gt;"",ISNUMBER($B$7),ISNUMBER($B$8)),IF(AND(A273&gt;=$B$7,A273&lt;=$B$8),1,0),0)</f>
        <v>0</v>
      </c>
    </row>
    <row r="274">
      <c r="A274" s="9" t="str">
        <f>IF(ISNUMBER($B$4),IF(ISNUMBER($B$5),IF($B$4+262&lt;=$B$5,$B$4+262,""),""),"")</f>
        <v/>
      </c>
      <c r="B274" s="10" t="str">
        <f>IF(A274="","",CHOOSE(WEEKDAY(A274),"日","月","火","水","木","金","土"))</f>
        <v/>
      </c>
      <c r="C274" s="11" t="n"/>
      <c r="D274" s="12" t="n"/>
      <c r="E274" s="12" t="n"/>
      <c r="F274" s="13" t="n"/>
      <c r="G274" s="14">
        <f>IF(OR(A274="",C274&lt;&gt;"労働日"),0,MAX(0,MOD(E274-D274,1)*24-F274/60))</f>
        <v>0</v>
      </c>
      <c r="H274" s="15" t="str">
        <f>IF(A274="","",INT((A274-$B$4)/7)+1)</f>
        <v/>
      </c>
      <c r="I274" s="16">
        <f>IF(AND(A274&lt;&gt;"",C274="労働日"),I273+1,0)</f>
        <v>0</v>
      </c>
      <c r="J274" s="16">
        <f>IF(AND(A274&lt;&gt;"",ISNUMBER($B$7),ISNUMBER($B$8)),IF(AND(A274&gt;=$B$7,A274&lt;=$B$8),1,0),0)</f>
        <v>0</v>
      </c>
    </row>
    <row r="275">
      <c r="A275" s="9" t="str">
        <f>IF(ISNUMBER($B$4),IF(ISNUMBER($B$5),IF($B$4+263&lt;=$B$5,$B$4+263,""),""),"")</f>
        <v/>
      </c>
      <c r="B275" s="10" t="str">
        <f>IF(A275="","",CHOOSE(WEEKDAY(A275),"日","月","火","水","木","金","土"))</f>
        <v/>
      </c>
      <c r="C275" s="11" t="n"/>
      <c r="D275" s="12" t="n"/>
      <c r="E275" s="12" t="n"/>
      <c r="F275" s="13" t="n"/>
      <c r="G275" s="14">
        <f>IF(OR(A275="",C275&lt;&gt;"労働日"),0,MAX(0,MOD(E275-D275,1)*24-F275/60))</f>
        <v>0</v>
      </c>
      <c r="H275" s="15" t="str">
        <f>IF(A275="","",INT((A275-$B$4)/7)+1)</f>
        <v/>
      </c>
      <c r="I275" s="16">
        <f>IF(AND(A275&lt;&gt;"",C275="労働日"),I274+1,0)</f>
        <v>0</v>
      </c>
      <c r="J275" s="16">
        <f>IF(AND(A275&lt;&gt;"",ISNUMBER($B$7),ISNUMBER($B$8)),IF(AND(A275&gt;=$B$7,A275&lt;=$B$8),1,0),0)</f>
        <v>0</v>
      </c>
    </row>
    <row r="276">
      <c r="A276" s="9" t="str">
        <f>IF(ISNUMBER($B$4),IF(ISNUMBER($B$5),IF($B$4+264&lt;=$B$5,$B$4+264,""),""),"")</f>
        <v/>
      </c>
      <c r="B276" s="10" t="str">
        <f>IF(A276="","",CHOOSE(WEEKDAY(A276),"日","月","火","水","木","金","土"))</f>
        <v/>
      </c>
      <c r="C276" s="11" t="n"/>
      <c r="D276" s="12" t="n"/>
      <c r="E276" s="12" t="n"/>
      <c r="F276" s="13" t="n"/>
      <c r="G276" s="14">
        <f>IF(OR(A276="",C276&lt;&gt;"労働日"),0,MAX(0,MOD(E276-D276,1)*24-F276/60))</f>
        <v>0</v>
      </c>
      <c r="H276" s="15" t="str">
        <f>IF(A276="","",INT((A276-$B$4)/7)+1)</f>
        <v/>
      </c>
      <c r="I276" s="16">
        <f>IF(AND(A276&lt;&gt;"",C276="労働日"),I275+1,0)</f>
        <v>0</v>
      </c>
      <c r="J276" s="16">
        <f>IF(AND(A276&lt;&gt;"",ISNUMBER($B$7),ISNUMBER($B$8)),IF(AND(A276&gt;=$B$7,A276&lt;=$B$8),1,0),0)</f>
        <v>0</v>
      </c>
    </row>
    <row r="277">
      <c r="A277" s="9" t="str">
        <f>IF(ISNUMBER($B$4),IF(ISNUMBER($B$5),IF($B$4+265&lt;=$B$5,$B$4+265,""),""),"")</f>
        <v/>
      </c>
      <c r="B277" s="10" t="str">
        <f>IF(A277="","",CHOOSE(WEEKDAY(A277),"日","月","火","水","木","金","土"))</f>
        <v/>
      </c>
      <c r="C277" s="11" t="n"/>
      <c r="D277" s="12" t="n"/>
      <c r="E277" s="12" t="n"/>
      <c r="F277" s="13" t="n"/>
      <c r="G277" s="14">
        <f>IF(OR(A277="",C277&lt;&gt;"労働日"),0,MAX(0,MOD(E277-D277,1)*24-F277/60))</f>
        <v>0</v>
      </c>
      <c r="H277" s="15" t="str">
        <f>IF(A277="","",INT((A277-$B$4)/7)+1)</f>
        <v/>
      </c>
      <c r="I277" s="16">
        <f>IF(AND(A277&lt;&gt;"",C277="労働日"),I276+1,0)</f>
        <v>0</v>
      </c>
      <c r="J277" s="16">
        <f>IF(AND(A277&lt;&gt;"",ISNUMBER($B$7),ISNUMBER($B$8)),IF(AND(A277&gt;=$B$7,A277&lt;=$B$8),1,0),0)</f>
        <v>0</v>
      </c>
    </row>
    <row r="278">
      <c r="A278" s="9" t="str">
        <f>IF(ISNUMBER($B$4),IF(ISNUMBER($B$5),IF($B$4+266&lt;=$B$5,$B$4+266,""),""),"")</f>
        <v/>
      </c>
      <c r="B278" s="10" t="str">
        <f>IF(A278="","",CHOOSE(WEEKDAY(A278),"日","月","火","水","木","金","土"))</f>
        <v/>
      </c>
      <c r="C278" s="11" t="n"/>
      <c r="D278" s="12" t="n"/>
      <c r="E278" s="12" t="n"/>
      <c r="F278" s="13" t="n"/>
      <c r="G278" s="14">
        <f>IF(OR(A278="",C278&lt;&gt;"労働日"),0,MAX(0,MOD(E278-D278,1)*24-F278/60))</f>
        <v>0</v>
      </c>
      <c r="H278" s="15" t="str">
        <f>IF(A278="","",INT((A278-$B$4)/7)+1)</f>
        <v/>
      </c>
      <c r="I278" s="16">
        <f>IF(AND(A278&lt;&gt;"",C278="労働日"),I277+1,0)</f>
        <v>0</v>
      </c>
      <c r="J278" s="16">
        <f>IF(AND(A278&lt;&gt;"",ISNUMBER($B$7),ISNUMBER($B$8)),IF(AND(A278&gt;=$B$7,A278&lt;=$B$8),1,0),0)</f>
        <v>0</v>
      </c>
    </row>
    <row r="279">
      <c r="A279" s="9" t="str">
        <f>IF(ISNUMBER($B$4),IF(ISNUMBER($B$5),IF($B$4+267&lt;=$B$5,$B$4+267,""),""),"")</f>
        <v/>
      </c>
      <c r="B279" s="10" t="str">
        <f>IF(A279="","",CHOOSE(WEEKDAY(A279),"日","月","火","水","木","金","土"))</f>
        <v/>
      </c>
      <c r="C279" s="11" t="n"/>
      <c r="D279" s="12" t="n"/>
      <c r="E279" s="12" t="n"/>
      <c r="F279" s="13" t="n"/>
      <c r="G279" s="14">
        <f>IF(OR(A279="",C279&lt;&gt;"労働日"),0,MAX(0,MOD(E279-D279,1)*24-F279/60))</f>
        <v>0</v>
      </c>
      <c r="H279" s="15" t="str">
        <f>IF(A279="","",INT((A279-$B$4)/7)+1)</f>
        <v/>
      </c>
      <c r="I279" s="16">
        <f>IF(AND(A279&lt;&gt;"",C279="労働日"),I278+1,0)</f>
        <v>0</v>
      </c>
      <c r="J279" s="16">
        <f>IF(AND(A279&lt;&gt;"",ISNUMBER($B$7),ISNUMBER($B$8)),IF(AND(A279&gt;=$B$7,A279&lt;=$B$8),1,0),0)</f>
        <v>0</v>
      </c>
    </row>
    <row r="280">
      <c r="A280" s="9" t="str">
        <f>IF(ISNUMBER($B$4),IF(ISNUMBER($B$5),IF($B$4+268&lt;=$B$5,$B$4+268,""),""),"")</f>
        <v/>
      </c>
      <c r="B280" s="10" t="str">
        <f>IF(A280="","",CHOOSE(WEEKDAY(A280),"日","月","火","水","木","金","土"))</f>
        <v/>
      </c>
      <c r="C280" s="11" t="n"/>
      <c r="D280" s="12" t="n"/>
      <c r="E280" s="12" t="n"/>
      <c r="F280" s="13" t="n"/>
      <c r="G280" s="14">
        <f>IF(OR(A280="",C280&lt;&gt;"労働日"),0,MAX(0,MOD(E280-D280,1)*24-F280/60))</f>
        <v>0</v>
      </c>
      <c r="H280" s="15" t="str">
        <f>IF(A280="","",INT((A280-$B$4)/7)+1)</f>
        <v/>
      </c>
      <c r="I280" s="16">
        <f>IF(AND(A280&lt;&gt;"",C280="労働日"),I279+1,0)</f>
        <v>0</v>
      </c>
      <c r="J280" s="16">
        <f>IF(AND(A280&lt;&gt;"",ISNUMBER($B$7),ISNUMBER($B$8)),IF(AND(A280&gt;=$B$7,A280&lt;=$B$8),1,0),0)</f>
        <v>0</v>
      </c>
    </row>
    <row r="281">
      <c r="A281" s="9" t="str">
        <f>IF(ISNUMBER($B$4),IF(ISNUMBER($B$5),IF($B$4+269&lt;=$B$5,$B$4+269,""),""),"")</f>
        <v/>
      </c>
      <c r="B281" s="10" t="str">
        <f>IF(A281="","",CHOOSE(WEEKDAY(A281),"日","月","火","水","木","金","土"))</f>
        <v/>
      </c>
      <c r="C281" s="11" t="n"/>
      <c r="D281" s="12" t="n"/>
      <c r="E281" s="12" t="n"/>
      <c r="F281" s="13" t="n"/>
      <c r="G281" s="14">
        <f>IF(OR(A281="",C281&lt;&gt;"労働日"),0,MAX(0,MOD(E281-D281,1)*24-F281/60))</f>
        <v>0</v>
      </c>
      <c r="H281" s="15" t="str">
        <f>IF(A281="","",INT((A281-$B$4)/7)+1)</f>
        <v/>
      </c>
      <c r="I281" s="16">
        <f>IF(AND(A281&lt;&gt;"",C281="労働日"),I280+1,0)</f>
        <v>0</v>
      </c>
      <c r="J281" s="16">
        <f>IF(AND(A281&lt;&gt;"",ISNUMBER($B$7),ISNUMBER($B$8)),IF(AND(A281&gt;=$B$7,A281&lt;=$B$8),1,0),0)</f>
        <v>0</v>
      </c>
    </row>
    <row r="282">
      <c r="A282" s="9" t="str">
        <f>IF(ISNUMBER($B$4),IF(ISNUMBER($B$5),IF($B$4+270&lt;=$B$5,$B$4+270,""),""),"")</f>
        <v/>
      </c>
      <c r="B282" s="10" t="str">
        <f>IF(A282="","",CHOOSE(WEEKDAY(A282),"日","月","火","水","木","金","土"))</f>
        <v/>
      </c>
      <c r="C282" s="11" t="n"/>
      <c r="D282" s="12" t="n"/>
      <c r="E282" s="12" t="n"/>
      <c r="F282" s="13" t="n"/>
      <c r="G282" s="14">
        <f>IF(OR(A282="",C282&lt;&gt;"労働日"),0,MAX(0,MOD(E282-D282,1)*24-F282/60))</f>
        <v>0</v>
      </c>
      <c r="H282" s="15" t="str">
        <f>IF(A282="","",INT((A282-$B$4)/7)+1)</f>
        <v/>
      </c>
      <c r="I282" s="16">
        <f>IF(AND(A282&lt;&gt;"",C282="労働日"),I281+1,0)</f>
        <v>0</v>
      </c>
      <c r="J282" s="16">
        <f>IF(AND(A282&lt;&gt;"",ISNUMBER($B$7),ISNUMBER($B$8)),IF(AND(A282&gt;=$B$7,A282&lt;=$B$8),1,0),0)</f>
        <v>0</v>
      </c>
    </row>
    <row r="283">
      <c r="A283" s="9" t="str">
        <f>IF(ISNUMBER($B$4),IF(ISNUMBER($B$5),IF($B$4+271&lt;=$B$5,$B$4+271,""),""),"")</f>
        <v/>
      </c>
      <c r="B283" s="10" t="str">
        <f>IF(A283="","",CHOOSE(WEEKDAY(A283),"日","月","火","水","木","金","土"))</f>
        <v/>
      </c>
      <c r="C283" s="11" t="n"/>
      <c r="D283" s="12" t="n"/>
      <c r="E283" s="12" t="n"/>
      <c r="F283" s="13" t="n"/>
      <c r="G283" s="14">
        <f>IF(OR(A283="",C283&lt;&gt;"労働日"),0,MAX(0,MOD(E283-D283,1)*24-F283/60))</f>
        <v>0</v>
      </c>
      <c r="H283" s="15" t="str">
        <f>IF(A283="","",INT((A283-$B$4)/7)+1)</f>
        <v/>
      </c>
      <c r="I283" s="16">
        <f>IF(AND(A283&lt;&gt;"",C283="労働日"),I282+1,0)</f>
        <v>0</v>
      </c>
      <c r="J283" s="16">
        <f>IF(AND(A283&lt;&gt;"",ISNUMBER($B$7),ISNUMBER($B$8)),IF(AND(A283&gt;=$B$7,A283&lt;=$B$8),1,0),0)</f>
        <v>0</v>
      </c>
    </row>
    <row r="284">
      <c r="A284" s="9" t="str">
        <f>IF(ISNUMBER($B$4),IF(ISNUMBER($B$5),IF($B$4+272&lt;=$B$5,$B$4+272,""),""),"")</f>
        <v/>
      </c>
      <c r="B284" s="10" t="str">
        <f>IF(A284="","",CHOOSE(WEEKDAY(A284),"日","月","火","水","木","金","土"))</f>
        <v/>
      </c>
      <c r="C284" s="11" t="n"/>
      <c r="D284" s="12" t="n"/>
      <c r="E284" s="12" t="n"/>
      <c r="F284" s="13" t="n"/>
      <c r="G284" s="14">
        <f>IF(OR(A284="",C284&lt;&gt;"労働日"),0,MAX(0,MOD(E284-D284,1)*24-F284/60))</f>
        <v>0</v>
      </c>
      <c r="H284" s="15" t="str">
        <f>IF(A284="","",INT((A284-$B$4)/7)+1)</f>
        <v/>
      </c>
      <c r="I284" s="16">
        <f>IF(AND(A284&lt;&gt;"",C284="労働日"),I283+1,0)</f>
        <v>0</v>
      </c>
      <c r="J284" s="16">
        <f>IF(AND(A284&lt;&gt;"",ISNUMBER($B$7),ISNUMBER($B$8)),IF(AND(A284&gt;=$B$7,A284&lt;=$B$8),1,0),0)</f>
        <v>0</v>
      </c>
    </row>
    <row r="285">
      <c r="A285" s="9" t="str">
        <f>IF(ISNUMBER($B$4),IF(ISNUMBER($B$5),IF($B$4+273&lt;=$B$5,$B$4+273,""),""),"")</f>
        <v/>
      </c>
      <c r="B285" s="10" t="str">
        <f>IF(A285="","",CHOOSE(WEEKDAY(A285),"日","月","火","水","木","金","土"))</f>
        <v/>
      </c>
      <c r="C285" s="11" t="n"/>
      <c r="D285" s="12" t="n"/>
      <c r="E285" s="12" t="n"/>
      <c r="F285" s="13" t="n"/>
      <c r="G285" s="14">
        <f>IF(OR(A285="",C285&lt;&gt;"労働日"),0,MAX(0,MOD(E285-D285,1)*24-F285/60))</f>
        <v>0</v>
      </c>
      <c r="H285" s="15" t="str">
        <f>IF(A285="","",INT((A285-$B$4)/7)+1)</f>
        <v/>
      </c>
      <c r="I285" s="16">
        <f>IF(AND(A285&lt;&gt;"",C285="労働日"),I284+1,0)</f>
        <v>0</v>
      </c>
      <c r="J285" s="16">
        <f>IF(AND(A285&lt;&gt;"",ISNUMBER($B$7),ISNUMBER($B$8)),IF(AND(A285&gt;=$B$7,A285&lt;=$B$8),1,0),0)</f>
        <v>0</v>
      </c>
    </row>
    <row r="286">
      <c r="A286" s="9" t="str">
        <f>IF(ISNUMBER($B$4),IF(ISNUMBER($B$5),IF($B$4+274&lt;=$B$5,$B$4+274,""),""),"")</f>
        <v/>
      </c>
      <c r="B286" s="10" t="str">
        <f>IF(A286="","",CHOOSE(WEEKDAY(A286),"日","月","火","水","木","金","土"))</f>
        <v/>
      </c>
      <c r="C286" s="11" t="n"/>
      <c r="D286" s="12" t="n"/>
      <c r="E286" s="12" t="n"/>
      <c r="F286" s="13" t="n"/>
      <c r="G286" s="14">
        <f>IF(OR(A286="",C286&lt;&gt;"労働日"),0,MAX(0,MOD(E286-D286,1)*24-F286/60))</f>
        <v>0</v>
      </c>
      <c r="H286" s="15" t="str">
        <f>IF(A286="","",INT((A286-$B$4)/7)+1)</f>
        <v/>
      </c>
      <c r="I286" s="16">
        <f>IF(AND(A286&lt;&gt;"",C286="労働日"),I285+1,0)</f>
        <v>0</v>
      </c>
      <c r="J286" s="16">
        <f>IF(AND(A286&lt;&gt;"",ISNUMBER($B$7),ISNUMBER($B$8)),IF(AND(A286&gt;=$B$7,A286&lt;=$B$8),1,0),0)</f>
        <v>0</v>
      </c>
    </row>
    <row r="287">
      <c r="A287" s="9" t="str">
        <f>IF(ISNUMBER($B$4),IF(ISNUMBER($B$5),IF($B$4+275&lt;=$B$5,$B$4+275,""),""),"")</f>
        <v/>
      </c>
      <c r="B287" s="10" t="str">
        <f>IF(A287="","",CHOOSE(WEEKDAY(A287),"日","月","火","水","木","金","土"))</f>
        <v/>
      </c>
      <c r="C287" s="11" t="n"/>
      <c r="D287" s="12" t="n"/>
      <c r="E287" s="12" t="n"/>
      <c r="F287" s="13" t="n"/>
      <c r="G287" s="14">
        <f>IF(OR(A287="",C287&lt;&gt;"労働日"),0,MAX(0,MOD(E287-D287,1)*24-F287/60))</f>
        <v>0</v>
      </c>
      <c r="H287" s="15" t="str">
        <f>IF(A287="","",INT((A287-$B$4)/7)+1)</f>
        <v/>
      </c>
      <c r="I287" s="16">
        <f>IF(AND(A287&lt;&gt;"",C287="労働日"),I286+1,0)</f>
        <v>0</v>
      </c>
      <c r="J287" s="16">
        <f>IF(AND(A287&lt;&gt;"",ISNUMBER($B$7),ISNUMBER($B$8)),IF(AND(A287&gt;=$B$7,A287&lt;=$B$8),1,0),0)</f>
        <v>0</v>
      </c>
    </row>
    <row r="288">
      <c r="A288" s="9" t="str">
        <f>IF(ISNUMBER($B$4),IF(ISNUMBER($B$5),IF($B$4+276&lt;=$B$5,$B$4+276,""),""),"")</f>
        <v/>
      </c>
      <c r="B288" s="10" t="str">
        <f>IF(A288="","",CHOOSE(WEEKDAY(A288),"日","月","火","水","木","金","土"))</f>
        <v/>
      </c>
      <c r="C288" s="11" t="n"/>
      <c r="D288" s="12" t="n"/>
      <c r="E288" s="12" t="n"/>
      <c r="F288" s="13" t="n"/>
      <c r="G288" s="14">
        <f>IF(OR(A288="",C288&lt;&gt;"労働日"),0,MAX(0,MOD(E288-D288,1)*24-F288/60))</f>
        <v>0</v>
      </c>
      <c r="H288" s="15" t="str">
        <f>IF(A288="","",INT((A288-$B$4)/7)+1)</f>
        <v/>
      </c>
      <c r="I288" s="16">
        <f>IF(AND(A288&lt;&gt;"",C288="労働日"),I287+1,0)</f>
        <v>0</v>
      </c>
      <c r="J288" s="16">
        <f>IF(AND(A288&lt;&gt;"",ISNUMBER($B$7),ISNUMBER($B$8)),IF(AND(A288&gt;=$B$7,A288&lt;=$B$8),1,0),0)</f>
        <v>0</v>
      </c>
    </row>
    <row r="289">
      <c r="A289" s="9" t="str">
        <f>IF(ISNUMBER($B$4),IF(ISNUMBER($B$5),IF($B$4+277&lt;=$B$5,$B$4+277,""),""),"")</f>
        <v/>
      </c>
      <c r="B289" s="10" t="str">
        <f>IF(A289="","",CHOOSE(WEEKDAY(A289),"日","月","火","水","木","金","土"))</f>
        <v/>
      </c>
      <c r="C289" s="11" t="n"/>
      <c r="D289" s="12" t="n"/>
      <c r="E289" s="12" t="n"/>
      <c r="F289" s="13" t="n"/>
      <c r="G289" s="14">
        <f>IF(OR(A289="",C289&lt;&gt;"労働日"),0,MAX(0,MOD(E289-D289,1)*24-F289/60))</f>
        <v>0</v>
      </c>
      <c r="H289" s="15" t="str">
        <f>IF(A289="","",INT((A289-$B$4)/7)+1)</f>
        <v/>
      </c>
      <c r="I289" s="16">
        <f>IF(AND(A289&lt;&gt;"",C289="労働日"),I288+1,0)</f>
        <v>0</v>
      </c>
      <c r="J289" s="16">
        <f>IF(AND(A289&lt;&gt;"",ISNUMBER($B$7),ISNUMBER($B$8)),IF(AND(A289&gt;=$B$7,A289&lt;=$B$8),1,0),0)</f>
        <v>0</v>
      </c>
    </row>
    <row r="290">
      <c r="A290" s="9" t="str">
        <f>IF(ISNUMBER($B$4),IF(ISNUMBER($B$5),IF($B$4+278&lt;=$B$5,$B$4+278,""),""),"")</f>
        <v/>
      </c>
      <c r="B290" s="10" t="str">
        <f>IF(A290="","",CHOOSE(WEEKDAY(A290),"日","月","火","水","木","金","土"))</f>
        <v/>
      </c>
      <c r="C290" s="11" t="n"/>
      <c r="D290" s="12" t="n"/>
      <c r="E290" s="12" t="n"/>
      <c r="F290" s="13" t="n"/>
      <c r="G290" s="14">
        <f>IF(OR(A290="",C290&lt;&gt;"労働日"),0,MAX(0,MOD(E290-D290,1)*24-F290/60))</f>
        <v>0</v>
      </c>
      <c r="H290" s="15" t="str">
        <f>IF(A290="","",INT((A290-$B$4)/7)+1)</f>
        <v/>
      </c>
      <c r="I290" s="16">
        <f>IF(AND(A290&lt;&gt;"",C290="労働日"),I289+1,0)</f>
        <v>0</v>
      </c>
      <c r="J290" s="16">
        <f>IF(AND(A290&lt;&gt;"",ISNUMBER($B$7),ISNUMBER($B$8)),IF(AND(A290&gt;=$B$7,A290&lt;=$B$8),1,0),0)</f>
        <v>0</v>
      </c>
    </row>
    <row r="291">
      <c r="A291" s="9" t="str">
        <f>IF(ISNUMBER($B$4),IF(ISNUMBER($B$5),IF($B$4+279&lt;=$B$5,$B$4+279,""),""),"")</f>
        <v/>
      </c>
      <c r="B291" s="10" t="str">
        <f>IF(A291="","",CHOOSE(WEEKDAY(A291),"日","月","火","水","木","金","土"))</f>
        <v/>
      </c>
      <c r="C291" s="11" t="n"/>
      <c r="D291" s="12" t="n"/>
      <c r="E291" s="12" t="n"/>
      <c r="F291" s="13" t="n"/>
      <c r="G291" s="14">
        <f>IF(OR(A291="",C291&lt;&gt;"労働日"),0,MAX(0,MOD(E291-D291,1)*24-F291/60))</f>
        <v>0</v>
      </c>
      <c r="H291" s="15" t="str">
        <f>IF(A291="","",INT((A291-$B$4)/7)+1)</f>
        <v/>
      </c>
      <c r="I291" s="16">
        <f>IF(AND(A291&lt;&gt;"",C291="労働日"),I290+1,0)</f>
        <v>0</v>
      </c>
      <c r="J291" s="16">
        <f>IF(AND(A291&lt;&gt;"",ISNUMBER($B$7),ISNUMBER($B$8)),IF(AND(A291&gt;=$B$7,A291&lt;=$B$8),1,0),0)</f>
        <v>0</v>
      </c>
    </row>
    <row r="292">
      <c r="A292" s="9" t="str">
        <f>IF(ISNUMBER($B$4),IF(ISNUMBER($B$5),IF($B$4+280&lt;=$B$5,$B$4+280,""),""),"")</f>
        <v/>
      </c>
      <c r="B292" s="10" t="str">
        <f>IF(A292="","",CHOOSE(WEEKDAY(A292),"日","月","火","水","木","金","土"))</f>
        <v/>
      </c>
      <c r="C292" s="11" t="n"/>
      <c r="D292" s="12" t="n"/>
      <c r="E292" s="12" t="n"/>
      <c r="F292" s="13" t="n"/>
      <c r="G292" s="14">
        <f>IF(OR(A292="",C292&lt;&gt;"労働日"),0,MAX(0,MOD(E292-D292,1)*24-F292/60))</f>
        <v>0</v>
      </c>
      <c r="H292" s="15" t="str">
        <f>IF(A292="","",INT((A292-$B$4)/7)+1)</f>
        <v/>
      </c>
      <c r="I292" s="16">
        <f>IF(AND(A292&lt;&gt;"",C292="労働日"),I291+1,0)</f>
        <v>0</v>
      </c>
      <c r="J292" s="16">
        <f>IF(AND(A292&lt;&gt;"",ISNUMBER($B$7),ISNUMBER($B$8)),IF(AND(A292&gt;=$B$7,A292&lt;=$B$8),1,0),0)</f>
        <v>0</v>
      </c>
    </row>
    <row r="293">
      <c r="A293" s="9" t="str">
        <f>IF(ISNUMBER($B$4),IF(ISNUMBER($B$5),IF($B$4+281&lt;=$B$5,$B$4+281,""),""),"")</f>
        <v/>
      </c>
      <c r="B293" s="10" t="str">
        <f>IF(A293="","",CHOOSE(WEEKDAY(A293),"日","月","火","水","木","金","土"))</f>
        <v/>
      </c>
      <c r="C293" s="11" t="n"/>
      <c r="D293" s="12" t="n"/>
      <c r="E293" s="12" t="n"/>
      <c r="F293" s="13" t="n"/>
      <c r="G293" s="14">
        <f>IF(OR(A293="",C293&lt;&gt;"労働日"),0,MAX(0,MOD(E293-D293,1)*24-F293/60))</f>
        <v>0</v>
      </c>
      <c r="H293" s="15" t="str">
        <f>IF(A293="","",INT((A293-$B$4)/7)+1)</f>
        <v/>
      </c>
      <c r="I293" s="16">
        <f>IF(AND(A293&lt;&gt;"",C293="労働日"),I292+1,0)</f>
        <v>0</v>
      </c>
      <c r="J293" s="16">
        <f>IF(AND(A293&lt;&gt;"",ISNUMBER($B$7),ISNUMBER($B$8)),IF(AND(A293&gt;=$B$7,A293&lt;=$B$8),1,0),0)</f>
        <v>0</v>
      </c>
    </row>
    <row r="294">
      <c r="A294" s="9" t="str">
        <f>IF(ISNUMBER($B$4),IF(ISNUMBER($B$5),IF($B$4+282&lt;=$B$5,$B$4+282,""),""),"")</f>
        <v/>
      </c>
      <c r="B294" s="10" t="str">
        <f>IF(A294="","",CHOOSE(WEEKDAY(A294),"日","月","火","水","木","金","土"))</f>
        <v/>
      </c>
      <c r="C294" s="11" t="n"/>
      <c r="D294" s="12" t="n"/>
      <c r="E294" s="12" t="n"/>
      <c r="F294" s="13" t="n"/>
      <c r="G294" s="14">
        <f>IF(OR(A294="",C294&lt;&gt;"労働日"),0,MAX(0,MOD(E294-D294,1)*24-F294/60))</f>
        <v>0</v>
      </c>
      <c r="H294" s="15" t="str">
        <f>IF(A294="","",INT((A294-$B$4)/7)+1)</f>
        <v/>
      </c>
      <c r="I294" s="16">
        <f>IF(AND(A294&lt;&gt;"",C294="労働日"),I293+1,0)</f>
        <v>0</v>
      </c>
      <c r="J294" s="16">
        <f>IF(AND(A294&lt;&gt;"",ISNUMBER($B$7),ISNUMBER($B$8)),IF(AND(A294&gt;=$B$7,A294&lt;=$B$8),1,0),0)</f>
        <v>0</v>
      </c>
    </row>
    <row r="295">
      <c r="A295" s="9" t="str">
        <f>IF(ISNUMBER($B$4),IF(ISNUMBER($B$5),IF($B$4+283&lt;=$B$5,$B$4+283,""),""),"")</f>
        <v/>
      </c>
      <c r="B295" s="10" t="str">
        <f>IF(A295="","",CHOOSE(WEEKDAY(A295),"日","月","火","水","木","金","土"))</f>
        <v/>
      </c>
      <c r="C295" s="11" t="n"/>
      <c r="D295" s="12" t="n"/>
      <c r="E295" s="12" t="n"/>
      <c r="F295" s="13" t="n"/>
      <c r="G295" s="14">
        <f>IF(OR(A295="",C295&lt;&gt;"労働日"),0,MAX(0,MOD(E295-D295,1)*24-F295/60))</f>
        <v>0</v>
      </c>
      <c r="H295" s="15" t="str">
        <f>IF(A295="","",INT((A295-$B$4)/7)+1)</f>
        <v/>
      </c>
      <c r="I295" s="16">
        <f>IF(AND(A295&lt;&gt;"",C295="労働日"),I294+1,0)</f>
        <v>0</v>
      </c>
      <c r="J295" s="16">
        <f>IF(AND(A295&lt;&gt;"",ISNUMBER($B$7),ISNUMBER($B$8)),IF(AND(A295&gt;=$B$7,A295&lt;=$B$8),1,0),0)</f>
        <v>0</v>
      </c>
    </row>
    <row r="296">
      <c r="A296" s="9" t="str">
        <f>IF(ISNUMBER($B$4),IF(ISNUMBER($B$5),IF($B$4+284&lt;=$B$5,$B$4+284,""),""),"")</f>
        <v/>
      </c>
      <c r="B296" s="10" t="str">
        <f>IF(A296="","",CHOOSE(WEEKDAY(A296),"日","月","火","水","木","金","土"))</f>
        <v/>
      </c>
      <c r="C296" s="11" t="n"/>
      <c r="D296" s="12" t="n"/>
      <c r="E296" s="12" t="n"/>
      <c r="F296" s="13" t="n"/>
      <c r="G296" s="14">
        <f>IF(OR(A296="",C296&lt;&gt;"労働日"),0,MAX(0,MOD(E296-D296,1)*24-F296/60))</f>
        <v>0</v>
      </c>
      <c r="H296" s="15" t="str">
        <f>IF(A296="","",INT((A296-$B$4)/7)+1)</f>
        <v/>
      </c>
      <c r="I296" s="16">
        <f>IF(AND(A296&lt;&gt;"",C296="労働日"),I295+1,0)</f>
        <v>0</v>
      </c>
      <c r="J296" s="16">
        <f>IF(AND(A296&lt;&gt;"",ISNUMBER($B$7),ISNUMBER($B$8)),IF(AND(A296&gt;=$B$7,A296&lt;=$B$8),1,0),0)</f>
        <v>0</v>
      </c>
    </row>
    <row r="297">
      <c r="A297" s="9" t="str">
        <f>IF(ISNUMBER($B$4),IF(ISNUMBER($B$5),IF($B$4+285&lt;=$B$5,$B$4+285,""),""),"")</f>
        <v/>
      </c>
      <c r="B297" s="10" t="str">
        <f>IF(A297="","",CHOOSE(WEEKDAY(A297),"日","月","火","水","木","金","土"))</f>
        <v/>
      </c>
      <c r="C297" s="11" t="n"/>
      <c r="D297" s="12" t="n"/>
      <c r="E297" s="12" t="n"/>
      <c r="F297" s="13" t="n"/>
      <c r="G297" s="14">
        <f>IF(OR(A297="",C297&lt;&gt;"労働日"),0,MAX(0,MOD(E297-D297,1)*24-F297/60))</f>
        <v>0</v>
      </c>
      <c r="H297" s="15" t="str">
        <f>IF(A297="","",INT((A297-$B$4)/7)+1)</f>
        <v/>
      </c>
      <c r="I297" s="16">
        <f>IF(AND(A297&lt;&gt;"",C297="労働日"),I296+1,0)</f>
        <v>0</v>
      </c>
      <c r="J297" s="16">
        <f>IF(AND(A297&lt;&gt;"",ISNUMBER($B$7),ISNUMBER($B$8)),IF(AND(A297&gt;=$B$7,A297&lt;=$B$8),1,0),0)</f>
        <v>0</v>
      </c>
    </row>
    <row r="298">
      <c r="A298" s="9" t="str">
        <f>IF(ISNUMBER($B$4),IF(ISNUMBER($B$5),IF($B$4+286&lt;=$B$5,$B$4+286,""),""),"")</f>
        <v/>
      </c>
      <c r="B298" s="10" t="str">
        <f>IF(A298="","",CHOOSE(WEEKDAY(A298),"日","月","火","水","木","金","土"))</f>
        <v/>
      </c>
      <c r="C298" s="11" t="n"/>
      <c r="D298" s="12" t="n"/>
      <c r="E298" s="12" t="n"/>
      <c r="F298" s="13" t="n"/>
      <c r="G298" s="14">
        <f>IF(OR(A298="",C298&lt;&gt;"労働日"),0,MAX(0,MOD(E298-D298,1)*24-F298/60))</f>
        <v>0</v>
      </c>
      <c r="H298" s="15" t="str">
        <f>IF(A298="","",INT((A298-$B$4)/7)+1)</f>
        <v/>
      </c>
      <c r="I298" s="16">
        <f>IF(AND(A298&lt;&gt;"",C298="労働日"),I297+1,0)</f>
        <v>0</v>
      </c>
      <c r="J298" s="16">
        <f>IF(AND(A298&lt;&gt;"",ISNUMBER($B$7),ISNUMBER($B$8)),IF(AND(A298&gt;=$B$7,A298&lt;=$B$8),1,0),0)</f>
        <v>0</v>
      </c>
    </row>
    <row r="299">
      <c r="A299" s="9" t="str">
        <f>IF(ISNUMBER($B$4),IF(ISNUMBER($B$5),IF($B$4+287&lt;=$B$5,$B$4+287,""),""),"")</f>
        <v/>
      </c>
      <c r="B299" s="10" t="str">
        <f>IF(A299="","",CHOOSE(WEEKDAY(A299),"日","月","火","水","木","金","土"))</f>
        <v/>
      </c>
      <c r="C299" s="11" t="n"/>
      <c r="D299" s="12" t="n"/>
      <c r="E299" s="12" t="n"/>
      <c r="F299" s="13" t="n"/>
      <c r="G299" s="14">
        <f>IF(OR(A299="",C299&lt;&gt;"労働日"),0,MAX(0,MOD(E299-D299,1)*24-F299/60))</f>
        <v>0</v>
      </c>
      <c r="H299" s="15" t="str">
        <f>IF(A299="","",INT((A299-$B$4)/7)+1)</f>
        <v/>
      </c>
      <c r="I299" s="16">
        <f>IF(AND(A299&lt;&gt;"",C299="労働日"),I298+1,0)</f>
        <v>0</v>
      </c>
      <c r="J299" s="16">
        <f>IF(AND(A299&lt;&gt;"",ISNUMBER($B$7),ISNUMBER($B$8)),IF(AND(A299&gt;=$B$7,A299&lt;=$B$8),1,0),0)</f>
        <v>0</v>
      </c>
    </row>
    <row r="300">
      <c r="A300" s="9" t="str">
        <f>IF(ISNUMBER($B$4),IF(ISNUMBER($B$5),IF($B$4+288&lt;=$B$5,$B$4+288,""),""),"")</f>
        <v/>
      </c>
      <c r="B300" s="10" t="str">
        <f>IF(A300="","",CHOOSE(WEEKDAY(A300),"日","月","火","水","木","金","土"))</f>
        <v/>
      </c>
      <c r="C300" s="11" t="n"/>
      <c r="D300" s="12" t="n"/>
      <c r="E300" s="12" t="n"/>
      <c r="F300" s="13" t="n"/>
      <c r="G300" s="14">
        <f>IF(OR(A300="",C300&lt;&gt;"労働日"),0,MAX(0,MOD(E300-D300,1)*24-F300/60))</f>
        <v>0</v>
      </c>
      <c r="H300" s="15" t="str">
        <f>IF(A300="","",INT((A300-$B$4)/7)+1)</f>
        <v/>
      </c>
      <c r="I300" s="16">
        <f>IF(AND(A300&lt;&gt;"",C300="労働日"),I299+1,0)</f>
        <v>0</v>
      </c>
      <c r="J300" s="16">
        <f>IF(AND(A300&lt;&gt;"",ISNUMBER($B$7),ISNUMBER($B$8)),IF(AND(A300&gt;=$B$7,A300&lt;=$B$8),1,0),0)</f>
        <v>0</v>
      </c>
    </row>
    <row r="301">
      <c r="A301" s="9" t="str">
        <f>IF(ISNUMBER($B$4),IF(ISNUMBER($B$5),IF($B$4+289&lt;=$B$5,$B$4+289,""),""),"")</f>
        <v/>
      </c>
      <c r="B301" s="10" t="str">
        <f>IF(A301="","",CHOOSE(WEEKDAY(A301),"日","月","火","水","木","金","土"))</f>
        <v/>
      </c>
      <c r="C301" s="11" t="n"/>
      <c r="D301" s="12" t="n"/>
      <c r="E301" s="12" t="n"/>
      <c r="F301" s="13" t="n"/>
      <c r="G301" s="14">
        <f>IF(OR(A301="",C301&lt;&gt;"労働日"),0,MAX(0,MOD(E301-D301,1)*24-F301/60))</f>
        <v>0</v>
      </c>
      <c r="H301" s="15" t="str">
        <f>IF(A301="","",INT((A301-$B$4)/7)+1)</f>
        <v/>
      </c>
      <c r="I301" s="16">
        <f>IF(AND(A301&lt;&gt;"",C301="労働日"),I300+1,0)</f>
        <v>0</v>
      </c>
      <c r="J301" s="16">
        <f>IF(AND(A301&lt;&gt;"",ISNUMBER($B$7),ISNUMBER($B$8)),IF(AND(A301&gt;=$B$7,A301&lt;=$B$8),1,0),0)</f>
        <v>0</v>
      </c>
    </row>
    <row r="302">
      <c r="A302" s="9" t="str">
        <f>IF(ISNUMBER($B$4),IF(ISNUMBER($B$5),IF($B$4+290&lt;=$B$5,$B$4+290,""),""),"")</f>
        <v/>
      </c>
      <c r="B302" s="10" t="str">
        <f>IF(A302="","",CHOOSE(WEEKDAY(A302),"日","月","火","水","木","金","土"))</f>
        <v/>
      </c>
      <c r="C302" s="11" t="n"/>
      <c r="D302" s="12" t="n"/>
      <c r="E302" s="12" t="n"/>
      <c r="F302" s="13" t="n"/>
      <c r="G302" s="14">
        <f>IF(OR(A302="",C302&lt;&gt;"労働日"),0,MAX(0,MOD(E302-D302,1)*24-F302/60))</f>
        <v>0</v>
      </c>
      <c r="H302" s="15" t="str">
        <f>IF(A302="","",INT((A302-$B$4)/7)+1)</f>
        <v/>
      </c>
      <c r="I302" s="16">
        <f>IF(AND(A302&lt;&gt;"",C302="労働日"),I301+1,0)</f>
        <v>0</v>
      </c>
      <c r="J302" s="16">
        <f>IF(AND(A302&lt;&gt;"",ISNUMBER($B$7),ISNUMBER($B$8)),IF(AND(A302&gt;=$B$7,A302&lt;=$B$8),1,0),0)</f>
        <v>0</v>
      </c>
    </row>
    <row r="303">
      <c r="A303" s="9" t="str">
        <f>IF(ISNUMBER($B$4),IF(ISNUMBER($B$5),IF($B$4+291&lt;=$B$5,$B$4+291,""),""),"")</f>
        <v/>
      </c>
      <c r="B303" s="10" t="str">
        <f>IF(A303="","",CHOOSE(WEEKDAY(A303),"日","月","火","水","木","金","土"))</f>
        <v/>
      </c>
      <c r="C303" s="11" t="n"/>
      <c r="D303" s="12" t="n"/>
      <c r="E303" s="12" t="n"/>
      <c r="F303" s="13" t="n"/>
      <c r="G303" s="14">
        <f>IF(OR(A303="",C303&lt;&gt;"労働日"),0,MAX(0,MOD(E303-D303,1)*24-F303/60))</f>
        <v>0</v>
      </c>
      <c r="H303" s="15" t="str">
        <f>IF(A303="","",INT((A303-$B$4)/7)+1)</f>
        <v/>
      </c>
      <c r="I303" s="16">
        <f>IF(AND(A303&lt;&gt;"",C303="労働日"),I302+1,0)</f>
        <v>0</v>
      </c>
      <c r="J303" s="16">
        <f>IF(AND(A303&lt;&gt;"",ISNUMBER($B$7),ISNUMBER($B$8)),IF(AND(A303&gt;=$B$7,A303&lt;=$B$8),1,0),0)</f>
        <v>0</v>
      </c>
    </row>
    <row r="304">
      <c r="A304" s="9" t="str">
        <f>IF(ISNUMBER($B$4),IF(ISNUMBER($B$5),IF($B$4+292&lt;=$B$5,$B$4+292,""),""),"")</f>
        <v/>
      </c>
      <c r="B304" s="10" t="str">
        <f>IF(A304="","",CHOOSE(WEEKDAY(A304),"日","月","火","水","木","金","土"))</f>
        <v/>
      </c>
      <c r="C304" s="11" t="n"/>
      <c r="D304" s="12" t="n"/>
      <c r="E304" s="12" t="n"/>
      <c r="F304" s="13" t="n"/>
      <c r="G304" s="14">
        <f>IF(OR(A304="",C304&lt;&gt;"労働日"),0,MAX(0,MOD(E304-D304,1)*24-F304/60))</f>
        <v>0</v>
      </c>
      <c r="H304" s="15" t="str">
        <f>IF(A304="","",INT((A304-$B$4)/7)+1)</f>
        <v/>
      </c>
      <c r="I304" s="16">
        <f>IF(AND(A304&lt;&gt;"",C304="労働日"),I303+1,0)</f>
        <v>0</v>
      </c>
      <c r="J304" s="16">
        <f>IF(AND(A304&lt;&gt;"",ISNUMBER($B$7),ISNUMBER($B$8)),IF(AND(A304&gt;=$B$7,A304&lt;=$B$8),1,0),0)</f>
        <v>0</v>
      </c>
    </row>
    <row r="305">
      <c r="A305" s="9" t="str">
        <f>IF(ISNUMBER($B$4),IF(ISNUMBER($B$5),IF($B$4+293&lt;=$B$5,$B$4+293,""),""),"")</f>
        <v/>
      </c>
      <c r="B305" s="10" t="str">
        <f>IF(A305="","",CHOOSE(WEEKDAY(A305),"日","月","火","水","木","金","土"))</f>
        <v/>
      </c>
      <c r="C305" s="11" t="n"/>
      <c r="D305" s="12" t="n"/>
      <c r="E305" s="12" t="n"/>
      <c r="F305" s="13" t="n"/>
      <c r="G305" s="14">
        <f>IF(OR(A305="",C305&lt;&gt;"労働日"),0,MAX(0,MOD(E305-D305,1)*24-F305/60))</f>
        <v>0</v>
      </c>
      <c r="H305" s="15" t="str">
        <f>IF(A305="","",INT((A305-$B$4)/7)+1)</f>
        <v/>
      </c>
      <c r="I305" s="16">
        <f>IF(AND(A305&lt;&gt;"",C305="労働日"),I304+1,0)</f>
        <v>0</v>
      </c>
      <c r="J305" s="16">
        <f>IF(AND(A305&lt;&gt;"",ISNUMBER($B$7),ISNUMBER($B$8)),IF(AND(A305&gt;=$B$7,A305&lt;=$B$8),1,0),0)</f>
        <v>0</v>
      </c>
    </row>
    <row r="306">
      <c r="A306" s="9" t="str">
        <f>IF(ISNUMBER($B$4),IF(ISNUMBER($B$5),IF($B$4+294&lt;=$B$5,$B$4+294,""),""),"")</f>
        <v/>
      </c>
      <c r="B306" s="10" t="str">
        <f>IF(A306="","",CHOOSE(WEEKDAY(A306),"日","月","火","水","木","金","土"))</f>
        <v/>
      </c>
      <c r="C306" s="11" t="n"/>
      <c r="D306" s="12" t="n"/>
      <c r="E306" s="12" t="n"/>
      <c r="F306" s="13" t="n"/>
      <c r="G306" s="14">
        <f>IF(OR(A306="",C306&lt;&gt;"労働日"),0,MAX(0,MOD(E306-D306,1)*24-F306/60))</f>
        <v>0</v>
      </c>
      <c r="H306" s="15" t="str">
        <f>IF(A306="","",INT((A306-$B$4)/7)+1)</f>
        <v/>
      </c>
      <c r="I306" s="16">
        <f>IF(AND(A306&lt;&gt;"",C306="労働日"),I305+1,0)</f>
        <v>0</v>
      </c>
      <c r="J306" s="16">
        <f>IF(AND(A306&lt;&gt;"",ISNUMBER($B$7),ISNUMBER($B$8)),IF(AND(A306&gt;=$B$7,A306&lt;=$B$8),1,0),0)</f>
        <v>0</v>
      </c>
    </row>
    <row r="307">
      <c r="A307" s="9" t="str">
        <f>IF(ISNUMBER($B$4),IF(ISNUMBER($B$5),IF($B$4+295&lt;=$B$5,$B$4+295,""),""),"")</f>
        <v/>
      </c>
      <c r="B307" s="10" t="str">
        <f>IF(A307="","",CHOOSE(WEEKDAY(A307),"日","月","火","水","木","金","土"))</f>
        <v/>
      </c>
      <c r="C307" s="11" t="n"/>
      <c r="D307" s="12" t="n"/>
      <c r="E307" s="12" t="n"/>
      <c r="F307" s="13" t="n"/>
      <c r="G307" s="14">
        <f>IF(OR(A307="",C307&lt;&gt;"労働日"),0,MAX(0,MOD(E307-D307,1)*24-F307/60))</f>
        <v>0</v>
      </c>
      <c r="H307" s="15" t="str">
        <f>IF(A307="","",INT((A307-$B$4)/7)+1)</f>
        <v/>
      </c>
      <c r="I307" s="16">
        <f>IF(AND(A307&lt;&gt;"",C307="労働日"),I306+1,0)</f>
        <v>0</v>
      </c>
      <c r="J307" s="16">
        <f>IF(AND(A307&lt;&gt;"",ISNUMBER($B$7),ISNUMBER($B$8)),IF(AND(A307&gt;=$B$7,A307&lt;=$B$8),1,0),0)</f>
        <v>0</v>
      </c>
    </row>
    <row r="308">
      <c r="A308" s="9" t="str">
        <f>IF(ISNUMBER($B$4),IF(ISNUMBER($B$5),IF($B$4+296&lt;=$B$5,$B$4+296,""),""),"")</f>
        <v/>
      </c>
      <c r="B308" s="10" t="str">
        <f>IF(A308="","",CHOOSE(WEEKDAY(A308),"日","月","火","水","木","金","土"))</f>
        <v/>
      </c>
      <c r="C308" s="11" t="n"/>
      <c r="D308" s="12" t="n"/>
      <c r="E308" s="12" t="n"/>
      <c r="F308" s="13" t="n"/>
      <c r="G308" s="14">
        <f>IF(OR(A308="",C308&lt;&gt;"労働日"),0,MAX(0,MOD(E308-D308,1)*24-F308/60))</f>
        <v>0</v>
      </c>
      <c r="H308" s="15" t="str">
        <f>IF(A308="","",INT((A308-$B$4)/7)+1)</f>
        <v/>
      </c>
      <c r="I308" s="16">
        <f>IF(AND(A308&lt;&gt;"",C308="労働日"),I307+1,0)</f>
        <v>0</v>
      </c>
      <c r="J308" s="16">
        <f>IF(AND(A308&lt;&gt;"",ISNUMBER($B$7),ISNUMBER($B$8)),IF(AND(A308&gt;=$B$7,A308&lt;=$B$8),1,0),0)</f>
        <v>0</v>
      </c>
    </row>
    <row r="309">
      <c r="A309" s="9" t="str">
        <f>IF(ISNUMBER($B$4),IF(ISNUMBER($B$5),IF($B$4+297&lt;=$B$5,$B$4+297,""),""),"")</f>
        <v/>
      </c>
      <c r="B309" s="10" t="str">
        <f>IF(A309="","",CHOOSE(WEEKDAY(A309),"日","月","火","水","木","金","土"))</f>
        <v/>
      </c>
      <c r="C309" s="11" t="n"/>
      <c r="D309" s="12" t="n"/>
      <c r="E309" s="12" t="n"/>
      <c r="F309" s="13" t="n"/>
      <c r="G309" s="14">
        <f>IF(OR(A309="",C309&lt;&gt;"労働日"),0,MAX(0,MOD(E309-D309,1)*24-F309/60))</f>
        <v>0</v>
      </c>
      <c r="H309" s="15" t="str">
        <f>IF(A309="","",INT((A309-$B$4)/7)+1)</f>
        <v/>
      </c>
      <c r="I309" s="16">
        <f>IF(AND(A309&lt;&gt;"",C309="労働日"),I308+1,0)</f>
        <v>0</v>
      </c>
      <c r="J309" s="16">
        <f>IF(AND(A309&lt;&gt;"",ISNUMBER($B$7),ISNUMBER($B$8)),IF(AND(A309&gt;=$B$7,A309&lt;=$B$8),1,0),0)</f>
        <v>0</v>
      </c>
    </row>
    <row r="310">
      <c r="A310" s="9" t="str">
        <f>IF(ISNUMBER($B$4),IF(ISNUMBER($B$5),IF($B$4+298&lt;=$B$5,$B$4+298,""),""),"")</f>
        <v/>
      </c>
      <c r="B310" s="10" t="str">
        <f>IF(A310="","",CHOOSE(WEEKDAY(A310),"日","月","火","水","木","金","土"))</f>
        <v/>
      </c>
      <c r="C310" s="11" t="n"/>
      <c r="D310" s="12" t="n"/>
      <c r="E310" s="12" t="n"/>
      <c r="F310" s="13" t="n"/>
      <c r="G310" s="14">
        <f>IF(OR(A310="",C310&lt;&gt;"労働日"),0,MAX(0,MOD(E310-D310,1)*24-F310/60))</f>
        <v>0</v>
      </c>
      <c r="H310" s="15" t="str">
        <f>IF(A310="","",INT((A310-$B$4)/7)+1)</f>
        <v/>
      </c>
      <c r="I310" s="16">
        <f>IF(AND(A310&lt;&gt;"",C310="労働日"),I309+1,0)</f>
        <v>0</v>
      </c>
      <c r="J310" s="16">
        <f>IF(AND(A310&lt;&gt;"",ISNUMBER($B$7),ISNUMBER($B$8)),IF(AND(A310&gt;=$B$7,A310&lt;=$B$8),1,0),0)</f>
        <v>0</v>
      </c>
    </row>
    <row r="311">
      <c r="A311" s="9" t="str">
        <f>IF(ISNUMBER($B$4),IF(ISNUMBER($B$5),IF($B$4+299&lt;=$B$5,$B$4+299,""),""),"")</f>
        <v/>
      </c>
      <c r="B311" s="10" t="str">
        <f>IF(A311="","",CHOOSE(WEEKDAY(A311),"日","月","火","水","木","金","土"))</f>
        <v/>
      </c>
      <c r="C311" s="11" t="n"/>
      <c r="D311" s="12" t="n"/>
      <c r="E311" s="12" t="n"/>
      <c r="F311" s="13" t="n"/>
      <c r="G311" s="14">
        <f>IF(OR(A311="",C311&lt;&gt;"労働日"),0,MAX(0,MOD(E311-D311,1)*24-F311/60))</f>
        <v>0</v>
      </c>
      <c r="H311" s="15" t="str">
        <f>IF(A311="","",INT((A311-$B$4)/7)+1)</f>
        <v/>
      </c>
      <c r="I311" s="16">
        <f>IF(AND(A311&lt;&gt;"",C311="労働日"),I310+1,0)</f>
        <v>0</v>
      </c>
      <c r="J311" s="16">
        <f>IF(AND(A311&lt;&gt;"",ISNUMBER($B$7),ISNUMBER($B$8)),IF(AND(A311&gt;=$B$7,A311&lt;=$B$8),1,0),0)</f>
        <v>0</v>
      </c>
    </row>
    <row r="312">
      <c r="A312" s="9" t="str">
        <f>IF(ISNUMBER($B$4),IF(ISNUMBER($B$5),IF($B$4+300&lt;=$B$5,$B$4+300,""),""),"")</f>
        <v/>
      </c>
      <c r="B312" s="10" t="str">
        <f>IF(A312="","",CHOOSE(WEEKDAY(A312),"日","月","火","水","木","金","土"))</f>
        <v/>
      </c>
      <c r="C312" s="11" t="n"/>
      <c r="D312" s="12" t="n"/>
      <c r="E312" s="12" t="n"/>
      <c r="F312" s="13" t="n"/>
      <c r="G312" s="14">
        <f>IF(OR(A312="",C312&lt;&gt;"労働日"),0,MAX(0,MOD(E312-D312,1)*24-F312/60))</f>
        <v>0</v>
      </c>
      <c r="H312" s="15" t="str">
        <f>IF(A312="","",INT((A312-$B$4)/7)+1)</f>
        <v/>
      </c>
      <c r="I312" s="16">
        <f>IF(AND(A312&lt;&gt;"",C312="労働日"),I311+1,0)</f>
        <v>0</v>
      </c>
      <c r="J312" s="16">
        <f>IF(AND(A312&lt;&gt;"",ISNUMBER($B$7),ISNUMBER($B$8)),IF(AND(A312&gt;=$B$7,A312&lt;=$B$8),1,0),0)</f>
        <v>0</v>
      </c>
    </row>
    <row r="313">
      <c r="A313" s="9" t="str">
        <f>IF(ISNUMBER($B$4),IF(ISNUMBER($B$5),IF($B$4+301&lt;=$B$5,$B$4+301,""),""),"")</f>
        <v/>
      </c>
      <c r="B313" s="10" t="str">
        <f>IF(A313="","",CHOOSE(WEEKDAY(A313),"日","月","火","水","木","金","土"))</f>
        <v/>
      </c>
      <c r="C313" s="11" t="n"/>
      <c r="D313" s="12" t="n"/>
      <c r="E313" s="12" t="n"/>
      <c r="F313" s="13" t="n"/>
      <c r="G313" s="14">
        <f>IF(OR(A313="",C313&lt;&gt;"労働日"),0,MAX(0,MOD(E313-D313,1)*24-F313/60))</f>
        <v>0</v>
      </c>
      <c r="H313" s="15" t="str">
        <f>IF(A313="","",INT((A313-$B$4)/7)+1)</f>
        <v/>
      </c>
      <c r="I313" s="16">
        <f>IF(AND(A313&lt;&gt;"",C313="労働日"),I312+1,0)</f>
        <v>0</v>
      </c>
      <c r="J313" s="16">
        <f>IF(AND(A313&lt;&gt;"",ISNUMBER($B$7),ISNUMBER($B$8)),IF(AND(A313&gt;=$B$7,A313&lt;=$B$8),1,0),0)</f>
        <v>0</v>
      </c>
    </row>
    <row r="314">
      <c r="A314" s="9" t="str">
        <f>IF(ISNUMBER($B$4),IF(ISNUMBER($B$5),IF($B$4+302&lt;=$B$5,$B$4+302,""),""),"")</f>
        <v/>
      </c>
      <c r="B314" s="10" t="str">
        <f>IF(A314="","",CHOOSE(WEEKDAY(A314),"日","月","火","水","木","金","土"))</f>
        <v/>
      </c>
      <c r="C314" s="11" t="n"/>
      <c r="D314" s="12" t="n"/>
      <c r="E314" s="12" t="n"/>
      <c r="F314" s="13" t="n"/>
      <c r="G314" s="14">
        <f>IF(OR(A314="",C314&lt;&gt;"労働日"),0,MAX(0,MOD(E314-D314,1)*24-F314/60))</f>
        <v>0</v>
      </c>
      <c r="H314" s="15" t="str">
        <f>IF(A314="","",INT((A314-$B$4)/7)+1)</f>
        <v/>
      </c>
      <c r="I314" s="16">
        <f>IF(AND(A314&lt;&gt;"",C314="労働日"),I313+1,0)</f>
        <v>0</v>
      </c>
      <c r="J314" s="16">
        <f>IF(AND(A314&lt;&gt;"",ISNUMBER($B$7),ISNUMBER($B$8)),IF(AND(A314&gt;=$B$7,A314&lt;=$B$8),1,0),0)</f>
        <v>0</v>
      </c>
    </row>
    <row r="315">
      <c r="A315" s="9" t="str">
        <f>IF(ISNUMBER($B$4),IF(ISNUMBER($B$5),IF($B$4+303&lt;=$B$5,$B$4+303,""),""),"")</f>
        <v/>
      </c>
      <c r="B315" s="10" t="str">
        <f>IF(A315="","",CHOOSE(WEEKDAY(A315),"日","月","火","水","木","金","土"))</f>
        <v/>
      </c>
      <c r="C315" s="11" t="n"/>
      <c r="D315" s="12" t="n"/>
      <c r="E315" s="12" t="n"/>
      <c r="F315" s="13" t="n"/>
      <c r="G315" s="14">
        <f>IF(OR(A315="",C315&lt;&gt;"労働日"),0,MAX(0,MOD(E315-D315,1)*24-F315/60))</f>
        <v>0</v>
      </c>
      <c r="H315" s="15" t="str">
        <f>IF(A315="","",INT((A315-$B$4)/7)+1)</f>
        <v/>
      </c>
      <c r="I315" s="16">
        <f>IF(AND(A315&lt;&gt;"",C315="労働日"),I314+1,0)</f>
        <v>0</v>
      </c>
      <c r="J315" s="16">
        <f>IF(AND(A315&lt;&gt;"",ISNUMBER($B$7),ISNUMBER($B$8)),IF(AND(A315&gt;=$B$7,A315&lt;=$B$8),1,0),0)</f>
        <v>0</v>
      </c>
    </row>
    <row r="316">
      <c r="A316" s="9" t="str">
        <f>IF(ISNUMBER($B$4),IF(ISNUMBER($B$5),IF($B$4+304&lt;=$B$5,$B$4+304,""),""),"")</f>
        <v/>
      </c>
      <c r="B316" s="10" t="str">
        <f>IF(A316="","",CHOOSE(WEEKDAY(A316),"日","月","火","水","木","金","土"))</f>
        <v/>
      </c>
      <c r="C316" s="11" t="n"/>
      <c r="D316" s="12" t="n"/>
      <c r="E316" s="12" t="n"/>
      <c r="F316" s="13" t="n"/>
      <c r="G316" s="14">
        <f>IF(OR(A316="",C316&lt;&gt;"労働日"),0,MAX(0,MOD(E316-D316,1)*24-F316/60))</f>
        <v>0</v>
      </c>
      <c r="H316" s="15" t="str">
        <f>IF(A316="","",INT((A316-$B$4)/7)+1)</f>
        <v/>
      </c>
      <c r="I316" s="16">
        <f>IF(AND(A316&lt;&gt;"",C316="労働日"),I315+1,0)</f>
        <v>0</v>
      </c>
      <c r="J316" s="16">
        <f>IF(AND(A316&lt;&gt;"",ISNUMBER($B$7),ISNUMBER($B$8)),IF(AND(A316&gt;=$B$7,A316&lt;=$B$8),1,0),0)</f>
        <v>0</v>
      </c>
    </row>
    <row r="317">
      <c r="A317" s="9" t="str">
        <f>IF(ISNUMBER($B$4),IF(ISNUMBER($B$5),IF($B$4+305&lt;=$B$5,$B$4+305,""),""),"")</f>
        <v/>
      </c>
      <c r="B317" s="10" t="str">
        <f>IF(A317="","",CHOOSE(WEEKDAY(A317),"日","月","火","水","木","金","土"))</f>
        <v/>
      </c>
      <c r="C317" s="11" t="n"/>
      <c r="D317" s="12" t="n"/>
      <c r="E317" s="12" t="n"/>
      <c r="F317" s="13" t="n"/>
      <c r="G317" s="14">
        <f>IF(OR(A317="",C317&lt;&gt;"労働日"),0,MAX(0,MOD(E317-D317,1)*24-F317/60))</f>
        <v>0</v>
      </c>
      <c r="H317" s="15" t="str">
        <f>IF(A317="","",INT((A317-$B$4)/7)+1)</f>
        <v/>
      </c>
      <c r="I317" s="16">
        <f>IF(AND(A317&lt;&gt;"",C317="労働日"),I316+1,0)</f>
        <v>0</v>
      </c>
      <c r="J317" s="16">
        <f>IF(AND(A317&lt;&gt;"",ISNUMBER($B$7),ISNUMBER($B$8)),IF(AND(A317&gt;=$B$7,A317&lt;=$B$8),1,0),0)</f>
        <v>0</v>
      </c>
    </row>
    <row r="318">
      <c r="A318" s="9" t="str">
        <f>IF(ISNUMBER($B$4),IF(ISNUMBER($B$5),IF($B$4+306&lt;=$B$5,$B$4+306,""),""),"")</f>
        <v/>
      </c>
      <c r="B318" s="10" t="str">
        <f>IF(A318="","",CHOOSE(WEEKDAY(A318),"日","月","火","水","木","金","土"))</f>
        <v/>
      </c>
      <c r="C318" s="11" t="n"/>
      <c r="D318" s="12" t="n"/>
      <c r="E318" s="12" t="n"/>
      <c r="F318" s="13" t="n"/>
      <c r="G318" s="14">
        <f>IF(OR(A318="",C318&lt;&gt;"労働日"),0,MAX(0,MOD(E318-D318,1)*24-F318/60))</f>
        <v>0</v>
      </c>
      <c r="H318" s="15" t="str">
        <f>IF(A318="","",INT((A318-$B$4)/7)+1)</f>
        <v/>
      </c>
      <c r="I318" s="16">
        <f>IF(AND(A318&lt;&gt;"",C318="労働日"),I317+1,0)</f>
        <v>0</v>
      </c>
      <c r="J318" s="16">
        <f>IF(AND(A318&lt;&gt;"",ISNUMBER($B$7),ISNUMBER($B$8)),IF(AND(A318&gt;=$B$7,A318&lt;=$B$8),1,0),0)</f>
        <v>0</v>
      </c>
    </row>
    <row r="319">
      <c r="A319" s="9" t="str">
        <f>IF(ISNUMBER($B$4),IF(ISNUMBER($B$5),IF($B$4+307&lt;=$B$5,$B$4+307,""),""),"")</f>
        <v/>
      </c>
      <c r="B319" s="10" t="str">
        <f>IF(A319="","",CHOOSE(WEEKDAY(A319),"日","月","火","水","木","金","土"))</f>
        <v/>
      </c>
      <c r="C319" s="11" t="n"/>
      <c r="D319" s="12" t="n"/>
      <c r="E319" s="12" t="n"/>
      <c r="F319" s="13" t="n"/>
      <c r="G319" s="14">
        <f>IF(OR(A319="",C319&lt;&gt;"労働日"),0,MAX(0,MOD(E319-D319,1)*24-F319/60))</f>
        <v>0</v>
      </c>
      <c r="H319" s="15" t="str">
        <f>IF(A319="","",INT((A319-$B$4)/7)+1)</f>
        <v/>
      </c>
      <c r="I319" s="16">
        <f>IF(AND(A319&lt;&gt;"",C319="労働日"),I318+1,0)</f>
        <v>0</v>
      </c>
      <c r="J319" s="16">
        <f>IF(AND(A319&lt;&gt;"",ISNUMBER($B$7),ISNUMBER($B$8)),IF(AND(A319&gt;=$B$7,A319&lt;=$B$8),1,0),0)</f>
        <v>0</v>
      </c>
    </row>
    <row r="320">
      <c r="A320" s="9" t="str">
        <f>IF(ISNUMBER($B$4),IF(ISNUMBER($B$5),IF($B$4+308&lt;=$B$5,$B$4+308,""),""),"")</f>
        <v/>
      </c>
      <c r="B320" s="10" t="str">
        <f>IF(A320="","",CHOOSE(WEEKDAY(A320),"日","月","火","水","木","金","土"))</f>
        <v/>
      </c>
      <c r="C320" s="11" t="n"/>
      <c r="D320" s="12" t="n"/>
      <c r="E320" s="12" t="n"/>
      <c r="F320" s="13" t="n"/>
      <c r="G320" s="14">
        <f>IF(OR(A320="",C320&lt;&gt;"労働日"),0,MAX(0,MOD(E320-D320,1)*24-F320/60))</f>
        <v>0</v>
      </c>
      <c r="H320" s="15" t="str">
        <f>IF(A320="","",INT((A320-$B$4)/7)+1)</f>
        <v/>
      </c>
      <c r="I320" s="16">
        <f>IF(AND(A320&lt;&gt;"",C320="労働日"),I319+1,0)</f>
        <v>0</v>
      </c>
      <c r="J320" s="16">
        <f>IF(AND(A320&lt;&gt;"",ISNUMBER($B$7),ISNUMBER($B$8)),IF(AND(A320&gt;=$B$7,A320&lt;=$B$8),1,0),0)</f>
        <v>0</v>
      </c>
    </row>
    <row r="321">
      <c r="A321" s="9" t="str">
        <f>IF(ISNUMBER($B$4),IF(ISNUMBER($B$5),IF($B$4+309&lt;=$B$5,$B$4+309,""),""),"")</f>
        <v/>
      </c>
      <c r="B321" s="10" t="str">
        <f>IF(A321="","",CHOOSE(WEEKDAY(A321),"日","月","火","水","木","金","土"))</f>
        <v/>
      </c>
      <c r="C321" s="11" t="n"/>
      <c r="D321" s="12" t="n"/>
      <c r="E321" s="12" t="n"/>
      <c r="F321" s="13" t="n"/>
      <c r="G321" s="14">
        <f>IF(OR(A321="",C321&lt;&gt;"労働日"),0,MAX(0,MOD(E321-D321,1)*24-F321/60))</f>
        <v>0</v>
      </c>
      <c r="H321" s="15" t="str">
        <f>IF(A321="","",INT((A321-$B$4)/7)+1)</f>
        <v/>
      </c>
      <c r="I321" s="16">
        <f>IF(AND(A321&lt;&gt;"",C321="労働日"),I320+1,0)</f>
        <v>0</v>
      </c>
      <c r="J321" s="16">
        <f>IF(AND(A321&lt;&gt;"",ISNUMBER($B$7),ISNUMBER($B$8)),IF(AND(A321&gt;=$B$7,A321&lt;=$B$8),1,0),0)</f>
        <v>0</v>
      </c>
    </row>
    <row r="322">
      <c r="A322" s="9" t="str">
        <f>IF(ISNUMBER($B$4),IF(ISNUMBER($B$5),IF($B$4+310&lt;=$B$5,$B$4+310,""),""),"")</f>
        <v/>
      </c>
      <c r="B322" s="10" t="str">
        <f>IF(A322="","",CHOOSE(WEEKDAY(A322),"日","月","火","水","木","金","土"))</f>
        <v/>
      </c>
      <c r="C322" s="11" t="n"/>
      <c r="D322" s="12" t="n"/>
      <c r="E322" s="12" t="n"/>
      <c r="F322" s="13" t="n"/>
      <c r="G322" s="14">
        <f>IF(OR(A322="",C322&lt;&gt;"労働日"),0,MAX(0,MOD(E322-D322,1)*24-F322/60))</f>
        <v>0</v>
      </c>
      <c r="H322" s="15" t="str">
        <f>IF(A322="","",INT((A322-$B$4)/7)+1)</f>
        <v/>
      </c>
      <c r="I322" s="16">
        <f>IF(AND(A322&lt;&gt;"",C322="労働日"),I321+1,0)</f>
        <v>0</v>
      </c>
      <c r="J322" s="16">
        <f>IF(AND(A322&lt;&gt;"",ISNUMBER($B$7),ISNUMBER($B$8)),IF(AND(A322&gt;=$B$7,A322&lt;=$B$8),1,0),0)</f>
        <v>0</v>
      </c>
    </row>
    <row r="323">
      <c r="A323" s="9" t="str">
        <f>IF(ISNUMBER($B$4),IF(ISNUMBER($B$5),IF($B$4+311&lt;=$B$5,$B$4+311,""),""),"")</f>
        <v/>
      </c>
      <c r="B323" s="10" t="str">
        <f>IF(A323="","",CHOOSE(WEEKDAY(A323),"日","月","火","水","木","金","土"))</f>
        <v/>
      </c>
      <c r="C323" s="11" t="n"/>
      <c r="D323" s="12" t="n"/>
      <c r="E323" s="12" t="n"/>
      <c r="F323" s="13" t="n"/>
      <c r="G323" s="14">
        <f>IF(OR(A323="",C323&lt;&gt;"労働日"),0,MAX(0,MOD(E323-D323,1)*24-F323/60))</f>
        <v>0</v>
      </c>
      <c r="H323" s="15" t="str">
        <f>IF(A323="","",INT((A323-$B$4)/7)+1)</f>
        <v/>
      </c>
      <c r="I323" s="16">
        <f>IF(AND(A323&lt;&gt;"",C323="労働日"),I322+1,0)</f>
        <v>0</v>
      </c>
      <c r="J323" s="16">
        <f>IF(AND(A323&lt;&gt;"",ISNUMBER($B$7),ISNUMBER($B$8)),IF(AND(A323&gt;=$B$7,A323&lt;=$B$8),1,0),0)</f>
        <v>0</v>
      </c>
    </row>
    <row r="324">
      <c r="A324" s="9" t="str">
        <f>IF(ISNUMBER($B$4),IF(ISNUMBER($B$5),IF($B$4+312&lt;=$B$5,$B$4+312,""),""),"")</f>
        <v/>
      </c>
      <c r="B324" s="10" t="str">
        <f>IF(A324="","",CHOOSE(WEEKDAY(A324),"日","月","火","水","木","金","土"))</f>
        <v/>
      </c>
      <c r="C324" s="11" t="n"/>
      <c r="D324" s="12" t="n"/>
      <c r="E324" s="12" t="n"/>
      <c r="F324" s="13" t="n"/>
      <c r="G324" s="14">
        <f>IF(OR(A324="",C324&lt;&gt;"労働日"),0,MAX(0,MOD(E324-D324,1)*24-F324/60))</f>
        <v>0</v>
      </c>
      <c r="H324" s="15" t="str">
        <f>IF(A324="","",INT((A324-$B$4)/7)+1)</f>
        <v/>
      </c>
      <c r="I324" s="16">
        <f>IF(AND(A324&lt;&gt;"",C324="労働日"),I323+1,0)</f>
        <v>0</v>
      </c>
      <c r="J324" s="16">
        <f>IF(AND(A324&lt;&gt;"",ISNUMBER($B$7),ISNUMBER($B$8)),IF(AND(A324&gt;=$B$7,A324&lt;=$B$8),1,0),0)</f>
        <v>0</v>
      </c>
    </row>
    <row r="325">
      <c r="A325" s="9" t="str">
        <f>IF(ISNUMBER($B$4),IF(ISNUMBER($B$5),IF($B$4+313&lt;=$B$5,$B$4+313,""),""),"")</f>
        <v/>
      </c>
      <c r="B325" s="10" t="str">
        <f>IF(A325="","",CHOOSE(WEEKDAY(A325),"日","月","火","水","木","金","土"))</f>
        <v/>
      </c>
      <c r="C325" s="11" t="n"/>
      <c r="D325" s="12" t="n"/>
      <c r="E325" s="12" t="n"/>
      <c r="F325" s="13" t="n"/>
      <c r="G325" s="14">
        <f>IF(OR(A325="",C325&lt;&gt;"労働日"),0,MAX(0,MOD(E325-D325,1)*24-F325/60))</f>
        <v>0</v>
      </c>
      <c r="H325" s="15" t="str">
        <f>IF(A325="","",INT((A325-$B$4)/7)+1)</f>
        <v/>
      </c>
      <c r="I325" s="16">
        <f>IF(AND(A325&lt;&gt;"",C325="労働日"),I324+1,0)</f>
        <v>0</v>
      </c>
      <c r="J325" s="16">
        <f>IF(AND(A325&lt;&gt;"",ISNUMBER($B$7),ISNUMBER($B$8)),IF(AND(A325&gt;=$B$7,A325&lt;=$B$8),1,0),0)</f>
        <v>0</v>
      </c>
    </row>
    <row r="326">
      <c r="A326" s="9" t="str">
        <f>IF(ISNUMBER($B$4),IF(ISNUMBER($B$5),IF($B$4+314&lt;=$B$5,$B$4+314,""),""),"")</f>
        <v/>
      </c>
      <c r="B326" s="10" t="str">
        <f>IF(A326="","",CHOOSE(WEEKDAY(A326),"日","月","火","水","木","金","土"))</f>
        <v/>
      </c>
      <c r="C326" s="11" t="n"/>
      <c r="D326" s="12" t="n"/>
      <c r="E326" s="12" t="n"/>
      <c r="F326" s="13" t="n"/>
      <c r="G326" s="14">
        <f>IF(OR(A326="",C326&lt;&gt;"労働日"),0,MAX(0,MOD(E326-D326,1)*24-F326/60))</f>
        <v>0</v>
      </c>
      <c r="H326" s="15" t="str">
        <f>IF(A326="","",INT((A326-$B$4)/7)+1)</f>
        <v/>
      </c>
      <c r="I326" s="16">
        <f>IF(AND(A326&lt;&gt;"",C326="労働日"),I325+1,0)</f>
        <v>0</v>
      </c>
      <c r="J326" s="16">
        <f>IF(AND(A326&lt;&gt;"",ISNUMBER($B$7),ISNUMBER($B$8)),IF(AND(A326&gt;=$B$7,A326&lt;=$B$8),1,0),0)</f>
        <v>0</v>
      </c>
    </row>
    <row r="327">
      <c r="A327" s="9" t="str">
        <f>IF(ISNUMBER($B$4),IF(ISNUMBER($B$5),IF($B$4+315&lt;=$B$5,$B$4+315,""),""),"")</f>
        <v/>
      </c>
      <c r="B327" s="10" t="str">
        <f>IF(A327="","",CHOOSE(WEEKDAY(A327),"日","月","火","水","木","金","土"))</f>
        <v/>
      </c>
      <c r="C327" s="11" t="n"/>
      <c r="D327" s="12" t="n"/>
      <c r="E327" s="12" t="n"/>
      <c r="F327" s="13" t="n"/>
      <c r="G327" s="14">
        <f>IF(OR(A327="",C327&lt;&gt;"労働日"),0,MAX(0,MOD(E327-D327,1)*24-F327/60))</f>
        <v>0</v>
      </c>
      <c r="H327" s="15" t="str">
        <f>IF(A327="","",INT((A327-$B$4)/7)+1)</f>
        <v/>
      </c>
      <c r="I327" s="16">
        <f>IF(AND(A327&lt;&gt;"",C327="労働日"),I326+1,0)</f>
        <v>0</v>
      </c>
      <c r="J327" s="16">
        <f>IF(AND(A327&lt;&gt;"",ISNUMBER($B$7),ISNUMBER($B$8)),IF(AND(A327&gt;=$B$7,A327&lt;=$B$8),1,0),0)</f>
        <v>0</v>
      </c>
    </row>
    <row r="328">
      <c r="A328" s="9" t="str">
        <f>IF(ISNUMBER($B$4),IF(ISNUMBER($B$5),IF($B$4+316&lt;=$B$5,$B$4+316,""),""),"")</f>
        <v/>
      </c>
      <c r="B328" s="10" t="str">
        <f>IF(A328="","",CHOOSE(WEEKDAY(A328),"日","月","火","水","木","金","土"))</f>
        <v/>
      </c>
      <c r="C328" s="11" t="n"/>
      <c r="D328" s="12" t="n"/>
      <c r="E328" s="12" t="n"/>
      <c r="F328" s="13" t="n"/>
      <c r="G328" s="14">
        <f>IF(OR(A328="",C328&lt;&gt;"労働日"),0,MAX(0,MOD(E328-D328,1)*24-F328/60))</f>
        <v>0</v>
      </c>
      <c r="H328" s="15" t="str">
        <f>IF(A328="","",INT((A328-$B$4)/7)+1)</f>
        <v/>
      </c>
      <c r="I328" s="16">
        <f>IF(AND(A328&lt;&gt;"",C328="労働日"),I327+1,0)</f>
        <v>0</v>
      </c>
      <c r="J328" s="16">
        <f>IF(AND(A328&lt;&gt;"",ISNUMBER($B$7),ISNUMBER($B$8)),IF(AND(A328&gt;=$B$7,A328&lt;=$B$8),1,0),0)</f>
        <v>0</v>
      </c>
    </row>
    <row r="329">
      <c r="A329" s="9" t="str">
        <f>IF(ISNUMBER($B$4),IF(ISNUMBER($B$5),IF($B$4+317&lt;=$B$5,$B$4+317,""),""),"")</f>
        <v/>
      </c>
      <c r="B329" s="10" t="str">
        <f>IF(A329="","",CHOOSE(WEEKDAY(A329),"日","月","火","水","木","金","土"))</f>
        <v/>
      </c>
      <c r="C329" s="11" t="n"/>
      <c r="D329" s="12" t="n"/>
      <c r="E329" s="12" t="n"/>
      <c r="F329" s="13" t="n"/>
      <c r="G329" s="14">
        <f>IF(OR(A329="",C329&lt;&gt;"労働日"),0,MAX(0,MOD(E329-D329,1)*24-F329/60))</f>
        <v>0</v>
      </c>
      <c r="H329" s="15" t="str">
        <f>IF(A329="","",INT((A329-$B$4)/7)+1)</f>
        <v/>
      </c>
      <c r="I329" s="16">
        <f>IF(AND(A329&lt;&gt;"",C329="労働日"),I328+1,0)</f>
        <v>0</v>
      </c>
      <c r="J329" s="16">
        <f>IF(AND(A329&lt;&gt;"",ISNUMBER($B$7),ISNUMBER($B$8)),IF(AND(A329&gt;=$B$7,A329&lt;=$B$8),1,0),0)</f>
        <v>0</v>
      </c>
    </row>
    <row r="330">
      <c r="A330" s="9" t="str">
        <f>IF(ISNUMBER($B$4),IF(ISNUMBER($B$5),IF($B$4+318&lt;=$B$5,$B$4+318,""),""),"")</f>
        <v/>
      </c>
      <c r="B330" s="10" t="str">
        <f>IF(A330="","",CHOOSE(WEEKDAY(A330),"日","月","火","水","木","金","土"))</f>
        <v/>
      </c>
      <c r="C330" s="11" t="n"/>
      <c r="D330" s="12" t="n"/>
      <c r="E330" s="12" t="n"/>
      <c r="F330" s="13" t="n"/>
      <c r="G330" s="14">
        <f>IF(OR(A330="",C330&lt;&gt;"労働日"),0,MAX(0,MOD(E330-D330,1)*24-F330/60))</f>
        <v>0</v>
      </c>
      <c r="H330" s="15" t="str">
        <f>IF(A330="","",INT((A330-$B$4)/7)+1)</f>
        <v/>
      </c>
      <c r="I330" s="16">
        <f>IF(AND(A330&lt;&gt;"",C330="労働日"),I329+1,0)</f>
        <v>0</v>
      </c>
      <c r="J330" s="16">
        <f>IF(AND(A330&lt;&gt;"",ISNUMBER($B$7),ISNUMBER($B$8)),IF(AND(A330&gt;=$B$7,A330&lt;=$B$8),1,0),0)</f>
        <v>0</v>
      </c>
    </row>
    <row r="331">
      <c r="A331" s="9" t="str">
        <f>IF(ISNUMBER($B$4),IF(ISNUMBER($B$5),IF($B$4+319&lt;=$B$5,$B$4+319,""),""),"")</f>
        <v/>
      </c>
      <c r="B331" s="10" t="str">
        <f>IF(A331="","",CHOOSE(WEEKDAY(A331),"日","月","火","水","木","金","土"))</f>
        <v/>
      </c>
      <c r="C331" s="11" t="n"/>
      <c r="D331" s="12" t="n"/>
      <c r="E331" s="12" t="n"/>
      <c r="F331" s="13" t="n"/>
      <c r="G331" s="14">
        <f>IF(OR(A331="",C331&lt;&gt;"労働日"),0,MAX(0,MOD(E331-D331,1)*24-F331/60))</f>
        <v>0</v>
      </c>
      <c r="H331" s="15" t="str">
        <f>IF(A331="","",INT((A331-$B$4)/7)+1)</f>
        <v/>
      </c>
      <c r="I331" s="16">
        <f>IF(AND(A331&lt;&gt;"",C331="労働日"),I330+1,0)</f>
        <v>0</v>
      </c>
      <c r="J331" s="16">
        <f>IF(AND(A331&lt;&gt;"",ISNUMBER($B$7),ISNUMBER($B$8)),IF(AND(A331&gt;=$B$7,A331&lt;=$B$8),1,0),0)</f>
        <v>0</v>
      </c>
    </row>
    <row r="332">
      <c r="A332" s="9" t="str">
        <f>IF(ISNUMBER($B$4),IF(ISNUMBER($B$5),IF($B$4+320&lt;=$B$5,$B$4+320,""),""),"")</f>
        <v/>
      </c>
      <c r="B332" s="10" t="str">
        <f>IF(A332="","",CHOOSE(WEEKDAY(A332),"日","月","火","水","木","金","土"))</f>
        <v/>
      </c>
      <c r="C332" s="11" t="n"/>
      <c r="D332" s="12" t="n"/>
      <c r="E332" s="12" t="n"/>
      <c r="F332" s="13" t="n"/>
      <c r="G332" s="14">
        <f>IF(OR(A332="",C332&lt;&gt;"労働日"),0,MAX(0,MOD(E332-D332,1)*24-F332/60))</f>
        <v>0</v>
      </c>
      <c r="H332" s="15" t="str">
        <f>IF(A332="","",INT((A332-$B$4)/7)+1)</f>
        <v/>
      </c>
      <c r="I332" s="16">
        <f>IF(AND(A332&lt;&gt;"",C332="労働日"),I331+1,0)</f>
        <v>0</v>
      </c>
      <c r="J332" s="16">
        <f>IF(AND(A332&lt;&gt;"",ISNUMBER($B$7),ISNUMBER($B$8)),IF(AND(A332&gt;=$B$7,A332&lt;=$B$8),1,0),0)</f>
        <v>0</v>
      </c>
    </row>
    <row r="333">
      <c r="A333" s="9" t="str">
        <f>IF(ISNUMBER($B$4),IF(ISNUMBER($B$5),IF($B$4+321&lt;=$B$5,$B$4+321,""),""),"")</f>
        <v/>
      </c>
      <c r="B333" s="10" t="str">
        <f>IF(A333="","",CHOOSE(WEEKDAY(A333),"日","月","火","水","木","金","土"))</f>
        <v/>
      </c>
      <c r="C333" s="11" t="n"/>
      <c r="D333" s="12" t="n"/>
      <c r="E333" s="12" t="n"/>
      <c r="F333" s="13" t="n"/>
      <c r="G333" s="14">
        <f>IF(OR(A333="",C333&lt;&gt;"労働日"),0,MAX(0,MOD(E333-D333,1)*24-F333/60))</f>
        <v>0</v>
      </c>
      <c r="H333" s="15" t="str">
        <f>IF(A333="","",INT((A333-$B$4)/7)+1)</f>
        <v/>
      </c>
      <c r="I333" s="16">
        <f>IF(AND(A333&lt;&gt;"",C333="労働日"),I332+1,0)</f>
        <v>0</v>
      </c>
      <c r="J333" s="16">
        <f>IF(AND(A333&lt;&gt;"",ISNUMBER($B$7),ISNUMBER($B$8)),IF(AND(A333&gt;=$B$7,A333&lt;=$B$8),1,0),0)</f>
        <v>0</v>
      </c>
    </row>
    <row r="334">
      <c r="A334" s="9" t="str">
        <f>IF(ISNUMBER($B$4),IF(ISNUMBER($B$5),IF($B$4+322&lt;=$B$5,$B$4+322,""),""),"")</f>
        <v/>
      </c>
      <c r="B334" s="10" t="str">
        <f>IF(A334="","",CHOOSE(WEEKDAY(A334),"日","月","火","水","木","金","土"))</f>
        <v/>
      </c>
      <c r="C334" s="11" t="n"/>
      <c r="D334" s="12" t="n"/>
      <c r="E334" s="12" t="n"/>
      <c r="F334" s="13" t="n"/>
      <c r="G334" s="14">
        <f>IF(OR(A334="",C334&lt;&gt;"労働日"),0,MAX(0,MOD(E334-D334,1)*24-F334/60))</f>
        <v>0</v>
      </c>
      <c r="H334" s="15" t="str">
        <f>IF(A334="","",INT((A334-$B$4)/7)+1)</f>
        <v/>
      </c>
      <c r="I334" s="16">
        <f>IF(AND(A334&lt;&gt;"",C334="労働日"),I333+1,0)</f>
        <v>0</v>
      </c>
      <c r="J334" s="16">
        <f>IF(AND(A334&lt;&gt;"",ISNUMBER($B$7),ISNUMBER($B$8)),IF(AND(A334&gt;=$B$7,A334&lt;=$B$8),1,0),0)</f>
        <v>0</v>
      </c>
    </row>
    <row r="335">
      <c r="A335" s="9" t="str">
        <f>IF(ISNUMBER($B$4),IF(ISNUMBER($B$5),IF($B$4+323&lt;=$B$5,$B$4+323,""),""),"")</f>
        <v/>
      </c>
      <c r="B335" s="10" t="str">
        <f>IF(A335="","",CHOOSE(WEEKDAY(A335),"日","月","火","水","木","金","土"))</f>
        <v/>
      </c>
      <c r="C335" s="11" t="n"/>
      <c r="D335" s="12" t="n"/>
      <c r="E335" s="12" t="n"/>
      <c r="F335" s="13" t="n"/>
      <c r="G335" s="14">
        <f>IF(OR(A335="",C335&lt;&gt;"労働日"),0,MAX(0,MOD(E335-D335,1)*24-F335/60))</f>
        <v>0</v>
      </c>
      <c r="H335" s="15" t="str">
        <f>IF(A335="","",INT((A335-$B$4)/7)+1)</f>
        <v/>
      </c>
      <c r="I335" s="16">
        <f>IF(AND(A335&lt;&gt;"",C335="労働日"),I334+1,0)</f>
        <v>0</v>
      </c>
      <c r="J335" s="16">
        <f>IF(AND(A335&lt;&gt;"",ISNUMBER($B$7),ISNUMBER($B$8)),IF(AND(A335&gt;=$B$7,A335&lt;=$B$8),1,0),0)</f>
        <v>0</v>
      </c>
    </row>
    <row r="336">
      <c r="A336" s="9" t="str">
        <f>IF(ISNUMBER($B$4),IF(ISNUMBER($B$5),IF($B$4+324&lt;=$B$5,$B$4+324,""),""),"")</f>
        <v/>
      </c>
      <c r="B336" s="10" t="str">
        <f>IF(A336="","",CHOOSE(WEEKDAY(A336),"日","月","火","水","木","金","土"))</f>
        <v/>
      </c>
      <c r="C336" s="11" t="n"/>
      <c r="D336" s="12" t="n"/>
      <c r="E336" s="12" t="n"/>
      <c r="F336" s="13" t="n"/>
      <c r="G336" s="14">
        <f>IF(OR(A336="",C336&lt;&gt;"労働日"),0,MAX(0,MOD(E336-D336,1)*24-F336/60))</f>
        <v>0</v>
      </c>
      <c r="H336" s="15" t="str">
        <f>IF(A336="","",INT((A336-$B$4)/7)+1)</f>
        <v/>
      </c>
      <c r="I336" s="16">
        <f>IF(AND(A336&lt;&gt;"",C336="労働日"),I335+1,0)</f>
        <v>0</v>
      </c>
      <c r="J336" s="16">
        <f>IF(AND(A336&lt;&gt;"",ISNUMBER($B$7),ISNUMBER($B$8)),IF(AND(A336&gt;=$B$7,A336&lt;=$B$8),1,0),0)</f>
        <v>0</v>
      </c>
    </row>
    <row r="337">
      <c r="A337" s="9" t="str">
        <f>IF(ISNUMBER($B$4),IF(ISNUMBER($B$5),IF($B$4+325&lt;=$B$5,$B$4+325,""),""),"")</f>
        <v/>
      </c>
      <c r="B337" s="10" t="str">
        <f>IF(A337="","",CHOOSE(WEEKDAY(A337),"日","月","火","水","木","金","土"))</f>
        <v/>
      </c>
      <c r="C337" s="11" t="n"/>
      <c r="D337" s="12" t="n"/>
      <c r="E337" s="12" t="n"/>
      <c r="F337" s="13" t="n"/>
      <c r="G337" s="14">
        <f>IF(OR(A337="",C337&lt;&gt;"労働日"),0,MAX(0,MOD(E337-D337,1)*24-F337/60))</f>
        <v>0</v>
      </c>
      <c r="H337" s="15" t="str">
        <f>IF(A337="","",INT((A337-$B$4)/7)+1)</f>
        <v/>
      </c>
      <c r="I337" s="16">
        <f>IF(AND(A337&lt;&gt;"",C337="労働日"),I336+1,0)</f>
        <v>0</v>
      </c>
      <c r="J337" s="16">
        <f>IF(AND(A337&lt;&gt;"",ISNUMBER($B$7),ISNUMBER($B$8)),IF(AND(A337&gt;=$B$7,A337&lt;=$B$8),1,0),0)</f>
        <v>0</v>
      </c>
    </row>
    <row r="338">
      <c r="A338" s="9" t="str">
        <f>IF(ISNUMBER($B$4),IF(ISNUMBER($B$5),IF($B$4+326&lt;=$B$5,$B$4+326,""),""),"")</f>
        <v/>
      </c>
      <c r="B338" s="10" t="str">
        <f>IF(A338="","",CHOOSE(WEEKDAY(A338),"日","月","火","水","木","金","土"))</f>
        <v/>
      </c>
      <c r="C338" s="11" t="n"/>
      <c r="D338" s="12" t="n"/>
      <c r="E338" s="12" t="n"/>
      <c r="F338" s="13" t="n"/>
      <c r="G338" s="14">
        <f>IF(OR(A338="",C338&lt;&gt;"労働日"),0,MAX(0,MOD(E338-D338,1)*24-F338/60))</f>
        <v>0</v>
      </c>
      <c r="H338" s="15" t="str">
        <f>IF(A338="","",INT((A338-$B$4)/7)+1)</f>
        <v/>
      </c>
      <c r="I338" s="16">
        <f>IF(AND(A338&lt;&gt;"",C338="労働日"),I337+1,0)</f>
        <v>0</v>
      </c>
      <c r="J338" s="16">
        <f>IF(AND(A338&lt;&gt;"",ISNUMBER($B$7),ISNUMBER($B$8)),IF(AND(A338&gt;=$B$7,A338&lt;=$B$8),1,0),0)</f>
        <v>0</v>
      </c>
    </row>
    <row r="339">
      <c r="A339" s="9" t="str">
        <f>IF(ISNUMBER($B$4),IF(ISNUMBER($B$5),IF($B$4+327&lt;=$B$5,$B$4+327,""),""),"")</f>
        <v/>
      </c>
      <c r="B339" s="10" t="str">
        <f>IF(A339="","",CHOOSE(WEEKDAY(A339),"日","月","火","水","木","金","土"))</f>
        <v/>
      </c>
      <c r="C339" s="11" t="n"/>
      <c r="D339" s="12" t="n"/>
      <c r="E339" s="12" t="n"/>
      <c r="F339" s="13" t="n"/>
      <c r="G339" s="14">
        <f>IF(OR(A339="",C339&lt;&gt;"労働日"),0,MAX(0,MOD(E339-D339,1)*24-F339/60))</f>
        <v>0</v>
      </c>
      <c r="H339" s="15" t="str">
        <f>IF(A339="","",INT((A339-$B$4)/7)+1)</f>
        <v/>
      </c>
      <c r="I339" s="16">
        <f>IF(AND(A339&lt;&gt;"",C339="労働日"),I338+1,0)</f>
        <v>0</v>
      </c>
      <c r="J339" s="16">
        <f>IF(AND(A339&lt;&gt;"",ISNUMBER($B$7),ISNUMBER($B$8)),IF(AND(A339&gt;=$B$7,A339&lt;=$B$8),1,0),0)</f>
        <v>0</v>
      </c>
    </row>
    <row r="340">
      <c r="A340" s="9" t="str">
        <f>IF(ISNUMBER($B$4),IF(ISNUMBER($B$5),IF($B$4+328&lt;=$B$5,$B$4+328,""),""),"")</f>
        <v/>
      </c>
      <c r="B340" s="10" t="str">
        <f>IF(A340="","",CHOOSE(WEEKDAY(A340),"日","月","火","水","木","金","土"))</f>
        <v/>
      </c>
      <c r="C340" s="11" t="n"/>
      <c r="D340" s="12" t="n"/>
      <c r="E340" s="12" t="n"/>
      <c r="F340" s="13" t="n"/>
      <c r="G340" s="14">
        <f>IF(OR(A340="",C340&lt;&gt;"労働日"),0,MAX(0,MOD(E340-D340,1)*24-F340/60))</f>
        <v>0</v>
      </c>
      <c r="H340" s="15" t="str">
        <f>IF(A340="","",INT((A340-$B$4)/7)+1)</f>
        <v/>
      </c>
      <c r="I340" s="16">
        <f>IF(AND(A340&lt;&gt;"",C340="労働日"),I339+1,0)</f>
        <v>0</v>
      </c>
      <c r="J340" s="16">
        <f>IF(AND(A340&lt;&gt;"",ISNUMBER($B$7),ISNUMBER($B$8)),IF(AND(A340&gt;=$B$7,A340&lt;=$B$8),1,0),0)</f>
        <v>0</v>
      </c>
    </row>
    <row r="341">
      <c r="A341" s="9" t="str">
        <f>IF(ISNUMBER($B$4),IF(ISNUMBER($B$5),IF($B$4+329&lt;=$B$5,$B$4+329,""),""),"")</f>
        <v/>
      </c>
      <c r="B341" s="10" t="str">
        <f>IF(A341="","",CHOOSE(WEEKDAY(A341),"日","月","火","水","木","金","土"))</f>
        <v/>
      </c>
      <c r="C341" s="11" t="n"/>
      <c r="D341" s="12" t="n"/>
      <c r="E341" s="12" t="n"/>
      <c r="F341" s="13" t="n"/>
      <c r="G341" s="14">
        <f>IF(OR(A341="",C341&lt;&gt;"労働日"),0,MAX(0,MOD(E341-D341,1)*24-F341/60))</f>
        <v>0</v>
      </c>
      <c r="H341" s="15" t="str">
        <f>IF(A341="","",INT((A341-$B$4)/7)+1)</f>
        <v/>
      </c>
      <c r="I341" s="16">
        <f>IF(AND(A341&lt;&gt;"",C341="労働日"),I340+1,0)</f>
        <v>0</v>
      </c>
      <c r="J341" s="16">
        <f>IF(AND(A341&lt;&gt;"",ISNUMBER($B$7),ISNUMBER($B$8)),IF(AND(A341&gt;=$B$7,A341&lt;=$B$8),1,0),0)</f>
        <v>0</v>
      </c>
    </row>
    <row r="342">
      <c r="A342" s="9" t="str">
        <f>IF(ISNUMBER($B$4),IF(ISNUMBER($B$5),IF($B$4+330&lt;=$B$5,$B$4+330,""),""),"")</f>
        <v/>
      </c>
      <c r="B342" s="10" t="str">
        <f>IF(A342="","",CHOOSE(WEEKDAY(A342),"日","月","火","水","木","金","土"))</f>
        <v/>
      </c>
      <c r="C342" s="11" t="n"/>
      <c r="D342" s="12" t="n"/>
      <c r="E342" s="12" t="n"/>
      <c r="F342" s="13" t="n"/>
      <c r="G342" s="14">
        <f>IF(OR(A342="",C342&lt;&gt;"労働日"),0,MAX(0,MOD(E342-D342,1)*24-F342/60))</f>
        <v>0</v>
      </c>
      <c r="H342" s="15" t="str">
        <f>IF(A342="","",INT((A342-$B$4)/7)+1)</f>
        <v/>
      </c>
      <c r="I342" s="16">
        <f>IF(AND(A342&lt;&gt;"",C342="労働日"),I341+1,0)</f>
        <v>0</v>
      </c>
      <c r="J342" s="16">
        <f>IF(AND(A342&lt;&gt;"",ISNUMBER($B$7),ISNUMBER($B$8)),IF(AND(A342&gt;=$B$7,A342&lt;=$B$8),1,0),0)</f>
        <v>0</v>
      </c>
    </row>
    <row r="343">
      <c r="A343" s="9" t="str">
        <f>IF(ISNUMBER($B$4),IF(ISNUMBER($B$5),IF($B$4+331&lt;=$B$5,$B$4+331,""),""),"")</f>
        <v/>
      </c>
      <c r="B343" s="10" t="str">
        <f>IF(A343="","",CHOOSE(WEEKDAY(A343),"日","月","火","水","木","金","土"))</f>
        <v/>
      </c>
      <c r="C343" s="11" t="n"/>
      <c r="D343" s="12" t="n"/>
      <c r="E343" s="12" t="n"/>
      <c r="F343" s="13" t="n"/>
      <c r="G343" s="14">
        <f>IF(OR(A343="",C343&lt;&gt;"労働日"),0,MAX(0,MOD(E343-D343,1)*24-F343/60))</f>
        <v>0</v>
      </c>
      <c r="H343" s="15" t="str">
        <f>IF(A343="","",INT((A343-$B$4)/7)+1)</f>
        <v/>
      </c>
      <c r="I343" s="16">
        <f>IF(AND(A343&lt;&gt;"",C343="労働日"),I342+1,0)</f>
        <v>0</v>
      </c>
      <c r="J343" s="16">
        <f>IF(AND(A343&lt;&gt;"",ISNUMBER($B$7),ISNUMBER($B$8)),IF(AND(A343&gt;=$B$7,A343&lt;=$B$8),1,0),0)</f>
        <v>0</v>
      </c>
    </row>
    <row r="344">
      <c r="A344" s="9" t="str">
        <f>IF(ISNUMBER($B$4),IF(ISNUMBER($B$5),IF($B$4+332&lt;=$B$5,$B$4+332,""),""),"")</f>
        <v/>
      </c>
      <c r="B344" s="10" t="str">
        <f>IF(A344="","",CHOOSE(WEEKDAY(A344),"日","月","火","水","木","金","土"))</f>
        <v/>
      </c>
      <c r="C344" s="11" t="n"/>
      <c r="D344" s="12" t="n"/>
      <c r="E344" s="12" t="n"/>
      <c r="F344" s="13" t="n"/>
      <c r="G344" s="14">
        <f>IF(OR(A344="",C344&lt;&gt;"労働日"),0,MAX(0,MOD(E344-D344,1)*24-F344/60))</f>
        <v>0</v>
      </c>
      <c r="H344" s="15" t="str">
        <f>IF(A344="","",INT((A344-$B$4)/7)+1)</f>
        <v/>
      </c>
      <c r="I344" s="16">
        <f>IF(AND(A344&lt;&gt;"",C344="労働日"),I343+1,0)</f>
        <v>0</v>
      </c>
      <c r="J344" s="16">
        <f>IF(AND(A344&lt;&gt;"",ISNUMBER($B$7),ISNUMBER($B$8)),IF(AND(A344&gt;=$B$7,A344&lt;=$B$8),1,0),0)</f>
        <v>0</v>
      </c>
    </row>
    <row r="345">
      <c r="A345" s="9" t="str">
        <f>IF(ISNUMBER($B$4),IF(ISNUMBER($B$5),IF($B$4+333&lt;=$B$5,$B$4+333,""),""),"")</f>
        <v/>
      </c>
      <c r="B345" s="10" t="str">
        <f>IF(A345="","",CHOOSE(WEEKDAY(A345),"日","月","火","水","木","金","土"))</f>
        <v/>
      </c>
      <c r="C345" s="11" t="n"/>
      <c r="D345" s="12" t="n"/>
      <c r="E345" s="12" t="n"/>
      <c r="F345" s="13" t="n"/>
      <c r="G345" s="14">
        <f>IF(OR(A345="",C345&lt;&gt;"労働日"),0,MAX(0,MOD(E345-D345,1)*24-F345/60))</f>
        <v>0</v>
      </c>
      <c r="H345" s="15" t="str">
        <f>IF(A345="","",INT((A345-$B$4)/7)+1)</f>
        <v/>
      </c>
      <c r="I345" s="16">
        <f>IF(AND(A345&lt;&gt;"",C345="労働日"),I344+1,0)</f>
        <v>0</v>
      </c>
      <c r="J345" s="16">
        <f>IF(AND(A345&lt;&gt;"",ISNUMBER($B$7),ISNUMBER($B$8)),IF(AND(A345&gt;=$B$7,A345&lt;=$B$8),1,0),0)</f>
        <v>0</v>
      </c>
    </row>
    <row r="346">
      <c r="A346" s="9" t="str">
        <f>IF(ISNUMBER($B$4),IF(ISNUMBER($B$5),IF($B$4+334&lt;=$B$5,$B$4+334,""),""),"")</f>
        <v/>
      </c>
      <c r="B346" s="10" t="str">
        <f>IF(A346="","",CHOOSE(WEEKDAY(A346),"日","月","火","水","木","金","土"))</f>
        <v/>
      </c>
      <c r="C346" s="11" t="n"/>
      <c r="D346" s="12" t="n"/>
      <c r="E346" s="12" t="n"/>
      <c r="F346" s="13" t="n"/>
      <c r="G346" s="14">
        <f>IF(OR(A346="",C346&lt;&gt;"労働日"),0,MAX(0,MOD(E346-D346,1)*24-F346/60))</f>
        <v>0</v>
      </c>
      <c r="H346" s="15" t="str">
        <f>IF(A346="","",INT((A346-$B$4)/7)+1)</f>
        <v/>
      </c>
      <c r="I346" s="16">
        <f>IF(AND(A346&lt;&gt;"",C346="労働日"),I345+1,0)</f>
        <v>0</v>
      </c>
      <c r="J346" s="16">
        <f>IF(AND(A346&lt;&gt;"",ISNUMBER($B$7),ISNUMBER($B$8)),IF(AND(A346&gt;=$B$7,A346&lt;=$B$8),1,0),0)</f>
        <v>0</v>
      </c>
    </row>
    <row r="347">
      <c r="A347" s="9" t="str">
        <f>IF(ISNUMBER($B$4),IF(ISNUMBER($B$5),IF($B$4+335&lt;=$B$5,$B$4+335,""),""),"")</f>
        <v/>
      </c>
      <c r="B347" s="10" t="str">
        <f>IF(A347="","",CHOOSE(WEEKDAY(A347),"日","月","火","水","木","金","土"))</f>
        <v/>
      </c>
      <c r="C347" s="11" t="n"/>
      <c r="D347" s="12" t="n"/>
      <c r="E347" s="12" t="n"/>
      <c r="F347" s="13" t="n"/>
      <c r="G347" s="14">
        <f>IF(OR(A347="",C347&lt;&gt;"労働日"),0,MAX(0,MOD(E347-D347,1)*24-F347/60))</f>
        <v>0</v>
      </c>
      <c r="H347" s="15" t="str">
        <f>IF(A347="","",INT((A347-$B$4)/7)+1)</f>
        <v/>
      </c>
      <c r="I347" s="16">
        <f>IF(AND(A347&lt;&gt;"",C347="労働日"),I346+1,0)</f>
        <v>0</v>
      </c>
      <c r="J347" s="16">
        <f>IF(AND(A347&lt;&gt;"",ISNUMBER($B$7),ISNUMBER($B$8)),IF(AND(A347&gt;=$B$7,A347&lt;=$B$8),1,0),0)</f>
        <v>0</v>
      </c>
    </row>
    <row r="348">
      <c r="A348" s="9" t="str">
        <f>IF(ISNUMBER($B$4),IF(ISNUMBER($B$5),IF($B$4+336&lt;=$B$5,$B$4+336,""),""),"")</f>
        <v/>
      </c>
      <c r="B348" s="10" t="str">
        <f>IF(A348="","",CHOOSE(WEEKDAY(A348),"日","月","火","水","木","金","土"))</f>
        <v/>
      </c>
      <c r="C348" s="11" t="n"/>
      <c r="D348" s="12" t="n"/>
      <c r="E348" s="12" t="n"/>
      <c r="F348" s="13" t="n"/>
      <c r="G348" s="14">
        <f>IF(OR(A348="",C348&lt;&gt;"労働日"),0,MAX(0,MOD(E348-D348,1)*24-F348/60))</f>
        <v>0</v>
      </c>
      <c r="H348" s="15" t="str">
        <f>IF(A348="","",INT((A348-$B$4)/7)+1)</f>
        <v/>
      </c>
      <c r="I348" s="16">
        <f>IF(AND(A348&lt;&gt;"",C348="労働日"),I347+1,0)</f>
        <v>0</v>
      </c>
      <c r="J348" s="16">
        <f>IF(AND(A348&lt;&gt;"",ISNUMBER($B$7),ISNUMBER($B$8)),IF(AND(A348&gt;=$B$7,A348&lt;=$B$8),1,0),0)</f>
        <v>0</v>
      </c>
    </row>
    <row r="349">
      <c r="A349" s="9" t="str">
        <f>IF(ISNUMBER($B$4),IF(ISNUMBER($B$5),IF($B$4+337&lt;=$B$5,$B$4+337,""),""),"")</f>
        <v/>
      </c>
      <c r="B349" s="10" t="str">
        <f>IF(A349="","",CHOOSE(WEEKDAY(A349),"日","月","火","水","木","金","土"))</f>
        <v/>
      </c>
      <c r="C349" s="11" t="n"/>
      <c r="D349" s="12" t="n"/>
      <c r="E349" s="12" t="n"/>
      <c r="F349" s="13" t="n"/>
      <c r="G349" s="14">
        <f>IF(OR(A349="",C349&lt;&gt;"労働日"),0,MAX(0,MOD(E349-D349,1)*24-F349/60))</f>
        <v>0</v>
      </c>
      <c r="H349" s="15" t="str">
        <f>IF(A349="","",INT((A349-$B$4)/7)+1)</f>
        <v/>
      </c>
      <c r="I349" s="16">
        <f>IF(AND(A349&lt;&gt;"",C349="労働日"),I348+1,0)</f>
        <v>0</v>
      </c>
      <c r="J349" s="16">
        <f>IF(AND(A349&lt;&gt;"",ISNUMBER($B$7),ISNUMBER($B$8)),IF(AND(A349&gt;=$B$7,A349&lt;=$B$8),1,0),0)</f>
        <v>0</v>
      </c>
    </row>
    <row r="350">
      <c r="A350" s="9" t="str">
        <f>IF(ISNUMBER($B$4),IF(ISNUMBER($B$5),IF($B$4+338&lt;=$B$5,$B$4+338,""),""),"")</f>
        <v/>
      </c>
      <c r="B350" s="10" t="str">
        <f>IF(A350="","",CHOOSE(WEEKDAY(A350),"日","月","火","水","木","金","土"))</f>
        <v/>
      </c>
      <c r="C350" s="11" t="n"/>
      <c r="D350" s="12" t="n"/>
      <c r="E350" s="12" t="n"/>
      <c r="F350" s="13" t="n"/>
      <c r="G350" s="14">
        <f>IF(OR(A350="",C350&lt;&gt;"労働日"),0,MAX(0,MOD(E350-D350,1)*24-F350/60))</f>
        <v>0</v>
      </c>
      <c r="H350" s="15" t="str">
        <f>IF(A350="","",INT((A350-$B$4)/7)+1)</f>
        <v/>
      </c>
      <c r="I350" s="16">
        <f>IF(AND(A350&lt;&gt;"",C350="労働日"),I349+1,0)</f>
        <v>0</v>
      </c>
      <c r="J350" s="16">
        <f>IF(AND(A350&lt;&gt;"",ISNUMBER($B$7),ISNUMBER($B$8)),IF(AND(A350&gt;=$B$7,A350&lt;=$B$8),1,0),0)</f>
        <v>0</v>
      </c>
    </row>
    <row r="351">
      <c r="A351" s="9" t="str">
        <f>IF(ISNUMBER($B$4),IF(ISNUMBER($B$5),IF($B$4+339&lt;=$B$5,$B$4+339,""),""),"")</f>
        <v/>
      </c>
      <c r="B351" s="10" t="str">
        <f>IF(A351="","",CHOOSE(WEEKDAY(A351),"日","月","火","水","木","金","土"))</f>
        <v/>
      </c>
      <c r="C351" s="11" t="n"/>
      <c r="D351" s="12" t="n"/>
      <c r="E351" s="12" t="n"/>
      <c r="F351" s="13" t="n"/>
      <c r="G351" s="14">
        <f>IF(OR(A351="",C351&lt;&gt;"労働日"),0,MAX(0,MOD(E351-D351,1)*24-F351/60))</f>
        <v>0</v>
      </c>
      <c r="H351" s="15" t="str">
        <f>IF(A351="","",INT((A351-$B$4)/7)+1)</f>
        <v/>
      </c>
      <c r="I351" s="16">
        <f>IF(AND(A351&lt;&gt;"",C351="労働日"),I350+1,0)</f>
        <v>0</v>
      </c>
      <c r="J351" s="16">
        <f>IF(AND(A351&lt;&gt;"",ISNUMBER($B$7),ISNUMBER($B$8)),IF(AND(A351&gt;=$B$7,A351&lt;=$B$8),1,0),0)</f>
        <v>0</v>
      </c>
    </row>
    <row r="352">
      <c r="A352" s="9" t="str">
        <f>IF(ISNUMBER($B$4),IF(ISNUMBER($B$5),IF($B$4+340&lt;=$B$5,$B$4+340,""),""),"")</f>
        <v/>
      </c>
      <c r="B352" s="10" t="str">
        <f>IF(A352="","",CHOOSE(WEEKDAY(A352),"日","月","火","水","木","金","土"))</f>
        <v/>
      </c>
      <c r="C352" s="11" t="n"/>
      <c r="D352" s="12" t="n"/>
      <c r="E352" s="12" t="n"/>
      <c r="F352" s="13" t="n"/>
      <c r="G352" s="14">
        <f>IF(OR(A352="",C352&lt;&gt;"労働日"),0,MAX(0,MOD(E352-D352,1)*24-F352/60))</f>
        <v>0</v>
      </c>
      <c r="H352" s="15" t="str">
        <f>IF(A352="","",INT((A352-$B$4)/7)+1)</f>
        <v/>
      </c>
      <c r="I352" s="16">
        <f>IF(AND(A352&lt;&gt;"",C352="労働日"),I351+1,0)</f>
        <v>0</v>
      </c>
      <c r="J352" s="16">
        <f>IF(AND(A352&lt;&gt;"",ISNUMBER($B$7),ISNUMBER($B$8)),IF(AND(A352&gt;=$B$7,A352&lt;=$B$8),1,0),0)</f>
        <v>0</v>
      </c>
    </row>
    <row r="353">
      <c r="A353" s="9" t="str">
        <f>IF(ISNUMBER($B$4),IF(ISNUMBER($B$5),IF($B$4+341&lt;=$B$5,$B$4+341,""),""),"")</f>
        <v/>
      </c>
      <c r="B353" s="10" t="str">
        <f>IF(A353="","",CHOOSE(WEEKDAY(A353),"日","月","火","水","木","金","土"))</f>
        <v/>
      </c>
      <c r="C353" s="11" t="n"/>
      <c r="D353" s="12" t="n"/>
      <c r="E353" s="12" t="n"/>
      <c r="F353" s="13" t="n"/>
      <c r="G353" s="14">
        <f>IF(OR(A353="",C353&lt;&gt;"労働日"),0,MAX(0,MOD(E353-D353,1)*24-F353/60))</f>
        <v>0</v>
      </c>
      <c r="H353" s="15" t="str">
        <f>IF(A353="","",INT((A353-$B$4)/7)+1)</f>
        <v/>
      </c>
      <c r="I353" s="16">
        <f>IF(AND(A353&lt;&gt;"",C353="労働日"),I352+1,0)</f>
        <v>0</v>
      </c>
      <c r="J353" s="16">
        <f>IF(AND(A353&lt;&gt;"",ISNUMBER($B$7),ISNUMBER($B$8)),IF(AND(A353&gt;=$B$7,A353&lt;=$B$8),1,0),0)</f>
        <v>0</v>
      </c>
    </row>
    <row r="354">
      <c r="A354" s="9" t="str">
        <f>IF(ISNUMBER($B$4),IF(ISNUMBER($B$5),IF($B$4+342&lt;=$B$5,$B$4+342,""),""),"")</f>
        <v/>
      </c>
      <c r="B354" s="10" t="str">
        <f>IF(A354="","",CHOOSE(WEEKDAY(A354),"日","月","火","水","木","金","土"))</f>
        <v/>
      </c>
      <c r="C354" s="11" t="n"/>
      <c r="D354" s="12" t="n"/>
      <c r="E354" s="12" t="n"/>
      <c r="F354" s="13" t="n"/>
      <c r="G354" s="14">
        <f>IF(OR(A354="",C354&lt;&gt;"労働日"),0,MAX(0,MOD(E354-D354,1)*24-F354/60))</f>
        <v>0</v>
      </c>
      <c r="H354" s="15" t="str">
        <f>IF(A354="","",INT((A354-$B$4)/7)+1)</f>
        <v/>
      </c>
      <c r="I354" s="16">
        <f>IF(AND(A354&lt;&gt;"",C354="労働日"),I353+1,0)</f>
        <v>0</v>
      </c>
      <c r="J354" s="16">
        <f>IF(AND(A354&lt;&gt;"",ISNUMBER($B$7),ISNUMBER($B$8)),IF(AND(A354&gt;=$B$7,A354&lt;=$B$8),1,0),0)</f>
        <v>0</v>
      </c>
    </row>
    <row r="355">
      <c r="A355" s="9" t="str">
        <f>IF(ISNUMBER($B$4),IF(ISNUMBER($B$5),IF($B$4+343&lt;=$B$5,$B$4+343,""),""),"")</f>
        <v/>
      </c>
      <c r="B355" s="10" t="str">
        <f>IF(A355="","",CHOOSE(WEEKDAY(A355),"日","月","火","水","木","金","土"))</f>
        <v/>
      </c>
      <c r="C355" s="11" t="n"/>
      <c r="D355" s="12" t="n"/>
      <c r="E355" s="12" t="n"/>
      <c r="F355" s="13" t="n"/>
      <c r="G355" s="14">
        <f>IF(OR(A355="",C355&lt;&gt;"労働日"),0,MAX(0,MOD(E355-D355,1)*24-F355/60))</f>
        <v>0</v>
      </c>
      <c r="H355" s="15" t="str">
        <f>IF(A355="","",INT((A355-$B$4)/7)+1)</f>
        <v/>
      </c>
      <c r="I355" s="16">
        <f>IF(AND(A355&lt;&gt;"",C355="労働日"),I354+1,0)</f>
        <v>0</v>
      </c>
      <c r="J355" s="16">
        <f>IF(AND(A355&lt;&gt;"",ISNUMBER($B$7),ISNUMBER($B$8)),IF(AND(A355&gt;=$B$7,A355&lt;=$B$8),1,0),0)</f>
        <v>0</v>
      </c>
    </row>
    <row r="356">
      <c r="A356" s="9" t="str">
        <f>IF(ISNUMBER($B$4),IF(ISNUMBER($B$5),IF($B$4+344&lt;=$B$5,$B$4+344,""),""),"")</f>
        <v/>
      </c>
      <c r="B356" s="10" t="str">
        <f>IF(A356="","",CHOOSE(WEEKDAY(A356),"日","月","火","水","木","金","土"))</f>
        <v/>
      </c>
      <c r="C356" s="11" t="n"/>
      <c r="D356" s="12" t="n"/>
      <c r="E356" s="12" t="n"/>
      <c r="F356" s="13" t="n"/>
      <c r="G356" s="14">
        <f>IF(OR(A356="",C356&lt;&gt;"労働日"),0,MAX(0,MOD(E356-D356,1)*24-F356/60))</f>
        <v>0</v>
      </c>
      <c r="H356" s="15" t="str">
        <f>IF(A356="","",INT((A356-$B$4)/7)+1)</f>
        <v/>
      </c>
      <c r="I356" s="16">
        <f>IF(AND(A356&lt;&gt;"",C356="労働日"),I355+1,0)</f>
        <v>0</v>
      </c>
      <c r="J356" s="16">
        <f>IF(AND(A356&lt;&gt;"",ISNUMBER($B$7),ISNUMBER($B$8)),IF(AND(A356&gt;=$B$7,A356&lt;=$B$8),1,0),0)</f>
        <v>0</v>
      </c>
    </row>
    <row r="357">
      <c r="A357" s="9" t="str">
        <f>IF(ISNUMBER($B$4),IF(ISNUMBER($B$5),IF($B$4+345&lt;=$B$5,$B$4+345,""),""),"")</f>
        <v/>
      </c>
      <c r="B357" s="10" t="str">
        <f>IF(A357="","",CHOOSE(WEEKDAY(A357),"日","月","火","水","木","金","土"))</f>
        <v/>
      </c>
      <c r="C357" s="11" t="n"/>
      <c r="D357" s="12" t="n"/>
      <c r="E357" s="12" t="n"/>
      <c r="F357" s="13" t="n"/>
      <c r="G357" s="14">
        <f>IF(OR(A357="",C357&lt;&gt;"労働日"),0,MAX(0,MOD(E357-D357,1)*24-F357/60))</f>
        <v>0</v>
      </c>
      <c r="H357" s="15" t="str">
        <f>IF(A357="","",INT((A357-$B$4)/7)+1)</f>
        <v/>
      </c>
      <c r="I357" s="16">
        <f>IF(AND(A357&lt;&gt;"",C357="労働日"),I356+1,0)</f>
        <v>0</v>
      </c>
      <c r="J357" s="16">
        <f>IF(AND(A357&lt;&gt;"",ISNUMBER($B$7),ISNUMBER($B$8)),IF(AND(A357&gt;=$B$7,A357&lt;=$B$8),1,0),0)</f>
        <v>0</v>
      </c>
    </row>
    <row r="358">
      <c r="A358" s="9" t="str">
        <f>IF(ISNUMBER($B$4),IF(ISNUMBER($B$5),IF($B$4+346&lt;=$B$5,$B$4+346,""),""),"")</f>
        <v/>
      </c>
      <c r="B358" s="10" t="str">
        <f>IF(A358="","",CHOOSE(WEEKDAY(A358),"日","月","火","水","木","金","土"))</f>
        <v/>
      </c>
      <c r="C358" s="11" t="n"/>
      <c r="D358" s="12" t="n"/>
      <c r="E358" s="12" t="n"/>
      <c r="F358" s="13" t="n"/>
      <c r="G358" s="14">
        <f>IF(OR(A358="",C358&lt;&gt;"労働日"),0,MAX(0,MOD(E358-D358,1)*24-F358/60))</f>
        <v>0</v>
      </c>
      <c r="H358" s="15" t="str">
        <f>IF(A358="","",INT((A358-$B$4)/7)+1)</f>
        <v/>
      </c>
      <c r="I358" s="16">
        <f>IF(AND(A358&lt;&gt;"",C358="労働日"),I357+1,0)</f>
        <v>0</v>
      </c>
      <c r="J358" s="16">
        <f>IF(AND(A358&lt;&gt;"",ISNUMBER($B$7),ISNUMBER($B$8)),IF(AND(A358&gt;=$B$7,A358&lt;=$B$8),1,0),0)</f>
        <v>0</v>
      </c>
    </row>
    <row r="359">
      <c r="A359" s="9" t="str">
        <f>IF(ISNUMBER($B$4),IF(ISNUMBER($B$5),IF($B$4+347&lt;=$B$5,$B$4+347,""),""),"")</f>
        <v/>
      </c>
      <c r="B359" s="10" t="str">
        <f>IF(A359="","",CHOOSE(WEEKDAY(A359),"日","月","火","水","木","金","土"))</f>
        <v/>
      </c>
      <c r="C359" s="11" t="n"/>
      <c r="D359" s="12" t="n"/>
      <c r="E359" s="12" t="n"/>
      <c r="F359" s="13" t="n"/>
      <c r="G359" s="14">
        <f>IF(OR(A359="",C359&lt;&gt;"労働日"),0,MAX(0,MOD(E359-D359,1)*24-F359/60))</f>
        <v>0</v>
      </c>
      <c r="H359" s="15" t="str">
        <f>IF(A359="","",INT((A359-$B$4)/7)+1)</f>
        <v/>
      </c>
      <c r="I359" s="16">
        <f>IF(AND(A359&lt;&gt;"",C359="労働日"),I358+1,0)</f>
        <v>0</v>
      </c>
      <c r="J359" s="16">
        <f>IF(AND(A359&lt;&gt;"",ISNUMBER($B$7),ISNUMBER($B$8)),IF(AND(A359&gt;=$B$7,A359&lt;=$B$8),1,0),0)</f>
        <v>0</v>
      </c>
    </row>
    <row r="360">
      <c r="A360" s="9" t="str">
        <f>IF(ISNUMBER($B$4),IF(ISNUMBER($B$5),IF($B$4+348&lt;=$B$5,$B$4+348,""),""),"")</f>
        <v/>
      </c>
      <c r="B360" s="10" t="str">
        <f>IF(A360="","",CHOOSE(WEEKDAY(A360),"日","月","火","水","木","金","土"))</f>
        <v/>
      </c>
      <c r="C360" s="11" t="n"/>
      <c r="D360" s="12" t="n"/>
      <c r="E360" s="12" t="n"/>
      <c r="F360" s="13" t="n"/>
      <c r="G360" s="14">
        <f>IF(OR(A360="",C360&lt;&gt;"労働日"),0,MAX(0,MOD(E360-D360,1)*24-F360/60))</f>
        <v>0</v>
      </c>
      <c r="H360" s="15" t="str">
        <f>IF(A360="","",INT((A360-$B$4)/7)+1)</f>
        <v/>
      </c>
      <c r="I360" s="16">
        <f>IF(AND(A360&lt;&gt;"",C360="労働日"),I359+1,0)</f>
        <v>0</v>
      </c>
      <c r="J360" s="16">
        <f>IF(AND(A360&lt;&gt;"",ISNUMBER($B$7),ISNUMBER($B$8)),IF(AND(A360&gt;=$B$7,A360&lt;=$B$8),1,0),0)</f>
        <v>0</v>
      </c>
    </row>
    <row r="361">
      <c r="A361" s="9" t="str">
        <f>IF(ISNUMBER($B$4),IF(ISNUMBER($B$5),IF($B$4+349&lt;=$B$5,$B$4+349,""),""),"")</f>
        <v/>
      </c>
      <c r="B361" s="10" t="str">
        <f>IF(A361="","",CHOOSE(WEEKDAY(A361),"日","月","火","水","木","金","土"))</f>
        <v/>
      </c>
      <c r="C361" s="11" t="n"/>
      <c r="D361" s="12" t="n"/>
      <c r="E361" s="12" t="n"/>
      <c r="F361" s="13" t="n"/>
      <c r="G361" s="14">
        <f>IF(OR(A361="",C361&lt;&gt;"労働日"),0,MAX(0,MOD(E361-D361,1)*24-F361/60))</f>
        <v>0</v>
      </c>
      <c r="H361" s="15" t="str">
        <f>IF(A361="","",INT((A361-$B$4)/7)+1)</f>
        <v/>
      </c>
      <c r="I361" s="16">
        <f>IF(AND(A361&lt;&gt;"",C361="労働日"),I360+1,0)</f>
        <v>0</v>
      </c>
      <c r="J361" s="16">
        <f>IF(AND(A361&lt;&gt;"",ISNUMBER($B$7),ISNUMBER($B$8)),IF(AND(A361&gt;=$B$7,A361&lt;=$B$8),1,0),0)</f>
        <v>0</v>
      </c>
    </row>
    <row r="362">
      <c r="A362" s="9" t="str">
        <f>IF(ISNUMBER($B$4),IF(ISNUMBER($B$5),IF($B$4+350&lt;=$B$5,$B$4+350,""),""),"")</f>
        <v/>
      </c>
      <c r="B362" s="10" t="str">
        <f>IF(A362="","",CHOOSE(WEEKDAY(A362),"日","月","火","水","木","金","土"))</f>
        <v/>
      </c>
      <c r="C362" s="11" t="n"/>
      <c r="D362" s="12" t="n"/>
      <c r="E362" s="12" t="n"/>
      <c r="F362" s="13" t="n"/>
      <c r="G362" s="14">
        <f>IF(OR(A362="",C362&lt;&gt;"労働日"),0,MAX(0,MOD(E362-D362,1)*24-F362/60))</f>
        <v>0</v>
      </c>
      <c r="H362" s="15" t="str">
        <f>IF(A362="","",INT((A362-$B$4)/7)+1)</f>
        <v/>
      </c>
      <c r="I362" s="16">
        <f>IF(AND(A362&lt;&gt;"",C362="労働日"),I361+1,0)</f>
        <v>0</v>
      </c>
      <c r="J362" s="16">
        <f>IF(AND(A362&lt;&gt;"",ISNUMBER($B$7),ISNUMBER($B$8)),IF(AND(A362&gt;=$B$7,A362&lt;=$B$8),1,0),0)</f>
        <v>0</v>
      </c>
    </row>
    <row r="363">
      <c r="A363" s="9" t="str">
        <f>IF(ISNUMBER($B$4),IF(ISNUMBER($B$5),IF($B$4+351&lt;=$B$5,$B$4+351,""),""),"")</f>
        <v/>
      </c>
      <c r="B363" s="10" t="str">
        <f>IF(A363="","",CHOOSE(WEEKDAY(A363),"日","月","火","水","木","金","土"))</f>
        <v/>
      </c>
      <c r="C363" s="11" t="n"/>
      <c r="D363" s="12" t="n"/>
      <c r="E363" s="12" t="n"/>
      <c r="F363" s="13" t="n"/>
      <c r="G363" s="14">
        <f>IF(OR(A363="",C363&lt;&gt;"労働日"),0,MAX(0,MOD(E363-D363,1)*24-F363/60))</f>
        <v>0</v>
      </c>
      <c r="H363" s="15" t="str">
        <f>IF(A363="","",INT((A363-$B$4)/7)+1)</f>
        <v/>
      </c>
      <c r="I363" s="16">
        <f>IF(AND(A363&lt;&gt;"",C363="労働日"),I362+1,0)</f>
        <v>0</v>
      </c>
      <c r="J363" s="16">
        <f>IF(AND(A363&lt;&gt;"",ISNUMBER($B$7),ISNUMBER($B$8)),IF(AND(A363&gt;=$B$7,A363&lt;=$B$8),1,0),0)</f>
        <v>0</v>
      </c>
    </row>
    <row r="364">
      <c r="A364" s="9" t="str">
        <f>IF(ISNUMBER($B$4),IF(ISNUMBER($B$5),IF($B$4+352&lt;=$B$5,$B$4+352,""),""),"")</f>
        <v/>
      </c>
      <c r="B364" s="10" t="str">
        <f>IF(A364="","",CHOOSE(WEEKDAY(A364),"日","月","火","水","木","金","土"))</f>
        <v/>
      </c>
      <c r="C364" s="11" t="n"/>
      <c r="D364" s="12" t="n"/>
      <c r="E364" s="12" t="n"/>
      <c r="F364" s="13" t="n"/>
      <c r="G364" s="14">
        <f>IF(OR(A364="",C364&lt;&gt;"労働日"),0,MAX(0,MOD(E364-D364,1)*24-F364/60))</f>
        <v>0</v>
      </c>
      <c r="H364" s="15" t="str">
        <f>IF(A364="","",INT((A364-$B$4)/7)+1)</f>
        <v/>
      </c>
      <c r="I364" s="16">
        <f>IF(AND(A364&lt;&gt;"",C364="労働日"),I363+1,0)</f>
        <v>0</v>
      </c>
      <c r="J364" s="16">
        <f>IF(AND(A364&lt;&gt;"",ISNUMBER($B$7),ISNUMBER($B$8)),IF(AND(A364&gt;=$B$7,A364&lt;=$B$8),1,0),0)</f>
        <v>0</v>
      </c>
    </row>
    <row r="365">
      <c r="A365" s="9" t="str">
        <f>IF(ISNUMBER($B$4),IF(ISNUMBER($B$5),IF($B$4+353&lt;=$B$5,$B$4+353,""),""),"")</f>
        <v/>
      </c>
      <c r="B365" s="10" t="str">
        <f>IF(A365="","",CHOOSE(WEEKDAY(A365),"日","月","火","水","木","金","土"))</f>
        <v/>
      </c>
      <c r="C365" s="11" t="n"/>
      <c r="D365" s="12" t="n"/>
      <c r="E365" s="12" t="n"/>
      <c r="F365" s="13" t="n"/>
      <c r="G365" s="14">
        <f>IF(OR(A365="",C365&lt;&gt;"労働日"),0,MAX(0,MOD(E365-D365,1)*24-F365/60))</f>
        <v>0</v>
      </c>
      <c r="H365" s="15" t="str">
        <f>IF(A365="","",INT((A365-$B$4)/7)+1)</f>
        <v/>
      </c>
      <c r="I365" s="16">
        <f>IF(AND(A365&lt;&gt;"",C365="労働日"),I364+1,0)</f>
        <v>0</v>
      </c>
      <c r="J365" s="16">
        <f>IF(AND(A365&lt;&gt;"",ISNUMBER($B$7),ISNUMBER($B$8)),IF(AND(A365&gt;=$B$7,A365&lt;=$B$8),1,0),0)</f>
        <v>0</v>
      </c>
    </row>
    <row r="366">
      <c r="A366" s="9" t="str">
        <f>IF(ISNUMBER($B$4),IF(ISNUMBER($B$5),IF($B$4+354&lt;=$B$5,$B$4+354,""),""),"")</f>
        <v/>
      </c>
      <c r="B366" s="10" t="str">
        <f>IF(A366="","",CHOOSE(WEEKDAY(A366),"日","月","火","水","木","金","土"))</f>
        <v/>
      </c>
      <c r="C366" s="11" t="n"/>
      <c r="D366" s="12" t="n"/>
      <c r="E366" s="12" t="n"/>
      <c r="F366" s="13" t="n"/>
      <c r="G366" s="14">
        <f>IF(OR(A366="",C366&lt;&gt;"労働日"),0,MAX(0,MOD(E366-D366,1)*24-F366/60))</f>
        <v>0</v>
      </c>
      <c r="H366" s="15" t="str">
        <f>IF(A366="","",INT((A366-$B$4)/7)+1)</f>
        <v/>
      </c>
      <c r="I366" s="16">
        <f>IF(AND(A366&lt;&gt;"",C366="労働日"),I365+1,0)</f>
        <v>0</v>
      </c>
      <c r="J366" s="16">
        <f>IF(AND(A366&lt;&gt;"",ISNUMBER($B$7),ISNUMBER($B$8)),IF(AND(A366&gt;=$B$7,A366&lt;=$B$8),1,0),0)</f>
        <v>0</v>
      </c>
    </row>
    <row r="367">
      <c r="A367" s="9" t="str">
        <f>IF(ISNUMBER($B$4),IF(ISNUMBER($B$5),IF($B$4+355&lt;=$B$5,$B$4+355,""),""),"")</f>
        <v/>
      </c>
      <c r="B367" s="10" t="str">
        <f>IF(A367="","",CHOOSE(WEEKDAY(A367),"日","月","火","水","木","金","土"))</f>
        <v/>
      </c>
      <c r="C367" s="11" t="n"/>
      <c r="D367" s="12" t="n"/>
      <c r="E367" s="12" t="n"/>
      <c r="F367" s="13" t="n"/>
      <c r="G367" s="14">
        <f>IF(OR(A367="",C367&lt;&gt;"労働日"),0,MAX(0,MOD(E367-D367,1)*24-F367/60))</f>
        <v>0</v>
      </c>
      <c r="H367" s="15" t="str">
        <f>IF(A367="","",INT((A367-$B$4)/7)+1)</f>
        <v/>
      </c>
      <c r="I367" s="16">
        <f>IF(AND(A367&lt;&gt;"",C367="労働日"),I366+1,0)</f>
        <v>0</v>
      </c>
      <c r="J367" s="16">
        <f>IF(AND(A367&lt;&gt;"",ISNUMBER($B$7),ISNUMBER($B$8)),IF(AND(A367&gt;=$B$7,A367&lt;=$B$8),1,0),0)</f>
        <v>0</v>
      </c>
    </row>
    <row r="368">
      <c r="A368" s="9" t="str">
        <f>IF(ISNUMBER($B$4),IF(ISNUMBER($B$5),IF($B$4+356&lt;=$B$5,$B$4+356,""),""),"")</f>
        <v/>
      </c>
      <c r="B368" s="10" t="str">
        <f>IF(A368="","",CHOOSE(WEEKDAY(A368),"日","月","火","水","木","金","土"))</f>
        <v/>
      </c>
      <c r="C368" s="11" t="n"/>
      <c r="D368" s="12" t="n"/>
      <c r="E368" s="12" t="n"/>
      <c r="F368" s="13" t="n"/>
      <c r="G368" s="14">
        <f>IF(OR(A368="",C368&lt;&gt;"労働日"),0,MAX(0,MOD(E368-D368,1)*24-F368/60))</f>
        <v>0</v>
      </c>
      <c r="H368" s="15" t="str">
        <f>IF(A368="","",INT((A368-$B$4)/7)+1)</f>
        <v/>
      </c>
      <c r="I368" s="16">
        <f>IF(AND(A368&lt;&gt;"",C368="労働日"),I367+1,0)</f>
        <v>0</v>
      </c>
      <c r="J368" s="16">
        <f>IF(AND(A368&lt;&gt;"",ISNUMBER($B$7),ISNUMBER($B$8)),IF(AND(A368&gt;=$B$7,A368&lt;=$B$8),1,0),0)</f>
        <v>0</v>
      </c>
    </row>
    <row r="369">
      <c r="A369" s="9" t="str">
        <f>IF(ISNUMBER($B$4),IF(ISNUMBER($B$5),IF($B$4+357&lt;=$B$5,$B$4+357,""),""),"")</f>
        <v/>
      </c>
      <c r="B369" s="10" t="str">
        <f>IF(A369="","",CHOOSE(WEEKDAY(A369),"日","月","火","水","木","金","土"))</f>
        <v/>
      </c>
      <c r="C369" s="11" t="n"/>
      <c r="D369" s="12" t="n"/>
      <c r="E369" s="12" t="n"/>
      <c r="F369" s="13" t="n"/>
      <c r="G369" s="14">
        <f>IF(OR(A369="",C369&lt;&gt;"労働日"),0,MAX(0,MOD(E369-D369,1)*24-F369/60))</f>
        <v>0</v>
      </c>
      <c r="H369" s="15" t="str">
        <f>IF(A369="","",INT((A369-$B$4)/7)+1)</f>
        <v/>
      </c>
      <c r="I369" s="16">
        <f>IF(AND(A369&lt;&gt;"",C369="労働日"),I368+1,0)</f>
        <v>0</v>
      </c>
      <c r="J369" s="16">
        <f>IF(AND(A369&lt;&gt;"",ISNUMBER($B$7),ISNUMBER($B$8)),IF(AND(A369&gt;=$B$7,A369&lt;=$B$8),1,0),0)</f>
        <v>0</v>
      </c>
    </row>
    <row r="370">
      <c r="A370" s="9" t="str">
        <f>IF(ISNUMBER($B$4),IF(ISNUMBER($B$5),IF($B$4+358&lt;=$B$5,$B$4+358,""),""),"")</f>
        <v/>
      </c>
      <c r="B370" s="10" t="str">
        <f>IF(A370="","",CHOOSE(WEEKDAY(A370),"日","月","火","水","木","金","土"))</f>
        <v/>
      </c>
      <c r="C370" s="11" t="n"/>
      <c r="D370" s="12" t="n"/>
      <c r="E370" s="12" t="n"/>
      <c r="F370" s="13" t="n"/>
      <c r="G370" s="14">
        <f>IF(OR(A370="",C370&lt;&gt;"労働日"),0,MAX(0,MOD(E370-D370,1)*24-F370/60))</f>
        <v>0</v>
      </c>
      <c r="H370" s="15" t="str">
        <f>IF(A370="","",INT((A370-$B$4)/7)+1)</f>
        <v/>
      </c>
      <c r="I370" s="16">
        <f>IF(AND(A370&lt;&gt;"",C370="労働日"),I369+1,0)</f>
        <v>0</v>
      </c>
      <c r="J370" s="16">
        <f>IF(AND(A370&lt;&gt;"",ISNUMBER($B$7),ISNUMBER($B$8)),IF(AND(A370&gt;=$B$7,A370&lt;=$B$8),1,0),0)</f>
        <v>0</v>
      </c>
    </row>
    <row r="371">
      <c r="A371" s="9" t="str">
        <f>IF(ISNUMBER($B$4),IF(ISNUMBER($B$5),IF($B$4+359&lt;=$B$5,$B$4+359,""),""),"")</f>
        <v/>
      </c>
      <c r="B371" s="10" t="str">
        <f>IF(A371="","",CHOOSE(WEEKDAY(A371),"日","月","火","水","木","金","土"))</f>
        <v/>
      </c>
      <c r="C371" s="11" t="n"/>
      <c r="D371" s="12" t="n"/>
      <c r="E371" s="12" t="n"/>
      <c r="F371" s="13" t="n"/>
      <c r="G371" s="14">
        <f>IF(OR(A371="",C371&lt;&gt;"労働日"),0,MAX(0,MOD(E371-D371,1)*24-F371/60))</f>
        <v>0</v>
      </c>
      <c r="H371" s="15" t="str">
        <f>IF(A371="","",INT((A371-$B$4)/7)+1)</f>
        <v/>
      </c>
      <c r="I371" s="16">
        <f>IF(AND(A371&lt;&gt;"",C371="労働日"),I370+1,0)</f>
        <v>0</v>
      </c>
      <c r="J371" s="16">
        <f>IF(AND(A371&lt;&gt;"",ISNUMBER($B$7),ISNUMBER($B$8)),IF(AND(A371&gt;=$B$7,A371&lt;=$B$8),1,0),0)</f>
        <v>0</v>
      </c>
    </row>
    <row r="372">
      <c r="A372" s="9" t="str">
        <f>IF(ISNUMBER($B$4),IF(ISNUMBER($B$5),IF($B$4+360&lt;=$B$5,$B$4+360,""),""),"")</f>
        <v/>
      </c>
      <c r="B372" s="10" t="str">
        <f>IF(A372="","",CHOOSE(WEEKDAY(A372),"日","月","火","水","木","金","土"))</f>
        <v/>
      </c>
      <c r="C372" s="11" t="n"/>
      <c r="D372" s="12" t="n"/>
      <c r="E372" s="12" t="n"/>
      <c r="F372" s="13" t="n"/>
      <c r="G372" s="14">
        <f>IF(OR(A372="",C372&lt;&gt;"労働日"),0,MAX(0,MOD(E372-D372,1)*24-F372/60))</f>
        <v>0</v>
      </c>
      <c r="H372" s="15" t="str">
        <f>IF(A372="","",INT((A372-$B$4)/7)+1)</f>
        <v/>
      </c>
      <c r="I372" s="16">
        <f>IF(AND(A372&lt;&gt;"",C372="労働日"),I371+1,0)</f>
        <v>0</v>
      </c>
      <c r="J372" s="16">
        <f>IF(AND(A372&lt;&gt;"",ISNUMBER($B$7),ISNUMBER($B$8)),IF(AND(A372&gt;=$B$7,A372&lt;=$B$8),1,0),0)</f>
        <v>0</v>
      </c>
    </row>
    <row r="373">
      <c r="A373" s="9" t="str">
        <f>IF(ISNUMBER($B$4),IF(ISNUMBER($B$5),IF($B$4+361&lt;=$B$5,$B$4+361,""),""),"")</f>
        <v/>
      </c>
      <c r="B373" s="10" t="str">
        <f>IF(A373="","",CHOOSE(WEEKDAY(A373),"日","月","火","水","木","金","土"))</f>
        <v/>
      </c>
      <c r="C373" s="11" t="n"/>
      <c r="D373" s="12" t="n"/>
      <c r="E373" s="12" t="n"/>
      <c r="F373" s="13" t="n"/>
      <c r="G373" s="14">
        <f>IF(OR(A373="",C373&lt;&gt;"労働日"),0,MAX(0,MOD(E373-D373,1)*24-F373/60))</f>
        <v>0</v>
      </c>
      <c r="H373" s="15" t="str">
        <f>IF(A373="","",INT((A373-$B$4)/7)+1)</f>
        <v/>
      </c>
      <c r="I373" s="16">
        <f>IF(AND(A373&lt;&gt;"",C373="労働日"),I372+1,0)</f>
        <v>0</v>
      </c>
      <c r="J373" s="16">
        <f>IF(AND(A373&lt;&gt;"",ISNUMBER($B$7),ISNUMBER($B$8)),IF(AND(A373&gt;=$B$7,A373&lt;=$B$8),1,0),0)</f>
        <v>0</v>
      </c>
    </row>
    <row r="374">
      <c r="A374" s="9" t="str">
        <f>IF(ISNUMBER($B$4),IF(ISNUMBER($B$5),IF($B$4+362&lt;=$B$5,$B$4+362,""),""),"")</f>
        <v/>
      </c>
      <c r="B374" s="10" t="str">
        <f>IF(A374="","",CHOOSE(WEEKDAY(A374),"日","月","火","水","木","金","土"))</f>
        <v/>
      </c>
      <c r="C374" s="11" t="n"/>
      <c r="D374" s="12" t="n"/>
      <c r="E374" s="12" t="n"/>
      <c r="F374" s="13" t="n"/>
      <c r="G374" s="14">
        <f>IF(OR(A374="",C374&lt;&gt;"労働日"),0,MAX(0,MOD(E374-D374,1)*24-F374/60))</f>
        <v>0</v>
      </c>
      <c r="H374" s="15" t="str">
        <f>IF(A374="","",INT((A374-$B$4)/7)+1)</f>
        <v/>
      </c>
      <c r="I374" s="16">
        <f>IF(AND(A374&lt;&gt;"",C374="労働日"),I373+1,0)</f>
        <v>0</v>
      </c>
      <c r="J374" s="16">
        <f>IF(AND(A374&lt;&gt;"",ISNUMBER($B$7),ISNUMBER($B$8)),IF(AND(A374&gt;=$B$7,A374&lt;=$B$8),1,0),0)</f>
        <v>0</v>
      </c>
    </row>
    <row r="375">
      <c r="A375" s="9" t="str">
        <f>IF(ISNUMBER($B$4),IF(ISNUMBER($B$5),IF($B$4+363&lt;=$B$5,$B$4+363,""),""),"")</f>
        <v/>
      </c>
      <c r="B375" s="10" t="str">
        <f>IF(A375="","",CHOOSE(WEEKDAY(A375),"日","月","火","水","木","金","土"))</f>
        <v/>
      </c>
      <c r="C375" s="11" t="n"/>
      <c r="D375" s="12" t="n"/>
      <c r="E375" s="12" t="n"/>
      <c r="F375" s="13" t="n"/>
      <c r="G375" s="14">
        <f>IF(OR(A375="",C375&lt;&gt;"労働日"),0,MAX(0,MOD(E375-D375,1)*24-F375/60))</f>
        <v>0</v>
      </c>
      <c r="H375" s="15" t="str">
        <f>IF(A375="","",INT((A375-$B$4)/7)+1)</f>
        <v/>
      </c>
      <c r="I375" s="16">
        <f>IF(AND(A375&lt;&gt;"",C375="労働日"),I374+1,0)</f>
        <v>0</v>
      </c>
      <c r="J375" s="16">
        <f>IF(AND(A375&lt;&gt;"",ISNUMBER($B$7),ISNUMBER($B$8)),IF(AND(A375&gt;=$B$7,A375&lt;=$B$8),1,0),0)</f>
        <v>0</v>
      </c>
    </row>
    <row r="376">
      <c r="A376" s="9" t="str">
        <f>IF(ISNUMBER($B$4),IF(ISNUMBER($B$5),IF($B$4+364&lt;=$B$5,$B$4+364,""),""),"")</f>
        <v/>
      </c>
      <c r="B376" s="10" t="str">
        <f>IF(A376="","",CHOOSE(WEEKDAY(A376),"日","月","火","水","木","金","土"))</f>
        <v/>
      </c>
      <c r="C376" s="11" t="n"/>
      <c r="D376" s="12" t="n"/>
      <c r="E376" s="12" t="n"/>
      <c r="F376" s="13" t="n"/>
      <c r="G376" s="14">
        <f>IF(OR(A376="",C376&lt;&gt;"労働日"),0,MAX(0,MOD(E376-D376,1)*24-F376/60))</f>
        <v>0</v>
      </c>
      <c r="H376" s="15" t="str">
        <f>IF(A376="","",INT((A376-$B$4)/7)+1)</f>
        <v/>
      </c>
      <c r="I376" s="16">
        <f>IF(AND(A376&lt;&gt;"",C376="労働日"),I375+1,0)</f>
        <v>0</v>
      </c>
      <c r="J376" s="16">
        <f>IF(AND(A376&lt;&gt;"",ISNUMBER($B$7),ISNUMBER($B$8)),IF(AND(A376&gt;=$B$7,A376&lt;=$B$8),1,0),0)</f>
        <v>0</v>
      </c>
    </row>
    <row r="377">
      <c r="A377" s="9" t="str">
        <f>IF(ISNUMBER($B$4),IF(ISNUMBER($B$5),IF($B$4+365&lt;=$B$5,$B$4+365,""),""),"")</f>
        <v/>
      </c>
      <c r="B377" s="10" t="str">
        <f>IF(A377="","",CHOOSE(WEEKDAY(A377),"日","月","火","水","木","金","土"))</f>
        <v/>
      </c>
      <c r="C377" s="11" t="n"/>
      <c r="D377" s="12" t="n"/>
      <c r="E377" s="12" t="n"/>
      <c r="F377" s="13" t="n"/>
      <c r="G377" s="14">
        <f>IF(OR(A377="",C377&lt;&gt;"労働日"),0,MAX(0,MOD(E377-D377,1)*24-F377/60))</f>
        <v>0</v>
      </c>
      <c r="H377" s="15" t="str">
        <f>IF(A377="","",INT((A377-$B$4)/7)+1)</f>
        <v/>
      </c>
      <c r="I377" s="16">
        <f>IF(AND(A377&lt;&gt;"",C377="労働日"),I376+1,0)</f>
        <v>0</v>
      </c>
      <c r="J377" s="16">
        <f>IF(AND(A377&lt;&gt;"",ISNUMBER($B$7),ISNUMBER($B$8)),IF(AND(A377&gt;=$B$7,A377&lt;=$B$8),1,0),0)</f>
        <v>0</v>
      </c>
    </row>
  </sheetData>
  <mergeCells count="5">
    <mergeCell ref="B6:C6"/>
    <mergeCell ref="B7:C7"/>
    <mergeCell ref="B5:C5"/>
    <mergeCell ref="B8:C8"/>
    <mergeCell ref="B4:C4"/>
  </mergeCells>
  <dataValidations count="4">
    <dataValidation sqref="C12:C377" showDropDown="0" showInputMessage="0" showErrorMessage="0" allowBlank="1" errorTitle="入力の誤り" error="リストから選んでください" type="list">
      <formula1>"労働日,休日"</formula1>
    </dataValidation>
    <dataValidation sqref="F12:F377" showDropDown="0" showInputMessage="0" showErrorMessage="0" allowBlank="1" errorTitle="入力の誤り" error="0〜600 の数を入れてください" type="whole" operator="between">
      <formula1>0</formula1>
      <formula2>600</formula2>
    </dataValidation>
    <dataValidation sqref="B4:C5" showDropDown="0" showInputMessage="0" showErrorMessage="0" allowBlank="1" errorTitle="入力の誤り" error="日付を入れてください（例 2026/10/1）" type="date" operator="greaterThan">
      <formula1>36526</formula1>
    </dataValidation>
    <dataValidation sqref="B7:C8" showDropDown="0" showInputMessage="0" showErrorMessage="0" allowBlank="1" errorTitle="入力の誤り" error="日付を入れてください（例 2026/10/1）" type="date" operator="greaterThan">
      <formula1>36526</formula1>
    </dataValidation>
  </dataValidations>
  <pageMargins left="0.4" right="0.4" top="0.5" bottom="0.5" header="0.3" footer="0.3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2" customWidth="1" min="4" max="4"/>
    <col width="14" customWidth="1" min="5" max="5"/>
    <col width="24" customWidth="1" min="6" max="6"/>
  </cols>
  <sheetData>
    <row r="1" ht="44" customHeight="1">
      <c r="A1" s="41" t="inlineStr">
        <is>
          <t>別紙 区分表
（対象期間を1箇月ごとに区分した各期間の労働日数・総労働時間）</t>
        </is>
      </c>
      <c r="B1" s="38" t="n"/>
      <c r="C1" s="38" t="n"/>
      <c r="D1" s="38" t="n"/>
      <c r="E1" s="38" t="n"/>
      <c r="F1" s="38" t="n"/>
    </row>
    <row r="2" ht="40" customHeight="1">
      <c r="A2" s="42" t="inlineStr">
        <is>
          <t>区分する場合、最初の期間を除く各期間は、この労働日数と総労働時間を協定に書き、
各期間の初日の少なくとも30日前に、
過半数代表者の同意を得て日ごとの労働日・労働時間を決めます（労基法32条の4第2項）。</t>
        </is>
      </c>
      <c r="B2" s="38" t="n"/>
      <c r="C2" s="38" t="n"/>
      <c r="D2" s="38" t="n"/>
      <c r="E2" s="38" t="n"/>
      <c r="F2" s="38" t="n"/>
    </row>
    <row r="3">
      <c r="A3" s="38" t="n"/>
      <c r="B3" s="38" t="n"/>
      <c r="C3" s="38" t="n"/>
      <c r="D3" s="38" t="n"/>
      <c r="E3" s="38" t="n"/>
      <c r="F3" s="38" t="n"/>
    </row>
    <row r="4">
      <c r="A4" s="8" t="inlineStr">
        <is>
          <t>区分</t>
        </is>
      </c>
      <c r="B4" s="8" t="inlineStr">
        <is>
          <t>最初の日</t>
        </is>
      </c>
      <c r="C4" s="8" t="inlineStr">
        <is>
          <t>最後の日</t>
        </is>
      </c>
      <c r="D4" s="8" t="inlineStr">
        <is>
          <t>労働日数</t>
        </is>
      </c>
      <c r="E4" s="8" t="inlineStr">
        <is>
          <t>総労働時間</t>
        </is>
      </c>
      <c r="F4" s="8" t="inlineStr">
        <is>
          <t>備考</t>
        </is>
      </c>
    </row>
    <row r="5">
      <c r="A5" s="19" t="inlineStr">
        <is>
          <t>1か月目</t>
        </is>
      </c>
      <c r="B5" s="9" t="str">
        <f>IF(ISNUMBER('年間カレンダー'!$B$4),IF(EDATE('年間カレンダー'!$B$4,0)&lt;='年間カレンダー'!$B$5,EDATE('年間カレンダー'!$B$4,0),""),"")</f>
        <v/>
      </c>
      <c r="C5" s="9" t="str">
        <f>IF(B5="","",MIN(EDATE('年間カレンダー'!$B$4,1)-1,'年間カレンダー'!$B$5))</f>
        <v/>
      </c>
      <c r="D5" s="15" t="str">
        <f>IF(B5="","",COUNTIFS('年間カレンダー'!$A$12:$A$377,"&gt;="&amp;B5,'年間カレンダー'!$A$12:$A$377,"&lt;="&amp;C5,'年間カレンダー'!$C$12:$C$377,"労働日"))</f>
        <v/>
      </c>
      <c r="E5" s="20" t="str">
        <f>IF(B5="","",SUMIFS('年間カレンダー'!$G$12:$G$377,'年間カレンダー'!$A$12:$A$377,"&gt;="&amp;B5,'年間カレンダー'!$A$12:$A$377,"&lt;="&amp;C5))</f>
        <v/>
      </c>
      <c r="F5" s="21" t="str">
        <f>IF(B5="","",IF(1=1,"最初の期間（日ごとに定める）","日ごとは30日前までに定める"))</f>
        <v/>
      </c>
    </row>
    <row r="6">
      <c r="A6" s="19" t="inlineStr">
        <is>
          <t>2か月目</t>
        </is>
      </c>
      <c r="B6" s="9" t="str">
        <f>IF(ISNUMBER('年間カレンダー'!$B$4),IF(EDATE('年間カレンダー'!$B$4,1)&lt;='年間カレンダー'!$B$5,EDATE('年間カレンダー'!$B$4,1),""),"")</f>
        <v/>
      </c>
      <c r="C6" s="9" t="str">
        <f>IF(B6="","",MIN(EDATE('年間カレンダー'!$B$4,2)-1,'年間カレンダー'!$B$5))</f>
        <v/>
      </c>
      <c r="D6" s="15" t="str">
        <f>IF(B6="","",COUNTIFS('年間カレンダー'!$A$12:$A$377,"&gt;="&amp;B6,'年間カレンダー'!$A$12:$A$377,"&lt;="&amp;C6,'年間カレンダー'!$C$12:$C$377,"労働日"))</f>
        <v/>
      </c>
      <c r="E6" s="20" t="str">
        <f>IF(B6="","",SUMIFS('年間カレンダー'!$G$12:$G$377,'年間カレンダー'!$A$12:$A$377,"&gt;="&amp;B6,'年間カレンダー'!$A$12:$A$377,"&lt;="&amp;C6))</f>
        <v/>
      </c>
      <c r="F6" s="21" t="str">
        <f>IF(B6="","",IF(2=1,"最初の期間（日ごとに定める）","日ごとは30日前までに定める"))</f>
        <v/>
      </c>
    </row>
    <row r="7">
      <c r="A7" s="19" t="inlineStr">
        <is>
          <t>3か月目</t>
        </is>
      </c>
      <c r="B7" s="9" t="str">
        <f>IF(ISNUMBER('年間カレンダー'!$B$4),IF(EDATE('年間カレンダー'!$B$4,2)&lt;='年間カレンダー'!$B$5,EDATE('年間カレンダー'!$B$4,2),""),"")</f>
        <v/>
      </c>
      <c r="C7" s="9" t="str">
        <f>IF(B7="","",MIN(EDATE('年間カレンダー'!$B$4,3)-1,'年間カレンダー'!$B$5))</f>
        <v/>
      </c>
      <c r="D7" s="15" t="str">
        <f>IF(B7="","",COUNTIFS('年間カレンダー'!$A$12:$A$377,"&gt;="&amp;B7,'年間カレンダー'!$A$12:$A$377,"&lt;="&amp;C7,'年間カレンダー'!$C$12:$C$377,"労働日"))</f>
        <v/>
      </c>
      <c r="E7" s="20" t="str">
        <f>IF(B7="","",SUMIFS('年間カレンダー'!$G$12:$G$377,'年間カレンダー'!$A$12:$A$377,"&gt;="&amp;B7,'年間カレンダー'!$A$12:$A$377,"&lt;="&amp;C7))</f>
        <v/>
      </c>
      <c r="F7" s="21" t="str">
        <f>IF(B7="","",IF(3=1,"最初の期間（日ごとに定める）","日ごとは30日前までに定める"))</f>
        <v/>
      </c>
    </row>
    <row r="8">
      <c r="A8" s="19" t="inlineStr">
        <is>
          <t>4か月目</t>
        </is>
      </c>
      <c r="B8" s="9" t="str">
        <f>IF(ISNUMBER('年間カレンダー'!$B$4),IF(EDATE('年間カレンダー'!$B$4,3)&lt;='年間カレンダー'!$B$5,EDATE('年間カレンダー'!$B$4,3),""),"")</f>
        <v/>
      </c>
      <c r="C8" s="9" t="str">
        <f>IF(B8="","",MIN(EDATE('年間カレンダー'!$B$4,4)-1,'年間カレンダー'!$B$5))</f>
        <v/>
      </c>
      <c r="D8" s="15" t="str">
        <f>IF(B8="","",COUNTIFS('年間カレンダー'!$A$12:$A$377,"&gt;="&amp;B8,'年間カレンダー'!$A$12:$A$377,"&lt;="&amp;C8,'年間カレンダー'!$C$12:$C$377,"労働日"))</f>
        <v/>
      </c>
      <c r="E8" s="20" t="str">
        <f>IF(B8="","",SUMIFS('年間カレンダー'!$G$12:$G$377,'年間カレンダー'!$A$12:$A$377,"&gt;="&amp;B8,'年間カレンダー'!$A$12:$A$377,"&lt;="&amp;C8))</f>
        <v/>
      </c>
      <c r="F8" s="21" t="str">
        <f>IF(B8="","",IF(4=1,"最初の期間（日ごとに定める）","日ごとは30日前までに定める"))</f>
        <v/>
      </c>
    </row>
    <row r="9">
      <c r="A9" s="19" t="inlineStr">
        <is>
          <t>5か月目</t>
        </is>
      </c>
      <c r="B9" s="9" t="str">
        <f>IF(ISNUMBER('年間カレンダー'!$B$4),IF(EDATE('年間カレンダー'!$B$4,4)&lt;='年間カレンダー'!$B$5,EDATE('年間カレンダー'!$B$4,4),""),"")</f>
        <v/>
      </c>
      <c r="C9" s="9" t="str">
        <f>IF(B9="","",MIN(EDATE('年間カレンダー'!$B$4,5)-1,'年間カレンダー'!$B$5))</f>
        <v/>
      </c>
      <c r="D9" s="15" t="str">
        <f>IF(B9="","",COUNTIFS('年間カレンダー'!$A$12:$A$377,"&gt;="&amp;B9,'年間カレンダー'!$A$12:$A$377,"&lt;="&amp;C9,'年間カレンダー'!$C$12:$C$377,"労働日"))</f>
        <v/>
      </c>
      <c r="E9" s="20" t="str">
        <f>IF(B9="","",SUMIFS('年間カレンダー'!$G$12:$G$377,'年間カレンダー'!$A$12:$A$377,"&gt;="&amp;B9,'年間カレンダー'!$A$12:$A$377,"&lt;="&amp;C9))</f>
        <v/>
      </c>
      <c r="F9" s="21" t="str">
        <f>IF(B9="","",IF(5=1,"最初の期間（日ごとに定める）","日ごとは30日前までに定める"))</f>
        <v/>
      </c>
    </row>
    <row r="10">
      <c r="A10" s="19" t="inlineStr">
        <is>
          <t>6か月目</t>
        </is>
      </c>
      <c r="B10" s="9" t="str">
        <f>IF(ISNUMBER('年間カレンダー'!$B$4),IF(EDATE('年間カレンダー'!$B$4,5)&lt;='年間カレンダー'!$B$5,EDATE('年間カレンダー'!$B$4,5),""),"")</f>
        <v/>
      </c>
      <c r="C10" s="9" t="str">
        <f>IF(B10="","",MIN(EDATE('年間カレンダー'!$B$4,6)-1,'年間カレンダー'!$B$5))</f>
        <v/>
      </c>
      <c r="D10" s="15" t="str">
        <f>IF(B10="","",COUNTIFS('年間カレンダー'!$A$12:$A$377,"&gt;="&amp;B10,'年間カレンダー'!$A$12:$A$377,"&lt;="&amp;C10,'年間カレンダー'!$C$12:$C$377,"労働日"))</f>
        <v/>
      </c>
      <c r="E10" s="20" t="str">
        <f>IF(B10="","",SUMIFS('年間カレンダー'!$G$12:$G$377,'年間カレンダー'!$A$12:$A$377,"&gt;="&amp;B10,'年間カレンダー'!$A$12:$A$377,"&lt;="&amp;C10))</f>
        <v/>
      </c>
      <c r="F10" s="21" t="str">
        <f>IF(B10="","",IF(6=1,"最初の期間（日ごとに定める）","日ごとは30日前までに定める"))</f>
        <v/>
      </c>
    </row>
    <row r="11">
      <c r="A11" s="19" t="inlineStr">
        <is>
          <t>7か月目</t>
        </is>
      </c>
      <c r="B11" s="9" t="str">
        <f>IF(ISNUMBER('年間カレンダー'!$B$4),IF(EDATE('年間カレンダー'!$B$4,6)&lt;='年間カレンダー'!$B$5,EDATE('年間カレンダー'!$B$4,6),""),"")</f>
        <v/>
      </c>
      <c r="C11" s="9" t="str">
        <f>IF(B11="","",MIN(EDATE('年間カレンダー'!$B$4,7)-1,'年間カレンダー'!$B$5))</f>
        <v/>
      </c>
      <c r="D11" s="15" t="str">
        <f>IF(B11="","",COUNTIFS('年間カレンダー'!$A$12:$A$377,"&gt;="&amp;B11,'年間カレンダー'!$A$12:$A$377,"&lt;="&amp;C11,'年間カレンダー'!$C$12:$C$377,"労働日"))</f>
        <v/>
      </c>
      <c r="E11" s="20" t="str">
        <f>IF(B11="","",SUMIFS('年間カレンダー'!$G$12:$G$377,'年間カレンダー'!$A$12:$A$377,"&gt;="&amp;B11,'年間カレンダー'!$A$12:$A$377,"&lt;="&amp;C11))</f>
        <v/>
      </c>
      <c r="F11" s="21" t="str">
        <f>IF(B11="","",IF(7=1,"最初の期間（日ごとに定める）","日ごとは30日前までに定める"))</f>
        <v/>
      </c>
    </row>
    <row r="12">
      <c r="A12" s="19" t="inlineStr">
        <is>
          <t>8か月目</t>
        </is>
      </c>
      <c r="B12" s="9" t="str">
        <f>IF(ISNUMBER('年間カレンダー'!$B$4),IF(EDATE('年間カレンダー'!$B$4,7)&lt;='年間カレンダー'!$B$5,EDATE('年間カレンダー'!$B$4,7),""),"")</f>
        <v/>
      </c>
      <c r="C12" s="9" t="str">
        <f>IF(B12="","",MIN(EDATE('年間カレンダー'!$B$4,8)-1,'年間カレンダー'!$B$5))</f>
        <v/>
      </c>
      <c r="D12" s="15" t="str">
        <f>IF(B12="","",COUNTIFS('年間カレンダー'!$A$12:$A$377,"&gt;="&amp;B12,'年間カレンダー'!$A$12:$A$377,"&lt;="&amp;C12,'年間カレンダー'!$C$12:$C$377,"労働日"))</f>
        <v/>
      </c>
      <c r="E12" s="20" t="str">
        <f>IF(B12="","",SUMIFS('年間カレンダー'!$G$12:$G$377,'年間カレンダー'!$A$12:$A$377,"&gt;="&amp;B12,'年間カレンダー'!$A$12:$A$377,"&lt;="&amp;C12))</f>
        <v/>
      </c>
      <c r="F12" s="21" t="str">
        <f>IF(B12="","",IF(8=1,"最初の期間（日ごとに定める）","日ごとは30日前までに定める"))</f>
        <v/>
      </c>
    </row>
    <row r="13">
      <c r="A13" s="19" t="inlineStr">
        <is>
          <t>9か月目</t>
        </is>
      </c>
      <c r="B13" s="9" t="str">
        <f>IF(ISNUMBER('年間カレンダー'!$B$4),IF(EDATE('年間カレンダー'!$B$4,8)&lt;='年間カレンダー'!$B$5,EDATE('年間カレンダー'!$B$4,8),""),"")</f>
        <v/>
      </c>
      <c r="C13" s="9" t="str">
        <f>IF(B13="","",MIN(EDATE('年間カレンダー'!$B$4,9)-1,'年間カレンダー'!$B$5))</f>
        <v/>
      </c>
      <c r="D13" s="15" t="str">
        <f>IF(B13="","",COUNTIFS('年間カレンダー'!$A$12:$A$377,"&gt;="&amp;B13,'年間カレンダー'!$A$12:$A$377,"&lt;="&amp;C13,'年間カレンダー'!$C$12:$C$377,"労働日"))</f>
        <v/>
      </c>
      <c r="E13" s="20" t="str">
        <f>IF(B13="","",SUMIFS('年間カレンダー'!$G$12:$G$377,'年間カレンダー'!$A$12:$A$377,"&gt;="&amp;B13,'年間カレンダー'!$A$12:$A$377,"&lt;="&amp;C13))</f>
        <v/>
      </c>
      <c r="F13" s="21" t="str">
        <f>IF(B13="","",IF(9=1,"最初の期間（日ごとに定める）","日ごとは30日前までに定める"))</f>
        <v/>
      </c>
    </row>
    <row r="14">
      <c r="A14" s="19" t="inlineStr">
        <is>
          <t>10か月目</t>
        </is>
      </c>
      <c r="B14" s="9" t="str">
        <f>IF(ISNUMBER('年間カレンダー'!$B$4),IF(EDATE('年間カレンダー'!$B$4,9)&lt;='年間カレンダー'!$B$5,EDATE('年間カレンダー'!$B$4,9),""),"")</f>
        <v/>
      </c>
      <c r="C14" s="9" t="str">
        <f>IF(B14="","",MIN(EDATE('年間カレンダー'!$B$4,10)-1,'年間カレンダー'!$B$5))</f>
        <v/>
      </c>
      <c r="D14" s="15" t="str">
        <f>IF(B14="","",COUNTIFS('年間カレンダー'!$A$12:$A$377,"&gt;="&amp;B14,'年間カレンダー'!$A$12:$A$377,"&lt;="&amp;C14,'年間カレンダー'!$C$12:$C$377,"労働日"))</f>
        <v/>
      </c>
      <c r="E14" s="20" t="str">
        <f>IF(B14="","",SUMIFS('年間カレンダー'!$G$12:$G$377,'年間カレンダー'!$A$12:$A$377,"&gt;="&amp;B14,'年間カレンダー'!$A$12:$A$377,"&lt;="&amp;C14))</f>
        <v/>
      </c>
      <c r="F14" s="21" t="str">
        <f>IF(B14="","",IF(10=1,"最初の期間（日ごとに定める）","日ごとは30日前までに定める"))</f>
        <v/>
      </c>
    </row>
    <row r="15">
      <c r="A15" s="19" t="inlineStr">
        <is>
          <t>11か月目</t>
        </is>
      </c>
      <c r="B15" s="9" t="str">
        <f>IF(ISNUMBER('年間カレンダー'!$B$4),IF(EDATE('年間カレンダー'!$B$4,10)&lt;='年間カレンダー'!$B$5,EDATE('年間カレンダー'!$B$4,10),""),"")</f>
        <v/>
      </c>
      <c r="C15" s="9" t="str">
        <f>IF(B15="","",MIN(EDATE('年間カレンダー'!$B$4,11)-1,'年間カレンダー'!$B$5))</f>
        <v/>
      </c>
      <c r="D15" s="15" t="str">
        <f>IF(B15="","",COUNTIFS('年間カレンダー'!$A$12:$A$377,"&gt;="&amp;B15,'年間カレンダー'!$A$12:$A$377,"&lt;="&amp;C15,'年間カレンダー'!$C$12:$C$377,"労働日"))</f>
        <v/>
      </c>
      <c r="E15" s="20" t="str">
        <f>IF(B15="","",SUMIFS('年間カレンダー'!$G$12:$G$377,'年間カレンダー'!$A$12:$A$377,"&gt;="&amp;B15,'年間カレンダー'!$A$12:$A$377,"&lt;="&amp;C15))</f>
        <v/>
      </c>
      <c r="F15" s="21" t="str">
        <f>IF(B15="","",IF(11=1,"最初の期間（日ごとに定める）","日ごとは30日前までに定める"))</f>
        <v/>
      </c>
    </row>
    <row r="16">
      <c r="A16" s="19" t="inlineStr">
        <is>
          <t>12か月目</t>
        </is>
      </c>
      <c r="B16" s="9" t="str">
        <f>IF(ISNUMBER('年間カレンダー'!$B$4),IF(EDATE('年間カレンダー'!$B$4,11)&lt;='年間カレンダー'!$B$5,EDATE('年間カレンダー'!$B$4,11),""),"")</f>
        <v/>
      </c>
      <c r="C16" s="9" t="str">
        <f>IF(B16="","",MIN(EDATE('年間カレンダー'!$B$4,12)-1,'年間カレンダー'!$B$5))</f>
        <v/>
      </c>
      <c r="D16" s="15" t="str">
        <f>IF(B16="","",COUNTIFS('年間カレンダー'!$A$12:$A$377,"&gt;="&amp;B16,'年間カレンダー'!$A$12:$A$377,"&lt;="&amp;C16,'年間カレンダー'!$C$12:$C$377,"労働日"))</f>
        <v/>
      </c>
      <c r="E16" s="20" t="str">
        <f>IF(B16="","",SUMIFS('年間カレンダー'!$G$12:$G$377,'年間カレンダー'!$A$12:$A$377,"&gt;="&amp;B16,'年間カレンダー'!$A$12:$A$377,"&lt;="&amp;C16))</f>
        <v/>
      </c>
      <c r="F16" s="21" t="str">
        <f>IF(B16="","",IF(12=1,"最初の期間（日ごとに定める）","日ごとは30日前までに定める"))</f>
        <v/>
      </c>
    </row>
    <row r="17">
      <c r="A17" s="22" t="inlineStr">
        <is>
          <t>合計</t>
        </is>
      </c>
      <c r="B17" s="3" t="n"/>
      <c r="C17" s="3" t="n"/>
      <c r="D17" s="23">
        <f>SUM(D5:D16)</f>
        <v>0</v>
      </c>
      <c r="E17" s="24">
        <f>SUM(E5:E16)</f>
        <v>0</v>
      </c>
      <c r="F17" s="3" t="n"/>
    </row>
  </sheetData>
  <mergeCells count="2">
    <mergeCell ref="A2:F2"/>
    <mergeCell ref="A1:F1"/>
  </mergeCells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79"/>
  <sheetViews>
    <sheetView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30" customWidth="1" min="3" max="3"/>
    <col width="24" customWidth="1" min="4" max="4"/>
    <col width="4" customWidth="1" min="5" max="5"/>
    <col width="6" customWidth="1" min="6" max="6"/>
    <col width="11" customWidth="1" min="7" max="7"/>
    <col width="11" customWidth="1" min="8" max="8"/>
    <col width="8" customWidth="1" min="9" max="9"/>
    <col width="10" customWidth="1" min="10" max="10"/>
    <col width="10" customWidth="1" min="11" max="11"/>
    <col width="2" customWidth="1" min="12" max="12"/>
    <col width="6" customWidth="1" min="13" max="13"/>
    <col width="11" customWidth="1" min="14" max="14"/>
    <col width="17" customWidth="1" min="15" max="15"/>
  </cols>
  <sheetData>
    <row r="1">
      <c r="A1" s="37" t="inlineStr">
        <is>
          <t>限度基準の判定（労基法32条の4・施行規則12条の4）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8" t="n"/>
      <c r="O1" s="38" t="n"/>
    </row>
    <row r="2" ht="26" customHeight="1">
      <c r="A2" s="42" t="inlineStr">
        <is>
          <t>週は、対象期間の開始日から7日ごとに区切って数えています。就業規則等で週の起算日を定めている場合は、その区切りで確かめてください。</t>
        </is>
      </c>
      <c r="B2" s="38" t="n"/>
      <c r="C2" s="38" t="n"/>
      <c r="D2" s="38" t="n"/>
      <c r="E2" s="38" t="n"/>
      <c r="F2" s="38" t="n"/>
      <c r="G2" s="38" t="n"/>
      <c r="H2" s="38" t="n"/>
      <c r="I2" s="38" t="n"/>
      <c r="J2" s="38" t="n"/>
      <c r="K2" s="38" t="n"/>
      <c r="L2" s="38" t="n"/>
      <c r="M2" s="38" t="n"/>
      <c r="N2" s="38" t="n"/>
      <c r="O2" s="38" t="n"/>
    </row>
    <row r="3">
      <c r="A3" s="38" t="n"/>
      <c r="B3" s="38" t="n"/>
      <c r="C3" s="38" t="n"/>
      <c r="D3" s="38" t="n"/>
      <c r="E3" s="38" t="n"/>
      <c r="F3" s="38" t="n"/>
      <c r="G3" s="38" t="n"/>
      <c r="H3" s="38" t="n"/>
      <c r="I3" s="38" t="n"/>
      <c r="J3" s="38" t="n"/>
      <c r="K3" s="38" t="n"/>
      <c r="L3" s="38" t="n"/>
      <c r="M3" s="38" t="n"/>
      <c r="N3" s="38" t="n"/>
      <c r="O3" s="38" t="n"/>
    </row>
    <row r="4">
      <c r="A4" s="3" t="inlineStr">
        <is>
          <t>対象期間の暦日数</t>
        </is>
      </c>
      <c r="B4" s="6" t="str">
        <f>'年間カレンダー'!B6</f>
        <v/>
      </c>
      <c r="C4" s="38" t="n"/>
      <c r="D4" s="38" t="n"/>
      <c r="E4" s="38" t="n"/>
      <c r="F4" s="38" t="n"/>
      <c r="G4" s="38" t="n"/>
      <c r="H4" s="38" t="n"/>
      <c r="I4" s="38" t="n"/>
      <c r="J4" s="38" t="n"/>
      <c r="K4" s="38" t="n"/>
      <c r="L4" s="38" t="n"/>
      <c r="M4" s="38" t="n"/>
      <c r="N4" s="38" t="n"/>
      <c r="O4" s="38" t="n"/>
    </row>
    <row r="5">
      <c r="A5" s="3" t="inlineStr">
        <is>
          <t>対象期間の長さ</t>
        </is>
      </c>
      <c r="B5" s="25" t="str">
        <f>IF(B4="","未入力",IF(OR('年間カレンダー'!B5&lt;EDATE('年間カレンダー'!B4,1),'年間カレンダー'!B5&gt;EDATE('年間カレンダー'!B4,12)-1),"範囲外",IF('年間カレンダー'!B5&gt;EDATE('年間カレンダー'!B4,3)-1,"3箇月超","3箇月以内")))</f>
        <v>未入力</v>
      </c>
      <c r="C5" s="38" t="n"/>
      <c r="D5" s="38" t="n"/>
      <c r="E5" s="38" t="n"/>
      <c r="F5" s="38" t="n"/>
      <c r="G5" s="38" t="n"/>
      <c r="H5" s="38" t="n"/>
      <c r="I5" s="38" t="n"/>
      <c r="J5" s="38" t="n"/>
      <c r="K5" s="38" t="n"/>
      <c r="L5" s="38" t="n"/>
      <c r="M5" s="38" t="n"/>
      <c r="N5" s="38" t="n"/>
      <c r="O5" s="38" t="n"/>
    </row>
    <row r="6">
      <c r="A6" s="3" t="inlineStr">
        <is>
          <t>区分が空の日の数</t>
        </is>
      </c>
      <c r="B6" s="6">
        <f>SUMPRODUCT(('年間カレンダー'!$A$12:$A$377&lt;&gt;"")*('年間カレンダー'!$C$12:$C$377=""))</f>
        <v>0</v>
      </c>
      <c r="C6" s="38" t="n"/>
      <c r="D6" s="38" t="n"/>
      <c r="E6" s="38" t="n"/>
      <c r="F6" s="38" t="n"/>
      <c r="G6" s="38" t="n"/>
      <c r="H6" s="38" t="n"/>
      <c r="I6" s="38" t="n"/>
      <c r="J6" s="38" t="n"/>
      <c r="K6" s="38" t="n"/>
      <c r="L6" s="38" t="n"/>
      <c r="M6" s="38" t="n"/>
      <c r="N6" s="38" t="n"/>
      <c r="O6" s="38" t="n"/>
    </row>
    <row r="7">
      <c r="A7" s="38" t="n"/>
      <c r="B7" s="38" t="n"/>
      <c r="C7" s="38" t="n"/>
      <c r="D7" s="38" t="n"/>
      <c r="E7" s="38" t="n"/>
      <c r="F7" s="38" t="n"/>
      <c r="G7" s="38" t="n"/>
      <c r="H7" s="38" t="n"/>
      <c r="I7" s="38" t="n"/>
      <c r="J7" s="38" t="n"/>
      <c r="K7" s="38" t="n"/>
      <c r="L7" s="38" t="n"/>
      <c r="M7" s="38" t="n"/>
      <c r="N7" s="38" t="n"/>
      <c r="O7" s="38" t="n"/>
    </row>
    <row r="8">
      <c r="A8" s="8" t="inlineStr">
        <is>
          <t>項目</t>
        </is>
      </c>
      <c r="B8" s="8" t="inlineStr">
        <is>
          <t>あなたの値</t>
        </is>
      </c>
      <c r="C8" s="8" t="inlineStr">
        <is>
          <t>限度</t>
        </is>
      </c>
      <c r="D8" s="8" t="inlineStr">
        <is>
          <t>判定</t>
        </is>
      </c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</row>
    <row r="9" ht="30" customHeight="1">
      <c r="A9" s="26" t="inlineStr">
        <is>
          <t>労働日数（対象期間3箇月超のとき）</t>
        </is>
      </c>
      <c r="B9" s="6">
        <f>SUMPRODUCT(('年間カレンダー'!$C$12:$C$377="労働日")*('年間カレンダー'!$A$12:$A$377&lt;&gt;""))</f>
        <v>0</v>
      </c>
      <c r="C9" s="27" t="inlineStr">
        <is>
          <t>280日以内（1年当たり）</t>
        </is>
      </c>
      <c r="D9" s="28" t="str">
        <f>IF(B4="","未入力",IF(B5="3箇月以内","対象外(3箇月以内)",IF(B5&lt;&gt;"3箇月超","対象期間を確認",IF(B9&gt;280,"超過",IF('年間カレンダー'!B5&gt;=EDATE('年間カレンダー'!B4,12)-1,"範囲内","要確認(1年未満は数え方を確認)")))))</f>
        <v>未入力</v>
      </c>
      <c r="E9" s="38" t="n"/>
      <c r="F9" s="38" t="n"/>
      <c r="G9" s="38" t="n"/>
      <c r="H9" s="38" t="n"/>
      <c r="I9" s="38" t="n"/>
      <c r="J9" s="38" t="n"/>
      <c r="K9" s="38" t="n"/>
      <c r="L9" s="38" t="n"/>
      <c r="M9" s="38" t="n"/>
      <c r="N9" s="38" t="n"/>
      <c r="O9" s="38" t="n"/>
    </row>
    <row r="10" ht="30" customHeight="1">
      <c r="A10" s="26" t="inlineStr">
        <is>
          <t>対象期間の総労働時間の上限（40時間×暦日数÷7）</t>
        </is>
      </c>
      <c r="B10" s="29" t="str">
        <f>IF(B4="","",40*B4/7)</f>
        <v/>
      </c>
      <c r="C10" s="27" t="inlineStr">
        <is>
          <t>この値が上限です</t>
        </is>
      </c>
      <c r="D10" s="30" t="inlineStr"/>
      <c r="E10" s="38" t="n"/>
      <c r="F10" s="38" t="n"/>
      <c r="G10" s="38" t="n"/>
      <c r="H10" s="38" t="n"/>
      <c r="I10" s="38" t="n"/>
      <c r="J10" s="38" t="n"/>
      <c r="K10" s="38" t="n"/>
      <c r="L10" s="38" t="n"/>
      <c r="M10" s="38" t="n"/>
      <c r="N10" s="38" t="n"/>
      <c r="O10" s="38" t="n"/>
    </row>
    <row r="11" ht="30" customHeight="1">
      <c r="A11" s="26" t="inlineStr">
        <is>
          <t>総所定労働時間（平均して週40時間以内か）</t>
        </is>
      </c>
      <c r="B11" s="29">
        <f>SUM('年間カレンダー'!$G$12:$G$377)</f>
        <v>0</v>
      </c>
      <c r="C11" s="27" t="inlineStr">
        <is>
          <t>上限以内（法32条の4第1項）</t>
        </is>
      </c>
      <c r="D11" s="28" t="str">
        <f>IF(OR(B4="",B6&gt;0),"未入力",IF(B11&lt;=B10,"範囲内","超過"))</f>
        <v>未入力</v>
      </c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</row>
    <row r="12" ht="30" customHeight="1">
      <c r="A12" s="26" t="inlineStr">
        <is>
          <t>1日の最長労働時間</t>
        </is>
      </c>
      <c r="B12" s="29">
        <f>MAX('年間カレンダー'!$G$12:$G$377)</f>
        <v>0</v>
      </c>
      <c r="C12" s="27" t="inlineStr">
        <is>
          <t>10時間以内</t>
        </is>
      </c>
      <c r="D12" s="28" t="str">
        <f>IF(B6&gt;0,"未入力",IF(B12&lt;=10,"範囲内","超過"))</f>
        <v>範囲内</v>
      </c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</row>
    <row r="13" ht="30" customHeight="1">
      <c r="A13" s="26" t="inlineStr">
        <is>
          <t>1週間の最長労働時間</t>
        </is>
      </c>
      <c r="B13" s="29">
        <f>MAX(H27:H79)</f>
        <v>0</v>
      </c>
      <c r="C13" s="27" t="inlineStr">
        <is>
          <t>52時間以内</t>
        </is>
      </c>
      <c r="D13" s="28" t="str">
        <f>IF(B6&gt;0,"未入力",IF(B13&lt;=52,"範囲内","超過"))</f>
        <v>範囲内</v>
      </c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</row>
    <row r="14" ht="30" customHeight="1">
      <c r="A14" s="26" t="inlineStr">
        <is>
          <t>週48時間を超える週の連続（最大・週）</t>
        </is>
      </c>
      <c r="B14" s="6">
        <f>MAX(J27:J79)</f>
        <v>0</v>
      </c>
      <c r="C14" s="27" t="inlineStr">
        <is>
          <t>3週以下（3箇月超のとき）</t>
        </is>
      </c>
      <c r="D14" s="28" t="str">
        <f>IF(B5&lt;&gt;"3箇月超","対象外(3箇月以内)",IF(B6&gt;0,"未入力",IF(B14&lt;=3,"範囲内","超過")))</f>
        <v>対象外(3箇月以内)</v>
      </c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</row>
    <row r="15" ht="30" customHeight="1">
      <c r="A15" s="26" t="inlineStr">
        <is>
          <t>3箇月ごとの区分で48時間超の週の初日の数（最大）</t>
        </is>
      </c>
      <c r="B15" s="6">
        <f>MAX(O27:O30)</f>
        <v>0</v>
      </c>
      <c r="C15" s="27" t="inlineStr">
        <is>
          <t>3以下（3箇月超のとき）</t>
        </is>
      </c>
      <c r="D15" s="28" t="str">
        <f>IF(B5&lt;&gt;"3箇月超","対象外(3箇月以内)",IF(B6&gt;0,"未入力",IF(B15&lt;=3,"範囲内","超過")))</f>
        <v>対象外(3箇月以内)</v>
      </c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</row>
    <row r="16" ht="30" customHeight="1">
      <c r="A16" s="26" t="inlineStr">
        <is>
          <t>連続労働日数の最大（特定期間を除く）</t>
        </is>
      </c>
      <c r="B16" s="6">
        <f>SUMPRODUCT(MAX(('年間カレンダー'!$J$12:$J$377=0)*'年間カレンダー'!$I$12:$I$377))</f>
        <v>0</v>
      </c>
      <c r="C16" s="27" t="inlineStr">
        <is>
          <t>6日以内</t>
        </is>
      </c>
      <c r="D16" s="28" t="str">
        <f>IF(B6&gt;0,"未入力",IF(B16&lt;=6,"範囲内","超過"))</f>
        <v>範囲内</v>
      </c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</row>
    <row r="17" ht="30" customHeight="1">
      <c r="A17" s="26" t="inlineStr">
        <is>
          <t>連続労働日数の最大（特定期間）</t>
        </is>
      </c>
      <c r="B17" s="6">
        <f>SUMPRODUCT(MAX(('年間カレンダー'!$J$12:$J$377=1)*'年間カレンダー'!$I$12:$I$377))</f>
        <v>0</v>
      </c>
      <c r="C17" s="27" t="inlineStr">
        <is>
          <t>12日以内（条文の「1週間に1日の休日」から計算した目安）</t>
        </is>
      </c>
      <c r="D17" s="28" t="str">
        <f>IF(B6&gt;0,"未入力",IF(B17&lt;=12,"範囲内(計算上の目安)","要確認"))</f>
        <v>範囲内(計算上の目安)</v>
      </c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</row>
    <row r="18">
      <c r="A18" s="38" t="n"/>
      <c r="B18" s="38" t="n"/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</row>
    <row r="19" ht="20" customHeight="1">
      <c r="A19" s="43" t="inlineStr">
        <is>
          <t>【根拠】 280日・1日10時間・1週52時間・週48時間超（連続3週以下・初日から3箇月ごとに区分した各期間で週の初日が3以下）・連続労働日数6日＝施行規則12条の4第3項〜第5項。平均して週40時間以内＝労働基準法32条の4第1項。特定期間の連続労働日数は、条文が「一週間に一日の休日が確保できる日数」とだけ定めているため、休日を週の最初の日と次の週の最後の日に置いた計算値の12日を目安にしています（条文に12日という数字はありません）。対象期間が1年未満のときの280日の数え方は条文に書いていないので、280日を超えていなければ「要確認」と表示します。特定期間に入った日の連続労働日数は特定期間の欄で数えます。この表はセルフチェック用の簡易ツールです。</t>
        </is>
      </c>
      <c r="B19" s="38" t="n"/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</row>
    <row r="20" ht="20" customHeight="1">
      <c r="A20" s="38" t="n"/>
      <c r="B20" s="38" t="n"/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</row>
    <row r="21" ht="20" customHeight="1">
      <c r="A21" s="38" t="n"/>
      <c r="B21" s="38" t="n"/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</row>
    <row r="22" ht="20" customHeight="1">
      <c r="A22" s="38" t="n"/>
      <c r="B22" s="38" t="n"/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</row>
    <row r="23" ht="20" customHeight="1">
      <c r="A23" s="38" t="n"/>
      <c r="B23" s="38" t="n"/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</row>
    <row r="24">
      <c r="A24" s="38" t="n"/>
      <c r="B24" s="38" t="n"/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</row>
    <row r="25">
      <c r="A25" s="38" t="n"/>
      <c r="B25" s="38" t="n"/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</row>
    <row r="26">
      <c r="A26" s="38" t="n"/>
      <c r="B26" s="38" t="n"/>
      <c r="C26" s="38" t="n"/>
      <c r="D26" s="38" t="n"/>
      <c r="E26" s="38" t="n"/>
      <c r="F26" s="8" t="inlineStr">
        <is>
          <t>週</t>
        </is>
      </c>
      <c r="G26" s="8" t="inlineStr">
        <is>
          <t>週の初日</t>
        </is>
      </c>
      <c r="H26" s="8" t="inlineStr">
        <is>
          <t>労働時間</t>
        </is>
      </c>
      <c r="I26" s="8" t="inlineStr">
        <is>
          <t>48時間超</t>
        </is>
      </c>
      <c r="J26" s="8" t="inlineStr">
        <is>
          <t>48超の連続</t>
        </is>
      </c>
      <c r="K26" s="8" t="inlineStr">
        <is>
          <t>3箇月区分</t>
        </is>
      </c>
      <c r="L26" s="38" t="n"/>
      <c r="M26" s="8" t="inlineStr">
        <is>
          <t>区分</t>
        </is>
      </c>
      <c r="N26" s="8" t="inlineStr">
        <is>
          <t>最初の日</t>
        </is>
      </c>
      <c r="O26" s="8" t="inlineStr">
        <is>
          <t>48超の週の初日の数</t>
        </is>
      </c>
    </row>
    <row r="27">
      <c r="A27" s="38" t="n"/>
      <c r="B27" s="38" t="n"/>
      <c r="C27" s="38" t="n"/>
      <c r="D27" s="38" t="n"/>
      <c r="E27" s="38" t="n"/>
      <c r="F27" s="32" t="n">
        <v>1</v>
      </c>
      <c r="G27" s="33" t="str">
        <f>IF(ISNUMBER('年間カレンダー'!$B$4),IF('年間カレンダー'!$B$4+0&lt;='年間カレンダー'!$B$5,'年間カレンダー'!$B$4+0,""),"")</f>
        <v/>
      </c>
      <c r="H27" s="34" t="str">
        <f>IF(G27="","",SUMIF('年間カレンダー'!$H$12:$H$377,F27,'年間カレンダー'!$G$12:$G$377))</f>
        <v/>
      </c>
      <c r="I27" s="35">
        <f>IF(G27="",0,IF(H27&gt;48,1,0))</f>
        <v>0</v>
      </c>
      <c r="J27" s="35">
        <f>IF(I27=1,0+1,0)</f>
        <v>0</v>
      </c>
      <c r="K27" s="35" t="str">
        <f>IF(G27="","",COUNTIF($N$27:$N$30,"&lt;="&amp;G27))</f>
        <v/>
      </c>
      <c r="L27" s="38" t="n"/>
      <c r="M27" s="32" t="n">
        <v>1</v>
      </c>
      <c r="N27" s="36" t="str">
        <f>IF(ISNUMBER('年間カレンダー'!$B$4),EDATE('年間カレンダー'!$B$4,0),"")</f>
        <v/>
      </c>
      <c r="O27" s="35">
        <f>SUMIF($K$27:$K$79,M27,$I$27:$I$79)</f>
        <v>0</v>
      </c>
    </row>
    <row r="28">
      <c r="A28" s="38" t="n"/>
      <c r="B28" s="38" t="n"/>
      <c r="C28" s="38" t="n"/>
      <c r="D28" s="38" t="n"/>
      <c r="E28" s="38" t="n"/>
      <c r="F28" s="32" t="n">
        <v>2</v>
      </c>
      <c r="G28" s="33" t="str">
        <f>IF(ISNUMBER('年間カレンダー'!$B$4),IF('年間カレンダー'!$B$4+7&lt;='年間カレンダー'!$B$5,'年間カレンダー'!$B$4+7,""),"")</f>
        <v/>
      </c>
      <c r="H28" s="34" t="str">
        <f>IF(G28="","",SUMIF('年間カレンダー'!$H$12:$H$377,F28,'年間カレンダー'!$G$12:$G$377))</f>
        <v/>
      </c>
      <c r="I28" s="35">
        <f>IF(G28="",0,IF(H28&gt;48,1,0))</f>
        <v>0</v>
      </c>
      <c r="J28" s="35">
        <f>IF(I28=1,J27+1,0)</f>
        <v>0</v>
      </c>
      <c r="K28" s="35" t="str">
        <f>IF(G28="","",COUNTIF($N$27:$N$30,"&lt;="&amp;G28))</f>
        <v/>
      </c>
      <c r="L28" s="38" t="n"/>
      <c r="M28" s="32" t="n">
        <v>2</v>
      </c>
      <c r="N28" s="36" t="str">
        <f>IF(ISNUMBER('年間カレンダー'!$B$4),EDATE('年間カレンダー'!$B$4,3),"")</f>
        <v/>
      </c>
      <c r="O28" s="35">
        <f>SUMIF($K$27:$K$79,M28,$I$27:$I$79)</f>
        <v>0</v>
      </c>
    </row>
    <row r="29">
      <c r="A29" s="38" t="n"/>
      <c r="B29" s="38" t="n"/>
      <c r="C29" s="38" t="n"/>
      <c r="D29" s="38" t="n"/>
      <c r="E29" s="38" t="n"/>
      <c r="F29" s="32" t="n">
        <v>3</v>
      </c>
      <c r="G29" s="33" t="str">
        <f>IF(ISNUMBER('年間カレンダー'!$B$4),IF('年間カレンダー'!$B$4+14&lt;='年間カレンダー'!$B$5,'年間カレンダー'!$B$4+14,""),"")</f>
        <v/>
      </c>
      <c r="H29" s="34" t="str">
        <f>IF(G29="","",SUMIF('年間カレンダー'!$H$12:$H$377,F29,'年間カレンダー'!$G$12:$G$377))</f>
        <v/>
      </c>
      <c r="I29" s="35">
        <f>IF(G29="",0,IF(H29&gt;48,1,0))</f>
        <v>0</v>
      </c>
      <c r="J29" s="35">
        <f>IF(I29=1,J28+1,0)</f>
        <v>0</v>
      </c>
      <c r="K29" s="35" t="str">
        <f>IF(G29="","",COUNTIF($N$27:$N$30,"&lt;="&amp;G29))</f>
        <v/>
      </c>
      <c r="L29" s="38" t="n"/>
      <c r="M29" s="32" t="n">
        <v>3</v>
      </c>
      <c r="N29" s="36" t="str">
        <f>IF(ISNUMBER('年間カレンダー'!$B$4),EDATE('年間カレンダー'!$B$4,6),"")</f>
        <v/>
      </c>
      <c r="O29" s="35">
        <f>SUMIF($K$27:$K$79,M29,$I$27:$I$79)</f>
        <v>0</v>
      </c>
    </row>
    <row r="30">
      <c r="A30" s="38" t="n"/>
      <c r="B30" s="38" t="n"/>
      <c r="C30" s="38" t="n"/>
      <c r="D30" s="38" t="n"/>
      <c r="E30" s="38" t="n"/>
      <c r="F30" s="32" t="n">
        <v>4</v>
      </c>
      <c r="G30" s="33" t="str">
        <f>IF(ISNUMBER('年間カレンダー'!$B$4),IF('年間カレンダー'!$B$4+21&lt;='年間カレンダー'!$B$5,'年間カレンダー'!$B$4+21,""),"")</f>
        <v/>
      </c>
      <c r="H30" s="34" t="str">
        <f>IF(G30="","",SUMIF('年間カレンダー'!$H$12:$H$377,F30,'年間カレンダー'!$G$12:$G$377))</f>
        <v/>
      </c>
      <c r="I30" s="35">
        <f>IF(G30="",0,IF(H30&gt;48,1,0))</f>
        <v>0</v>
      </c>
      <c r="J30" s="35">
        <f>IF(I30=1,J29+1,0)</f>
        <v>0</v>
      </c>
      <c r="K30" s="35" t="str">
        <f>IF(G30="","",COUNTIF($N$27:$N$30,"&lt;="&amp;G30))</f>
        <v/>
      </c>
      <c r="L30" s="38" t="n"/>
      <c r="M30" s="32" t="n">
        <v>4</v>
      </c>
      <c r="N30" s="36" t="str">
        <f>IF(ISNUMBER('年間カレンダー'!$B$4),EDATE('年間カレンダー'!$B$4,9),"")</f>
        <v/>
      </c>
      <c r="O30" s="35">
        <f>SUMIF($K$27:$K$79,M30,$I$27:$I$79)</f>
        <v>0</v>
      </c>
    </row>
    <row r="31">
      <c r="A31" s="38" t="n"/>
      <c r="B31" s="38" t="n"/>
      <c r="C31" s="38" t="n"/>
      <c r="D31" s="38" t="n"/>
      <c r="E31" s="38" t="n"/>
      <c r="F31" s="32" t="n">
        <v>5</v>
      </c>
      <c r="G31" s="33" t="str">
        <f>IF(ISNUMBER('年間カレンダー'!$B$4),IF('年間カレンダー'!$B$4+28&lt;='年間カレンダー'!$B$5,'年間カレンダー'!$B$4+28,""),"")</f>
        <v/>
      </c>
      <c r="H31" s="34" t="str">
        <f>IF(G31="","",SUMIF('年間カレンダー'!$H$12:$H$377,F31,'年間カレンダー'!$G$12:$G$377))</f>
        <v/>
      </c>
      <c r="I31" s="35">
        <f>IF(G31="",0,IF(H31&gt;48,1,0))</f>
        <v>0</v>
      </c>
      <c r="J31" s="35">
        <f>IF(I31=1,J30+1,0)</f>
        <v>0</v>
      </c>
      <c r="K31" s="35" t="str">
        <f>IF(G31="","",COUNTIF($N$27:$N$30,"&lt;="&amp;G31))</f>
        <v/>
      </c>
      <c r="L31" s="38" t="n"/>
      <c r="M31" s="38" t="n"/>
      <c r="N31" s="38" t="n"/>
      <c r="O31" s="38" t="n"/>
    </row>
    <row r="32">
      <c r="A32" s="38" t="n"/>
      <c r="B32" s="38" t="n"/>
      <c r="C32" s="38" t="n"/>
      <c r="D32" s="38" t="n"/>
      <c r="E32" s="38" t="n"/>
      <c r="F32" s="32" t="n">
        <v>6</v>
      </c>
      <c r="G32" s="33" t="str">
        <f>IF(ISNUMBER('年間カレンダー'!$B$4),IF('年間カレンダー'!$B$4+35&lt;='年間カレンダー'!$B$5,'年間カレンダー'!$B$4+35,""),"")</f>
        <v/>
      </c>
      <c r="H32" s="34" t="str">
        <f>IF(G32="","",SUMIF('年間カレンダー'!$H$12:$H$377,F32,'年間カレンダー'!$G$12:$G$377))</f>
        <v/>
      </c>
      <c r="I32" s="35">
        <f>IF(G32="",0,IF(H32&gt;48,1,0))</f>
        <v>0</v>
      </c>
      <c r="J32" s="35">
        <f>IF(I32=1,J31+1,0)</f>
        <v>0</v>
      </c>
      <c r="K32" s="35" t="str">
        <f>IF(G32="","",COUNTIF($N$27:$N$30,"&lt;="&amp;G32))</f>
        <v/>
      </c>
      <c r="L32" s="38" t="n"/>
      <c r="M32" s="38" t="n"/>
      <c r="N32" s="38" t="n"/>
      <c r="O32" s="38" t="n"/>
    </row>
    <row r="33">
      <c r="A33" s="38" t="n"/>
      <c r="B33" s="38" t="n"/>
      <c r="C33" s="38" t="n"/>
      <c r="D33" s="38" t="n"/>
      <c r="E33" s="38" t="n"/>
      <c r="F33" s="32" t="n">
        <v>7</v>
      </c>
      <c r="G33" s="33" t="str">
        <f>IF(ISNUMBER('年間カレンダー'!$B$4),IF('年間カレンダー'!$B$4+42&lt;='年間カレンダー'!$B$5,'年間カレンダー'!$B$4+42,""),"")</f>
        <v/>
      </c>
      <c r="H33" s="34" t="str">
        <f>IF(G33="","",SUMIF('年間カレンダー'!$H$12:$H$377,F33,'年間カレンダー'!$G$12:$G$377))</f>
        <v/>
      </c>
      <c r="I33" s="35">
        <f>IF(G33="",0,IF(H33&gt;48,1,0))</f>
        <v>0</v>
      </c>
      <c r="J33" s="35">
        <f>IF(I33=1,J32+1,0)</f>
        <v>0</v>
      </c>
      <c r="K33" s="35" t="str">
        <f>IF(G33="","",COUNTIF($N$27:$N$30,"&lt;="&amp;G33))</f>
        <v/>
      </c>
      <c r="L33" s="38" t="n"/>
      <c r="M33" s="38" t="n"/>
      <c r="N33" s="38" t="n"/>
      <c r="O33" s="38" t="n"/>
    </row>
    <row r="34">
      <c r="A34" s="38" t="n"/>
      <c r="B34" s="38" t="n"/>
      <c r="C34" s="38" t="n"/>
      <c r="D34" s="38" t="n"/>
      <c r="E34" s="38" t="n"/>
      <c r="F34" s="32" t="n">
        <v>8</v>
      </c>
      <c r="G34" s="33" t="str">
        <f>IF(ISNUMBER('年間カレンダー'!$B$4),IF('年間カレンダー'!$B$4+49&lt;='年間カレンダー'!$B$5,'年間カレンダー'!$B$4+49,""),"")</f>
        <v/>
      </c>
      <c r="H34" s="34" t="str">
        <f>IF(G34="","",SUMIF('年間カレンダー'!$H$12:$H$377,F34,'年間カレンダー'!$G$12:$G$377))</f>
        <v/>
      </c>
      <c r="I34" s="35">
        <f>IF(G34="",0,IF(H34&gt;48,1,0))</f>
        <v>0</v>
      </c>
      <c r="J34" s="35">
        <f>IF(I34=1,J33+1,0)</f>
        <v>0</v>
      </c>
      <c r="K34" s="35" t="str">
        <f>IF(G34="","",COUNTIF($N$27:$N$30,"&lt;="&amp;G34))</f>
        <v/>
      </c>
      <c r="L34" s="38" t="n"/>
      <c r="M34" s="38" t="n"/>
      <c r="N34" s="38" t="n"/>
      <c r="O34" s="38" t="n"/>
    </row>
    <row r="35">
      <c r="A35" s="38" t="n"/>
      <c r="B35" s="38" t="n"/>
      <c r="C35" s="38" t="n"/>
      <c r="D35" s="38" t="n"/>
      <c r="E35" s="38" t="n"/>
      <c r="F35" s="32" t="n">
        <v>9</v>
      </c>
      <c r="G35" s="33" t="str">
        <f>IF(ISNUMBER('年間カレンダー'!$B$4),IF('年間カレンダー'!$B$4+56&lt;='年間カレンダー'!$B$5,'年間カレンダー'!$B$4+56,""),"")</f>
        <v/>
      </c>
      <c r="H35" s="34" t="str">
        <f>IF(G35="","",SUMIF('年間カレンダー'!$H$12:$H$377,F35,'年間カレンダー'!$G$12:$G$377))</f>
        <v/>
      </c>
      <c r="I35" s="35">
        <f>IF(G35="",0,IF(H35&gt;48,1,0))</f>
        <v>0</v>
      </c>
      <c r="J35" s="35">
        <f>IF(I35=1,J34+1,0)</f>
        <v>0</v>
      </c>
      <c r="K35" s="35" t="str">
        <f>IF(G35="","",COUNTIF($N$27:$N$30,"&lt;="&amp;G35))</f>
        <v/>
      </c>
      <c r="L35" s="38" t="n"/>
      <c r="M35" s="38" t="n"/>
      <c r="N35" s="38" t="n"/>
      <c r="O35" s="38" t="n"/>
    </row>
    <row r="36">
      <c r="A36" s="38" t="n"/>
      <c r="B36" s="38" t="n"/>
      <c r="C36" s="38" t="n"/>
      <c r="D36" s="38" t="n"/>
      <c r="E36" s="38" t="n"/>
      <c r="F36" s="32" t="n">
        <v>10</v>
      </c>
      <c r="G36" s="33" t="str">
        <f>IF(ISNUMBER('年間カレンダー'!$B$4),IF('年間カレンダー'!$B$4+63&lt;='年間カレンダー'!$B$5,'年間カレンダー'!$B$4+63,""),"")</f>
        <v/>
      </c>
      <c r="H36" s="34" t="str">
        <f>IF(G36="","",SUMIF('年間カレンダー'!$H$12:$H$377,F36,'年間カレンダー'!$G$12:$G$377))</f>
        <v/>
      </c>
      <c r="I36" s="35">
        <f>IF(G36="",0,IF(H36&gt;48,1,0))</f>
        <v>0</v>
      </c>
      <c r="J36" s="35">
        <f>IF(I36=1,J35+1,0)</f>
        <v>0</v>
      </c>
      <c r="K36" s="35" t="str">
        <f>IF(G36="","",COUNTIF($N$27:$N$30,"&lt;="&amp;G36))</f>
        <v/>
      </c>
      <c r="L36" s="38" t="n"/>
      <c r="M36" s="38" t="n"/>
      <c r="N36" s="38" t="n"/>
      <c r="O36" s="38" t="n"/>
    </row>
    <row r="37">
      <c r="A37" s="38" t="n"/>
      <c r="B37" s="38" t="n"/>
      <c r="C37" s="38" t="n"/>
      <c r="D37" s="38" t="n"/>
      <c r="E37" s="38" t="n"/>
      <c r="F37" s="32" t="n">
        <v>11</v>
      </c>
      <c r="G37" s="33" t="str">
        <f>IF(ISNUMBER('年間カレンダー'!$B$4),IF('年間カレンダー'!$B$4+70&lt;='年間カレンダー'!$B$5,'年間カレンダー'!$B$4+70,""),"")</f>
        <v/>
      </c>
      <c r="H37" s="34" t="str">
        <f>IF(G37="","",SUMIF('年間カレンダー'!$H$12:$H$377,F37,'年間カレンダー'!$G$12:$G$377))</f>
        <v/>
      </c>
      <c r="I37" s="35">
        <f>IF(G37="",0,IF(H37&gt;48,1,0))</f>
        <v>0</v>
      </c>
      <c r="J37" s="35">
        <f>IF(I37=1,J36+1,0)</f>
        <v>0</v>
      </c>
      <c r="K37" s="35" t="str">
        <f>IF(G37="","",COUNTIF($N$27:$N$30,"&lt;="&amp;G37))</f>
        <v/>
      </c>
      <c r="L37" s="38" t="n"/>
      <c r="M37" s="38" t="n"/>
      <c r="N37" s="38" t="n"/>
      <c r="O37" s="38" t="n"/>
    </row>
    <row r="38">
      <c r="A38" s="38" t="n"/>
      <c r="B38" s="38" t="n"/>
      <c r="C38" s="38" t="n"/>
      <c r="D38" s="38" t="n"/>
      <c r="E38" s="38" t="n"/>
      <c r="F38" s="32" t="n">
        <v>12</v>
      </c>
      <c r="G38" s="33" t="str">
        <f>IF(ISNUMBER('年間カレンダー'!$B$4),IF('年間カレンダー'!$B$4+77&lt;='年間カレンダー'!$B$5,'年間カレンダー'!$B$4+77,""),"")</f>
        <v/>
      </c>
      <c r="H38" s="34" t="str">
        <f>IF(G38="","",SUMIF('年間カレンダー'!$H$12:$H$377,F38,'年間カレンダー'!$G$12:$G$377))</f>
        <v/>
      </c>
      <c r="I38" s="35">
        <f>IF(G38="",0,IF(H38&gt;48,1,0))</f>
        <v>0</v>
      </c>
      <c r="J38" s="35">
        <f>IF(I38=1,J37+1,0)</f>
        <v>0</v>
      </c>
      <c r="K38" s="35" t="str">
        <f>IF(G38="","",COUNTIF($N$27:$N$30,"&lt;="&amp;G38))</f>
        <v/>
      </c>
      <c r="L38" s="38" t="n"/>
      <c r="M38" s="38" t="n"/>
      <c r="N38" s="38" t="n"/>
      <c r="O38" s="38" t="n"/>
    </row>
    <row r="39">
      <c r="A39" s="38" t="n"/>
      <c r="B39" s="38" t="n"/>
      <c r="C39" s="38" t="n"/>
      <c r="D39" s="38" t="n"/>
      <c r="E39" s="38" t="n"/>
      <c r="F39" s="32" t="n">
        <v>13</v>
      </c>
      <c r="G39" s="33" t="str">
        <f>IF(ISNUMBER('年間カレンダー'!$B$4),IF('年間カレンダー'!$B$4+84&lt;='年間カレンダー'!$B$5,'年間カレンダー'!$B$4+84,""),"")</f>
        <v/>
      </c>
      <c r="H39" s="34" t="str">
        <f>IF(G39="","",SUMIF('年間カレンダー'!$H$12:$H$377,F39,'年間カレンダー'!$G$12:$G$377))</f>
        <v/>
      </c>
      <c r="I39" s="35">
        <f>IF(G39="",0,IF(H39&gt;48,1,0))</f>
        <v>0</v>
      </c>
      <c r="J39" s="35">
        <f>IF(I39=1,J38+1,0)</f>
        <v>0</v>
      </c>
      <c r="K39" s="35" t="str">
        <f>IF(G39="","",COUNTIF($N$27:$N$30,"&lt;="&amp;G39))</f>
        <v/>
      </c>
      <c r="L39" s="38" t="n"/>
      <c r="M39" s="38" t="n"/>
      <c r="N39" s="38" t="n"/>
      <c r="O39" s="38" t="n"/>
    </row>
    <row r="40">
      <c r="A40" s="38" t="n"/>
      <c r="B40" s="38" t="n"/>
      <c r="C40" s="38" t="n"/>
      <c r="D40" s="38" t="n"/>
      <c r="E40" s="38" t="n"/>
      <c r="F40" s="32" t="n">
        <v>14</v>
      </c>
      <c r="G40" s="33" t="str">
        <f>IF(ISNUMBER('年間カレンダー'!$B$4),IF('年間カレンダー'!$B$4+91&lt;='年間カレンダー'!$B$5,'年間カレンダー'!$B$4+91,""),"")</f>
        <v/>
      </c>
      <c r="H40" s="34" t="str">
        <f>IF(G40="","",SUMIF('年間カレンダー'!$H$12:$H$377,F40,'年間カレンダー'!$G$12:$G$377))</f>
        <v/>
      </c>
      <c r="I40" s="35">
        <f>IF(G40="",0,IF(H40&gt;48,1,0))</f>
        <v>0</v>
      </c>
      <c r="J40" s="35">
        <f>IF(I40=1,J39+1,0)</f>
        <v>0</v>
      </c>
      <c r="K40" s="35" t="str">
        <f>IF(G40="","",COUNTIF($N$27:$N$30,"&lt;="&amp;G40))</f>
        <v/>
      </c>
      <c r="L40" s="38" t="n"/>
      <c r="M40" s="38" t="n"/>
      <c r="N40" s="38" t="n"/>
      <c r="O40" s="38" t="n"/>
    </row>
    <row r="41">
      <c r="A41" s="38" t="n"/>
      <c r="B41" s="38" t="n"/>
      <c r="C41" s="38" t="n"/>
      <c r="D41" s="38" t="n"/>
      <c r="E41" s="38" t="n"/>
      <c r="F41" s="32" t="n">
        <v>15</v>
      </c>
      <c r="G41" s="33" t="str">
        <f>IF(ISNUMBER('年間カレンダー'!$B$4),IF('年間カレンダー'!$B$4+98&lt;='年間カレンダー'!$B$5,'年間カレンダー'!$B$4+98,""),"")</f>
        <v/>
      </c>
      <c r="H41" s="34" t="str">
        <f>IF(G41="","",SUMIF('年間カレンダー'!$H$12:$H$377,F41,'年間カレンダー'!$G$12:$G$377))</f>
        <v/>
      </c>
      <c r="I41" s="35">
        <f>IF(G41="",0,IF(H41&gt;48,1,0))</f>
        <v>0</v>
      </c>
      <c r="J41" s="35">
        <f>IF(I41=1,J40+1,0)</f>
        <v>0</v>
      </c>
      <c r="K41" s="35" t="str">
        <f>IF(G41="","",COUNTIF($N$27:$N$30,"&lt;="&amp;G41))</f>
        <v/>
      </c>
      <c r="L41" s="38" t="n"/>
      <c r="M41" s="38" t="n"/>
      <c r="N41" s="38" t="n"/>
      <c r="O41" s="38" t="n"/>
    </row>
    <row r="42">
      <c r="A42" s="38" t="n"/>
      <c r="B42" s="38" t="n"/>
      <c r="C42" s="38" t="n"/>
      <c r="D42" s="38" t="n"/>
      <c r="E42" s="38" t="n"/>
      <c r="F42" s="32" t="n">
        <v>16</v>
      </c>
      <c r="G42" s="33" t="str">
        <f>IF(ISNUMBER('年間カレンダー'!$B$4),IF('年間カレンダー'!$B$4+105&lt;='年間カレンダー'!$B$5,'年間カレンダー'!$B$4+105,""),"")</f>
        <v/>
      </c>
      <c r="H42" s="34" t="str">
        <f>IF(G42="","",SUMIF('年間カレンダー'!$H$12:$H$377,F42,'年間カレンダー'!$G$12:$G$377))</f>
        <v/>
      </c>
      <c r="I42" s="35">
        <f>IF(G42="",0,IF(H42&gt;48,1,0))</f>
        <v>0</v>
      </c>
      <c r="J42" s="35">
        <f>IF(I42=1,J41+1,0)</f>
        <v>0</v>
      </c>
      <c r="K42" s="35" t="str">
        <f>IF(G42="","",COUNTIF($N$27:$N$30,"&lt;="&amp;G42))</f>
        <v/>
      </c>
      <c r="L42" s="38" t="n"/>
      <c r="M42" s="38" t="n"/>
      <c r="N42" s="38" t="n"/>
      <c r="O42" s="38" t="n"/>
    </row>
    <row r="43">
      <c r="A43" s="38" t="n"/>
      <c r="B43" s="38" t="n"/>
      <c r="C43" s="38" t="n"/>
      <c r="D43" s="38" t="n"/>
      <c r="E43" s="38" t="n"/>
      <c r="F43" s="32" t="n">
        <v>17</v>
      </c>
      <c r="G43" s="33" t="str">
        <f>IF(ISNUMBER('年間カレンダー'!$B$4),IF('年間カレンダー'!$B$4+112&lt;='年間カレンダー'!$B$5,'年間カレンダー'!$B$4+112,""),"")</f>
        <v/>
      </c>
      <c r="H43" s="34" t="str">
        <f>IF(G43="","",SUMIF('年間カレンダー'!$H$12:$H$377,F43,'年間カレンダー'!$G$12:$G$377))</f>
        <v/>
      </c>
      <c r="I43" s="35">
        <f>IF(G43="",0,IF(H43&gt;48,1,0))</f>
        <v>0</v>
      </c>
      <c r="J43" s="35">
        <f>IF(I43=1,J42+1,0)</f>
        <v>0</v>
      </c>
      <c r="K43" s="35" t="str">
        <f>IF(G43="","",COUNTIF($N$27:$N$30,"&lt;="&amp;G43))</f>
        <v/>
      </c>
      <c r="L43" s="38" t="n"/>
      <c r="M43" s="38" t="n"/>
      <c r="N43" s="38" t="n"/>
      <c r="O43" s="38" t="n"/>
    </row>
    <row r="44">
      <c r="A44" s="38" t="n"/>
      <c r="B44" s="38" t="n"/>
      <c r="C44" s="38" t="n"/>
      <c r="D44" s="38" t="n"/>
      <c r="E44" s="38" t="n"/>
      <c r="F44" s="32" t="n">
        <v>18</v>
      </c>
      <c r="G44" s="33" t="str">
        <f>IF(ISNUMBER('年間カレンダー'!$B$4),IF('年間カレンダー'!$B$4+119&lt;='年間カレンダー'!$B$5,'年間カレンダー'!$B$4+119,""),"")</f>
        <v/>
      </c>
      <c r="H44" s="34" t="str">
        <f>IF(G44="","",SUMIF('年間カレンダー'!$H$12:$H$377,F44,'年間カレンダー'!$G$12:$G$377))</f>
        <v/>
      </c>
      <c r="I44" s="35">
        <f>IF(G44="",0,IF(H44&gt;48,1,0))</f>
        <v>0</v>
      </c>
      <c r="J44" s="35">
        <f>IF(I44=1,J43+1,0)</f>
        <v>0</v>
      </c>
      <c r="K44" s="35" t="str">
        <f>IF(G44="","",COUNTIF($N$27:$N$30,"&lt;="&amp;G44))</f>
        <v/>
      </c>
      <c r="L44" s="38" t="n"/>
      <c r="M44" s="38" t="n"/>
      <c r="N44" s="38" t="n"/>
      <c r="O44" s="38" t="n"/>
    </row>
    <row r="45">
      <c r="A45" s="38" t="n"/>
      <c r="B45" s="38" t="n"/>
      <c r="C45" s="38" t="n"/>
      <c r="D45" s="38" t="n"/>
      <c r="E45" s="38" t="n"/>
      <c r="F45" s="32" t="n">
        <v>19</v>
      </c>
      <c r="G45" s="33" t="str">
        <f>IF(ISNUMBER('年間カレンダー'!$B$4),IF('年間カレンダー'!$B$4+126&lt;='年間カレンダー'!$B$5,'年間カレンダー'!$B$4+126,""),"")</f>
        <v/>
      </c>
      <c r="H45" s="34" t="str">
        <f>IF(G45="","",SUMIF('年間カレンダー'!$H$12:$H$377,F45,'年間カレンダー'!$G$12:$G$377))</f>
        <v/>
      </c>
      <c r="I45" s="35">
        <f>IF(G45="",0,IF(H45&gt;48,1,0))</f>
        <v>0</v>
      </c>
      <c r="J45" s="35">
        <f>IF(I45=1,J44+1,0)</f>
        <v>0</v>
      </c>
      <c r="K45" s="35" t="str">
        <f>IF(G45="","",COUNTIF($N$27:$N$30,"&lt;="&amp;G45))</f>
        <v/>
      </c>
      <c r="L45" s="38" t="n"/>
      <c r="M45" s="38" t="n"/>
      <c r="N45" s="38" t="n"/>
      <c r="O45" s="38" t="n"/>
    </row>
    <row r="46">
      <c r="A46" s="38" t="n"/>
      <c r="B46" s="38" t="n"/>
      <c r="C46" s="38" t="n"/>
      <c r="D46" s="38" t="n"/>
      <c r="E46" s="38" t="n"/>
      <c r="F46" s="32" t="n">
        <v>20</v>
      </c>
      <c r="G46" s="33" t="str">
        <f>IF(ISNUMBER('年間カレンダー'!$B$4),IF('年間カレンダー'!$B$4+133&lt;='年間カレンダー'!$B$5,'年間カレンダー'!$B$4+133,""),"")</f>
        <v/>
      </c>
      <c r="H46" s="34" t="str">
        <f>IF(G46="","",SUMIF('年間カレンダー'!$H$12:$H$377,F46,'年間カレンダー'!$G$12:$G$377))</f>
        <v/>
      </c>
      <c r="I46" s="35">
        <f>IF(G46="",0,IF(H46&gt;48,1,0))</f>
        <v>0</v>
      </c>
      <c r="J46" s="35">
        <f>IF(I46=1,J45+1,0)</f>
        <v>0</v>
      </c>
      <c r="K46" s="35" t="str">
        <f>IF(G46="","",COUNTIF($N$27:$N$30,"&lt;="&amp;G46))</f>
        <v/>
      </c>
      <c r="L46" s="38" t="n"/>
      <c r="M46" s="38" t="n"/>
      <c r="N46" s="38" t="n"/>
      <c r="O46" s="38" t="n"/>
    </row>
    <row r="47">
      <c r="A47" s="38" t="n"/>
      <c r="B47" s="38" t="n"/>
      <c r="C47" s="38" t="n"/>
      <c r="D47" s="38" t="n"/>
      <c r="E47" s="38" t="n"/>
      <c r="F47" s="32" t="n">
        <v>21</v>
      </c>
      <c r="G47" s="33" t="str">
        <f>IF(ISNUMBER('年間カレンダー'!$B$4),IF('年間カレンダー'!$B$4+140&lt;='年間カレンダー'!$B$5,'年間カレンダー'!$B$4+140,""),"")</f>
        <v/>
      </c>
      <c r="H47" s="34" t="str">
        <f>IF(G47="","",SUMIF('年間カレンダー'!$H$12:$H$377,F47,'年間カレンダー'!$G$12:$G$377))</f>
        <v/>
      </c>
      <c r="I47" s="35">
        <f>IF(G47="",0,IF(H47&gt;48,1,0))</f>
        <v>0</v>
      </c>
      <c r="J47" s="35">
        <f>IF(I47=1,J46+1,0)</f>
        <v>0</v>
      </c>
      <c r="K47" s="35" t="str">
        <f>IF(G47="","",COUNTIF($N$27:$N$30,"&lt;="&amp;G47))</f>
        <v/>
      </c>
      <c r="L47" s="38" t="n"/>
      <c r="M47" s="38" t="n"/>
      <c r="N47" s="38" t="n"/>
      <c r="O47" s="38" t="n"/>
    </row>
    <row r="48">
      <c r="A48" s="38" t="n"/>
      <c r="B48" s="38" t="n"/>
      <c r="C48" s="38" t="n"/>
      <c r="D48" s="38" t="n"/>
      <c r="E48" s="38" t="n"/>
      <c r="F48" s="32" t="n">
        <v>22</v>
      </c>
      <c r="G48" s="33" t="str">
        <f>IF(ISNUMBER('年間カレンダー'!$B$4),IF('年間カレンダー'!$B$4+147&lt;='年間カレンダー'!$B$5,'年間カレンダー'!$B$4+147,""),"")</f>
        <v/>
      </c>
      <c r="H48" s="34" t="str">
        <f>IF(G48="","",SUMIF('年間カレンダー'!$H$12:$H$377,F48,'年間カレンダー'!$G$12:$G$377))</f>
        <v/>
      </c>
      <c r="I48" s="35">
        <f>IF(G48="",0,IF(H48&gt;48,1,0))</f>
        <v>0</v>
      </c>
      <c r="J48" s="35">
        <f>IF(I48=1,J47+1,0)</f>
        <v>0</v>
      </c>
      <c r="K48" s="35" t="str">
        <f>IF(G48="","",COUNTIF($N$27:$N$30,"&lt;="&amp;G48))</f>
        <v/>
      </c>
      <c r="L48" s="38" t="n"/>
      <c r="M48" s="38" t="n"/>
      <c r="N48" s="38" t="n"/>
      <c r="O48" s="38" t="n"/>
    </row>
    <row r="49">
      <c r="A49" s="38" t="n"/>
      <c r="B49" s="38" t="n"/>
      <c r="C49" s="38" t="n"/>
      <c r="D49" s="38" t="n"/>
      <c r="E49" s="38" t="n"/>
      <c r="F49" s="32" t="n">
        <v>23</v>
      </c>
      <c r="G49" s="33" t="str">
        <f>IF(ISNUMBER('年間カレンダー'!$B$4),IF('年間カレンダー'!$B$4+154&lt;='年間カレンダー'!$B$5,'年間カレンダー'!$B$4+154,""),"")</f>
        <v/>
      </c>
      <c r="H49" s="34" t="str">
        <f>IF(G49="","",SUMIF('年間カレンダー'!$H$12:$H$377,F49,'年間カレンダー'!$G$12:$G$377))</f>
        <v/>
      </c>
      <c r="I49" s="35">
        <f>IF(G49="",0,IF(H49&gt;48,1,0))</f>
        <v>0</v>
      </c>
      <c r="J49" s="35">
        <f>IF(I49=1,J48+1,0)</f>
        <v>0</v>
      </c>
      <c r="K49" s="35" t="str">
        <f>IF(G49="","",COUNTIF($N$27:$N$30,"&lt;="&amp;G49))</f>
        <v/>
      </c>
      <c r="L49" s="38" t="n"/>
      <c r="M49" s="38" t="n"/>
      <c r="N49" s="38" t="n"/>
      <c r="O49" s="38" t="n"/>
    </row>
    <row r="50">
      <c r="A50" s="38" t="n"/>
      <c r="B50" s="38" t="n"/>
      <c r="C50" s="38" t="n"/>
      <c r="D50" s="38" t="n"/>
      <c r="E50" s="38" t="n"/>
      <c r="F50" s="32" t="n">
        <v>24</v>
      </c>
      <c r="G50" s="33" t="str">
        <f>IF(ISNUMBER('年間カレンダー'!$B$4),IF('年間カレンダー'!$B$4+161&lt;='年間カレンダー'!$B$5,'年間カレンダー'!$B$4+161,""),"")</f>
        <v/>
      </c>
      <c r="H50" s="34" t="str">
        <f>IF(G50="","",SUMIF('年間カレンダー'!$H$12:$H$377,F50,'年間カレンダー'!$G$12:$G$377))</f>
        <v/>
      </c>
      <c r="I50" s="35">
        <f>IF(G50="",0,IF(H50&gt;48,1,0))</f>
        <v>0</v>
      </c>
      <c r="J50" s="35">
        <f>IF(I50=1,J49+1,0)</f>
        <v>0</v>
      </c>
      <c r="K50" s="35" t="str">
        <f>IF(G50="","",COUNTIF($N$27:$N$30,"&lt;="&amp;G50))</f>
        <v/>
      </c>
      <c r="L50" s="38" t="n"/>
      <c r="M50" s="38" t="n"/>
      <c r="N50" s="38" t="n"/>
      <c r="O50" s="38" t="n"/>
    </row>
    <row r="51">
      <c r="A51" s="38" t="n"/>
      <c r="B51" s="38" t="n"/>
      <c r="C51" s="38" t="n"/>
      <c r="D51" s="38" t="n"/>
      <c r="E51" s="38" t="n"/>
      <c r="F51" s="32" t="n">
        <v>25</v>
      </c>
      <c r="G51" s="33" t="str">
        <f>IF(ISNUMBER('年間カレンダー'!$B$4),IF('年間カレンダー'!$B$4+168&lt;='年間カレンダー'!$B$5,'年間カレンダー'!$B$4+168,""),"")</f>
        <v/>
      </c>
      <c r="H51" s="34" t="str">
        <f>IF(G51="","",SUMIF('年間カレンダー'!$H$12:$H$377,F51,'年間カレンダー'!$G$12:$G$377))</f>
        <v/>
      </c>
      <c r="I51" s="35">
        <f>IF(G51="",0,IF(H51&gt;48,1,0))</f>
        <v>0</v>
      </c>
      <c r="J51" s="35">
        <f>IF(I51=1,J50+1,0)</f>
        <v>0</v>
      </c>
      <c r="K51" s="35" t="str">
        <f>IF(G51="","",COUNTIF($N$27:$N$30,"&lt;="&amp;G51))</f>
        <v/>
      </c>
      <c r="L51" s="38" t="n"/>
      <c r="M51" s="38" t="n"/>
      <c r="N51" s="38" t="n"/>
      <c r="O51" s="38" t="n"/>
    </row>
    <row r="52">
      <c r="A52" s="38" t="n"/>
      <c r="B52" s="38" t="n"/>
      <c r="C52" s="38" t="n"/>
      <c r="D52" s="38" t="n"/>
      <c r="E52" s="38" t="n"/>
      <c r="F52" s="32" t="n">
        <v>26</v>
      </c>
      <c r="G52" s="33" t="str">
        <f>IF(ISNUMBER('年間カレンダー'!$B$4),IF('年間カレンダー'!$B$4+175&lt;='年間カレンダー'!$B$5,'年間カレンダー'!$B$4+175,""),"")</f>
        <v/>
      </c>
      <c r="H52" s="34" t="str">
        <f>IF(G52="","",SUMIF('年間カレンダー'!$H$12:$H$377,F52,'年間カレンダー'!$G$12:$G$377))</f>
        <v/>
      </c>
      <c r="I52" s="35">
        <f>IF(G52="",0,IF(H52&gt;48,1,0))</f>
        <v>0</v>
      </c>
      <c r="J52" s="35">
        <f>IF(I52=1,J51+1,0)</f>
        <v>0</v>
      </c>
      <c r="K52" s="35" t="str">
        <f>IF(G52="","",COUNTIF($N$27:$N$30,"&lt;="&amp;G52))</f>
        <v/>
      </c>
      <c r="L52" s="38" t="n"/>
      <c r="M52" s="38" t="n"/>
      <c r="N52" s="38" t="n"/>
      <c r="O52" s="38" t="n"/>
    </row>
    <row r="53">
      <c r="A53" s="38" t="n"/>
      <c r="B53" s="38" t="n"/>
      <c r="C53" s="38" t="n"/>
      <c r="D53" s="38" t="n"/>
      <c r="E53" s="38" t="n"/>
      <c r="F53" s="32" t="n">
        <v>27</v>
      </c>
      <c r="G53" s="33" t="str">
        <f>IF(ISNUMBER('年間カレンダー'!$B$4),IF('年間カレンダー'!$B$4+182&lt;='年間カレンダー'!$B$5,'年間カレンダー'!$B$4+182,""),"")</f>
        <v/>
      </c>
      <c r="H53" s="34" t="str">
        <f>IF(G53="","",SUMIF('年間カレンダー'!$H$12:$H$377,F53,'年間カレンダー'!$G$12:$G$377))</f>
        <v/>
      </c>
      <c r="I53" s="35">
        <f>IF(G53="",0,IF(H53&gt;48,1,0))</f>
        <v>0</v>
      </c>
      <c r="J53" s="35">
        <f>IF(I53=1,J52+1,0)</f>
        <v>0</v>
      </c>
      <c r="K53" s="35" t="str">
        <f>IF(G53="","",COUNTIF($N$27:$N$30,"&lt;="&amp;G53))</f>
        <v/>
      </c>
      <c r="L53" s="38" t="n"/>
      <c r="M53" s="38" t="n"/>
      <c r="N53" s="38" t="n"/>
      <c r="O53" s="38" t="n"/>
    </row>
    <row r="54">
      <c r="A54" s="38" t="n"/>
      <c r="B54" s="38" t="n"/>
      <c r="C54" s="38" t="n"/>
      <c r="D54" s="38" t="n"/>
      <c r="E54" s="38" t="n"/>
      <c r="F54" s="32" t="n">
        <v>28</v>
      </c>
      <c r="G54" s="33" t="str">
        <f>IF(ISNUMBER('年間カレンダー'!$B$4),IF('年間カレンダー'!$B$4+189&lt;='年間カレンダー'!$B$5,'年間カレンダー'!$B$4+189,""),"")</f>
        <v/>
      </c>
      <c r="H54" s="34" t="str">
        <f>IF(G54="","",SUMIF('年間カレンダー'!$H$12:$H$377,F54,'年間カレンダー'!$G$12:$G$377))</f>
        <v/>
      </c>
      <c r="I54" s="35">
        <f>IF(G54="",0,IF(H54&gt;48,1,0))</f>
        <v>0</v>
      </c>
      <c r="J54" s="35">
        <f>IF(I54=1,J53+1,0)</f>
        <v>0</v>
      </c>
      <c r="K54" s="35" t="str">
        <f>IF(G54="","",COUNTIF($N$27:$N$30,"&lt;="&amp;G54))</f>
        <v/>
      </c>
      <c r="L54" s="38" t="n"/>
      <c r="M54" s="38" t="n"/>
      <c r="N54" s="38" t="n"/>
      <c r="O54" s="38" t="n"/>
    </row>
    <row r="55">
      <c r="A55" s="38" t="n"/>
      <c r="B55" s="38" t="n"/>
      <c r="C55" s="38" t="n"/>
      <c r="D55" s="38" t="n"/>
      <c r="E55" s="38" t="n"/>
      <c r="F55" s="32" t="n">
        <v>29</v>
      </c>
      <c r="G55" s="33" t="str">
        <f>IF(ISNUMBER('年間カレンダー'!$B$4),IF('年間カレンダー'!$B$4+196&lt;='年間カレンダー'!$B$5,'年間カレンダー'!$B$4+196,""),"")</f>
        <v/>
      </c>
      <c r="H55" s="34" t="str">
        <f>IF(G55="","",SUMIF('年間カレンダー'!$H$12:$H$377,F55,'年間カレンダー'!$G$12:$G$377))</f>
        <v/>
      </c>
      <c r="I55" s="35">
        <f>IF(G55="",0,IF(H55&gt;48,1,0))</f>
        <v>0</v>
      </c>
      <c r="J55" s="35">
        <f>IF(I55=1,J54+1,0)</f>
        <v>0</v>
      </c>
      <c r="K55" s="35" t="str">
        <f>IF(G55="","",COUNTIF($N$27:$N$30,"&lt;="&amp;G55))</f>
        <v/>
      </c>
      <c r="L55" s="38" t="n"/>
      <c r="M55" s="38" t="n"/>
      <c r="N55" s="38" t="n"/>
      <c r="O55" s="38" t="n"/>
    </row>
    <row r="56">
      <c r="A56" s="38" t="n"/>
      <c r="B56" s="38" t="n"/>
      <c r="C56" s="38" t="n"/>
      <c r="D56" s="38" t="n"/>
      <c r="E56" s="38" t="n"/>
      <c r="F56" s="32" t="n">
        <v>30</v>
      </c>
      <c r="G56" s="33" t="str">
        <f>IF(ISNUMBER('年間カレンダー'!$B$4),IF('年間カレンダー'!$B$4+203&lt;='年間カレンダー'!$B$5,'年間カレンダー'!$B$4+203,""),"")</f>
        <v/>
      </c>
      <c r="H56" s="34" t="str">
        <f>IF(G56="","",SUMIF('年間カレンダー'!$H$12:$H$377,F56,'年間カレンダー'!$G$12:$G$377))</f>
        <v/>
      </c>
      <c r="I56" s="35">
        <f>IF(G56="",0,IF(H56&gt;48,1,0))</f>
        <v>0</v>
      </c>
      <c r="J56" s="35">
        <f>IF(I56=1,J55+1,0)</f>
        <v>0</v>
      </c>
      <c r="K56" s="35" t="str">
        <f>IF(G56="","",COUNTIF($N$27:$N$30,"&lt;="&amp;G56))</f>
        <v/>
      </c>
      <c r="L56" s="38" t="n"/>
      <c r="M56" s="38" t="n"/>
      <c r="N56" s="38" t="n"/>
      <c r="O56" s="38" t="n"/>
    </row>
    <row r="57">
      <c r="A57" s="38" t="n"/>
      <c r="B57" s="38" t="n"/>
      <c r="C57" s="38" t="n"/>
      <c r="D57" s="38" t="n"/>
      <c r="E57" s="38" t="n"/>
      <c r="F57" s="32" t="n">
        <v>31</v>
      </c>
      <c r="G57" s="33" t="str">
        <f>IF(ISNUMBER('年間カレンダー'!$B$4),IF('年間カレンダー'!$B$4+210&lt;='年間カレンダー'!$B$5,'年間カレンダー'!$B$4+210,""),"")</f>
        <v/>
      </c>
      <c r="H57" s="34" t="str">
        <f>IF(G57="","",SUMIF('年間カレンダー'!$H$12:$H$377,F57,'年間カレンダー'!$G$12:$G$377))</f>
        <v/>
      </c>
      <c r="I57" s="35">
        <f>IF(G57="",0,IF(H57&gt;48,1,0))</f>
        <v>0</v>
      </c>
      <c r="J57" s="35">
        <f>IF(I57=1,J56+1,0)</f>
        <v>0</v>
      </c>
      <c r="K57" s="35" t="str">
        <f>IF(G57="","",COUNTIF($N$27:$N$30,"&lt;="&amp;G57))</f>
        <v/>
      </c>
      <c r="L57" s="38" t="n"/>
      <c r="M57" s="38" t="n"/>
      <c r="N57" s="38" t="n"/>
      <c r="O57" s="38" t="n"/>
    </row>
    <row r="58">
      <c r="A58" s="38" t="n"/>
      <c r="B58" s="38" t="n"/>
      <c r="C58" s="38" t="n"/>
      <c r="D58" s="38" t="n"/>
      <c r="E58" s="38" t="n"/>
      <c r="F58" s="32" t="n">
        <v>32</v>
      </c>
      <c r="G58" s="33" t="str">
        <f>IF(ISNUMBER('年間カレンダー'!$B$4),IF('年間カレンダー'!$B$4+217&lt;='年間カレンダー'!$B$5,'年間カレンダー'!$B$4+217,""),"")</f>
        <v/>
      </c>
      <c r="H58" s="34" t="str">
        <f>IF(G58="","",SUMIF('年間カレンダー'!$H$12:$H$377,F58,'年間カレンダー'!$G$12:$G$377))</f>
        <v/>
      </c>
      <c r="I58" s="35">
        <f>IF(G58="",0,IF(H58&gt;48,1,0))</f>
        <v>0</v>
      </c>
      <c r="J58" s="35">
        <f>IF(I58=1,J57+1,0)</f>
        <v>0</v>
      </c>
      <c r="K58" s="35" t="str">
        <f>IF(G58="","",COUNTIF($N$27:$N$30,"&lt;="&amp;G58))</f>
        <v/>
      </c>
      <c r="L58" s="38" t="n"/>
      <c r="M58" s="38" t="n"/>
      <c r="N58" s="38" t="n"/>
      <c r="O58" s="38" t="n"/>
    </row>
    <row r="59">
      <c r="A59" s="38" t="n"/>
      <c r="B59" s="38" t="n"/>
      <c r="C59" s="38" t="n"/>
      <c r="D59" s="38" t="n"/>
      <c r="E59" s="38" t="n"/>
      <c r="F59" s="32" t="n">
        <v>33</v>
      </c>
      <c r="G59" s="33" t="str">
        <f>IF(ISNUMBER('年間カレンダー'!$B$4),IF('年間カレンダー'!$B$4+224&lt;='年間カレンダー'!$B$5,'年間カレンダー'!$B$4+224,""),"")</f>
        <v/>
      </c>
      <c r="H59" s="34" t="str">
        <f>IF(G59="","",SUMIF('年間カレンダー'!$H$12:$H$377,F59,'年間カレンダー'!$G$12:$G$377))</f>
        <v/>
      </c>
      <c r="I59" s="35">
        <f>IF(G59="",0,IF(H59&gt;48,1,0))</f>
        <v>0</v>
      </c>
      <c r="J59" s="35">
        <f>IF(I59=1,J58+1,0)</f>
        <v>0</v>
      </c>
      <c r="K59" s="35" t="str">
        <f>IF(G59="","",COUNTIF($N$27:$N$30,"&lt;="&amp;G59))</f>
        <v/>
      </c>
      <c r="L59" s="38" t="n"/>
      <c r="M59" s="38" t="n"/>
      <c r="N59" s="38" t="n"/>
      <c r="O59" s="38" t="n"/>
    </row>
    <row r="60">
      <c r="A60" s="38" t="n"/>
      <c r="B60" s="38" t="n"/>
      <c r="C60" s="38" t="n"/>
      <c r="D60" s="38" t="n"/>
      <c r="E60" s="38" t="n"/>
      <c r="F60" s="32" t="n">
        <v>34</v>
      </c>
      <c r="G60" s="33" t="str">
        <f>IF(ISNUMBER('年間カレンダー'!$B$4),IF('年間カレンダー'!$B$4+231&lt;='年間カレンダー'!$B$5,'年間カレンダー'!$B$4+231,""),"")</f>
        <v/>
      </c>
      <c r="H60" s="34" t="str">
        <f>IF(G60="","",SUMIF('年間カレンダー'!$H$12:$H$377,F60,'年間カレンダー'!$G$12:$G$377))</f>
        <v/>
      </c>
      <c r="I60" s="35">
        <f>IF(G60="",0,IF(H60&gt;48,1,0))</f>
        <v>0</v>
      </c>
      <c r="J60" s="35">
        <f>IF(I60=1,J59+1,0)</f>
        <v>0</v>
      </c>
      <c r="K60" s="35" t="str">
        <f>IF(G60="","",COUNTIF($N$27:$N$30,"&lt;="&amp;G60))</f>
        <v/>
      </c>
      <c r="L60" s="38" t="n"/>
      <c r="M60" s="38" t="n"/>
      <c r="N60" s="38" t="n"/>
      <c r="O60" s="38" t="n"/>
    </row>
    <row r="61">
      <c r="A61" s="38" t="n"/>
      <c r="B61" s="38" t="n"/>
      <c r="C61" s="38" t="n"/>
      <c r="D61" s="38" t="n"/>
      <c r="E61" s="38" t="n"/>
      <c r="F61" s="32" t="n">
        <v>35</v>
      </c>
      <c r="G61" s="33" t="str">
        <f>IF(ISNUMBER('年間カレンダー'!$B$4),IF('年間カレンダー'!$B$4+238&lt;='年間カレンダー'!$B$5,'年間カレンダー'!$B$4+238,""),"")</f>
        <v/>
      </c>
      <c r="H61" s="34" t="str">
        <f>IF(G61="","",SUMIF('年間カレンダー'!$H$12:$H$377,F61,'年間カレンダー'!$G$12:$G$377))</f>
        <v/>
      </c>
      <c r="I61" s="35">
        <f>IF(G61="",0,IF(H61&gt;48,1,0))</f>
        <v>0</v>
      </c>
      <c r="J61" s="35">
        <f>IF(I61=1,J60+1,0)</f>
        <v>0</v>
      </c>
      <c r="K61" s="35" t="str">
        <f>IF(G61="","",COUNTIF($N$27:$N$30,"&lt;="&amp;G61))</f>
        <v/>
      </c>
      <c r="L61" s="38" t="n"/>
      <c r="M61" s="38" t="n"/>
      <c r="N61" s="38" t="n"/>
      <c r="O61" s="38" t="n"/>
    </row>
    <row r="62">
      <c r="A62" s="38" t="n"/>
      <c r="B62" s="38" t="n"/>
      <c r="C62" s="38" t="n"/>
      <c r="D62" s="38" t="n"/>
      <c r="E62" s="38" t="n"/>
      <c r="F62" s="32" t="n">
        <v>36</v>
      </c>
      <c r="G62" s="33" t="str">
        <f>IF(ISNUMBER('年間カレンダー'!$B$4),IF('年間カレンダー'!$B$4+245&lt;='年間カレンダー'!$B$5,'年間カレンダー'!$B$4+245,""),"")</f>
        <v/>
      </c>
      <c r="H62" s="34" t="str">
        <f>IF(G62="","",SUMIF('年間カレンダー'!$H$12:$H$377,F62,'年間カレンダー'!$G$12:$G$377))</f>
        <v/>
      </c>
      <c r="I62" s="35">
        <f>IF(G62="",0,IF(H62&gt;48,1,0))</f>
        <v>0</v>
      </c>
      <c r="J62" s="35">
        <f>IF(I62=1,J61+1,0)</f>
        <v>0</v>
      </c>
      <c r="K62" s="35" t="str">
        <f>IF(G62="","",COUNTIF($N$27:$N$30,"&lt;="&amp;G62))</f>
        <v/>
      </c>
      <c r="L62" s="38" t="n"/>
      <c r="M62" s="38" t="n"/>
      <c r="N62" s="38" t="n"/>
      <c r="O62" s="38" t="n"/>
    </row>
    <row r="63">
      <c r="A63" s="38" t="n"/>
      <c r="B63" s="38" t="n"/>
      <c r="C63" s="38" t="n"/>
      <c r="D63" s="38" t="n"/>
      <c r="E63" s="38" t="n"/>
      <c r="F63" s="32" t="n">
        <v>37</v>
      </c>
      <c r="G63" s="33" t="str">
        <f>IF(ISNUMBER('年間カレンダー'!$B$4),IF('年間カレンダー'!$B$4+252&lt;='年間カレンダー'!$B$5,'年間カレンダー'!$B$4+252,""),"")</f>
        <v/>
      </c>
      <c r="H63" s="34" t="str">
        <f>IF(G63="","",SUMIF('年間カレンダー'!$H$12:$H$377,F63,'年間カレンダー'!$G$12:$G$377))</f>
        <v/>
      </c>
      <c r="I63" s="35">
        <f>IF(G63="",0,IF(H63&gt;48,1,0))</f>
        <v>0</v>
      </c>
      <c r="J63" s="35">
        <f>IF(I63=1,J62+1,0)</f>
        <v>0</v>
      </c>
      <c r="K63" s="35" t="str">
        <f>IF(G63="","",COUNTIF($N$27:$N$30,"&lt;="&amp;G63))</f>
        <v/>
      </c>
      <c r="L63" s="38" t="n"/>
      <c r="M63" s="38" t="n"/>
      <c r="N63" s="38" t="n"/>
      <c r="O63" s="38" t="n"/>
    </row>
    <row r="64">
      <c r="A64" s="38" t="n"/>
      <c r="B64" s="38" t="n"/>
      <c r="C64" s="38" t="n"/>
      <c r="D64" s="38" t="n"/>
      <c r="E64" s="38" t="n"/>
      <c r="F64" s="32" t="n">
        <v>38</v>
      </c>
      <c r="G64" s="33" t="str">
        <f>IF(ISNUMBER('年間カレンダー'!$B$4),IF('年間カレンダー'!$B$4+259&lt;='年間カレンダー'!$B$5,'年間カレンダー'!$B$4+259,""),"")</f>
        <v/>
      </c>
      <c r="H64" s="34" t="str">
        <f>IF(G64="","",SUMIF('年間カレンダー'!$H$12:$H$377,F64,'年間カレンダー'!$G$12:$G$377))</f>
        <v/>
      </c>
      <c r="I64" s="35">
        <f>IF(G64="",0,IF(H64&gt;48,1,0))</f>
        <v>0</v>
      </c>
      <c r="J64" s="35">
        <f>IF(I64=1,J63+1,0)</f>
        <v>0</v>
      </c>
      <c r="K64" s="35" t="str">
        <f>IF(G64="","",COUNTIF($N$27:$N$30,"&lt;="&amp;G64))</f>
        <v/>
      </c>
      <c r="L64" s="38" t="n"/>
      <c r="M64" s="38" t="n"/>
      <c r="N64" s="38" t="n"/>
      <c r="O64" s="38" t="n"/>
    </row>
    <row r="65">
      <c r="A65" s="38" t="n"/>
      <c r="B65" s="38" t="n"/>
      <c r="C65" s="38" t="n"/>
      <c r="D65" s="38" t="n"/>
      <c r="E65" s="38" t="n"/>
      <c r="F65" s="32" t="n">
        <v>39</v>
      </c>
      <c r="G65" s="33" t="str">
        <f>IF(ISNUMBER('年間カレンダー'!$B$4),IF('年間カレンダー'!$B$4+266&lt;='年間カレンダー'!$B$5,'年間カレンダー'!$B$4+266,""),"")</f>
        <v/>
      </c>
      <c r="H65" s="34" t="str">
        <f>IF(G65="","",SUMIF('年間カレンダー'!$H$12:$H$377,F65,'年間カレンダー'!$G$12:$G$377))</f>
        <v/>
      </c>
      <c r="I65" s="35">
        <f>IF(G65="",0,IF(H65&gt;48,1,0))</f>
        <v>0</v>
      </c>
      <c r="J65" s="35">
        <f>IF(I65=1,J64+1,0)</f>
        <v>0</v>
      </c>
      <c r="K65" s="35" t="str">
        <f>IF(G65="","",COUNTIF($N$27:$N$30,"&lt;="&amp;G65))</f>
        <v/>
      </c>
      <c r="L65" s="38" t="n"/>
      <c r="M65" s="38" t="n"/>
      <c r="N65" s="38" t="n"/>
      <c r="O65" s="38" t="n"/>
    </row>
    <row r="66">
      <c r="A66" s="38" t="n"/>
      <c r="B66" s="38" t="n"/>
      <c r="C66" s="38" t="n"/>
      <c r="D66" s="38" t="n"/>
      <c r="E66" s="38" t="n"/>
      <c r="F66" s="32" t="n">
        <v>40</v>
      </c>
      <c r="G66" s="33" t="str">
        <f>IF(ISNUMBER('年間カレンダー'!$B$4),IF('年間カレンダー'!$B$4+273&lt;='年間カレンダー'!$B$5,'年間カレンダー'!$B$4+273,""),"")</f>
        <v/>
      </c>
      <c r="H66" s="34" t="str">
        <f>IF(G66="","",SUMIF('年間カレンダー'!$H$12:$H$377,F66,'年間カレンダー'!$G$12:$G$377))</f>
        <v/>
      </c>
      <c r="I66" s="35">
        <f>IF(G66="",0,IF(H66&gt;48,1,0))</f>
        <v>0</v>
      </c>
      <c r="J66" s="35">
        <f>IF(I66=1,J65+1,0)</f>
        <v>0</v>
      </c>
      <c r="K66" s="35" t="str">
        <f>IF(G66="","",COUNTIF($N$27:$N$30,"&lt;="&amp;G66))</f>
        <v/>
      </c>
      <c r="L66" s="38" t="n"/>
      <c r="M66" s="38" t="n"/>
      <c r="N66" s="38" t="n"/>
      <c r="O66" s="38" t="n"/>
    </row>
    <row r="67">
      <c r="A67" s="38" t="n"/>
      <c r="B67" s="38" t="n"/>
      <c r="C67" s="38" t="n"/>
      <c r="D67" s="38" t="n"/>
      <c r="E67" s="38" t="n"/>
      <c r="F67" s="32" t="n">
        <v>41</v>
      </c>
      <c r="G67" s="33" t="str">
        <f>IF(ISNUMBER('年間カレンダー'!$B$4),IF('年間カレンダー'!$B$4+280&lt;='年間カレンダー'!$B$5,'年間カレンダー'!$B$4+280,""),"")</f>
        <v/>
      </c>
      <c r="H67" s="34" t="str">
        <f>IF(G67="","",SUMIF('年間カレンダー'!$H$12:$H$377,F67,'年間カレンダー'!$G$12:$G$377))</f>
        <v/>
      </c>
      <c r="I67" s="35">
        <f>IF(G67="",0,IF(H67&gt;48,1,0))</f>
        <v>0</v>
      </c>
      <c r="J67" s="35">
        <f>IF(I67=1,J66+1,0)</f>
        <v>0</v>
      </c>
      <c r="K67" s="35" t="str">
        <f>IF(G67="","",COUNTIF($N$27:$N$30,"&lt;="&amp;G67))</f>
        <v/>
      </c>
      <c r="L67" s="38" t="n"/>
      <c r="M67" s="38" t="n"/>
      <c r="N67" s="38" t="n"/>
      <c r="O67" s="38" t="n"/>
    </row>
    <row r="68">
      <c r="A68" s="38" t="n"/>
      <c r="B68" s="38" t="n"/>
      <c r="C68" s="38" t="n"/>
      <c r="D68" s="38" t="n"/>
      <c r="E68" s="38" t="n"/>
      <c r="F68" s="32" t="n">
        <v>42</v>
      </c>
      <c r="G68" s="33" t="str">
        <f>IF(ISNUMBER('年間カレンダー'!$B$4),IF('年間カレンダー'!$B$4+287&lt;='年間カレンダー'!$B$5,'年間カレンダー'!$B$4+287,""),"")</f>
        <v/>
      </c>
      <c r="H68" s="34" t="str">
        <f>IF(G68="","",SUMIF('年間カレンダー'!$H$12:$H$377,F68,'年間カレンダー'!$G$12:$G$377))</f>
        <v/>
      </c>
      <c r="I68" s="35">
        <f>IF(G68="",0,IF(H68&gt;48,1,0))</f>
        <v>0</v>
      </c>
      <c r="J68" s="35">
        <f>IF(I68=1,J67+1,0)</f>
        <v>0</v>
      </c>
      <c r="K68" s="35" t="str">
        <f>IF(G68="","",COUNTIF($N$27:$N$30,"&lt;="&amp;G68))</f>
        <v/>
      </c>
      <c r="L68" s="38" t="n"/>
      <c r="M68" s="38" t="n"/>
      <c r="N68" s="38" t="n"/>
      <c r="O68" s="38" t="n"/>
    </row>
    <row r="69">
      <c r="A69" s="38" t="n"/>
      <c r="B69" s="38" t="n"/>
      <c r="C69" s="38" t="n"/>
      <c r="D69" s="38" t="n"/>
      <c r="E69" s="38" t="n"/>
      <c r="F69" s="32" t="n">
        <v>43</v>
      </c>
      <c r="G69" s="33" t="str">
        <f>IF(ISNUMBER('年間カレンダー'!$B$4),IF('年間カレンダー'!$B$4+294&lt;='年間カレンダー'!$B$5,'年間カレンダー'!$B$4+294,""),"")</f>
        <v/>
      </c>
      <c r="H69" s="34" t="str">
        <f>IF(G69="","",SUMIF('年間カレンダー'!$H$12:$H$377,F69,'年間カレンダー'!$G$12:$G$377))</f>
        <v/>
      </c>
      <c r="I69" s="35">
        <f>IF(G69="",0,IF(H69&gt;48,1,0))</f>
        <v>0</v>
      </c>
      <c r="J69" s="35">
        <f>IF(I69=1,J68+1,0)</f>
        <v>0</v>
      </c>
      <c r="K69" s="35" t="str">
        <f>IF(G69="","",COUNTIF($N$27:$N$30,"&lt;="&amp;G69))</f>
        <v/>
      </c>
      <c r="L69" s="38" t="n"/>
      <c r="M69" s="38" t="n"/>
      <c r="N69" s="38" t="n"/>
      <c r="O69" s="38" t="n"/>
    </row>
    <row r="70">
      <c r="A70" s="38" t="n"/>
      <c r="B70" s="38" t="n"/>
      <c r="C70" s="38" t="n"/>
      <c r="D70" s="38" t="n"/>
      <c r="E70" s="38" t="n"/>
      <c r="F70" s="32" t="n">
        <v>44</v>
      </c>
      <c r="G70" s="33" t="str">
        <f>IF(ISNUMBER('年間カレンダー'!$B$4),IF('年間カレンダー'!$B$4+301&lt;='年間カレンダー'!$B$5,'年間カレンダー'!$B$4+301,""),"")</f>
        <v/>
      </c>
      <c r="H70" s="34" t="str">
        <f>IF(G70="","",SUMIF('年間カレンダー'!$H$12:$H$377,F70,'年間カレンダー'!$G$12:$G$377))</f>
        <v/>
      </c>
      <c r="I70" s="35">
        <f>IF(G70="",0,IF(H70&gt;48,1,0))</f>
        <v>0</v>
      </c>
      <c r="J70" s="35">
        <f>IF(I70=1,J69+1,0)</f>
        <v>0</v>
      </c>
      <c r="K70" s="35" t="str">
        <f>IF(G70="","",COUNTIF($N$27:$N$30,"&lt;="&amp;G70))</f>
        <v/>
      </c>
      <c r="L70" s="38" t="n"/>
      <c r="M70" s="38" t="n"/>
      <c r="N70" s="38" t="n"/>
      <c r="O70" s="38" t="n"/>
    </row>
    <row r="71">
      <c r="A71" s="38" t="n"/>
      <c r="B71" s="38" t="n"/>
      <c r="C71" s="38" t="n"/>
      <c r="D71" s="38" t="n"/>
      <c r="E71" s="38" t="n"/>
      <c r="F71" s="32" t="n">
        <v>45</v>
      </c>
      <c r="G71" s="33" t="str">
        <f>IF(ISNUMBER('年間カレンダー'!$B$4),IF('年間カレンダー'!$B$4+308&lt;='年間カレンダー'!$B$5,'年間カレンダー'!$B$4+308,""),"")</f>
        <v/>
      </c>
      <c r="H71" s="34" t="str">
        <f>IF(G71="","",SUMIF('年間カレンダー'!$H$12:$H$377,F71,'年間カレンダー'!$G$12:$G$377))</f>
        <v/>
      </c>
      <c r="I71" s="35">
        <f>IF(G71="",0,IF(H71&gt;48,1,0))</f>
        <v>0</v>
      </c>
      <c r="J71" s="35">
        <f>IF(I71=1,J70+1,0)</f>
        <v>0</v>
      </c>
      <c r="K71" s="35" t="str">
        <f>IF(G71="","",COUNTIF($N$27:$N$30,"&lt;="&amp;G71))</f>
        <v/>
      </c>
      <c r="L71" s="38" t="n"/>
      <c r="M71" s="38" t="n"/>
      <c r="N71" s="38" t="n"/>
      <c r="O71" s="38" t="n"/>
    </row>
    <row r="72">
      <c r="A72" s="38" t="n"/>
      <c r="B72" s="38" t="n"/>
      <c r="C72" s="38" t="n"/>
      <c r="D72" s="38" t="n"/>
      <c r="E72" s="38" t="n"/>
      <c r="F72" s="32" t="n">
        <v>46</v>
      </c>
      <c r="G72" s="33" t="str">
        <f>IF(ISNUMBER('年間カレンダー'!$B$4),IF('年間カレンダー'!$B$4+315&lt;='年間カレンダー'!$B$5,'年間カレンダー'!$B$4+315,""),"")</f>
        <v/>
      </c>
      <c r="H72" s="34" t="str">
        <f>IF(G72="","",SUMIF('年間カレンダー'!$H$12:$H$377,F72,'年間カレンダー'!$G$12:$G$377))</f>
        <v/>
      </c>
      <c r="I72" s="35">
        <f>IF(G72="",0,IF(H72&gt;48,1,0))</f>
        <v>0</v>
      </c>
      <c r="J72" s="35">
        <f>IF(I72=1,J71+1,0)</f>
        <v>0</v>
      </c>
      <c r="K72" s="35" t="str">
        <f>IF(G72="","",COUNTIF($N$27:$N$30,"&lt;="&amp;G72))</f>
        <v/>
      </c>
      <c r="L72" s="38" t="n"/>
      <c r="M72" s="38" t="n"/>
      <c r="N72" s="38" t="n"/>
      <c r="O72" s="38" t="n"/>
    </row>
    <row r="73">
      <c r="A73" s="38" t="n"/>
      <c r="B73" s="38" t="n"/>
      <c r="C73" s="38" t="n"/>
      <c r="D73" s="38" t="n"/>
      <c r="E73" s="38" t="n"/>
      <c r="F73" s="32" t="n">
        <v>47</v>
      </c>
      <c r="G73" s="33" t="str">
        <f>IF(ISNUMBER('年間カレンダー'!$B$4),IF('年間カレンダー'!$B$4+322&lt;='年間カレンダー'!$B$5,'年間カレンダー'!$B$4+322,""),"")</f>
        <v/>
      </c>
      <c r="H73" s="34" t="str">
        <f>IF(G73="","",SUMIF('年間カレンダー'!$H$12:$H$377,F73,'年間カレンダー'!$G$12:$G$377))</f>
        <v/>
      </c>
      <c r="I73" s="35">
        <f>IF(G73="",0,IF(H73&gt;48,1,0))</f>
        <v>0</v>
      </c>
      <c r="J73" s="35">
        <f>IF(I73=1,J72+1,0)</f>
        <v>0</v>
      </c>
      <c r="K73" s="35" t="str">
        <f>IF(G73="","",COUNTIF($N$27:$N$30,"&lt;="&amp;G73))</f>
        <v/>
      </c>
      <c r="L73" s="38" t="n"/>
      <c r="M73" s="38" t="n"/>
      <c r="N73" s="38" t="n"/>
      <c r="O73" s="38" t="n"/>
    </row>
    <row r="74">
      <c r="A74" s="38" t="n"/>
      <c r="B74" s="38" t="n"/>
      <c r="C74" s="38" t="n"/>
      <c r="D74" s="38" t="n"/>
      <c r="E74" s="38" t="n"/>
      <c r="F74" s="32" t="n">
        <v>48</v>
      </c>
      <c r="G74" s="33" t="str">
        <f>IF(ISNUMBER('年間カレンダー'!$B$4),IF('年間カレンダー'!$B$4+329&lt;='年間カレンダー'!$B$5,'年間カレンダー'!$B$4+329,""),"")</f>
        <v/>
      </c>
      <c r="H74" s="34" t="str">
        <f>IF(G74="","",SUMIF('年間カレンダー'!$H$12:$H$377,F74,'年間カレンダー'!$G$12:$G$377))</f>
        <v/>
      </c>
      <c r="I74" s="35">
        <f>IF(G74="",0,IF(H74&gt;48,1,0))</f>
        <v>0</v>
      </c>
      <c r="J74" s="35">
        <f>IF(I74=1,J73+1,0)</f>
        <v>0</v>
      </c>
      <c r="K74" s="35" t="str">
        <f>IF(G74="","",COUNTIF($N$27:$N$30,"&lt;="&amp;G74))</f>
        <v/>
      </c>
      <c r="L74" s="38" t="n"/>
      <c r="M74" s="38" t="n"/>
      <c r="N74" s="38" t="n"/>
      <c r="O74" s="38" t="n"/>
    </row>
    <row r="75">
      <c r="A75" s="38" t="n"/>
      <c r="B75" s="38" t="n"/>
      <c r="C75" s="38" t="n"/>
      <c r="D75" s="38" t="n"/>
      <c r="E75" s="38" t="n"/>
      <c r="F75" s="32" t="n">
        <v>49</v>
      </c>
      <c r="G75" s="33" t="str">
        <f>IF(ISNUMBER('年間カレンダー'!$B$4),IF('年間カレンダー'!$B$4+336&lt;='年間カレンダー'!$B$5,'年間カレンダー'!$B$4+336,""),"")</f>
        <v/>
      </c>
      <c r="H75" s="34" t="str">
        <f>IF(G75="","",SUMIF('年間カレンダー'!$H$12:$H$377,F75,'年間カレンダー'!$G$12:$G$377))</f>
        <v/>
      </c>
      <c r="I75" s="35">
        <f>IF(G75="",0,IF(H75&gt;48,1,0))</f>
        <v>0</v>
      </c>
      <c r="J75" s="35">
        <f>IF(I75=1,J74+1,0)</f>
        <v>0</v>
      </c>
      <c r="K75" s="35" t="str">
        <f>IF(G75="","",COUNTIF($N$27:$N$30,"&lt;="&amp;G75))</f>
        <v/>
      </c>
      <c r="L75" s="38" t="n"/>
      <c r="M75" s="38" t="n"/>
      <c r="N75" s="38" t="n"/>
      <c r="O75" s="38" t="n"/>
    </row>
    <row r="76">
      <c r="A76" s="38" t="n"/>
      <c r="B76" s="38" t="n"/>
      <c r="C76" s="38" t="n"/>
      <c r="D76" s="38" t="n"/>
      <c r="E76" s="38" t="n"/>
      <c r="F76" s="32" t="n">
        <v>50</v>
      </c>
      <c r="G76" s="33" t="str">
        <f>IF(ISNUMBER('年間カレンダー'!$B$4),IF('年間カレンダー'!$B$4+343&lt;='年間カレンダー'!$B$5,'年間カレンダー'!$B$4+343,""),"")</f>
        <v/>
      </c>
      <c r="H76" s="34" t="str">
        <f>IF(G76="","",SUMIF('年間カレンダー'!$H$12:$H$377,F76,'年間カレンダー'!$G$12:$G$377))</f>
        <v/>
      </c>
      <c r="I76" s="35">
        <f>IF(G76="",0,IF(H76&gt;48,1,0))</f>
        <v>0</v>
      </c>
      <c r="J76" s="35">
        <f>IF(I76=1,J75+1,0)</f>
        <v>0</v>
      </c>
      <c r="K76" s="35" t="str">
        <f>IF(G76="","",COUNTIF($N$27:$N$30,"&lt;="&amp;G76))</f>
        <v/>
      </c>
      <c r="L76" s="38" t="n"/>
      <c r="M76" s="38" t="n"/>
      <c r="N76" s="38" t="n"/>
      <c r="O76" s="38" t="n"/>
    </row>
    <row r="77">
      <c r="A77" s="38" t="n"/>
      <c r="B77" s="38" t="n"/>
      <c r="C77" s="38" t="n"/>
      <c r="D77" s="38" t="n"/>
      <c r="E77" s="38" t="n"/>
      <c r="F77" s="32" t="n">
        <v>51</v>
      </c>
      <c r="G77" s="33" t="str">
        <f>IF(ISNUMBER('年間カレンダー'!$B$4),IF('年間カレンダー'!$B$4+350&lt;='年間カレンダー'!$B$5,'年間カレンダー'!$B$4+350,""),"")</f>
        <v/>
      </c>
      <c r="H77" s="34" t="str">
        <f>IF(G77="","",SUMIF('年間カレンダー'!$H$12:$H$377,F77,'年間カレンダー'!$G$12:$G$377))</f>
        <v/>
      </c>
      <c r="I77" s="35">
        <f>IF(G77="",0,IF(H77&gt;48,1,0))</f>
        <v>0</v>
      </c>
      <c r="J77" s="35">
        <f>IF(I77=1,J76+1,0)</f>
        <v>0</v>
      </c>
      <c r="K77" s="35" t="str">
        <f>IF(G77="","",COUNTIF($N$27:$N$30,"&lt;="&amp;G77))</f>
        <v/>
      </c>
      <c r="L77" s="38" t="n"/>
      <c r="M77" s="38" t="n"/>
      <c r="N77" s="38" t="n"/>
      <c r="O77" s="38" t="n"/>
    </row>
    <row r="78">
      <c r="A78" s="38" t="n"/>
      <c r="B78" s="38" t="n"/>
      <c r="C78" s="38" t="n"/>
      <c r="D78" s="38" t="n"/>
      <c r="E78" s="38" t="n"/>
      <c r="F78" s="32" t="n">
        <v>52</v>
      </c>
      <c r="G78" s="33" t="str">
        <f>IF(ISNUMBER('年間カレンダー'!$B$4),IF('年間カレンダー'!$B$4+357&lt;='年間カレンダー'!$B$5,'年間カレンダー'!$B$4+357,""),"")</f>
        <v/>
      </c>
      <c r="H78" s="34" t="str">
        <f>IF(G78="","",SUMIF('年間カレンダー'!$H$12:$H$377,F78,'年間カレンダー'!$G$12:$G$377))</f>
        <v/>
      </c>
      <c r="I78" s="35">
        <f>IF(G78="",0,IF(H78&gt;48,1,0))</f>
        <v>0</v>
      </c>
      <c r="J78" s="35">
        <f>IF(I78=1,J77+1,0)</f>
        <v>0</v>
      </c>
      <c r="K78" s="35" t="str">
        <f>IF(G78="","",COUNTIF($N$27:$N$30,"&lt;="&amp;G78))</f>
        <v/>
      </c>
      <c r="L78" s="38" t="n"/>
      <c r="M78" s="38" t="n"/>
      <c r="N78" s="38" t="n"/>
      <c r="O78" s="38" t="n"/>
    </row>
    <row r="79">
      <c r="A79" s="38" t="n"/>
      <c r="B79" s="38" t="n"/>
      <c r="C79" s="38" t="n"/>
      <c r="D79" s="38" t="n"/>
      <c r="E79" s="38" t="n"/>
      <c r="F79" s="32" t="n">
        <v>53</v>
      </c>
      <c r="G79" s="33" t="str">
        <f>IF(ISNUMBER('年間カレンダー'!$B$4),IF('年間カレンダー'!$B$4+364&lt;='年間カレンダー'!$B$5,'年間カレンダー'!$B$4+364,""),"")</f>
        <v/>
      </c>
      <c r="H79" s="34" t="str">
        <f>IF(G79="","",SUMIF('年間カレンダー'!$H$12:$H$377,F79,'年間カレンダー'!$G$12:$G$377))</f>
        <v/>
      </c>
      <c r="I79" s="35">
        <f>IF(G79="",0,IF(H79&gt;48,1,0))</f>
        <v>0</v>
      </c>
      <c r="J79" s="35">
        <f>IF(I79=1,J78+1,0)</f>
        <v>0</v>
      </c>
      <c r="K79" s="35" t="str">
        <f>IF(G79="","",COUNTIF($N$27:$N$30,"&lt;="&amp;G79))</f>
        <v/>
      </c>
      <c r="L79" s="38" t="n"/>
      <c r="M79" s="38" t="n"/>
      <c r="N79" s="38" t="n"/>
      <c r="O79" s="38" t="n"/>
    </row>
  </sheetData>
  <mergeCells count="2">
    <mergeCell ref="A19:D23"/>
    <mergeCell ref="A2:D2"/>
  </mergeCells>
  <conditionalFormatting sqref="D9:D17">
    <cfRule type="expression" priority="1" dxfId="0">
      <formula>LEFT(D9,3)="範囲内"</formula>
    </cfRule>
    <cfRule type="expression" priority="2" dxfId="1">
      <formula>LEFT(D9,2)="超過"</formula>
    </cfRule>
    <cfRule type="expression" priority="3" dxfId="2">
      <formula>LEFT(D9,3)="要確認"</formula>
    </cfRule>
  </conditionalFormatting>
  <pageMargins left="0.75" right="0.75" top="0.5" bottom="0.5" header="0.3" footer="0.3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77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7" customWidth="1" min="3" max="3"/>
    <col width="8" customWidth="1" min="4" max="4"/>
    <col width="8" customWidth="1" min="5" max="5"/>
    <col width="9" customWidth="1" min="6" max="6"/>
    <col width="9" customWidth="1" min="7" max="7"/>
    <col width="4.5" customWidth="1" min="8" max="8"/>
    <col width="12" customWidth="1" min="9" max="9"/>
    <col width="8" customWidth="1" min="10" max="10"/>
  </cols>
  <sheetData>
    <row r="1">
      <c r="A1" s="37" t="inlineStr">
        <is>
          <t>別紙 年間カレンダー（1年単位の変形労働時間制）・記入例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</row>
    <row r="2">
      <c r="A2" s="39" t="inlineStr">
        <is>
          <t>黄色のセルに入力します。区分表と判定のシートは自動で計算します。</t>
        </is>
      </c>
      <c r="B2" s="38" t="n"/>
      <c r="C2" s="38" t="n"/>
      <c r="D2" s="38" t="n"/>
      <c r="E2" s="38" t="n"/>
      <c r="F2" s="38" t="n"/>
      <c r="G2" s="38" t="n"/>
      <c r="H2" s="38" t="n"/>
      <c r="I2" s="38" t="n"/>
      <c r="J2" s="38" t="n"/>
    </row>
    <row r="3">
      <c r="A3" s="38" t="n"/>
      <c r="B3" s="38" t="n"/>
      <c r="C3" s="38" t="n"/>
      <c r="D3" s="38" t="n"/>
      <c r="E3" s="38" t="n"/>
      <c r="F3" s="38" t="n"/>
      <c r="G3" s="38" t="n"/>
      <c r="H3" s="38" t="n"/>
      <c r="I3" s="38" t="n"/>
      <c r="J3" s="38" t="n"/>
    </row>
    <row r="4">
      <c r="A4" s="3" t="inlineStr">
        <is>
          <t>対象期間の開始日</t>
        </is>
      </c>
      <c r="B4" s="4" t="n">
        <v>46296</v>
      </c>
      <c r="C4" s="40" t="n"/>
      <c r="D4" s="38" t="n"/>
      <c r="E4" s="38" t="n"/>
      <c r="F4" s="38" t="n"/>
      <c r="G4" s="38" t="n"/>
      <c r="H4" s="38" t="n"/>
      <c r="I4" s="38" t="n"/>
      <c r="J4" s="38" t="n"/>
    </row>
    <row r="5">
      <c r="A5" s="3" t="inlineStr">
        <is>
          <t>対象期間の終了日</t>
        </is>
      </c>
      <c r="B5" s="4" t="n">
        <v>46660</v>
      </c>
      <c r="C5" s="40" t="n"/>
      <c r="D5" s="39" t="inlineStr">
        <is>
          <t>← 1年のときは自動で入ります。1年未満のときは日付を入れ直します。</t>
        </is>
      </c>
      <c r="E5" s="38" t="n"/>
      <c r="F5" s="38" t="n"/>
      <c r="G5" s="38" t="n"/>
      <c r="H5" s="38" t="n"/>
      <c r="I5" s="38" t="n"/>
      <c r="J5" s="38" t="n"/>
    </row>
    <row r="6">
      <c r="A6" s="3" t="inlineStr">
        <is>
          <t>対象期間の暦日数</t>
        </is>
      </c>
      <c r="B6" s="6">
        <f>IF(AND(ISNUMBER(B4),ISNUMBER(B5)),B5-B4+1,"")</f>
        <v>365</v>
      </c>
      <c r="C6" s="40" t="n"/>
      <c r="D6" s="38" t="n"/>
      <c r="E6" s="38" t="n"/>
      <c r="F6" s="38" t="n"/>
      <c r="G6" s="38" t="n"/>
      <c r="H6" s="38" t="n"/>
      <c r="I6" s="38" t="n"/>
      <c r="J6" s="38" t="n"/>
    </row>
    <row r="7">
      <c r="A7" s="3" t="inlineStr">
        <is>
          <t>特定期間（開始）</t>
        </is>
      </c>
      <c r="B7" s="4" t="n">
        <v>46357</v>
      </c>
      <c r="C7" s="40" t="n"/>
      <c r="D7" s="38" t="n"/>
      <c r="E7" s="38" t="n"/>
      <c r="F7" s="38" t="n"/>
      <c r="G7" s="38" t="n"/>
      <c r="H7" s="38" t="n"/>
      <c r="I7" s="38" t="n"/>
      <c r="J7" s="38" t="n"/>
    </row>
    <row r="8">
      <c r="A8" s="3" t="inlineStr">
        <is>
          <t>特定期間（終了）</t>
        </is>
      </c>
      <c r="B8" s="4" t="n">
        <v>46384</v>
      </c>
      <c r="C8" s="40" t="n"/>
      <c r="D8" s="39" t="inlineStr">
        <is>
          <t>← 特定期間を定めないときは空欄</t>
        </is>
      </c>
      <c r="E8" s="38" t="n"/>
      <c r="F8" s="38" t="n"/>
      <c r="G8" s="38" t="n"/>
      <c r="H8" s="38" t="n"/>
      <c r="I8" s="38" t="n"/>
      <c r="J8" s="38" t="n"/>
    </row>
    <row r="9">
      <c r="A9" s="38" t="n"/>
      <c r="B9" s="38" t="n"/>
      <c r="C9" s="38" t="n"/>
      <c r="D9" s="38" t="n"/>
      <c r="E9" s="38" t="n"/>
      <c r="F9" s="38" t="n"/>
      <c r="G9" s="38" t="n"/>
      <c r="H9" s="38" t="n"/>
      <c r="I9" s="38" t="n"/>
      <c r="J9" s="38" t="n"/>
    </row>
    <row r="10">
      <c r="A10" s="39" t="inlineStr">
        <is>
          <t>日ごとの勤務（区分・始業・終業・休憩を入力）</t>
        </is>
      </c>
      <c r="B10" s="38" t="n"/>
      <c r="C10" s="38" t="n"/>
      <c r="D10" s="38" t="n"/>
      <c r="E10" s="38" t="n"/>
      <c r="F10" s="38" t="n"/>
      <c r="G10" s="38" t="n"/>
      <c r="H10" s="38" t="n"/>
      <c r="I10" s="38" t="n"/>
      <c r="J10" s="38" t="n"/>
    </row>
    <row r="11">
      <c r="A11" s="8" t="inlineStr">
        <is>
          <t>日付</t>
        </is>
      </c>
      <c r="B11" s="8" t="inlineStr">
        <is>
          <t>曜日</t>
        </is>
      </c>
      <c r="C11" s="8" t="inlineStr">
        <is>
          <t>区分</t>
        </is>
      </c>
      <c r="D11" s="8" t="inlineStr">
        <is>
          <t>始業</t>
        </is>
      </c>
      <c r="E11" s="8" t="inlineStr">
        <is>
          <t>終業</t>
        </is>
      </c>
      <c r="F11" s="8" t="inlineStr">
        <is>
          <t>休憩（分）</t>
        </is>
      </c>
      <c r="G11" s="8" t="inlineStr">
        <is>
          <t>労働時間</t>
        </is>
      </c>
      <c r="H11" s="8" t="inlineStr">
        <is>
          <t>週</t>
        </is>
      </c>
      <c r="I11" s="8" t="inlineStr">
        <is>
          <t>連続労働日数</t>
        </is>
      </c>
      <c r="J11" s="8" t="inlineStr">
        <is>
          <t>特定期間</t>
        </is>
      </c>
    </row>
    <row r="12">
      <c r="A12" s="9">
        <f>IF(ISNUMBER($B$4),IF(ISNUMBER($B$5),IF($B$4+0&lt;=$B$5,$B$4+0,""),""),"")</f>
        <v>46296</v>
      </c>
      <c r="B12" s="10" t="str">
        <f>IF(A12="","",CHOOSE(WEEKDAY(A12),"日","月","火","水","木","金","土"))</f>
        <v>木</v>
      </c>
      <c r="C12" s="11" t="inlineStr">
        <is>
          <t>労働日</t>
        </is>
      </c>
      <c r="D12" s="12" t="n">
        <v>0.375</v>
      </c>
      <c r="E12" s="12" t="n">
        <v>0.75</v>
      </c>
      <c r="F12" s="13" t="n">
        <v>60</v>
      </c>
      <c r="G12" s="14">
        <f>IF(OR(A12="",C12&lt;&gt;"労働日"),0,MAX(0,MOD(E12-D12,1)*24-F12/60))</f>
        <v>8</v>
      </c>
      <c r="H12" s="15">
        <f>IF(A12="","",INT((A12-$B$4)/7)+1)</f>
        <v>1</v>
      </c>
      <c r="I12" s="16">
        <f>IF(AND(A12&lt;&gt;"",C12="労働日"),0+1,0)</f>
        <v>1</v>
      </c>
      <c r="J12" s="16">
        <f>IF(AND(A12&lt;&gt;"",ISNUMBER($B$7),ISNUMBER($B$8)),IF(AND(A12&gt;=$B$7,A12&lt;=$B$8),1,0),0)</f>
        <v>0</v>
      </c>
    </row>
    <row r="13">
      <c r="A13" s="9">
        <f>IF(ISNUMBER($B$4),IF(ISNUMBER($B$5),IF($B$4+1&lt;=$B$5,$B$4+1,""),""),"")</f>
        <v>46297</v>
      </c>
      <c r="B13" s="10" t="str">
        <f>IF(A13="","",CHOOSE(WEEKDAY(A13),"日","月","火","水","木","金","土"))</f>
        <v>金</v>
      </c>
      <c r="C13" s="11" t="inlineStr">
        <is>
          <t>労働日</t>
        </is>
      </c>
      <c r="D13" s="12" t="n">
        <v>0.375</v>
      </c>
      <c r="E13" s="12" t="n">
        <v>0.75</v>
      </c>
      <c r="F13" s="13" t="n">
        <v>60</v>
      </c>
      <c r="G13" s="14">
        <f>IF(OR(A13="",C13&lt;&gt;"労働日"),0,MAX(0,MOD(E13-D13,1)*24-F13/60))</f>
        <v>8</v>
      </c>
      <c r="H13" s="15">
        <f>IF(A13="","",INT((A13-$B$4)/7)+1)</f>
        <v>1</v>
      </c>
      <c r="I13" s="16">
        <f>IF(AND(A13&lt;&gt;"",C13="労働日"),I12+1,0)</f>
        <v>2</v>
      </c>
      <c r="J13" s="16">
        <f>IF(AND(A13&lt;&gt;"",ISNUMBER($B$7),ISNUMBER($B$8)),IF(AND(A13&gt;=$B$7,A13&lt;=$B$8),1,0),0)</f>
        <v>0</v>
      </c>
    </row>
    <row r="14">
      <c r="A14" s="9">
        <f>IF(ISNUMBER($B$4),IF(ISNUMBER($B$5),IF($B$4+2&lt;=$B$5,$B$4+2,""),""),"")</f>
        <v>46298</v>
      </c>
      <c r="B14" s="10" t="str">
        <f>IF(A14="","",CHOOSE(WEEKDAY(A14),"日","月","火","水","木","金","土"))</f>
        <v>土</v>
      </c>
      <c r="C14" s="11" t="inlineStr">
        <is>
          <t>休日</t>
        </is>
      </c>
      <c r="D14" s="12" t="n"/>
      <c r="E14" s="12" t="n"/>
      <c r="F14" s="13" t="n"/>
      <c r="G14" s="14">
        <f>IF(OR(A14="",C14&lt;&gt;"労働日"),0,MAX(0,MOD(E14-D14,1)*24-F14/60))</f>
        <v>0</v>
      </c>
      <c r="H14" s="15">
        <f>IF(A14="","",INT((A14-$B$4)/7)+1)</f>
        <v>1</v>
      </c>
      <c r="I14" s="16">
        <f>IF(AND(A14&lt;&gt;"",C14="労働日"),I13+1,0)</f>
        <v>0</v>
      </c>
      <c r="J14" s="16">
        <f>IF(AND(A14&lt;&gt;"",ISNUMBER($B$7),ISNUMBER($B$8)),IF(AND(A14&gt;=$B$7,A14&lt;=$B$8),1,0),0)</f>
        <v>0</v>
      </c>
    </row>
    <row r="15">
      <c r="A15" s="9">
        <f>IF(ISNUMBER($B$4),IF(ISNUMBER($B$5),IF($B$4+3&lt;=$B$5,$B$4+3,""),""),"")</f>
        <v>46299</v>
      </c>
      <c r="B15" s="10" t="str">
        <f>IF(A15="","",CHOOSE(WEEKDAY(A15),"日","月","火","水","木","金","土"))</f>
        <v>日</v>
      </c>
      <c r="C15" s="11" t="inlineStr">
        <is>
          <t>休日</t>
        </is>
      </c>
      <c r="D15" s="12" t="n"/>
      <c r="E15" s="12" t="n"/>
      <c r="F15" s="13" t="n"/>
      <c r="G15" s="14">
        <f>IF(OR(A15="",C15&lt;&gt;"労働日"),0,MAX(0,MOD(E15-D15,1)*24-F15/60))</f>
        <v>0</v>
      </c>
      <c r="H15" s="15">
        <f>IF(A15="","",INT((A15-$B$4)/7)+1)</f>
        <v>1</v>
      </c>
      <c r="I15" s="16">
        <f>IF(AND(A15&lt;&gt;"",C15="労働日"),I14+1,0)</f>
        <v>0</v>
      </c>
      <c r="J15" s="16">
        <f>IF(AND(A15&lt;&gt;"",ISNUMBER($B$7),ISNUMBER($B$8)),IF(AND(A15&gt;=$B$7,A15&lt;=$B$8),1,0),0)</f>
        <v>0</v>
      </c>
    </row>
    <row r="16">
      <c r="A16" s="9">
        <f>IF(ISNUMBER($B$4),IF(ISNUMBER($B$5),IF($B$4+4&lt;=$B$5,$B$4+4,""),""),"")</f>
        <v>46300</v>
      </c>
      <c r="B16" s="10" t="str">
        <f>IF(A16="","",CHOOSE(WEEKDAY(A16),"日","月","火","水","木","金","土"))</f>
        <v>月</v>
      </c>
      <c r="C16" s="11" t="inlineStr">
        <is>
          <t>労働日</t>
        </is>
      </c>
      <c r="D16" s="12" t="n">
        <v>0.375</v>
      </c>
      <c r="E16" s="12" t="n">
        <v>0.75</v>
      </c>
      <c r="F16" s="13" t="n">
        <v>60</v>
      </c>
      <c r="G16" s="14">
        <f>IF(OR(A16="",C16&lt;&gt;"労働日"),0,MAX(0,MOD(E16-D16,1)*24-F16/60))</f>
        <v>8</v>
      </c>
      <c r="H16" s="15">
        <f>IF(A16="","",INT((A16-$B$4)/7)+1)</f>
        <v>1</v>
      </c>
      <c r="I16" s="16">
        <f>IF(AND(A16&lt;&gt;"",C16="労働日"),I15+1,0)</f>
        <v>1</v>
      </c>
      <c r="J16" s="16">
        <f>IF(AND(A16&lt;&gt;"",ISNUMBER($B$7),ISNUMBER($B$8)),IF(AND(A16&gt;=$B$7,A16&lt;=$B$8),1,0),0)</f>
        <v>0</v>
      </c>
    </row>
    <row r="17">
      <c r="A17" s="9">
        <f>IF(ISNUMBER($B$4),IF(ISNUMBER($B$5),IF($B$4+5&lt;=$B$5,$B$4+5,""),""),"")</f>
        <v>46301</v>
      </c>
      <c r="B17" s="10" t="str">
        <f>IF(A17="","",CHOOSE(WEEKDAY(A17),"日","月","火","水","木","金","土"))</f>
        <v>火</v>
      </c>
      <c r="C17" s="11" t="inlineStr">
        <is>
          <t>労働日</t>
        </is>
      </c>
      <c r="D17" s="12" t="n">
        <v>0.375</v>
      </c>
      <c r="E17" s="12" t="n">
        <v>0.75</v>
      </c>
      <c r="F17" s="13" t="n">
        <v>60</v>
      </c>
      <c r="G17" s="14">
        <f>IF(OR(A17="",C17&lt;&gt;"労働日"),0,MAX(0,MOD(E17-D17,1)*24-F17/60))</f>
        <v>8</v>
      </c>
      <c r="H17" s="15">
        <f>IF(A17="","",INT((A17-$B$4)/7)+1)</f>
        <v>1</v>
      </c>
      <c r="I17" s="16">
        <f>IF(AND(A17&lt;&gt;"",C17="労働日"),I16+1,0)</f>
        <v>2</v>
      </c>
      <c r="J17" s="16">
        <f>IF(AND(A17&lt;&gt;"",ISNUMBER($B$7),ISNUMBER($B$8)),IF(AND(A17&gt;=$B$7,A17&lt;=$B$8),1,0),0)</f>
        <v>0</v>
      </c>
    </row>
    <row r="18">
      <c r="A18" s="9">
        <f>IF(ISNUMBER($B$4),IF(ISNUMBER($B$5),IF($B$4+6&lt;=$B$5,$B$4+6,""),""),"")</f>
        <v>46302</v>
      </c>
      <c r="B18" s="10" t="str">
        <f>IF(A18="","",CHOOSE(WEEKDAY(A18),"日","月","火","水","木","金","土"))</f>
        <v>水</v>
      </c>
      <c r="C18" s="11" t="inlineStr">
        <is>
          <t>労働日</t>
        </is>
      </c>
      <c r="D18" s="12" t="n">
        <v>0.375</v>
      </c>
      <c r="E18" s="12" t="n">
        <v>0.75</v>
      </c>
      <c r="F18" s="13" t="n">
        <v>60</v>
      </c>
      <c r="G18" s="14">
        <f>IF(OR(A18="",C18&lt;&gt;"労働日"),0,MAX(0,MOD(E18-D18,1)*24-F18/60))</f>
        <v>8</v>
      </c>
      <c r="H18" s="15">
        <f>IF(A18="","",INT((A18-$B$4)/7)+1)</f>
        <v>1</v>
      </c>
      <c r="I18" s="16">
        <f>IF(AND(A18&lt;&gt;"",C18="労働日"),I17+1,0)</f>
        <v>3</v>
      </c>
      <c r="J18" s="16">
        <f>IF(AND(A18&lt;&gt;"",ISNUMBER($B$7),ISNUMBER($B$8)),IF(AND(A18&gt;=$B$7,A18&lt;=$B$8),1,0),0)</f>
        <v>0</v>
      </c>
    </row>
    <row r="19">
      <c r="A19" s="9">
        <f>IF(ISNUMBER($B$4),IF(ISNUMBER($B$5),IF($B$4+7&lt;=$B$5,$B$4+7,""),""),"")</f>
        <v>46303</v>
      </c>
      <c r="B19" s="10" t="str">
        <f>IF(A19="","",CHOOSE(WEEKDAY(A19),"日","月","火","水","木","金","土"))</f>
        <v>木</v>
      </c>
      <c r="C19" s="11" t="inlineStr">
        <is>
          <t>労働日</t>
        </is>
      </c>
      <c r="D19" s="12" t="n">
        <v>0.375</v>
      </c>
      <c r="E19" s="12" t="n">
        <v>0.75</v>
      </c>
      <c r="F19" s="13" t="n">
        <v>60</v>
      </c>
      <c r="G19" s="14">
        <f>IF(OR(A19="",C19&lt;&gt;"労働日"),0,MAX(0,MOD(E19-D19,1)*24-F19/60))</f>
        <v>8</v>
      </c>
      <c r="H19" s="15">
        <f>IF(A19="","",INT((A19-$B$4)/7)+1)</f>
        <v>2</v>
      </c>
      <c r="I19" s="16">
        <f>IF(AND(A19&lt;&gt;"",C19="労働日"),I18+1,0)</f>
        <v>4</v>
      </c>
      <c r="J19" s="16">
        <f>IF(AND(A19&lt;&gt;"",ISNUMBER($B$7),ISNUMBER($B$8)),IF(AND(A19&gt;=$B$7,A19&lt;=$B$8),1,0),0)</f>
        <v>0</v>
      </c>
    </row>
    <row r="20">
      <c r="A20" s="9">
        <f>IF(ISNUMBER($B$4),IF(ISNUMBER($B$5),IF($B$4+8&lt;=$B$5,$B$4+8,""),""),"")</f>
        <v>46304</v>
      </c>
      <c r="B20" s="10" t="str">
        <f>IF(A20="","",CHOOSE(WEEKDAY(A20),"日","月","火","水","木","金","土"))</f>
        <v>金</v>
      </c>
      <c r="C20" s="11" t="inlineStr">
        <is>
          <t>労働日</t>
        </is>
      </c>
      <c r="D20" s="12" t="n">
        <v>0.375</v>
      </c>
      <c r="E20" s="12" t="n">
        <v>0.75</v>
      </c>
      <c r="F20" s="13" t="n">
        <v>60</v>
      </c>
      <c r="G20" s="14">
        <f>IF(OR(A20="",C20&lt;&gt;"労働日"),0,MAX(0,MOD(E20-D20,1)*24-F20/60))</f>
        <v>8</v>
      </c>
      <c r="H20" s="15">
        <f>IF(A20="","",INT((A20-$B$4)/7)+1)</f>
        <v>2</v>
      </c>
      <c r="I20" s="16">
        <f>IF(AND(A20&lt;&gt;"",C20="労働日"),I19+1,0)</f>
        <v>5</v>
      </c>
      <c r="J20" s="16">
        <f>IF(AND(A20&lt;&gt;"",ISNUMBER($B$7),ISNUMBER($B$8)),IF(AND(A20&gt;=$B$7,A20&lt;=$B$8),1,0),0)</f>
        <v>0</v>
      </c>
    </row>
    <row r="21">
      <c r="A21" s="9">
        <f>IF(ISNUMBER($B$4),IF(ISNUMBER($B$5),IF($B$4+9&lt;=$B$5,$B$4+9,""),""),"")</f>
        <v>46305</v>
      </c>
      <c r="B21" s="10" t="str">
        <f>IF(A21="","",CHOOSE(WEEKDAY(A21),"日","月","火","水","木","金","土"))</f>
        <v>土</v>
      </c>
      <c r="C21" s="11" t="inlineStr">
        <is>
          <t>休日</t>
        </is>
      </c>
      <c r="D21" s="12" t="n"/>
      <c r="E21" s="12" t="n"/>
      <c r="F21" s="13" t="n"/>
      <c r="G21" s="14">
        <f>IF(OR(A21="",C21&lt;&gt;"労働日"),0,MAX(0,MOD(E21-D21,1)*24-F21/60))</f>
        <v>0</v>
      </c>
      <c r="H21" s="15">
        <f>IF(A21="","",INT((A21-$B$4)/7)+1)</f>
        <v>2</v>
      </c>
      <c r="I21" s="16">
        <f>IF(AND(A21&lt;&gt;"",C21="労働日"),I20+1,0)</f>
        <v>0</v>
      </c>
      <c r="J21" s="16">
        <f>IF(AND(A21&lt;&gt;"",ISNUMBER($B$7),ISNUMBER($B$8)),IF(AND(A21&gt;=$B$7,A21&lt;=$B$8),1,0),0)</f>
        <v>0</v>
      </c>
    </row>
    <row r="22">
      <c r="A22" s="9">
        <f>IF(ISNUMBER($B$4),IF(ISNUMBER($B$5),IF($B$4+10&lt;=$B$5,$B$4+10,""),""),"")</f>
        <v>46306</v>
      </c>
      <c r="B22" s="10" t="str">
        <f>IF(A22="","",CHOOSE(WEEKDAY(A22),"日","月","火","水","木","金","土"))</f>
        <v>日</v>
      </c>
      <c r="C22" s="11" t="inlineStr">
        <is>
          <t>休日</t>
        </is>
      </c>
      <c r="D22" s="12" t="n"/>
      <c r="E22" s="12" t="n"/>
      <c r="F22" s="13" t="n"/>
      <c r="G22" s="14">
        <f>IF(OR(A22="",C22&lt;&gt;"労働日"),0,MAX(0,MOD(E22-D22,1)*24-F22/60))</f>
        <v>0</v>
      </c>
      <c r="H22" s="15">
        <f>IF(A22="","",INT((A22-$B$4)/7)+1)</f>
        <v>2</v>
      </c>
      <c r="I22" s="16">
        <f>IF(AND(A22&lt;&gt;"",C22="労働日"),I21+1,0)</f>
        <v>0</v>
      </c>
      <c r="J22" s="16">
        <f>IF(AND(A22&lt;&gt;"",ISNUMBER($B$7),ISNUMBER($B$8)),IF(AND(A22&gt;=$B$7,A22&lt;=$B$8),1,0),0)</f>
        <v>0</v>
      </c>
    </row>
    <row r="23">
      <c r="A23" s="9">
        <f>IF(ISNUMBER($B$4),IF(ISNUMBER($B$5),IF($B$4+11&lt;=$B$5,$B$4+11,""),""),"")</f>
        <v>46307</v>
      </c>
      <c r="B23" s="10" t="str">
        <f>IF(A23="","",CHOOSE(WEEKDAY(A23),"日","月","火","水","木","金","土"))</f>
        <v>月</v>
      </c>
      <c r="C23" s="11" t="inlineStr">
        <is>
          <t>労働日</t>
        </is>
      </c>
      <c r="D23" s="12" t="n">
        <v>0.375</v>
      </c>
      <c r="E23" s="12" t="n">
        <v>0.75</v>
      </c>
      <c r="F23" s="13" t="n">
        <v>60</v>
      </c>
      <c r="G23" s="14">
        <f>IF(OR(A23="",C23&lt;&gt;"労働日"),0,MAX(0,MOD(E23-D23,1)*24-F23/60))</f>
        <v>8</v>
      </c>
      <c r="H23" s="15">
        <f>IF(A23="","",INT((A23-$B$4)/7)+1)</f>
        <v>2</v>
      </c>
      <c r="I23" s="16">
        <f>IF(AND(A23&lt;&gt;"",C23="労働日"),I22+1,0)</f>
        <v>1</v>
      </c>
      <c r="J23" s="16">
        <f>IF(AND(A23&lt;&gt;"",ISNUMBER($B$7),ISNUMBER($B$8)),IF(AND(A23&gt;=$B$7,A23&lt;=$B$8),1,0),0)</f>
        <v>0</v>
      </c>
    </row>
    <row r="24">
      <c r="A24" s="9">
        <f>IF(ISNUMBER($B$4),IF(ISNUMBER($B$5),IF($B$4+12&lt;=$B$5,$B$4+12,""),""),"")</f>
        <v>46308</v>
      </c>
      <c r="B24" s="10" t="str">
        <f>IF(A24="","",CHOOSE(WEEKDAY(A24),"日","月","火","水","木","金","土"))</f>
        <v>火</v>
      </c>
      <c r="C24" s="11" t="inlineStr">
        <is>
          <t>労働日</t>
        </is>
      </c>
      <c r="D24" s="12" t="n">
        <v>0.375</v>
      </c>
      <c r="E24" s="12" t="n">
        <v>0.75</v>
      </c>
      <c r="F24" s="13" t="n">
        <v>60</v>
      </c>
      <c r="G24" s="14">
        <f>IF(OR(A24="",C24&lt;&gt;"労働日"),0,MAX(0,MOD(E24-D24,1)*24-F24/60))</f>
        <v>8</v>
      </c>
      <c r="H24" s="15">
        <f>IF(A24="","",INT((A24-$B$4)/7)+1)</f>
        <v>2</v>
      </c>
      <c r="I24" s="16">
        <f>IF(AND(A24&lt;&gt;"",C24="労働日"),I23+1,0)</f>
        <v>2</v>
      </c>
      <c r="J24" s="16">
        <f>IF(AND(A24&lt;&gt;"",ISNUMBER($B$7),ISNUMBER($B$8)),IF(AND(A24&gt;=$B$7,A24&lt;=$B$8),1,0),0)</f>
        <v>0</v>
      </c>
    </row>
    <row r="25">
      <c r="A25" s="9">
        <f>IF(ISNUMBER($B$4),IF(ISNUMBER($B$5),IF($B$4+13&lt;=$B$5,$B$4+13,""),""),"")</f>
        <v>46309</v>
      </c>
      <c r="B25" s="10" t="str">
        <f>IF(A25="","",CHOOSE(WEEKDAY(A25),"日","月","火","水","木","金","土"))</f>
        <v>水</v>
      </c>
      <c r="C25" s="11" t="inlineStr">
        <is>
          <t>労働日</t>
        </is>
      </c>
      <c r="D25" s="12" t="n">
        <v>0.375</v>
      </c>
      <c r="E25" s="12" t="n">
        <v>0.75</v>
      </c>
      <c r="F25" s="13" t="n">
        <v>60</v>
      </c>
      <c r="G25" s="14">
        <f>IF(OR(A25="",C25&lt;&gt;"労働日"),0,MAX(0,MOD(E25-D25,1)*24-F25/60))</f>
        <v>8</v>
      </c>
      <c r="H25" s="15">
        <f>IF(A25="","",INT((A25-$B$4)/7)+1)</f>
        <v>2</v>
      </c>
      <c r="I25" s="16">
        <f>IF(AND(A25&lt;&gt;"",C25="労働日"),I24+1,0)</f>
        <v>3</v>
      </c>
      <c r="J25" s="16">
        <f>IF(AND(A25&lt;&gt;"",ISNUMBER($B$7),ISNUMBER($B$8)),IF(AND(A25&gt;=$B$7,A25&lt;=$B$8),1,0),0)</f>
        <v>0</v>
      </c>
    </row>
    <row r="26">
      <c r="A26" s="9">
        <f>IF(ISNUMBER($B$4),IF(ISNUMBER($B$5),IF($B$4+14&lt;=$B$5,$B$4+14,""),""),"")</f>
        <v>46310</v>
      </c>
      <c r="B26" s="10" t="str">
        <f>IF(A26="","",CHOOSE(WEEKDAY(A26),"日","月","火","水","木","金","土"))</f>
        <v>木</v>
      </c>
      <c r="C26" s="11" t="inlineStr">
        <is>
          <t>労働日</t>
        </is>
      </c>
      <c r="D26" s="12" t="n">
        <v>0.375</v>
      </c>
      <c r="E26" s="12" t="n">
        <v>0.75</v>
      </c>
      <c r="F26" s="13" t="n">
        <v>60</v>
      </c>
      <c r="G26" s="14">
        <f>IF(OR(A26="",C26&lt;&gt;"労働日"),0,MAX(0,MOD(E26-D26,1)*24-F26/60))</f>
        <v>8</v>
      </c>
      <c r="H26" s="15">
        <f>IF(A26="","",INT((A26-$B$4)/7)+1)</f>
        <v>3</v>
      </c>
      <c r="I26" s="16">
        <f>IF(AND(A26&lt;&gt;"",C26="労働日"),I25+1,0)</f>
        <v>4</v>
      </c>
      <c r="J26" s="16">
        <f>IF(AND(A26&lt;&gt;"",ISNUMBER($B$7),ISNUMBER($B$8)),IF(AND(A26&gt;=$B$7,A26&lt;=$B$8),1,0),0)</f>
        <v>0</v>
      </c>
    </row>
    <row r="27">
      <c r="A27" s="9">
        <f>IF(ISNUMBER($B$4),IF(ISNUMBER($B$5),IF($B$4+15&lt;=$B$5,$B$4+15,""),""),"")</f>
        <v>46311</v>
      </c>
      <c r="B27" s="10" t="str">
        <f>IF(A27="","",CHOOSE(WEEKDAY(A27),"日","月","火","水","木","金","土"))</f>
        <v>金</v>
      </c>
      <c r="C27" s="11" t="inlineStr">
        <is>
          <t>労働日</t>
        </is>
      </c>
      <c r="D27" s="12" t="n">
        <v>0.375</v>
      </c>
      <c r="E27" s="12" t="n">
        <v>0.75</v>
      </c>
      <c r="F27" s="13" t="n">
        <v>60</v>
      </c>
      <c r="G27" s="14">
        <f>IF(OR(A27="",C27&lt;&gt;"労働日"),0,MAX(0,MOD(E27-D27,1)*24-F27/60))</f>
        <v>8</v>
      </c>
      <c r="H27" s="15">
        <f>IF(A27="","",INT((A27-$B$4)/7)+1)</f>
        <v>3</v>
      </c>
      <c r="I27" s="16">
        <f>IF(AND(A27&lt;&gt;"",C27="労働日"),I26+1,0)</f>
        <v>5</v>
      </c>
      <c r="J27" s="16">
        <f>IF(AND(A27&lt;&gt;"",ISNUMBER($B$7),ISNUMBER($B$8)),IF(AND(A27&gt;=$B$7,A27&lt;=$B$8),1,0),0)</f>
        <v>0</v>
      </c>
    </row>
    <row r="28">
      <c r="A28" s="9">
        <f>IF(ISNUMBER($B$4),IF(ISNUMBER($B$5),IF($B$4+16&lt;=$B$5,$B$4+16,""),""),"")</f>
        <v>46312</v>
      </c>
      <c r="B28" s="10" t="str">
        <f>IF(A28="","",CHOOSE(WEEKDAY(A28),"日","月","火","水","木","金","土"))</f>
        <v>土</v>
      </c>
      <c r="C28" s="11" t="inlineStr">
        <is>
          <t>休日</t>
        </is>
      </c>
      <c r="D28" s="12" t="n"/>
      <c r="E28" s="12" t="n"/>
      <c r="F28" s="13" t="n"/>
      <c r="G28" s="14">
        <f>IF(OR(A28="",C28&lt;&gt;"労働日"),0,MAX(0,MOD(E28-D28,1)*24-F28/60))</f>
        <v>0</v>
      </c>
      <c r="H28" s="15">
        <f>IF(A28="","",INT((A28-$B$4)/7)+1)</f>
        <v>3</v>
      </c>
      <c r="I28" s="16">
        <f>IF(AND(A28&lt;&gt;"",C28="労働日"),I27+1,0)</f>
        <v>0</v>
      </c>
      <c r="J28" s="16">
        <f>IF(AND(A28&lt;&gt;"",ISNUMBER($B$7),ISNUMBER($B$8)),IF(AND(A28&gt;=$B$7,A28&lt;=$B$8),1,0),0)</f>
        <v>0</v>
      </c>
    </row>
    <row r="29">
      <c r="A29" s="9">
        <f>IF(ISNUMBER($B$4),IF(ISNUMBER($B$5),IF($B$4+17&lt;=$B$5,$B$4+17,""),""),"")</f>
        <v>46313</v>
      </c>
      <c r="B29" s="10" t="str">
        <f>IF(A29="","",CHOOSE(WEEKDAY(A29),"日","月","火","水","木","金","土"))</f>
        <v>日</v>
      </c>
      <c r="C29" s="11" t="inlineStr">
        <is>
          <t>休日</t>
        </is>
      </c>
      <c r="D29" s="12" t="n"/>
      <c r="E29" s="12" t="n"/>
      <c r="F29" s="13" t="n"/>
      <c r="G29" s="14">
        <f>IF(OR(A29="",C29&lt;&gt;"労働日"),0,MAX(0,MOD(E29-D29,1)*24-F29/60))</f>
        <v>0</v>
      </c>
      <c r="H29" s="15">
        <f>IF(A29="","",INT((A29-$B$4)/7)+1)</f>
        <v>3</v>
      </c>
      <c r="I29" s="16">
        <f>IF(AND(A29&lt;&gt;"",C29="労働日"),I28+1,0)</f>
        <v>0</v>
      </c>
      <c r="J29" s="16">
        <f>IF(AND(A29&lt;&gt;"",ISNUMBER($B$7),ISNUMBER($B$8)),IF(AND(A29&gt;=$B$7,A29&lt;=$B$8),1,0),0)</f>
        <v>0</v>
      </c>
    </row>
    <row r="30">
      <c r="A30" s="9">
        <f>IF(ISNUMBER($B$4),IF(ISNUMBER($B$5),IF($B$4+18&lt;=$B$5,$B$4+18,""),""),"")</f>
        <v>46314</v>
      </c>
      <c r="B30" s="10" t="str">
        <f>IF(A30="","",CHOOSE(WEEKDAY(A30),"日","月","火","水","木","金","土"))</f>
        <v>月</v>
      </c>
      <c r="C30" s="11" t="inlineStr">
        <is>
          <t>労働日</t>
        </is>
      </c>
      <c r="D30" s="12" t="n">
        <v>0.375</v>
      </c>
      <c r="E30" s="12" t="n">
        <v>0.75</v>
      </c>
      <c r="F30" s="13" t="n">
        <v>60</v>
      </c>
      <c r="G30" s="14">
        <f>IF(OR(A30="",C30&lt;&gt;"労働日"),0,MAX(0,MOD(E30-D30,1)*24-F30/60))</f>
        <v>8</v>
      </c>
      <c r="H30" s="15">
        <f>IF(A30="","",INT((A30-$B$4)/7)+1)</f>
        <v>3</v>
      </c>
      <c r="I30" s="16">
        <f>IF(AND(A30&lt;&gt;"",C30="労働日"),I29+1,0)</f>
        <v>1</v>
      </c>
      <c r="J30" s="16">
        <f>IF(AND(A30&lt;&gt;"",ISNUMBER($B$7),ISNUMBER($B$8)),IF(AND(A30&gt;=$B$7,A30&lt;=$B$8),1,0),0)</f>
        <v>0</v>
      </c>
    </row>
    <row r="31">
      <c r="A31" s="9">
        <f>IF(ISNUMBER($B$4),IF(ISNUMBER($B$5),IF($B$4+19&lt;=$B$5,$B$4+19,""),""),"")</f>
        <v>46315</v>
      </c>
      <c r="B31" s="10" t="str">
        <f>IF(A31="","",CHOOSE(WEEKDAY(A31),"日","月","火","水","木","金","土"))</f>
        <v>火</v>
      </c>
      <c r="C31" s="11" t="inlineStr">
        <is>
          <t>労働日</t>
        </is>
      </c>
      <c r="D31" s="12" t="n">
        <v>0.375</v>
      </c>
      <c r="E31" s="12" t="n">
        <v>0.75</v>
      </c>
      <c r="F31" s="13" t="n">
        <v>60</v>
      </c>
      <c r="G31" s="14">
        <f>IF(OR(A31="",C31&lt;&gt;"労働日"),0,MAX(0,MOD(E31-D31,1)*24-F31/60))</f>
        <v>8</v>
      </c>
      <c r="H31" s="15">
        <f>IF(A31="","",INT((A31-$B$4)/7)+1)</f>
        <v>3</v>
      </c>
      <c r="I31" s="16">
        <f>IF(AND(A31&lt;&gt;"",C31="労働日"),I30+1,0)</f>
        <v>2</v>
      </c>
      <c r="J31" s="16">
        <f>IF(AND(A31&lt;&gt;"",ISNUMBER($B$7),ISNUMBER($B$8)),IF(AND(A31&gt;=$B$7,A31&lt;=$B$8),1,0),0)</f>
        <v>0</v>
      </c>
    </row>
    <row r="32">
      <c r="A32" s="9">
        <f>IF(ISNUMBER($B$4),IF(ISNUMBER($B$5),IF($B$4+20&lt;=$B$5,$B$4+20,""),""),"")</f>
        <v>46316</v>
      </c>
      <c r="B32" s="10" t="str">
        <f>IF(A32="","",CHOOSE(WEEKDAY(A32),"日","月","火","水","木","金","土"))</f>
        <v>水</v>
      </c>
      <c r="C32" s="11" t="inlineStr">
        <is>
          <t>労働日</t>
        </is>
      </c>
      <c r="D32" s="12" t="n">
        <v>0.375</v>
      </c>
      <c r="E32" s="12" t="n">
        <v>0.75</v>
      </c>
      <c r="F32" s="13" t="n">
        <v>60</v>
      </c>
      <c r="G32" s="14">
        <f>IF(OR(A32="",C32&lt;&gt;"労働日"),0,MAX(0,MOD(E32-D32,1)*24-F32/60))</f>
        <v>8</v>
      </c>
      <c r="H32" s="15">
        <f>IF(A32="","",INT((A32-$B$4)/7)+1)</f>
        <v>3</v>
      </c>
      <c r="I32" s="16">
        <f>IF(AND(A32&lt;&gt;"",C32="労働日"),I31+1,0)</f>
        <v>3</v>
      </c>
      <c r="J32" s="16">
        <f>IF(AND(A32&lt;&gt;"",ISNUMBER($B$7),ISNUMBER($B$8)),IF(AND(A32&gt;=$B$7,A32&lt;=$B$8),1,0),0)</f>
        <v>0</v>
      </c>
    </row>
    <row r="33">
      <c r="A33" s="9">
        <f>IF(ISNUMBER($B$4),IF(ISNUMBER($B$5),IF($B$4+21&lt;=$B$5,$B$4+21,""),""),"")</f>
        <v>46317</v>
      </c>
      <c r="B33" s="10" t="str">
        <f>IF(A33="","",CHOOSE(WEEKDAY(A33),"日","月","火","水","木","金","土"))</f>
        <v>木</v>
      </c>
      <c r="C33" s="11" t="inlineStr">
        <is>
          <t>労働日</t>
        </is>
      </c>
      <c r="D33" s="12" t="n">
        <v>0.375</v>
      </c>
      <c r="E33" s="12" t="n">
        <v>0.75</v>
      </c>
      <c r="F33" s="13" t="n">
        <v>60</v>
      </c>
      <c r="G33" s="14">
        <f>IF(OR(A33="",C33&lt;&gt;"労働日"),0,MAX(0,MOD(E33-D33,1)*24-F33/60))</f>
        <v>8</v>
      </c>
      <c r="H33" s="15">
        <f>IF(A33="","",INT((A33-$B$4)/7)+1)</f>
        <v>4</v>
      </c>
      <c r="I33" s="16">
        <f>IF(AND(A33&lt;&gt;"",C33="労働日"),I32+1,0)</f>
        <v>4</v>
      </c>
      <c r="J33" s="16">
        <f>IF(AND(A33&lt;&gt;"",ISNUMBER($B$7),ISNUMBER($B$8)),IF(AND(A33&gt;=$B$7,A33&lt;=$B$8),1,0),0)</f>
        <v>0</v>
      </c>
    </row>
    <row r="34">
      <c r="A34" s="9">
        <f>IF(ISNUMBER($B$4),IF(ISNUMBER($B$5),IF($B$4+22&lt;=$B$5,$B$4+22,""),""),"")</f>
        <v>46318</v>
      </c>
      <c r="B34" s="10" t="str">
        <f>IF(A34="","",CHOOSE(WEEKDAY(A34),"日","月","火","水","木","金","土"))</f>
        <v>金</v>
      </c>
      <c r="C34" s="11" t="inlineStr">
        <is>
          <t>労働日</t>
        </is>
      </c>
      <c r="D34" s="12" t="n">
        <v>0.375</v>
      </c>
      <c r="E34" s="12" t="n">
        <v>0.75</v>
      </c>
      <c r="F34" s="13" t="n">
        <v>60</v>
      </c>
      <c r="G34" s="14">
        <f>IF(OR(A34="",C34&lt;&gt;"労働日"),0,MAX(0,MOD(E34-D34,1)*24-F34/60))</f>
        <v>8</v>
      </c>
      <c r="H34" s="15">
        <f>IF(A34="","",INT((A34-$B$4)/7)+1)</f>
        <v>4</v>
      </c>
      <c r="I34" s="16">
        <f>IF(AND(A34&lt;&gt;"",C34="労働日"),I33+1,0)</f>
        <v>5</v>
      </c>
      <c r="J34" s="16">
        <f>IF(AND(A34&lt;&gt;"",ISNUMBER($B$7),ISNUMBER($B$8)),IF(AND(A34&gt;=$B$7,A34&lt;=$B$8),1,0),0)</f>
        <v>0</v>
      </c>
    </row>
    <row r="35">
      <c r="A35" s="9">
        <f>IF(ISNUMBER($B$4),IF(ISNUMBER($B$5),IF($B$4+23&lt;=$B$5,$B$4+23,""),""),"")</f>
        <v>46319</v>
      </c>
      <c r="B35" s="10" t="str">
        <f>IF(A35="","",CHOOSE(WEEKDAY(A35),"日","月","火","水","木","金","土"))</f>
        <v>土</v>
      </c>
      <c r="C35" s="11" t="inlineStr">
        <is>
          <t>休日</t>
        </is>
      </c>
      <c r="D35" s="12" t="n"/>
      <c r="E35" s="12" t="n"/>
      <c r="F35" s="13" t="n"/>
      <c r="G35" s="14">
        <f>IF(OR(A35="",C35&lt;&gt;"労働日"),0,MAX(0,MOD(E35-D35,1)*24-F35/60))</f>
        <v>0</v>
      </c>
      <c r="H35" s="15">
        <f>IF(A35="","",INT((A35-$B$4)/7)+1)</f>
        <v>4</v>
      </c>
      <c r="I35" s="16">
        <f>IF(AND(A35&lt;&gt;"",C35="労働日"),I34+1,0)</f>
        <v>0</v>
      </c>
      <c r="J35" s="16">
        <f>IF(AND(A35&lt;&gt;"",ISNUMBER($B$7),ISNUMBER($B$8)),IF(AND(A35&gt;=$B$7,A35&lt;=$B$8),1,0),0)</f>
        <v>0</v>
      </c>
    </row>
    <row r="36">
      <c r="A36" s="9">
        <f>IF(ISNUMBER($B$4),IF(ISNUMBER($B$5),IF($B$4+24&lt;=$B$5,$B$4+24,""),""),"")</f>
        <v>46320</v>
      </c>
      <c r="B36" s="10" t="str">
        <f>IF(A36="","",CHOOSE(WEEKDAY(A36),"日","月","火","水","木","金","土"))</f>
        <v>日</v>
      </c>
      <c r="C36" s="11" t="inlineStr">
        <is>
          <t>休日</t>
        </is>
      </c>
      <c r="D36" s="12" t="n"/>
      <c r="E36" s="12" t="n"/>
      <c r="F36" s="13" t="n"/>
      <c r="G36" s="14">
        <f>IF(OR(A36="",C36&lt;&gt;"労働日"),0,MAX(0,MOD(E36-D36,1)*24-F36/60))</f>
        <v>0</v>
      </c>
      <c r="H36" s="15">
        <f>IF(A36="","",INT((A36-$B$4)/7)+1)</f>
        <v>4</v>
      </c>
      <c r="I36" s="16">
        <f>IF(AND(A36&lt;&gt;"",C36="労働日"),I35+1,0)</f>
        <v>0</v>
      </c>
      <c r="J36" s="16">
        <f>IF(AND(A36&lt;&gt;"",ISNUMBER($B$7),ISNUMBER($B$8)),IF(AND(A36&gt;=$B$7,A36&lt;=$B$8),1,0),0)</f>
        <v>0</v>
      </c>
    </row>
    <row r="37">
      <c r="A37" s="9">
        <f>IF(ISNUMBER($B$4),IF(ISNUMBER($B$5),IF($B$4+25&lt;=$B$5,$B$4+25,""),""),"")</f>
        <v>46321</v>
      </c>
      <c r="B37" s="10" t="str">
        <f>IF(A37="","",CHOOSE(WEEKDAY(A37),"日","月","火","水","木","金","土"))</f>
        <v>月</v>
      </c>
      <c r="C37" s="11" t="inlineStr">
        <is>
          <t>労働日</t>
        </is>
      </c>
      <c r="D37" s="12" t="n">
        <v>0.375</v>
      </c>
      <c r="E37" s="12" t="n">
        <v>0.75</v>
      </c>
      <c r="F37" s="13" t="n">
        <v>60</v>
      </c>
      <c r="G37" s="14">
        <f>IF(OR(A37="",C37&lt;&gt;"労働日"),0,MAX(0,MOD(E37-D37,1)*24-F37/60))</f>
        <v>8</v>
      </c>
      <c r="H37" s="15">
        <f>IF(A37="","",INT((A37-$B$4)/7)+1)</f>
        <v>4</v>
      </c>
      <c r="I37" s="16">
        <f>IF(AND(A37&lt;&gt;"",C37="労働日"),I36+1,0)</f>
        <v>1</v>
      </c>
      <c r="J37" s="16">
        <f>IF(AND(A37&lt;&gt;"",ISNUMBER($B$7),ISNUMBER($B$8)),IF(AND(A37&gt;=$B$7,A37&lt;=$B$8),1,0),0)</f>
        <v>0</v>
      </c>
    </row>
    <row r="38">
      <c r="A38" s="9">
        <f>IF(ISNUMBER($B$4),IF(ISNUMBER($B$5),IF($B$4+26&lt;=$B$5,$B$4+26,""),""),"")</f>
        <v>46322</v>
      </c>
      <c r="B38" s="10" t="str">
        <f>IF(A38="","",CHOOSE(WEEKDAY(A38),"日","月","火","水","木","金","土"))</f>
        <v>火</v>
      </c>
      <c r="C38" s="11" t="inlineStr">
        <is>
          <t>労働日</t>
        </is>
      </c>
      <c r="D38" s="12" t="n">
        <v>0.375</v>
      </c>
      <c r="E38" s="12" t="n">
        <v>0.75</v>
      </c>
      <c r="F38" s="13" t="n">
        <v>60</v>
      </c>
      <c r="G38" s="14">
        <f>IF(OR(A38="",C38&lt;&gt;"労働日"),0,MAX(0,MOD(E38-D38,1)*24-F38/60))</f>
        <v>8</v>
      </c>
      <c r="H38" s="15">
        <f>IF(A38="","",INT((A38-$B$4)/7)+1)</f>
        <v>4</v>
      </c>
      <c r="I38" s="16">
        <f>IF(AND(A38&lt;&gt;"",C38="労働日"),I37+1,0)</f>
        <v>2</v>
      </c>
      <c r="J38" s="16">
        <f>IF(AND(A38&lt;&gt;"",ISNUMBER($B$7),ISNUMBER($B$8)),IF(AND(A38&gt;=$B$7,A38&lt;=$B$8),1,0),0)</f>
        <v>0</v>
      </c>
    </row>
    <row r="39">
      <c r="A39" s="9">
        <f>IF(ISNUMBER($B$4),IF(ISNUMBER($B$5),IF($B$4+27&lt;=$B$5,$B$4+27,""),""),"")</f>
        <v>46323</v>
      </c>
      <c r="B39" s="10" t="str">
        <f>IF(A39="","",CHOOSE(WEEKDAY(A39),"日","月","火","水","木","金","土"))</f>
        <v>水</v>
      </c>
      <c r="C39" s="11" t="inlineStr">
        <is>
          <t>労働日</t>
        </is>
      </c>
      <c r="D39" s="12" t="n">
        <v>0.375</v>
      </c>
      <c r="E39" s="12" t="n">
        <v>0.75</v>
      </c>
      <c r="F39" s="13" t="n">
        <v>60</v>
      </c>
      <c r="G39" s="14">
        <f>IF(OR(A39="",C39&lt;&gt;"労働日"),0,MAX(0,MOD(E39-D39,1)*24-F39/60))</f>
        <v>8</v>
      </c>
      <c r="H39" s="15">
        <f>IF(A39="","",INT((A39-$B$4)/7)+1)</f>
        <v>4</v>
      </c>
      <c r="I39" s="16">
        <f>IF(AND(A39&lt;&gt;"",C39="労働日"),I38+1,0)</f>
        <v>3</v>
      </c>
      <c r="J39" s="16">
        <f>IF(AND(A39&lt;&gt;"",ISNUMBER($B$7),ISNUMBER($B$8)),IF(AND(A39&gt;=$B$7,A39&lt;=$B$8),1,0),0)</f>
        <v>0</v>
      </c>
    </row>
    <row r="40">
      <c r="A40" s="9">
        <f>IF(ISNUMBER($B$4),IF(ISNUMBER($B$5),IF($B$4+28&lt;=$B$5,$B$4+28,""),""),"")</f>
        <v>46324</v>
      </c>
      <c r="B40" s="10" t="str">
        <f>IF(A40="","",CHOOSE(WEEKDAY(A40),"日","月","火","水","木","金","土"))</f>
        <v>木</v>
      </c>
      <c r="C40" s="11" t="inlineStr">
        <is>
          <t>労働日</t>
        </is>
      </c>
      <c r="D40" s="12" t="n">
        <v>0.375</v>
      </c>
      <c r="E40" s="12" t="n">
        <v>0.75</v>
      </c>
      <c r="F40" s="13" t="n">
        <v>60</v>
      </c>
      <c r="G40" s="14">
        <f>IF(OR(A40="",C40&lt;&gt;"労働日"),0,MAX(0,MOD(E40-D40,1)*24-F40/60))</f>
        <v>8</v>
      </c>
      <c r="H40" s="15">
        <f>IF(A40="","",INT((A40-$B$4)/7)+1)</f>
        <v>5</v>
      </c>
      <c r="I40" s="16">
        <f>IF(AND(A40&lt;&gt;"",C40="労働日"),I39+1,0)</f>
        <v>4</v>
      </c>
      <c r="J40" s="16">
        <f>IF(AND(A40&lt;&gt;"",ISNUMBER($B$7),ISNUMBER($B$8)),IF(AND(A40&gt;=$B$7,A40&lt;=$B$8),1,0),0)</f>
        <v>0</v>
      </c>
    </row>
    <row r="41">
      <c r="A41" s="9">
        <f>IF(ISNUMBER($B$4),IF(ISNUMBER($B$5),IF($B$4+29&lt;=$B$5,$B$4+29,""),""),"")</f>
        <v>46325</v>
      </c>
      <c r="B41" s="10" t="str">
        <f>IF(A41="","",CHOOSE(WEEKDAY(A41),"日","月","火","水","木","金","土"))</f>
        <v>金</v>
      </c>
      <c r="C41" s="11" t="inlineStr">
        <is>
          <t>労働日</t>
        </is>
      </c>
      <c r="D41" s="12" t="n">
        <v>0.375</v>
      </c>
      <c r="E41" s="12" t="n">
        <v>0.75</v>
      </c>
      <c r="F41" s="13" t="n">
        <v>60</v>
      </c>
      <c r="G41" s="14">
        <f>IF(OR(A41="",C41&lt;&gt;"労働日"),0,MAX(0,MOD(E41-D41,1)*24-F41/60))</f>
        <v>8</v>
      </c>
      <c r="H41" s="15">
        <f>IF(A41="","",INT((A41-$B$4)/7)+1)</f>
        <v>5</v>
      </c>
      <c r="I41" s="16">
        <f>IF(AND(A41&lt;&gt;"",C41="労働日"),I40+1,0)</f>
        <v>5</v>
      </c>
      <c r="J41" s="16">
        <f>IF(AND(A41&lt;&gt;"",ISNUMBER($B$7),ISNUMBER($B$8)),IF(AND(A41&gt;=$B$7,A41&lt;=$B$8),1,0),0)</f>
        <v>0</v>
      </c>
    </row>
    <row r="42">
      <c r="A42" s="9">
        <f>IF(ISNUMBER($B$4),IF(ISNUMBER($B$5),IF($B$4+30&lt;=$B$5,$B$4+30,""),""),"")</f>
        <v>46326</v>
      </c>
      <c r="B42" s="10" t="str">
        <f>IF(A42="","",CHOOSE(WEEKDAY(A42),"日","月","火","水","木","金","土"))</f>
        <v>土</v>
      </c>
      <c r="C42" s="11" t="inlineStr">
        <is>
          <t>休日</t>
        </is>
      </c>
      <c r="D42" s="12" t="n"/>
      <c r="E42" s="12" t="n"/>
      <c r="F42" s="13" t="n"/>
      <c r="G42" s="14">
        <f>IF(OR(A42="",C42&lt;&gt;"労働日"),0,MAX(0,MOD(E42-D42,1)*24-F42/60))</f>
        <v>0</v>
      </c>
      <c r="H42" s="15">
        <f>IF(A42="","",INT((A42-$B$4)/7)+1)</f>
        <v>5</v>
      </c>
      <c r="I42" s="16">
        <f>IF(AND(A42&lt;&gt;"",C42="労働日"),I41+1,0)</f>
        <v>0</v>
      </c>
      <c r="J42" s="16">
        <f>IF(AND(A42&lt;&gt;"",ISNUMBER($B$7),ISNUMBER($B$8)),IF(AND(A42&gt;=$B$7,A42&lt;=$B$8),1,0),0)</f>
        <v>0</v>
      </c>
    </row>
    <row r="43">
      <c r="A43" s="9">
        <f>IF(ISNUMBER($B$4),IF(ISNUMBER($B$5),IF($B$4+31&lt;=$B$5,$B$4+31,""),""),"")</f>
        <v>46327</v>
      </c>
      <c r="B43" s="10" t="str">
        <f>IF(A43="","",CHOOSE(WEEKDAY(A43),"日","月","火","水","木","金","土"))</f>
        <v>日</v>
      </c>
      <c r="C43" s="11" t="inlineStr">
        <is>
          <t>休日</t>
        </is>
      </c>
      <c r="D43" s="12" t="n"/>
      <c r="E43" s="12" t="n"/>
      <c r="F43" s="13" t="n"/>
      <c r="G43" s="14">
        <f>IF(OR(A43="",C43&lt;&gt;"労働日"),0,MAX(0,MOD(E43-D43,1)*24-F43/60))</f>
        <v>0</v>
      </c>
      <c r="H43" s="15">
        <f>IF(A43="","",INT((A43-$B$4)/7)+1)</f>
        <v>5</v>
      </c>
      <c r="I43" s="16">
        <f>IF(AND(A43&lt;&gt;"",C43="労働日"),I42+1,0)</f>
        <v>0</v>
      </c>
      <c r="J43" s="16">
        <f>IF(AND(A43&lt;&gt;"",ISNUMBER($B$7),ISNUMBER($B$8)),IF(AND(A43&gt;=$B$7,A43&lt;=$B$8),1,0),0)</f>
        <v>0</v>
      </c>
    </row>
    <row r="44">
      <c r="A44" s="9">
        <f>IF(ISNUMBER($B$4),IF(ISNUMBER($B$5),IF($B$4+32&lt;=$B$5,$B$4+32,""),""),"")</f>
        <v>46328</v>
      </c>
      <c r="B44" s="10" t="str">
        <f>IF(A44="","",CHOOSE(WEEKDAY(A44),"日","月","火","水","木","金","土"))</f>
        <v>月</v>
      </c>
      <c r="C44" s="11" t="inlineStr">
        <is>
          <t>労働日</t>
        </is>
      </c>
      <c r="D44" s="12" t="n">
        <v>0.375</v>
      </c>
      <c r="E44" s="12" t="n">
        <v>0.75</v>
      </c>
      <c r="F44" s="13" t="n">
        <v>60</v>
      </c>
      <c r="G44" s="14">
        <f>IF(OR(A44="",C44&lt;&gt;"労働日"),0,MAX(0,MOD(E44-D44,1)*24-F44/60))</f>
        <v>8</v>
      </c>
      <c r="H44" s="15">
        <f>IF(A44="","",INT((A44-$B$4)/7)+1)</f>
        <v>5</v>
      </c>
      <c r="I44" s="16">
        <f>IF(AND(A44&lt;&gt;"",C44="労働日"),I43+1,0)</f>
        <v>1</v>
      </c>
      <c r="J44" s="16">
        <f>IF(AND(A44&lt;&gt;"",ISNUMBER($B$7),ISNUMBER($B$8)),IF(AND(A44&gt;=$B$7,A44&lt;=$B$8),1,0),0)</f>
        <v>0</v>
      </c>
    </row>
    <row r="45">
      <c r="A45" s="9">
        <f>IF(ISNUMBER($B$4),IF(ISNUMBER($B$5),IF($B$4+33&lt;=$B$5,$B$4+33,""),""),"")</f>
        <v>46329</v>
      </c>
      <c r="B45" s="10" t="str">
        <f>IF(A45="","",CHOOSE(WEEKDAY(A45),"日","月","火","水","木","金","土"))</f>
        <v>火</v>
      </c>
      <c r="C45" s="11" t="inlineStr">
        <is>
          <t>休日</t>
        </is>
      </c>
      <c r="D45" s="12" t="n"/>
      <c r="E45" s="12" t="n"/>
      <c r="F45" s="13" t="n"/>
      <c r="G45" s="14">
        <f>IF(OR(A45="",C45&lt;&gt;"労働日"),0,MAX(0,MOD(E45-D45,1)*24-F45/60))</f>
        <v>0</v>
      </c>
      <c r="H45" s="15">
        <f>IF(A45="","",INT((A45-$B$4)/7)+1)</f>
        <v>5</v>
      </c>
      <c r="I45" s="16">
        <f>IF(AND(A45&lt;&gt;"",C45="労働日"),I44+1,0)</f>
        <v>0</v>
      </c>
      <c r="J45" s="16">
        <f>IF(AND(A45&lt;&gt;"",ISNUMBER($B$7),ISNUMBER($B$8)),IF(AND(A45&gt;=$B$7,A45&lt;=$B$8),1,0),0)</f>
        <v>0</v>
      </c>
    </row>
    <row r="46">
      <c r="A46" s="9">
        <f>IF(ISNUMBER($B$4),IF(ISNUMBER($B$5),IF($B$4+34&lt;=$B$5,$B$4+34,""),""),"")</f>
        <v>46330</v>
      </c>
      <c r="B46" s="10" t="str">
        <f>IF(A46="","",CHOOSE(WEEKDAY(A46),"日","月","火","水","木","金","土"))</f>
        <v>水</v>
      </c>
      <c r="C46" s="11" t="inlineStr">
        <is>
          <t>労働日</t>
        </is>
      </c>
      <c r="D46" s="12" t="n">
        <v>0.375</v>
      </c>
      <c r="E46" s="12" t="n">
        <v>0.75</v>
      </c>
      <c r="F46" s="13" t="n">
        <v>60</v>
      </c>
      <c r="G46" s="14">
        <f>IF(OR(A46="",C46&lt;&gt;"労働日"),0,MAX(0,MOD(E46-D46,1)*24-F46/60))</f>
        <v>8</v>
      </c>
      <c r="H46" s="15">
        <f>IF(A46="","",INT((A46-$B$4)/7)+1)</f>
        <v>5</v>
      </c>
      <c r="I46" s="16">
        <f>IF(AND(A46&lt;&gt;"",C46="労働日"),I45+1,0)</f>
        <v>1</v>
      </c>
      <c r="J46" s="16">
        <f>IF(AND(A46&lt;&gt;"",ISNUMBER($B$7),ISNUMBER($B$8)),IF(AND(A46&gt;=$B$7,A46&lt;=$B$8),1,0),0)</f>
        <v>0</v>
      </c>
    </row>
    <row r="47">
      <c r="A47" s="9">
        <f>IF(ISNUMBER($B$4),IF(ISNUMBER($B$5),IF($B$4+35&lt;=$B$5,$B$4+35,""),""),"")</f>
        <v>46331</v>
      </c>
      <c r="B47" s="10" t="str">
        <f>IF(A47="","",CHOOSE(WEEKDAY(A47),"日","月","火","水","木","金","土"))</f>
        <v>木</v>
      </c>
      <c r="C47" s="11" t="inlineStr">
        <is>
          <t>労働日</t>
        </is>
      </c>
      <c r="D47" s="12" t="n">
        <v>0.375</v>
      </c>
      <c r="E47" s="12" t="n">
        <v>0.75</v>
      </c>
      <c r="F47" s="13" t="n">
        <v>60</v>
      </c>
      <c r="G47" s="14">
        <f>IF(OR(A47="",C47&lt;&gt;"労働日"),0,MAX(0,MOD(E47-D47,1)*24-F47/60))</f>
        <v>8</v>
      </c>
      <c r="H47" s="15">
        <f>IF(A47="","",INT((A47-$B$4)/7)+1)</f>
        <v>6</v>
      </c>
      <c r="I47" s="16">
        <f>IF(AND(A47&lt;&gt;"",C47="労働日"),I46+1,0)</f>
        <v>2</v>
      </c>
      <c r="J47" s="16">
        <f>IF(AND(A47&lt;&gt;"",ISNUMBER($B$7),ISNUMBER($B$8)),IF(AND(A47&gt;=$B$7,A47&lt;=$B$8),1,0),0)</f>
        <v>0</v>
      </c>
    </row>
    <row r="48">
      <c r="A48" s="9">
        <f>IF(ISNUMBER($B$4),IF(ISNUMBER($B$5),IF($B$4+36&lt;=$B$5,$B$4+36,""),""),"")</f>
        <v>46332</v>
      </c>
      <c r="B48" s="10" t="str">
        <f>IF(A48="","",CHOOSE(WEEKDAY(A48),"日","月","火","水","木","金","土"))</f>
        <v>金</v>
      </c>
      <c r="C48" s="11" t="inlineStr">
        <is>
          <t>労働日</t>
        </is>
      </c>
      <c r="D48" s="12" t="n">
        <v>0.375</v>
      </c>
      <c r="E48" s="12" t="n">
        <v>0.75</v>
      </c>
      <c r="F48" s="13" t="n">
        <v>60</v>
      </c>
      <c r="G48" s="14">
        <f>IF(OR(A48="",C48&lt;&gt;"労働日"),0,MAX(0,MOD(E48-D48,1)*24-F48/60))</f>
        <v>8</v>
      </c>
      <c r="H48" s="15">
        <f>IF(A48="","",INT((A48-$B$4)/7)+1)</f>
        <v>6</v>
      </c>
      <c r="I48" s="16">
        <f>IF(AND(A48&lt;&gt;"",C48="労働日"),I47+1,0)</f>
        <v>3</v>
      </c>
      <c r="J48" s="16">
        <f>IF(AND(A48&lt;&gt;"",ISNUMBER($B$7),ISNUMBER($B$8)),IF(AND(A48&gt;=$B$7,A48&lt;=$B$8),1,0),0)</f>
        <v>0</v>
      </c>
    </row>
    <row r="49">
      <c r="A49" s="9">
        <f>IF(ISNUMBER($B$4),IF(ISNUMBER($B$5),IF($B$4+37&lt;=$B$5,$B$4+37,""),""),"")</f>
        <v>46333</v>
      </c>
      <c r="B49" s="10" t="str">
        <f>IF(A49="","",CHOOSE(WEEKDAY(A49),"日","月","火","水","木","金","土"))</f>
        <v>土</v>
      </c>
      <c r="C49" s="11" t="inlineStr">
        <is>
          <t>休日</t>
        </is>
      </c>
      <c r="D49" s="12" t="n"/>
      <c r="E49" s="12" t="n"/>
      <c r="F49" s="13" t="n"/>
      <c r="G49" s="14">
        <f>IF(OR(A49="",C49&lt;&gt;"労働日"),0,MAX(0,MOD(E49-D49,1)*24-F49/60))</f>
        <v>0</v>
      </c>
      <c r="H49" s="15">
        <f>IF(A49="","",INT((A49-$B$4)/7)+1)</f>
        <v>6</v>
      </c>
      <c r="I49" s="16">
        <f>IF(AND(A49&lt;&gt;"",C49="労働日"),I48+1,0)</f>
        <v>0</v>
      </c>
      <c r="J49" s="16">
        <f>IF(AND(A49&lt;&gt;"",ISNUMBER($B$7),ISNUMBER($B$8)),IF(AND(A49&gt;=$B$7,A49&lt;=$B$8),1,0),0)</f>
        <v>0</v>
      </c>
    </row>
    <row r="50">
      <c r="A50" s="9">
        <f>IF(ISNUMBER($B$4),IF(ISNUMBER($B$5),IF($B$4+38&lt;=$B$5,$B$4+38,""),""),"")</f>
        <v>46334</v>
      </c>
      <c r="B50" s="10" t="str">
        <f>IF(A50="","",CHOOSE(WEEKDAY(A50),"日","月","火","水","木","金","土"))</f>
        <v>日</v>
      </c>
      <c r="C50" s="11" t="inlineStr">
        <is>
          <t>休日</t>
        </is>
      </c>
      <c r="D50" s="12" t="n"/>
      <c r="E50" s="12" t="n"/>
      <c r="F50" s="13" t="n"/>
      <c r="G50" s="14">
        <f>IF(OR(A50="",C50&lt;&gt;"労働日"),0,MAX(0,MOD(E50-D50,1)*24-F50/60))</f>
        <v>0</v>
      </c>
      <c r="H50" s="15">
        <f>IF(A50="","",INT((A50-$B$4)/7)+1)</f>
        <v>6</v>
      </c>
      <c r="I50" s="16">
        <f>IF(AND(A50&lt;&gt;"",C50="労働日"),I49+1,0)</f>
        <v>0</v>
      </c>
      <c r="J50" s="16">
        <f>IF(AND(A50&lt;&gt;"",ISNUMBER($B$7),ISNUMBER($B$8)),IF(AND(A50&gt;=$B$7,A50&lt;=$B$8),1,0),0)</f>
        <v>0</v>
      </c>
    </row>
    <row r="51">
      <c r="A51" s="9">
        <f>IF(ISNUMBER($B$4),IF(ISNUMBER($B$5),IF($B$4+39&lt;=$B$5,$B$4+39,""),""),"")</f>
        <v>46335</v>
      </c>
      <c r="B51" s="10" t="str">
        <f>IF(A51="","",CHOOSE(WEEKDAY(A51),"日","月","火","水","木","金","土"))</f>
        <v>月</v>
      </c>
      <c r="C51" s="11" t="inlineStr">
        <is>
          <t>労働日</t>
        </is>
      </c>
      <c r="D51" s="12" t="n">
        <v>0.375</v>
      </c>
      <c r="E51" s="12" t="n">
        <v>0.75</v>
      </c>
      <c r="F51" s="13" t="n">
        <v>60</v>
      </c>
      <c r="G51" s="14">
        <f>IF(OR(A51="",C51&lt;&gt;"労働日"),0,MAX(0,MOD(E51-D51,1)*24-F51/60))</f>
        <v>8</v>
      </c>
      <c r="H51" s="15">
        <f>IF(A51="","",INT((A51-$B$4)/7)+1)</f>
        <v>6</v>
      </c>
      <c r="I51" s="16">
        <f>IF(AND(A51&lt;&gt;"",C51="労働日"),I50+1,0)</f>
        <v>1</v>
      </c>
      <c r="J51" s="16">
        <f>IF(AND(A51&lt;&gt;"",ISNUMBER($B$7),ISNUMBER($B$8)),IF(AND(A51&gt;=$B$7,A51&lt;=$B$8),1,0),0)</f>
        <v>0</v>
      </c>
    </row>
    <row r="52">
      <c r="A52" s="9">
        <f>IF(ISNUMBER($B$4),IF(ISNUMBER($B$5),IF($B$4+40&lt;=$B$5,$B$4+40,""),""),"")</f>
        <v>46336</v>
      </c>
      <c r="B52" s="10" t="str">
        <f>IF(A52="","",CHOOSE(WEEKDAY(A52),"日","月","火","水","木","金","土"))</f>
        <v>火</v>
      </c>
      <c r="C52" s="11" t="inlineStr">
        <is>
          <t>労働日</t>
        </is>
      </c>
      <c r="D52" s="12" t="n">
        <v>0.375</v>
      </c>
      <c r="E52" s="12" t="n">
        <v>0.75</v>
      </c>
      <c r="F52" s="13" t="n">
        <v>60</v>
      </c>
      <c r="G52" s="14">
        <f>IF(OR(A52="",C52&lt;&gt;"労働日"),0,MAX(0,MOD(E52-D52,1)*24-F52/60))</f>
        <v>8</v>
      </c>
      <c r="H52" s="15">
        <f>IF(A52="","",INT((A52-$B$4)/7)+1)</f>
        <v>6</v>
      </c>
      <c r="I52" s="16">
        <f>IF(AND(A52&lt;&gt;"",C52="労働日"),I51+1,0)</f>
        <v>2</v>
      </c>
      <c r="J52" s="16">
        <f>IF(AND(A52&lt;&gt;"",ISNUMBER($B$7),ISNUMBER($B$8)),IF(AND(A52&gt;=$B$7,A52&lt;=$B$8),1,0),0)</f>
        <v>0</v>
      </c>
    </row>
    <row r="53">
      <c r="A53" s="9">
        <f>IF(ISNUMBER($B$4),IF(ISNUMBER($B$5),IF($B$4+41&lt;=$B$5,$B$4+41,""),""),"")</f>
        <v>46337</v>
      </c>
      <c r="B53" s="10" t="str">
        <f>IF(A53="","",CHOOSE(WEEKDAY(A53),"日","月","火","水","木","金","土"))</f>
        <v>水</v>
      </c>
      <c r="C53" s="11" t="inlineStr">
        <is>
          <t>労働日</t>
        </is>
      </c>
      <c r="D53" s="12" t="n">
        <v>0.375</v>
      </c>
      <c r="E53" s="12" t="n">
        <v>0.75</v>
      </c>
      <c r="F53" s="13" t="n">
        <v>60</v>
      </c>
      <c r="G53" s="14">
        <f>IF(OR(A53="",C53&lt;&gt;"労働日"),0,MAX(0,MOD(E53-D53,1)*24-F53/60))</f>
        <v>8</v>
      </c>
      <c r="H53" s="15">
        <f>IF(A53="","",INT((A53-$B$4)/7)+1)</f>
        <v>6</v>
      </c>
      <c r="I53" s="16">
        <f>IF(AND(A53&lt;&gt;"",C53="労働日"),I52+1,0)</f>
        <v>3</v>
      </c>
      <c r="J53" s="16">
        <f>IF(AND(A53&lt;&gt;"",ISNUMBER($B$7),ISNUMBER($B$8)),IF(AND(A53&gt;=$B$7,A53&lt;=$B$8),1,0),0)</f>
        <v>0</v>
      </c>
    </row>
    <row r="54">
      <c r="A54" s="9">
        <f>IF(ISNUMBER($B$4),IF(ISNUMBER($B$5),IF($B$4+42&lt;=$B$5,$B$4+42,""),""),"")</f>
        <v>46338</v>
      </c>
      <c r="B54" s="10" t="str">
        <f>IF(A54="","",CHOOSE(WEEKDAY(A54),"日","月","火","水","木","金","土"))</f>
        <v>木</v>
      </c>
      <c r="C54" s="11" t="inlineStr">
        <is>
          <t>労働日</t>
        </is>
      </c>
      <c r="D54" s="12" t="n">
        <v>0.375</v>
      </c>
      <c r="E54" s="12" t="n">
        <v>0.75</v>
      </c>
      <c r="F54" s="13" t="n">
        <v>60</v>
      </c>
      <c r="G54" s="14">
        <f>IF(OR(A54="",C54&lt;&gt;"労働日"),0,MAX(0,MOD(E54-D54,1)*24-F54/60))</f>
        <v>8</v>
      </c>
      <c r="H54" s="15">
        <f>IF(A54="","",INT((A54-$B$4)/7)+1)</f>
        <v>7</v>
      </c>
      <c r="I54" s="16">
        <f>IF(AND(A54&lt;&gt;"",C54="労働日"),I53+1,0)</f>
        <v>4</v>
      </c>
      <c r="J54" s="16">
        <f>IF(AND(A54&lt;&gt;"",ISNUMBER($B$7),ISNUMBER($B$8)),IF(AND(A54&gt;=$B$7,A54&lt;=$B$8),1,0),0)</f>
        <v>0</v>
      </c>
    </row>
    <row r="55">
      <c r="A55" s="9">
        <f>IF(ISNUMBER($B$4),IF(ISNUMBER($B$5),IF($B$4+43&lt;=$B$5,$B$4+43,""),""),"")</f>
        <v>46339</v>
      </c>
      <c r="B55" s="10" t="str">
        <f>IF(A55="","",CHOOSE(WEEKDAY(A55),"日","月","火","水","木","金","土"))</f>
        <v>金</v>
      </c>
      <c r="C55" s="11" t="inlineStr">
        <is>
          <t>労働日</t>
        </is>
      </c>
      <c r="D55" s="12" t="n">
        <v>0.375</v>
      </c>
      <c r="E55" s="12" t="n">
        <v>0.75</v>
      </c>
      <c r="F55" s="13" t="n">
        <v>60</v>
      </c>
      <c r="G55" s="14">
        <f>IF(OR(A55="",C55&lt;&gt;"労働日"),0,MAX(0,MOD(E55-D55,1)*24-F55/60))</f>
        <v>8</v>
      </c>
      <c r="H55" s="15">
        <f>IF(A55="","",INT((A55-$B$4)/7)+1)</f>
        <v>7</v>
      </c>
      <c r="I55" s="16">
        <f>IF(AND(A55&lt;&gt;"",C55="労働日"),I54+1,0)</f>
        <v>5</v>
      </c>
      <c r="J55" s="16">
        <f>IF(AND(A55&lt;&gt;"",ISNUMBER($B$7),ISNUMBER($B$8)),IF(AND(A55&gt;=$B$7,A55&lt;=$B$8),1,0),0)</f>
        <v>0</v>
      </c>
    </row>
    <row r="56">
      <c r="A56" s="9">
        <f>IF(ISNUMBER($B$4),IF(ISNUMBER($B$5),IF($B$4+44&lt;=$B$5,$B$4+44,""),""),"")</f>
        <v>46340</v>
      </c>
      <c r="B56" s="10" t="str">
        <f>IF(A56="","",CHOOSE(WEEKDAY(A56),"日","月","火","水","木","金","土"))</f>
        <v>土</v>
      </c>
      <c r="C56" s="11" t="inlineStr">
        <is>
          <t>休日</t>
        </is>
      </c>
      <c r="D56" s="12" t="n"/>
      <c r="E56" s="12" t="n"/>
      <c r="F56" s="13" t="n"/>
      <c r="G56" s="14">
        <f>IF(OR(A56="",C56&lt;&gt;"労働日"),0,MAX(0,MOD(E56-D56,1)*24-F56/60))</f>
        <v>0</v>
      </c>
      <c r="H56" s="15">
        <f>IF(A56="","",INT((A56-$B$4)/7)+1)</f>
        <v>7</v>
      </c>
      <c r="I56" s="16">
        <f>IF(AND(A56&lt;&gt;"",C56="労働日"),I55+1,0)</f>
        <v>0</v>
      </c>
      <c r="J56" s="16">
        <f>IF(AND(A56&lt;&gt;"",ISNUMBER($B$7),ISNUMBER($B$8)),IF(AND(A56&gt;=$B$7,A56&lt;=$B$8),1,0),0)</f>
        <v>0</v>
      </c>
    </row>
    <row r="57">
      <c r="A57" s="9">
        <f>IF(ISNUMBER($B$4),IF(ISNUMBER($B$5),IF($B$4+45&lt;=$B$5,$B$4+45,""),""),"")</f>
        <v>46341</v>
      </c>
      <c r="B57" s="10" t="str">
        <f>IF(A57="","",CHOOSE(WEEKDAY(A57),"日","月","火","水","木","金","土"))</f>
        <v>日</v>
      </c>
      <c r="C57" s="11" t="inlineStr">
        <is>
          <t>休日</t>
        </is>
      </c>
      <c r="D57" s="12" t="n"/>
      <c r="E57" s="12" t="n"/>
      <c r="F57" s="13" t="n"/>
      <c r="G57" s="14">
        <f>IF(OR(A57="",C57&lt;&gt;"労働日"),0,MAX(0,MOD(E57-D57,1)*24-F57/60))</f>
        <v>0</v>
      </c>
      <c r="H57" s="15">
        <f>IF(A57="","",INT((A57-$B$4)/7)+1)</f>
        <v>7</v>
      </c>
      <c r="I57" s="16">
        <f>IF(AND(A57&lt;&gt;"",C57="労働日"),I56+1,0)</f>
        <v>0</v>
      </c>
      <c r="J57" s="16">
        <f>IF(AND(A57&lt;&gt;"",ISNUMBER($B$7),ISNUMBER($B$8)),IF(AND(A57&gt;=$B$7,A57&lt;=$B$8),1,0),0)</f>
        <v>0</v>
      </c>
    </row>
    <row r="58">
      <c r="A58" s="9">
        <f>IF(ISNUMBER($B$4),IF(ISNUMBER($B$5),IF($B$4+46&lt;=$B$5,$B$4+46,""),""),"")</f>
        <v>46342</v>
      </c>
      <c r="B58" s="10" t="str">
        <f>IF(A58="","",CHOOSE(WEEKDAY(A58),"日","月","火","水","木","金","土"))</f>
        <v>月</v>
      </c>
      <c r="C58" s="11" t="inlineStr">
        <is>
          <t>労働日</t>
        </is>
      </c>
      <c r="D58" s="12" t="n">
        <v>0.375</v>
      </c>
      <c r="E58" s="12" t="n">
        <v>0.75</v>
      </c>
      <c r="F58" s="13" t="n">
        <v>60</v>
      </c>
      <c r="G58" s="14">
        <f>IF(OR(A58="",C58&lt;&gt;"労働日"),0,MAX(0,MOD(E58-D58,1)*24-F58/60))</f>
        <v>8</v>
      </c>
      <c r="H58" s="15">
        <f>IF(A58="","",INT((A58-$B$4)/7)+1)</f>
        <v>7</v>
      </c>
      <c r="I58" s="16">
        <f>IF(AND(A58&lt;&gt;"",C58="労働日"),I57+1,0)</f>
        <v>1</v>
      </c>
      <c r="J58" s="16">
        <f>IF(AND(A58&lt;&gt;"",ISNUMBER($B$7),ISNUMBER($B$8)),IF(AND(A58&gt;=$B$7,A58&lt;=$B$8),1,0),0)</f>
        <v>0</v>
      </c>
    </row>
    <row r="59">
      <c r="A59" s="9">
        <f>IF(ISNUMBER($B$4),IF(ISNUMBER($B$5),IF($B$4+47&lt;=$B$5,$B$4+47,""),""),"")</f>
        <v>46343</v>
      </c>
      <c r="B59" s="10" t="str">
        <f>IF(A59="","",CHOOSE(WEEKDAY(A59),"日","月","火","水","木","金","土"))</f>
        <v>火</v>
      </c>
      <c r="C59" s="11" t="inlineStr">
        <is>
          <t>労働日</t>
        </is>
      </c>
      <c r="D59" s="12" t="n">
        <v>0.375</v>
      </c>
      <c r="E59" s="12" t="n">
        <v>0.75</v>
      </c>
      <c r="F59" s="13" t="n">
        <v>60</v>
      </c>
      <c r="G59" s="14">
        <f>IF(OR(A59="",C59&lt;&gt;"労働日"),0,MAX(0,MOD(E59-D59,1)*24-F59/60))</f>
        <v>8</v>
      </c>
      <c r="H59" s="15">
        <f>IF(A59="","",INT((A59-$B$4)/7)+1)</f>
        <v>7</v>
      </c>
      <c r="I59" s="16">
        <f>IF(AND(A59&lt;&gt;"",C59="労働日"),I58+1,0)</f>
        <v>2</v>
      </c>
      <c r="J59" s="16">
        <f>IF(AND(A59&lt;&gt;"",ISNUMBER($B$7),ISNUMBER($B$8)),IF(AND(A59&gt;=$B$7,A59&lt;=$B$8),1,0),0)</f>
        <v>0</v>
      </c>
    </row>
    <row r="60">
      <c r="A60" s="9">
        <f>IF(ISNUMBER($B$4),IF(ISNUMBER($B$5),IF($B$4+48&lt;=$B$5,$B$4+48,""),""),"")</f>
        <v>46344</v>
      </c>
      <c r="B60" s="10" t="str">
        <f>IF(A60="","",CHOOSE(WEEKDAY(A60),"日","月","火","水","木","金","土"))</f>
        <v>水</v>
      </c>
      <c r="C60" s="11" t="inlineStr">
        <is>
          <t>労働日</t>
        </is>
      </c>
      <c r="D60" s="12" t="n">
        <v>0.375</v>
      </c>
      <c r="E60" s="12" t="n">
        <v>0.75</v>
      </c>
      <c r="F60" s="13" t="n">
        <v>60</v>
      </c>
      <c r="G60" s="14">
        <f>IF(OR(A60="",C60&lt;&gt;"労働日"),0,MAX(0,MOD(E60-D60,1)*24-F60/60))</f>
        <v>8</v>
      </c>
      <c r="H60" s="15">
        <f>IF(A60="","",INT((A60-$B$4)/7)+1)</f>
        <v>7</v>
      </c>
      <c r="I60" s="16">
        <f>IF(AND(A60&lt;&gt;"",C60="労働日"),I59+1,0)</f>
        <v>3</v>
      </c>
      <c r="J60" s="16">
        <f>IF(AND(A60&lt;&gt;"",ISNUMBER($B$7),ISNUMBER($B$8)),IF(AND(A60&gt;=$B$7,A60&lt;=$B$8),1,0),0)</f>
        <v>0</v>
      </c>
    </row>
    <row r="61">
      <c r="A61" s="9">
        <f>IF(ISNUMBER($B$4),IF(ISNUMBER($B$5),IF($B$4+49&lt;=$B$5,$B$4+49,""),""),"")</f>
        <v>46345</v>
      </c>
      <c r="B61" s="10" t="str">
        <f>IF(A61="","",CHOOSE(WEEKDAY(A61),"日","月","火","水","木","金","土"))</f>
        <v>木</v>
      </c>
      <c r="C61" s="11" t="inlineStr">
        <is>
          <t>労働日</t>
        </is>
      </c>
      <c r="D61" s="12" t="n">
        <v>0.375</v>
      </c>
      <c r="E61" s="12" t="n">
        <v>0.75</v>
      </c>
      <c r="F61" s="13" t="n">
        <v>60</v>
      </c>
      <c r="G61" s="14">
        <f>IF(OR(A61="",C61&lt;&gt;"労働日"),0,MAX(0,MOD(E61-D61,1)*24-F61/60))</f>
        <v>8</v>
      </c>
      <c r="H61" s="15">
        <f>IF(A61="","",INT((A61-$B$4)/7)+1)</f>
        <v>8</v>
      </c>
      <c r="I61" s="16">
        <f>IF(AND(A61&lt;&gt;"",C61="労働日"),I60+1,0)</f>
        <v>4</v>
      </c>
      <c r="J61" s="16">
        <f>IF(AND(A61&lt;&gt;"",ISNUMBER($B$7),ISNUMBER($B$8)),IF(AND(A61&gt;=$B$7,A61&lt;=$B$8),1,0),0)</f>
        <v>0</v>
      </c>
    </row>
    <row r="62">
      <c r="A62" s="9">
        <f>IF(ISNUMBER($B$4),IF(ISNUMBER($B$5),IF($B$4+50&lt;=$B$5,$B$4+50,""),""),"")</f>
        <v>46346</v>
      </c>
      <c r="B62" s="10" t="str">
        <f>IF(A62="","",CHOOSE(WEEKDAY(A62),"日","月","火","水","木","金","土"))</f>
        <v>金</v>
      </c>
      <c r="C62" s="11" t="inlineStr">
        <is>
          <t>労働日</t>
        </is>
      </c>
      <c r="D62" s="12" t="n">
        <v>0.375</v>
      </c>
      <c r="E62" s="12" t="n">
        <v>0.75</v>
      </c>
      <c r="F62" s="13" t="n">
        <v>60</v>
      </c>
      <c r="G62" s="14">
        <f>IF(OR(A62="",C62&lt;&gt;"労働日"),0,MAX(0,MOD(E62-D62,1)*24-F62/60))</f>
        <v>8</v>
      </c>
      <c r="H62" s="15">
        <f>IF(A62="","",INT((A62-$B$4)/7)+1)</f>
        <v>8</v>
      </c>
      <c r="I62" s="16">
        <f>IF(AND(A62&lt;&gt;"",C62="労働日"),I61+1,0)</f>
        <v>5</v>
      </c>
      <c r="J62" s="16">
        <f>IF(AND(A62&lt;&gt;"",ISNUMBER($B$7),ISNUMBER($B$8)),IF(AND(A62&gt;=$B$7,A62&lt;=$B$8),1,0),0)</f>
        <v>0</v>
      </c>
    </row>
    <row r="63">
      <c r="A63" s="9">
        <f>IF(ISNUMBER($B$4),IF(ISNUMBER($B$5),IF($B$4+51&lt;=$B$5,$B$4+51,""),""),"")</f>
        <v>46347</v>
      </c>
      <c r="B63" s="10" t="str">
        <f>IF(A63="","",CHOOSE(WEEKDAY(A63),"日","月","火","水","木","金","土"))</f>
        <v>土</v>
      </c>
      <c r="C63" s="11" t="inlineStr">
        <is>
          <t>休日</t>
        </is>
      </c>
      <c r="D63" s="12" t="n"/>
      <c r="E63" s="12" t="n"/>
      <c r="F63" s="13" t="n"/>
      <c r="G63" s="14">
        <f>IF(OR(A63="",C63&lt;&gt;"労働日"),0,MAX(0,MOD(E63-D63,1)*24-F63/60))</f>
        <v>0</v>
      </c>
      <c r="H63" s="15">
        <f>IF(A63="","",INT((A63-$B$4)/7)+1)</f>
        <v>8</v>
      </c>
      <c r="I63" s="16">
        <f>IF(AND(A63&lt;&gt;"",C63="労働日"),I62+1,0)</f>
        <v>0</v>
      </c>
      <c r="J63" s="16">
        <f>IF(AND(A63&lt;&gt;"",ISNUMBER($B$7),ISNUMBER($B$8)),IF(AND(A63&gt;=$B$7,A63&lt;=$B$8),1,0),0)</f>
        <v>0</v>
      </c>
    </row>
    <row r="64">
      <c r="A64" s="9">
        <f>IF(ISNUMBER($B$4),IF(ISNUMBER($B$5),IF($B$4+52&lt;=$B$5,$B$4+52,""),""),"")</f>
        <v>46348</v>
      </c>
      <c r="B64" s="10" t="str">
        <f>IF(A64="","",CHOOSE(WEEKDAY(A64),"日","月","火","水","木","金","土"))</f>
        <v>日</v>
      </c>
      <c r="C64" s="11" t="inlineStr">
        <is>
          <t>休日</t>
        </is>
      </c>
      <c r="D64" s="12" t="n"/>
      <c r="E64" s="12" t="n"/>
      <c r="F64" s="13" t="n"/>
      <c r="G64" s="14">
        <f>IF(OR(A64="",C64&lt;&gt;"労働日"),0,MAX(0,MOD(E64-D64,1)*24-F64/60))</f>
        <v>0</v>
      </c>
      <c r="H64" s="15">
        <f>IF(A64="","",INT((A64-$B$4)/7)+1)</f>
        <v>8</v>
      </c>
      <c r="I64" s="16">
        <f>IF(AND(A64&lt;&gt;"",C64="労働日"),I63+1,0)</f>
        <v>0</v>
      </c>
      <c r="J64" s="16">
        <f>IF(AND(A64&lt;&gt;"",ISNUMBER($B$7),ISNUMBER($B$8)),IF(AND(A64&gt;=$B$7,A64&lt;=$B$8),1,0),0)</f>
        <v>0</v>
      </c>
    </row>
    <row r="65">
      <c r="A65" s="9">
        <f>IF(ISNUMBER($B$4),IF(ISNUMBER($B$5),IF($B$4+53&lt;=$B$5,$B$4+53,""),""),"")</f>
        <v>46349</v>
      </c>
      <c r="B65" s="10" t="str">
        <f>IF(A65="","",CHOOSE(WEEKDAY(A65),"日","月","火","水","木","金","土"))</f>
        <v>月</v>
      </c>
      <c r="C65" s="11" t="inlineStr">
        <is>
          <t>休日</t>
        </is>
      </c>
      <c r="D65" s="12" t="n"/>
      <c r="E65" s="12" t="n"/>
      <c r="F65" s="13" t="n"/>
      <c r="G65" s="14">
        <f>IF(OR(A65="",C65&lt;&gt;"労働日"),0,MAX(0,MOD(E65-D65,1)*24-F65/60))</f>
        <v>0</v>
      </c>
      <c r="H65" s="15">
        <f>IF(A65="","",INT((A65-$B$4)/7)+1)</f>
        <v>8</v>
      </c>
      <c r="I65" s="16">
        <f>IF(AND(A65&lt;&gt;"",C65="労働日"),I64+1,0)</f>
        <v>0</v>
      </c>
      <c r="J65" s="16">
        <f>IF(AND(A65&lt;&gt;"",ISNUMBER($B$7),ISNUMBER($B$8)),IF(AND(A65&gt;=$B$7,A65&lt;=$B$8),1,0),0)</f>
        <v>0</v>
      </c>
    </row>
    <row r="66">
      <c r="A66" s="9">
        <f>IF(ISNUMBER($B$4),IF(ISNUMBER($B$5),IF($B$4+54&lt;=$B$5,$B$4+54,""),""),"")</f>
        <v>46350</v>
      </c>
      <c r="B66" s="10" t="str">
        <f>IF(A66="","",CHOOSE(WEEKDAY(A66),"日","月","火","水","木","金","土"))</f>
        <v>火</v>
      </c>
      <c r="C66" s="11" t="inlineStr">
        <is>
          <t>労働日</t>
        </is>
      </c>
      <c r="D66" s="12" t="n">
        <v>0.375</v>
      </c>
      <c r="E66" s="12" t="n">
        <v>0.75</v>
      </c>
      <c r="F66" s="13" t="n">
        <v>60</v>
      </c>
      <c r="G66" s="14">
        <f>IF(OR(A66="",C66&lt;&gt;"労働日"),0,MAX(0,MOD(E66-D66,1)*24-F66/60))</f>
        <v>8</v>
      </c>
      <c r="H66" s="15">
        <f>IF(A66="","",INT((A66-$B$4)/7)+1)</f>
        <v>8</v>
      </c>
      <c r="I66" s="16">
        <f>IF(AND(A66&lt;&gt;"",C66="労働日"),I65+1,0)</f>
        <v>1</v>
      </c>
      <c r="J66" s="16">
        <f>IF(AND(A66&lt;&gt;"",ISNUMBER($B$7),ISNUMBER($B$8)),IF(AND(A66&gt;=$B$7,A66&lt;=$B$8),1,0),0)</f>
        <v>0</v>
      </c>
    </row>
    <row r="67">
      <c r="A67" s="9">
        <f>IF(ISNUMBER($B$4),IF(ISNUMBER($B$5),IF($B$4+55&lt;=$B$5,$B$4+55,""),""),"")</f>
        <v>46351</v>
      </c>
      <c r="B67" s="10" t="str">
        <f>IF(A67="","",CHOOSE(WEEKDAY(A67),"日","月","火","水","木","金","土"))</f>
        <v>水</v>
      </c>
      <c r="C67" s="11" t="inlineStr">
        <is>
          <t>労働日</t>
        </is>
      </c>
      <c r="D67" s="12" t="n">
        <v>0.375</v>
      </c>
      <c r="E67" s="12" t="n">
        <v>0.75</v>
      </c>
      <c r="F67" s="13" t="n">
        <v>60</v>
      </c>
      <c r="G67" s="14">
        <f>IF(OR(A67="",C67&lt;&gt;"労働日"),0,MAX(0,MOD(E67-D67,1)*24-F67/60))</f>
        <v>8</v>
      </c>
      <c r="H67" s="15">
        <f>IF(A67="","",INT((A67-$B$4)/7)+1)</f>
        <v>8</v>
      </c>
      <c r="I67" s="16">
        <f>IF(AND(A67&lt;&gt;"",C67="労働日"),I66+1,0)</f>
        <v>2</v>
      </c>
      <c r="J67" s="16">
        <f>IF(AND(A67&lt;&gt;"",ISNUMBER($B$7),ISNUMBER($B$8)),IF(AND(A67&gt;=$B$7,A67&lt;=$B$8),1,0),0)</f>
        <v>0</v>
      </c>
    </row>
    <row r="68">
      <c r="A68" s="9">
        <f>IF(ISNUMBER($B$4),IF(ISNUMBER($B$5),IF($B$4+56&lt;=$B$5,$B$4+56,""),""),"")</f>
        <v>46352</v>
      </c>
      <c r="B68" s="10" t="str">
        <f>IF(A68="","",CHOOSE(WEEKDAY(A68),"日","月","火","水","木","金","土"))</f>
        <v>木</v>
      </c>
      <c r="C68" s="11" t="inlineStr">
        <is>
          <t>労働日</t>
        </is>
      </c>
      <c r="D68" s="12" t="n">
        <v>0.375</v>
      </c>
      <c r="E68" s="12" t="n">
        <v>0.75</v>
      </c>
      <c r="F68" s="13" t="n">
        <v>60</v>
      </c>
      <c r="G68" s="14">
        <f>IF(OR(A68="",C68&lt;&gt;"労働日"),0,MAX(0,MOD(E68-D68,1)*24-F68/60))</f>
        <v>8</v>
      </c>
      <c r="H68" s="15">
        <f>IF(A68="","",INT((A68-$B$4)/7)+1)</f>
        <v>9</v>
      </c>
      <c r="I68" s="16">
        <f>IF(AND(A68&lt;&gt;"",C68="労働日"),I67+1,0)</f>
        <v>3</v>
      </c>
      <c r="J68" s="16">
        <f>IF(AND(A68&lt;&gt;"",ISNUMBER($B$7),ISNUMBER($B$8)),IF(AND(A68&gt;=$B$7,A68&lt;=$B$8),1,0),0)</f>
        <v>0</v>
      </c>
    </row>
    <row r="69">
      <c r="A69" s="9">
        <f>IF(ISNUMBER($B$4),IF(ISNUMBER($B$5),IF($B$4+57&lt;=$B$5,$B$4+57,""),""),"")</f>
        <v>46353</v>
      </c>
      <c r="B69" s="10" t="str">
        <f>IF(A69="","",CHOOSE(WEEKDAY(A69),"日","月","火","水","木","金","土"))</f>
        <v>金</v>
      </c>
      <c r="C69" s="11" t="inlineStr">
        <is>
          <t>労働日</t>
        </is>
      </c>
      <c r="D69" s="12" t="n">
        <v>0.375</v>
      </c>
      <c r="E69" s="12" t="n">
        <v>0.75</v>
      </c>
      <c r="F69" s="13" t="n">
        <v>60</v>
      </c>
      <c r="G69" s="14">
        <f>IF(OR(A69="",C69&lt;&gt;"労働日"),0,MAX(0,MOD(E69-D69,1)*24-F69/60))</f>
        <v>8</v>
      </c>
      <c r="H69" s="15">
        <f>IF(A69="","",INT((A69-$B$4)/7)+1)</f>
        <v>9</v>
      </c>
      <c r="I69" s="16">
        <f>IF(AND(A69&lt;&gt;"",C69="労働日"),I68+1,0)</f>
        <v>4</v>
      </c>
      <c r="J69" s="16">
        <f>IF(AND(A69&lt;&gt;"",ISNUMBER($B$7),ISNUMBER($B$8)),IF(AND(A69&gt;=$B$7,A69&lt;=$B$8),1,0),0)</f>
        <v>0</v>
      </c>
    </row>
    <row r="70">
      <c r="A70" s="9">
        <f>IF(ISNUMBER($B$4),IF(ISNUMBER($B$5),IF($B$4+58&lt;=$B$5,$B$4+58,""),""),"")</f>
        <v>46354</v>
      </c>
      <c r="B70" s="10" t="str">
        <f>IF(A70="","",CHOOSE(WEEKDAY(A70),"日","月","火","水","木","金","土"))</f>
        <v>土</v>
      </c>
      <c r="C70" s="11" t="inlineStr">
        <is>
          <t>休日</t>
        </is>
      </c>
      <c r="D70" s="12" t="n"/>
      <c r="E70" s="12" t="n"/>
      <c r="F70" s="13" t="n"/>
      <c r="G70" s="14">
        <f>IF(OR(A70="",C70&lt;&gt;"労働日"),0,MAX(0,MOD(E70-D70,1)*24-F70/60))</f>
        <v>0</v>
      </c>
      <c r="H70" s="15">
        <f>IF(A70="","",INT((A70-$B$4)/7)+1)</f>
        <v>9</v>
      </c>
      <c r="I70" s="16">
        <f>IF(AND(A70&lt;&gt;"",C70="労働日"),I69+1,0)</f>
        <v>0</v>
      </c>
      <c r="J70" s="16">
        <f>IF(AND(A70&lt;&gt;"",ISNUMBER($B$7),ISNUMBER($B$8)),IF(AND(A70&gt;=$B$7,A70&lt;=$B$8),1,0),0)</f>
        <v>0</v>
      </c>
    </row>
    <row r="71">
      <c r="A71" s="9">
        <f>IF(ISNUMBER($B$4),IF(ISNUMBER($B$5),IF($B$4+59&lt;=$B$5,$B$4+59,""),""),"")</f>
        <v>46355</v>
      </c>
      <c r="B71" s="10" t="str">
        <f>IF(A71="","",CHOOSE(WEEKDAY(A71),"日","月","火","水","木","金","土"))</f>
        <v>日</v>
      </c>
      <c r="C71" s="11" t="inlineStr">
        <is>
          <t>休日</t>
        </is>
      </c>
      <c r="D71" s="12" t="n"/>
      <c r="E71" s="12" t="n"/>
      <c r="F71" s="13" t="n"/>
      <c r="G71" s="14">
        <f>IF(OR(A71="",C71&lt;&gt;"労働日"),0,MAX(0,MOD(E71-D71,1)*24-F71/60))</f>
        <v>0</v>
      </c>
      <c r="H71" s="15">
        <f>IF(A71="","",INT((A71-$B$4)/7)+1)</f>
        <v>9</v>
      </c>
      <c r="I71" s="16">
        <f>IF(AND(A71&lt;&gt;"",C71="労働日"),I70+1,0)</f>
        <v>0</v>
      </c>
      <c r="J71" s="16">
        <f>IF(AND(A71&lt;&gt;"",ISNUMBER($B$7),ISNUMBER($B$8)),IF(AND(A71&gt;=$B$7,A71&lt;=$B$8),1,0),0)</f>
        <v>0</v>
      </c>
    </row>
    <row r="72">
      <c r="A72" s="9">
        <f>IF(ISNUMBER($B$4),IF(ISNUMBER($B$5),IF($B$4+60&lt;=$B$5,$B$4+60,""),""),"")</f>
        <v>46356</v>
      </c>
      <c r="B72" s="10" t="str">
        <f>IF(A72="","",CHOOSE(WEEKDAY(A72),"日","月","火","水","木","金","土"))</f>
        <v>月</v>
      </c>
      <c r="C72" s="11" t="inlineStr">
        <is>
          <t>労働日</t>
        </is>
      </c>
      <c r="D72" s="12" t="n">
        <v>0.375</v>
      </c>
      <c r="E72" s="12" t="n">
        <v>0.75</v>
      </c>
      <c r="F72" s="13" t="n">
        <v>60</v>
      </c>
      <c r="G72" s="14">
        <f>IF(OR(A72="",C72&lt;&gt;"労働日"),0,MAX(0,MOD(E72-D72,1)*24-F72/60))</f>
        <v>8</v>
      </c>
      <c r="H72" s="15">
        <f>IF(A72="","",INT((A72-$B$4)/7)+1)</f>
        <v>9</v>
      </c>
      <c r="I72" s="16">
        <f>IF(AND(A72&lt;&gt;"",C72="労働日"),I71+1,0)</f>
        <v>1</v>
      </c>
      <c r="J72" s="16">
        <f>IF(AND(A72&lt;&gt;"",ISNUMBER($B$7),ISNUMBER($B$8)),IF(AND(A72&gt;=$B$7,A72&lt;=$B$8),1,0),0)</f>
        <v>0</v>
      </c>
    </row>
    <row r="73">
      <c r="A73" s="9">
        <f>IF(ISNUMBER($B$4),IF(ISNUMBER($B$5),IF($B$4+61&lt;=$B$5,$B$4+61,""),""),"")</f>
        <v>46357</v>
      </c>
      <c r="B73" s="10" t="str">
        <f>IF(A73="","",CHOOSE(WEEKDAY(A73),"日","月","火","水","木","金","土"))</f>
        <v>火</v>
      </c>
      <c r="C73" s="11" t="inlineStr">
        <is>
          <t>労働日</t>
        </is>
      </c>
      <c r="D73" s="12" t="n">
        <v>0.375</v>
      </c>
      <c r="E73" s="12" t="n">
        <v>0.8125</v>
      </c>
      <c r="F73" s="13" t="n">
        <v>60</v>
      </c>
      <c r="G73" s="14">
        <f>IF(OR(A73="",C73&lt;&gt;"労働日"),0,MAX(0,MOD(E73-D73,1)*24-F73/60))</f>
        <v>9.5</v>
      </c>
      <c r="H73" s="15">
        <f>IF(A73="","",INT((A73-$B$4)/7)+1)</f>
        <v>9</v>
      </c>
      <c r="I73" s="16">
        <f>IF(AND(A73&lt;&gt;"",C73="労働日"),I72+1,0)</f>
        <v>2</v>
      </c>
      <c r="J73" s="16">
        <f>IF(AND(A73&lt;&gt;"",ISNUMBER($B$7),ISNUMBER($B$8)),IF(AND(A73&gt;=$B$7,A73&lt;=$B$8),1,0),0)</f>
        <v>1</v>
      </c>
    </row>
    <row r="74">
      <c r="A74" s="9">
        <f>IF(ISNUMBER($B$4),IF(ISNUMBER($B$5),IF($B$4+62&lt;=$B$5,$B$4+62,""),""),"")</f>
        <v>46358</v>
      </c>
      <c r="B74" s="10" t="str">
        <f>IF(A74="","",CHOOSE(WEEKDAY(A74),"日","月","火","水","木","金","土"))</f>
        <v>水</v>
      </c>
      <c r="C74" s="11" t="inlineStr">
        <is>
          <t>労働日</t>
        </is>
      </c>
      <c r="D74" s="12" t="n">
        <v>0.375</v>
      </c>
      <c r="E74" s="12" t="n">
        <v>0.8125</v>
      </c>
      <c r="F74" s="13" t="n">
        <v>60</v>
      </c>
      <c r="G74" s="14">
        <f>IF(OR(A74="",C74&lt;&gt;"労働日"),0,MAX(0,MOD(E74-D74,1)*24-F74/60))</f>
        <v>9.5</v>
      </c>
      <c r="H74" s="15">
        <f>IF(A74="","",INT((A74-$B$4)/7)+1)</f>
        <v>9</v>
      </c>
      <c r="I74" s="16">
        <f>IF(AND(A74&lt;&gt;"",C74="労働日"),I73+1,0)</f>
        <v>3</v>
      </c>
      <c r="J74" s="16">
        <f>IF(AND(A74&lt;&gt;"",ISNUMBER($B$7),ISNUMBER($B$8)),IF(AND(A74&gt;=$B$7,A74&lt;=$B$8),1,0),0)</f>
        <v>1</v>
      </c>
    </row>
    <row r="75">
      <c r="A75" s="9">
        <f>IF(ISNUMBER($B$4),IF(ISNUMBER($B$5),IF($B$4+63&lt;=$B$5,$B$4+63,""),""),"")</f>
        <v>46359</v>
      </c>
      <c r="B75" s="10" t="str">
        <f>IF(A75="","",CHOOSE(WEEKDAY(A75),"日","月","火","水","木","金","土"))</f>
        <v>木</v>
      </c>
      <c r="C75" s="11" t="inlineStr">
        <is>
          <t>労働日</t>
        </is>
      </c>
      <c r="D75" s="12" t="n">
        <v>0.375</v>
      </c>
      <c r="E75" s="12" t="n">
        <v>0.8125</v>
      </c>
      <c r="F75" s="13" t="n">
        <v>60</v>
      </c>
      <c r="G75" s="14">
        <f>IF(OR(A75="",C75&lt;&gt;"労働日"),0,MAX(0,MOD(E75-D75,1)*24-F75/60))</f>
        <v>9.5</v>
      </c>
      <c r="H75" s="15">
        <f>IF(A75="","",INT((A75-$B$4)/7)+1)</f>
        <v>10</v>
      </c>
      <c r="I75" s="16">
        <f>IF(AND(A75&lt;&gt;"",C75="労働日"),I74+1,0)</f>
        <v>4</v>
      </c>
      <c r="J75" s="16">
        <f>IF(AND(A75&lt;&gt;"",ISNUMBER($B$7),ISNUMBER($B$8)),IF(AND(A75&gt;=$B$7,A75&lt;=$B$8),1,0),0)</f>
        <v>1</v>
      </c>
    </row>
    <row r="76">
      <c r="A76" s="9">
        <f>IF(ISNUMBER($B$4),IF(ISNUMBER($B$5),IF($B$4+64&lt;=$B$5,$B$4+64,""),""),"")</f>
        <v>46360</v>
      </c>
      <c r="B76" s="10" t="str">
        <f>IF(A76="","",CHOOSE(WEEKDAY(A76),"日","月","火","水","木","金","土"))</f>
        <v>金</v>
      </c>
      <c r="C76" s="11" t="inlineStr">
        <is>
          <t>労働日</t>
        </is>
      </c>
      <c r="D76" s="12" t="n">
        <v>0.375</v>
      </c>
      <c r="E76" s="12" t="n">
        <v>0.8125</v>
      </c>
      <c r="F76" s="13" t="n">
        <v>60</v>
      </c>
      <c r="G76" s="14">
        <f>IF(OR(A76="",C76&lt;&gt;"労働日"),0,MAX(0,MOD(E76-D76,1)*24-F76/60))</f>
        <v>9.5</v>
      </c>
      <c r="H76" s="15">
        <f>IF(A76="","",INT((A76-$B$4)/7)+1)</f>
        <v>10</v>
      </c>
      <c r="I76" s="16">
        <f>IF(AND(A76&lt;&gt;"",C76="労働日"),I75+1,0)</f>
        <v>5</v>
      </c>
      <c r="J76" s="16">
        <f>IF(AND(A76&lt;&gt;"",ISNUMBER($B$7),ISNUMBER($B$8)),IF(AND(A76&gt;=$B$7,A76&lt;=$B$8),1,0),0)</f>
        <v>1</v>
      </c>
    </row>
    <row r="77">
      <c r="A77" s="9">
        <f>IF(ISNUMBER($B$4),IF(ISNUMBER($B$5),IF($B$4+65&lt;=$B$5,$B$4+65,""),""),"")</f>
        <v>46361</v>
      </c>
      <c r="B77" s="10" t="str">
        <f>IF(A77="","",CHOOSE(WEEKDAY(A77),"日","月","火","水","木","金","土"))</f>
        <v>土</v>
      </c>
      <c r="C77" s="11" t="inlineStr">
        <is>
          <t>休日</t>
        </is>
      </c>
      <c r="D77" s="12" t="n"/>
      <c r="E77" s="12" t="n"/>
      <c r="F77" s="13" t="n"/>
      <c r="G77" s="14">
        <f>IF(OR(A77="",C77&lt;&gt;"労働日"),0,MAX(0,MOD(E77-D77,1)*24-F77/60))</f>
        <v>0</v>
      </c>
      <c r="H77" s="15">
        <f>IF(A77="","",INT((A77-$B$4)/7)+1)</f>
        <v>10</v>
      </c>
      <c r="I77" s="16">
        <f>IF(AND(A77&lt;&gt;"",C77="労働日"),I76+1,0)</f>
        <v>0</v>
      </c>
      <c r="J77" s="16">
        <f>IF(AND(A77&lt;&gt;"",ISNUMBER($B$7),ISNUMBER($B$8)),IF(AND(A77&gt;=$B$7,A77&lt;=$B$8),1,0),0)</f>
        <v>1</v>
      </c>
    </row>
    <row r="78">
      <c r="A78" s="9">
        <f>IF(ISNUMBER($B$4),IF(ISNUMBER($B$5),IF($B$4+66&lt;=$B$5,$B$4+66,""),""),"")</f>
        <v>46362</v>
      </c>
      <c r="B78" s="10" t="str">
        <f>IF(A78="","",CHOOSE(WEEKDAY(A78),"日","月","火","水","木","金","土"))</f>
        <v>日</v>
      </c>
      <c r="C78" s="11" t="inlineStr">
        <is>
          <t>休日</t>
        </is>
      </c>
      <c r="D78" s="12" t="n"/>
      <c r="E78" s="12" t="n"/>
      <c r="F78" s="13" t="n"/>
      <c r="G78" s="14">
        <f>IF(OR(A78="",C78&lt;&gt;"労働日"),0,MAX(0,MOD(E78-D78,1)*24-F78/60))</f>
        <v>0</v>
      </c>
      <c r="H78" s="15">
        <f>IF(A78="","",INT((A78-$B$4)/7)+1)</f>
        <v>10</v>
      </c>
      <c r="I78" s="16">
        <f>IF(AND(A78&lt;&gt;"",C78="労働日"),I77+1,0)</f>
        <v>0</v>
      </c>
      <c r="J78" s="16">
        <f>IF(AND(A78&lt;&gt;"",ISNUMBER($B$7),ISNUMBER($B$8)),IF(AND(A78&gt;=$B$7,A78&lt;=$B$8),1,0),0)</f>
        <v>1</v>
      </c>
    </row>
    <row r="79">
      <c r="A79" s="9">
        <f>IF(ISNUMBER($B$4),IF(ISNUMBER($B$5),IF($B$4+67&lt;=$B$5,$B$4+67,""),""),"")</f>
        <v>46363</v>
      </c>
      <c r="B79" s="10" t="str">
        <f>IF(A79="","",CHOOSE(WEEKDAY(A79),"日","月","火","水","木","金","土"))</f>
        <v>月</v>
      </c>
      <c r="C79" s="11" t="inlineStr">
        <is>
          <t>労働日</t>
        </is>
      </c>
      <c r="D79" s="12" t="n">
        <v>0.375</v>
      </c>
      <c r="E79" s="12" t="n">
        <v>0.8125</v>
      </c>
      <c r="F79" s="13" t="n">
        <v>60</v>
      </c>
      <c r="G79" s="14">
        <f>IF(OR(A79="",C79&lt;&gt;"労働日"),0,MAX(0,MOD(E79-D79,1)*24-F79/60))</f>
        <v>9.5</v>
      </c>
      <c r="H79" s="15">
        <f>IF(A79="","",INT((A79-$B$4)/7)+1)</f>
        <v>10</v>
      </c>
      <c r="I79" s="16">
        <f>IF(AND(A79&lt;&gt;"",C79="労働日"),I78+1,0)</f>
        <v>1</v>
      </c>
      <c r="J79" s="16">
        <f>IF(AND(A79&lt;&gt;"",ISNUMBER($B$7),ISNUMBER($B$8)),IF(AND(A79&gt;=$B$7,A79&lt;=$B$8),1,0),0)</f>
        <v>1</v>
      </c>
    </row>
    <row r="80">
      <c r="A80" s="9">
        <f>IF(ISNUMBER($B$4),IF(ISNUMBER($B$5),IF($B$4+68&lt;=$B$5,$B$4+68,""),""),"")</f>
        <v>46364</v>
      </c>
      <c r="B80" s="10" t="str">
        <f>IF(A80="","",CHOOSE(WEEKDAY(A80),"日","月","火","水","木","金","土"))</f>
        <v>火</v>
      </c>
      <c r="C80" s="11" t="inlineStr">
        <is>
          <t>労働日</t>
        </is>
      </c>
      <c r="D80" s="12" t="n">
        <v>0.375</v>
      </c>
      <c r="E80" s="12" t="n">
        <v>0.8125</v>
      </c>
      <c r="F80" s="13" t="n">
        <v>60</v>
      </c>
      <c r="G80" s="14">
        <f>IF(OR(A80="",C80&lt;&gt;"労働日"),0,MAX(0,MOD(E80-D80,1)*24-F80/60))</f>
        <v>9.5</v>
      </c>
      <c r="H80" s="15">
        <f>IF(A80="","",INT((A80-$B$4)/7)+1)</f>
        <v>10</v>
      </c>
      <c r="I80" s="16">
        <f>IF(AND(A80&lt;&gt;"",C80="労働日"),I79+1,0)</f>
        <v>2</v>
      </c>
      <c r="J80" s="16">
        <f>IF(AND(A80&lt;&gt;"",ISNUMBER($B$7),ISNUMBER($B$8)),IF(AND(A80&gt;=$B$7,A80&lt;=$B$8),1,0),0)</f>
        <v>1</v>
      </c>
    </row>
    <row r="81">
      <c r="A81" s="9">
        <f>IF(ISNUMBER($B$4),IF(ISNUMBER($B$5),IF($B$4+69&lt;=$B$5,$B$4+69,""),""),"")</f>
        <v>46365</v>
      </c>
      <c r="B81" s="10" t="str">
        <f>IF(A81="","",CHOOSE(WEEKDAY(A81),"日","月","火","水","木","金","土"))</f>
        <v>水</v>
      </c>
      <c r="C81" s="11" t="inlineStr">
        <is>
          <t>労働日</t>
        </is>
      </c>
      <c r="D81" s="12" t="n">
        <v>0.375</v>
      </c>
      <c r="E81" s="12" t="n">
        <v>0.8125</v>
      </c>
      <c r="F81" s="13" t="n">
        <v>60</v>
      </c>
      <c r="G81" s="14">
        <f>IF(OR(A81="",C81&lt;&gt;"労働日"),0,MAX(0,MOD(E81-D81,1)*24-F81/60))</f>
        <v>9.5</v>
      </c>
      <c r="H81" s="15">
        <f>IF(A81="","",INT((A81-$B$4)/7)+1)</f>
        <v>10</v>
      </c>
      <c r="I81" s="16">
        <f>IF(AND(A81&lt;&gt;"",C81="労働日"),I80+1,0)</f>
        <v>3</v>
      </c>
      <c r="J81" s="16">
        <f>IF(AND(A81&lt;&gt;"",ISNUMBER($B$7),ISNUMBER($B$8)),IF(AND(A81&gt;=$B$7,A81&lt;=$B$8),1,0),0)</f>
        <v>1</v>
      </c>
    </row>
    <row r="82">
      <c r="A82" s="9">
        <f>IF(ISNUMBER($B$4),IF(ISNUMBER($B$5),IF($B$4+70&lt;=$B$5,$B$4+70,""),""),"")</f>
        <v>46366</v>
      </c>
      <c r="B82" s="10" t="str">
        <f>IF(A82="","",CHOOSE(WEEKDAY(A82),"日","月","火","水","木","金","土"))</f>
        <v>木</v>
      </c>
      <c r="C82" s="11" t="inlineStr">
        <is>
          <t>労働日</t>
        </is>
      </c>
      <c r="D82" s="12" t="n">
        <v>0.375</v>
      </c>
      <c r="E82" s="12" t="n">
        <v>0.8125</v>
      </c>
      <c r="F82" s="13" t="n">
        <v>60</v>
      </c>
      <c r="G82" s="14">
        <f>IF(OR(A82="",C82&lt;&gt;"労働日"),0,MAX(0,MOD(E82-D82,1)*24-F82/60))</f>
        <v>9.5</v>
      </c>
      <c r="H82" s="15">
        <f>IF(A82="","",INT((A82-$B$4)/7)+1)</f>
        <v>11</v>
      </c>
      <c r="I82" s="16">
        <f>IF(AND(A82&lt;&gt;"",C82="労働日"),I81+1,0)</f>
        <v>4</v>
      </c>
      <c r="J82" s="16">
        <f>IF(AND(A82&lt;&gt;"",ISNUMBER($B$7),ISNUMBER($B$8)),IF(AND(A82&gt;=$B$7,A82&lt;=$B$8),1,0),0)</f>
        <v>1</v>
      </c>
    </row>
    <row r="83">
      <c r="A83" s="9">
        <f>IF(ISNUMBER($B$4),IF(ISNUMBER($B$5),IF($B$4+71&lt;=$B$5,$B$4+71,""),""),"")</f>
        <v>46367</v>
      </c>
      <c r="B83" s="10" t="str">
        <f>IF(A83="","",CHOOSE(WEEKDAY(A83),"日","月","火","水","木","金","土"))</f>
        <v>金</v>
      </c>
      <c r="C83" s="11" t="inlineStr">
        <is>
          <t>労働日</t>
        </is>
      </c>
      <c r="D83" s="12" t="n">
        <v>0.375</v>
      </c>
      <c r="E83" s="12" t="n">
        <v>0.8125</v>
      </c>
      <c r="F83" s="13" t="n">
        <v>60</v>
      </c>
      <c r="G83" s="14">
        <f>IF(OR(A83="",C83&lt;&gt;"労働日"),0,MAX(0,MOD(E83-D83,1)*24-F83/60))</f>
        <v>9.5</v>
      </c>
      <c r="H83" s="15">
        <f>IF(A83="","",INT((A83-$B$4)/7)+1)</f>
        <v>11</v>
      </c>
      <c r="I83" s="16">
        <f>IF(AND(A83&lt;&gt;"",C83="労働日"),I82+1,0)</f>
        <v>5</v>
      </c>
      <c r="J83" s="16">
        <f>IF(AND(A83&lt;&gt;"",ISNUMBER($B$7),ISNUMBER($B$8)),IF(AND(A83&gt;=$B$7,A83&lt;=$B$8),1,0),0)</f>
        <v>1</v>
      </c>
    </row>
    <row r="84">
      <c r="A84" s="9">
        <f>IF(ISNUMBER($B$4),IF(ISNUMBER($B$5),IF($B$4+72&lt;=$B$5,$B$4+72,""),""),"")</f>
        <v>46368</v>
      </c>
      <c r="B84" s="10" t="str">
        <f>IF(A84="","",CHOOSE(WEEKDAY(A84),"日","月","火","水","木","金","土"))</f>
        <v>土</v>
      </c>
      <c r="C84" s="11" t="inlineStr">
        <is>
          <t>休日</t>
        </is>
      </c>
      <c r="D84" s="12" t="n"/>
      <c r="E84" s="12" t="n"/>
      <c r="F84" s="13" t="n"/>
      <c r="G84" s="14">
        <f>IF(OR(A84="",C84&lt;&gt;"労働日"),0,MAX(0,MOD(E84-D84,1)*24-F84/60))</f>
        <v>0</v>
      </c>
      <c r="H84" s="15">
        <f>IF(A84="","",INT((A84-$B$4)/7)+1)</f>
        <v>11</v>
      </c>
      <c r="I84" s="16">
        <f>IF(AND(A84&lt;&gt;"",C84="労働日"),I83+1,0)</f>
        <v>0</v>
      </c>
      <c r="J84" s="16">
        <f>IF(AND(A84&lt;&gt;"",ISNUMBER($B$7),ISNUMBER($B$8)),IF(AND(A84&gt;=$B$7,A84&lt;=$B$8),1,0),0)</f>
        <v>1</v>
      </c>
    </row>
    <row r="85">
      <c r="A85" s="9">
        <f>IF(ISNUMBER($B$4),IF(ISNUMBER($B$5),IF($B$4+73&lt;=$B$5,$B$4+73,""),""),"")</f>
        <v>46369</v>
      </c>
      <c r="B85" s="10" t="str">
        <f>IF(A85="","",CHOOSE(WEEKDAY(A85),"日","月","火","水","木","金","土"))</f>
        <v>日</v>
      </c>
      <c r="C85" s="11" t="inlineStr">
        <is>
          <t>休日</t>
        </is>
      </c>
      <c r="D85" s="12" t="n"/>
      <c r="E85" s="12" t="n"/>
      <c r="F85" s="13" t="n"/>
      <c r="G85" s="14">
        <f>IF(OR(A85="",C85&lt;&gt;"労働日"),0,MAX(0,MOD(E85-D85,1)*24-F85/60))</f>
        <v>0</v>
      </c>
      <c r="H85" s="15">
        <f>IF(A85="","",INT((A85-$B$4)/7)+1)</f>
        <v>11</v>
      </c>
      <c r="I85" s="16">
        <f>IF(AND(A85&lt;&gt;"",C85="労働日"),I84+1,0)</f>
        <v>0</v>
      </c>
      <c r="J85" s="16">
        <f>IF(AND(A85&lt;&gt;"",ISNUMBER($B$7),ISNUMBER($B$8)),IF(AND(A85&gt;=$B$7,A85&lt;=$B$8),1,0),0)</f>
        <v>1</v>
      </c>
    </row>
    <row r="86">
      <c r="A86" s="9">
        <f>IF(ISNUMBER($B$4),IF(ISNUMBER($B$5),IF($B$4+74&lt;=$B$5,$B$4+74,""),""),"")</f>
        <v>46370</v>
      </c>
      <c r="B86" s="10" t="str">
        <f>IF(A86="","",CHOOSE(WEEKDAY(A86),"日","月","火","水","木","金","土"))</f>
        <v>月</v>
      </c>
      <c r="C86" s="11" t="inlineStr">
        <is>
          <t>労働日</t>
        </is>
      </c>
      <c r="D86" s="12" t="n">
        <v>0.375</v>
      </c>
      <c r="E86" s="12" t="n">
        <v>0.8125</v>
      </c>
      <c r="F86" s="13" t="n">
        <v>60</v>
      </c>
      <c r="G86" s="14">
        <f>IF(OR(A86="",C86&lt;&gt;"労働日"),0,MAX(0,MOD(E86-D86,1)*24-F86/60))</f>
        <v>9.5</v>
      </c>
      <c r="H86" s="15">
        <f>IF(A86="","",INT((A86-$B$4)/7)+1)</f>
        <v>11</v>
      </c>
      <c r="I86" s="16">
        <f>IF(AND(A86&lt;&gt;"",C86="労働日"),I85+1,0)</f>
        <v>1</v>
      </c>
      <c r="J86" s="16">
        <f>IF(AND(A86&lt;&gt;"",ISNUMBER($B$7),ISNUMBER($B$8)),IF(AND(A86&gt;=$B$7,A86&lt;=$B$8),1,0),0)</f>
        <v>1</v>
      </c>
    </row>
    <row r="87">
      <c r="A87" s="9">
        <f>IF(ISNUMBER($B$4),IF(ISNUMBER($B$5),IF($B$4+75&lt;=$B$5,$B$4+75,""),""),"")</f>
        <v>46371</v>
      </c>
      <c r="B87" s="10" t="str">
        <f>IF(A87="","",CHOOSE(WEEKDAY(A87),"日","月","火","水","木","金","土"))</f>
        <v>火</v>
      </c>
      <c r="C87" s="11" t="inlineStr">
        <is>
          <t>労働日</t>
        </is>
      </c>
      <c r="D87" s="12" t="n">
        <v>0.375</v>
      </c>
      <c r="E87" s="12" t="n">
        <v>0.8125</v>
      </c>
      <c r="F87" s="13" t="n">
        <v>60</v>
      </c>
      <c r="G87" s="14">
        <f>IF(OR(A87="",C87&lt;&gt;"労働日"),0,MAX(0,MOD(E87-D87,1)*24-F87/60))</f>
        <v>9.5</v>
      </c>
      <c r="H87" s="15">
        <f>IF(A87="","",INT((A87-$B$4)/7)+1)</f>
        <v>11</v>
      </c>
      <c r="I87" s="16">
        <f>IF(AND(A87&lt;&gt;"",C87="労働日"),I86+1,0)</f>
        <v>2</v>
      </c>
      <c r="J87" s="16">
        <f>IF(AND(A87&lt;&gt;"",ISNUMBER($B$7),ISNUMBER($B$8)),IF(AND(A87&gt;=$B$7,A87&lt;=$B$8),1,0),0)</f>
        <v>1</v>
      </c>
    </row>
    <row r="88">
      <c r="A88" s="9">
        <f>IF(ISNUMBER($B$4),IF(ISNUMBER($B$5),IF($B$4+76&lt;=$B$5,$B$4+76,""),""),"")</f>
        <v>46372</v>
      </c>
      <c r="B88" s="10" t="str">
        <f>IF(A88="","",CHOOSE(WEEKDAY(A88),"日","月","火","水","木","金","土"))</f>
        <v>水</v>
      </c>
      <c r="C88" s="11" t="inlineStr">
        <is>
          <t>労働日</t>
        </is>
      </c>
      <c r="D88" s="12" t="n">
        <v>0.375</v>
      </c>
      <c r="E88" s="12" t="n">
        <v>0.8125</v>
      </c>
      <c r="F88" s="13" t="n">
        <v>60</v>
      </c>
      <c r="G88" s="14">
        <f>IF(OR(A88="",C88&lt;&gt;"労働日"),0,MAX(0,MOD(E88-D88,1)*24-F88/60))</f>
        <v>9.5</v>
      </c>
      <c r="H88" s="15">
        <f>IF(A88="","",INT((A88-$B$4)/7)+1)</f>
        <v>11</v>
      </c>
      <c r="I88" s="16">
        <f>IF(AND(A88&lt;&gt;"",C88="労働日"),I87+1,0)</f>
        <v>3</v>
      </c>
      <c r="J88" s="16">
        <f>IF(AND(A88&lt;&gt;"",ISNUMBER($B$7),ISNUMBER($B$8)),IF(AND(A88&gt;=$B$7,A88&lt;=$B$8),1,0),0)</f>
        <v>1</v>
      </c>
    </row>
    <row r="89">
      <c r="A89" s="9">
        <f>IF(ISNUMBER($B$4),IF(ISNUMBER($B$5),IF($B$4+77&lt;=$B$5,$B$4+77,""),""),"")</f>
        <v>46373</v>
      </c>
      <c r="B89" s="10" t="str">
        <f>IF(A89="","",CHOOSE(WEEKDAY(A89),"日","月","火","水","木","金","土"))</f>
        <v>木</v>
      </c>
      <c r="C89" s="11" t="inlineStr">
        <is>
          <t>労働日</t>
        </is>
      </c>
      <c r="D89" s="12" t="n">
        <v>0.375</v>
      </c>
      <c r="E89" s="12" t="n">
        <v>0.8125</v>
      </c>
      <c r="F89" s="13" t="n">
        <v>60</v>
      </c>
      <c r="G89" s="14">
        <f>IF(OR(A89="",C89&lt;&gt;"労働日"),0,MAX(0,MOD(E89-D89,1)*24-F89/60))</f>
        <v>9.5</v>
      </c>
      <c r="H89" s="15">
        <f>IF(A89="","",INT((A89-$B$4)/7)+1)</f>
        <v>12</v>
      </c>
      <c r="I89" s="16">
        <f>IF(AND(A89&lt;&gt;"",C89="労働日"),I88+1,0)</f>
        <v>4</v>
      </c>
      <c r="J89" s="16">
        <f>IF(AND(A89&lt;&gt;"",ISNUMBER($B$7),ISNUMBER($B$8)),IF(AND(A89&gt;=$B$7,A89&lt;=$B$8),1,0),0)</f>
        <v>1</v>
      </c>
    </row>
    <row r="90">
      <c r="A90" s="9">
        <f>IF(ISNUMBER($B$4),IF(ISNUMBER($B$5),IF($B$4+78&lt;=$B$5,$B$4+78,""),""),"")</f>
        <v>46374</v>
      </c>
      <c r="B90" s="10" t="str">
        <f>IF(A90="","",CHOOSE(WEEKDAY(A90),"日","月","火","水","木","金","土"))</f>
        <v>金</v>
      </c>
      <c r="C90" s="11" t="inlineStr">
        <is>
          <t>労働日</t>
        </is>
      </c>
      <c r="D90" s="12" t="n">
        <v>0.375</v>
      </c>
      <c r="E90" s="12" t="n">
        <v>0.8125</v>
      </c>
      <c r="F90" s="13" t="n">
        <v>60</v>
      </c>
      <c r="G90" s="14">
        <f>IF(OR(A90="",C90&lt;&gt;"労働日"),0,MAX(0,MOD(E90-D90,1)*24-F90/60))</f>
        <v>9.5</v>
      </c>
      <c r="H90" s="15">
        <f>IF(A90="","",INT((A90-$B$4)/7)+1)</f>
        <v>12</v>
      </c>
      <c r="I90" s="16">
        <f>IF(AND(A90&lt;&gt;"",C90="労働日"),I89+1,0)</f>
        <v>5</v>
      </c>
      <c r="J90" s="16">
        <f>IF(AND(A90&lt;&gt;"",ISNUMBER($B$7),ISNUMBER($B$8)),IF(AND(A90&gt;=$B$7,A90&lt;=$B$8),1,0),0)</f>
        <v>1</v>
      </c>
    </row>
    <row r="91">
      <c r="A91" s="9">
        <f>IF(ISNUMBER($B$4),IF(ISNUMBER($B$5),IF($B$4+79&lt;=$B$5,$B$4+79,""),""),"")</f>
        <v>46375</v>
      </c>
      <c r="B91" s="10" t="str">
        <f>IF(A91="","",CHOOSE(WEEKDAY(A91),"日","月","火","水","木","金","土"))</f>
        <v>土</v>
      </c>
      <c r="C91" s="11" t="inlineStr">
        <is>
          <t>休日</t>
        </is>
      </c>
      <c r="D91" s="12" t="n"/>
      <c r="E91" s="12" t="n"/>
      <c r="F91" s="13" t="n"/>
      <c r="G91" s="14">
        <f>IF(OR(A91="",C91&lt;&gt;"労働日"),0,MAX(0,MOD(E91-D91,1)*24-F91/60))</f>
        <v>0</v>
      </c>
      <c r="H91" s="15">
        <f>IF(A91="","",INT((A91-$B$4)/7)+1)</f>
        <v>12</v>
      </c>
      <c r="I91" s="16">
        <f>IF(AND(A91&lt;&gt;"",C91="労働日"),I90+1,0)</f>
        <v>0</v>
      </c>
      <c r="J91" s="16">
        <f>IF(AND(A91&lt;&gt;"",ISNUMBER($B$7),ISNUMBER($B$8)),IF(AND(A91&gt;=$B$7,A91&lt;=$B$8),1,0),0)</f>
        <v>1</v>
      </c>
    </row>
    <row r="92">
      <c r="A92" s="9">
        <f>IF(ISNUMBER($B$4),IF(ISNUMBER($B$5),IF($B$4+80&lt;=$B$5,$B$4+80,""),""),"")</f>
        <v>46376</v>
      </c>
      <c r="B92" s="10" t="str">
        <f>IF(A92="","",CHOOSE(WEEKDAY(A92),"日","月","火","水","木","金","土"))</f>
        <v>日</v>
      </c>
      <c r="C92" s="11" t="inlineStr">
        <is>
          <t>休日</t>
        </is>
      </c>
      <c r="D92" s="12" t="n"/>
      <c r="E92" s="12" t="n"/>
      <c r="F92" s="13" t="n"/>
      <c r="G92" s="14">
        <f>IF(OR(A92="",C92&lt;&gt;"労働日"),0,MAX(0,MOD(E92-D92,1)*24-F92/60))</f>
        <v>0</v>
      </c>
      <c r="H92" s="15">
        <f>IF(A92="","",INT((A92-$B$4)/7)+1)</f>
        <v>12</v>
      </c>
      <c r="I92" s="16">
        <f>IF(AND(A92&lt;&gt;"",C92="労働日"),I91+1,0)</f>
        <v>0</v>
      </c>
      <c r="J92" s="16">
        <f>IF(AND(A92&lt;&gt;"",ISNUMBER($B$7),ISNUMBER($B$8)),IF(AND(A92&gt;=$B$7,A92&lt;=$B$8),1,0),0)</f>
        <v>1</v>
      </c>
    </row>
    <row r="93">
      <c r="A93" s="9">
        <f>IF(ISNUMBER($B$4),IF(ISNUMBER($B$5),IF($B$4+81&lt;=$B$5,$B$4+81,""),""),"")</f>
        <v>46377</v>
      </c>
      <c r="B93" s="10" t="str">
        <f>IF(A93="","",CHOOSE(WEEKDAY(A93),"日","月","火","水","木","金","土"))</f>
        <v>月</v>
      </c>
      <c r="C93" s="11" t="inlineStr">
        <is>
          <t>労働日</t>
        </is>
      </c>
      <c r="D93" s="12" t="n">
        <v>0.375</v>
      </c>
      <c r="E93" s="12" t="n">
        <v>0.8125</v>
      </c>
      <c r="F93" s="13" t="n">
        <v>60</v>
      </c>
      <c r="G93" s="14">
        <f>IF(OR(A93="",C93&lt;&gt;"労働日"),0,MAX(0,MOD(E93-D93,1)*24-F93/60))</f>
        <v>9.5</v>
      </c>
      <c r="H93" s="15">
        <f>IF(A93="","",INT((A93-$B$4)/7)+1)</f>
        <v>12</v>
      </c>
      <c r="I93" s="16">
        <f>IF(AND(A93&lt;&gt;"",C93="労働日"),I92+1,0)</f>
        <v>1</v>
      </c>
      <c r="J93" s="16">
        <f>IF(AND(A93&lt;&gt;"",ISNUMBER($B$7),ISNUMBER($B$8)),IF(AND(A93&gt;=$B$7,A93&lt;=$B$8),1,0),0)</f>
        <v>1</v>
      </c>
    </row>
    <row r="94">
      <c r="A94" s="9">
        <f>IF(ISNUMBER($B$4),IF(ISNUMBER($B$5),IF($B$4+82&lt;=$B$5,$B$4+82,""),""),"")</f>
        <v>46378</v>
      </c>
      <c r="B94" s="10" t="str">
        <f>IF(A94="","",CHOOSE(WEEKDAY(A94),"日","月","火","水","木","金","土"))</f>
        <v>火</v>
      </c>
      <c r="C94" s="11" t="inlineStr">
        <is>
          <t>労働日</t>
        </is>
      </c>
      <c r="D94" s="12" t="n">
        <v>0.375</v>
      </c>
      <c r="E94" s="12" t="n">
        <v>0.8125</v>
      </c>
      <c r="F94" s="13" t="n">
        <v>60</v>
      </c>
      <c r="G94" s="14">
        <f>IF(OR(A94="",C94&lt;&gt;"労働日"),0,MAX(0,MOD(E94-D94,1)*24-F94/60))</f>
        <v>9.5</v>
      </c>
      <c r="H94" s="15">
        <f>IF(A94="","",INT((A94-$B$4)/7)+1)</f>
        <v>12</v>
      </c>
      <c r="I94" s="16">
        <f>IF(AND(A94&lt;&gt;"",C94="労働日"),I93+1,0)</f>
        <v>2</v>
      </c>
      <c r="J94" s="16">
        <f>IF(AND(A94&lt;&gt;"",ISNUMBER($B$7),ISNUMBER($B$8)),IF(AND(A94&gt;=$B$7,A94&lt;=$B$8),1,0),0)</f>
        <v>1</v>
      </c>
    </row>
    <row r="95">
      <c r="A95" s="9">
        <f>IF(ISNUMBER($B$4),IF(ISNUMBER($B$5),IF($B$4+83&lt;=$B$5,$B$4+83,""),""),"")</f>
        <v>46379</v>
      </c>
      <c r="B95" s="10" t="str">
        <f>IF(A95="","",CHOOSE(WEEKDAY(A95),"日","月","火","水","木","金","土"))</f>
        <v>水</v>
      </c>
      <c r="C95" s="11" t="inlineStr">
        <is>
          <t>労働日</t>
        </is>
      </c>
      <c r="D95" s="12" t="n">
        <v>0.375</v>
      </c>
      <c r="E95" s="12" t="n">
        <v>0.8125</v>
      </c>
      <c r="F95" s="13" t="n">
        <v>60</v>
      </c>
      <c r="G95" s="14">
        <f>IF(OR(A95="",C95&lt;&gt;"労働日"),0,MAX(0,MOD(E95-D95,1)*24-F95/60))</f>
        <v>9.5</v>
      </c>
      <c r="H95" s="15">
        <f>IF(A95="","",INT((A95-$B$4)/7)+1)</f>
        <v>12</v>
      </c>
      <c r="I95" s="16">
        <f>IF(AND(A95&lt;&gt;"",C95="労働日"),I94+1,0)</f>
        <v>3</v>
      </c>
      <c r="J95" s="16">
        <f>IF(AND(A95&lt;&gt;"",ISNUMBER($B$7),ISNUMBER($B$8)),IF(AND(A95&gt;=$B$7,A95&lt;=$B$8),1,0),0)</f>
        <v>1</v>
      </c>
    </row>
    <row r="96">
      <c r="A96" s="9">
        <f>IF(ISNUMBER($B$4),IF(ISNUMBER($B$5),IF($B$4+84&lt;=$B$5,$B$4+84,""),""),"")</f>
        <v>46380</v>
      </c>
      <c r="B96" s="10" t="str">
        <f>IF(A96="","",CHOOSE(WEEKDAY(A96),"日","月","火","水","木","金","土"))</f>
        <v>木</v>
      </c>
      <c r="C96" s="11" t="inlineStr">
        <is>
          <t>労働日</t>
        </is>
      </c>
      <c r="D96" s="12" t="n">
        <v>0.375</v>
      </c>
      <c r="E96" s="12" t="n">
        <v>0.8125</v>
      </c>
      <c r="F96" s="13" t="n">
        <v>60</v>
      </c>
      <c r="G96" s="14">
        <f>IF(OR(A96="",C96&lt;&gt;"労働日"),0,MAX(0,MOD(E96-D96,1)*24-F96/60))</f>
        <v>9.5</v>
      </c>
      <c r="H96" s="15">
        <f>IF(A96="","",INT((A96-$B$4)/7)+1)</f>
        <v>13</v>
      </c>
      <c r="I96" s="16">
        <f>IF(AND(A96&lt;&gt;"",C96="労働日"),I95+1,0)</f>
        <v>4</v>
      </c>
      <c r="J96" s="16">
        <f>IF(AND(A96&lt;&gt;"",ISNUMBER($B$7),ISNUMBER($B$8)),IF(AND(A96&gt;=$B$7,A96&lt;=$B$8),1,0),0)</f>
        <v>1</v>
      </c>
    </row>
    <row r="97">
      <c r="A97" s="9">
        <f>IF(ISNUMBER($B$4),IF(ISNUMBER($B$5),IF($B$4+85&lt;=$B$5,$B$4+85,""),""),"")</f>
        <v>46381</v>
      </c>
      <c r="B97" s="10" t="str">
        <f>IF(A97="","",CHOOSE(WEEKDAY(A97),"日","月","火","水","木","金","土"))</f>
        <v>金</v>
      </c>
      <c r="C97" s="11" t="inlineStr">
        <is>
          <t>労働日</t>
        </is>
      </c>
      <c r="D97" s="12" t="n">
        <v>0.375</v>
      </c>
      <c r="E97" s="12" t="n">
        <v>0.8125</v>
      </c>
      <c r="F97" s="13" t="n">
        <v>60</v>
      </c>
      <c r="G97" s="14">
        <f>IF(OR(A97="",C97&lt;&gt;"労働日"),0,MAX(0,MOD(E97-D97,1)*24-F97/60))</f>
        <v>9.5</v>
      </c>
      <c r="H97" s="15">
        <f>IF(A97="","",INT((A97-$B$4)/7)+1)</f>
        <v>13</v>
      </c>
      <c r="I97" s="16">
        <f>IF(AND(A97&lt;&gt;"",C97="労働日"),I96+1,0)</f>
        <v>5</v>
      </c>
      <c r="J97" s="16">
        <f>IF(AND(A97&lt;&gt;"",ISNUMBER($B$7),ISNUMBER($B$8)),IF(AND(A97&gt;=$B$7,A97&lt;=$B$8),1,0),0)</f>
        <v>1</v>
      </c>
    </row>
    <row r="98">
      <c r="A98" s="9">
        <f>IF(ISNUMBER($B$4),IF(ISNUMBER($B$5),IF($B$4+86&lt;=$B$5,$B$4+86,""),""),"")</f>
        <v>46382</v>
      </c>
      <c r="B98" s="10" t="str">
        <f>IF(A98="","",CHOOSE(WEEKDAY(A98),"日","月","火","水","木","金","土"))</f>
        <v>土</v>
      </c>
      <c r="C98" s="11" t="inlineStr">
        <is>
          <t>休日</t>
        </is>
      </c>
      <c r="D98" s="12" t="n"/>
      <c r="E98" s="12" t="n"/>
      <c r="F98" s="13" t="n"/>
      <c r="G98" s="14">
        <f>IF(OR(A98="",C98&lt;&gt;"労働日"),0,MAX(0,MOD(E98-D98,1)*24-F98/60))</f>
        <v>0</v>
      </c>
      <c r="H98" s="15">
        <f>IF(A98="","",INT((A98-$B$4)/7)+1)</f>
        <v>13</v>
      </c>
      <c r="I98" s="16">
        <f>IF(AND(A98&lt;&gt;"",C98="労働日"),I97+1,0)</f>
        <v>0</v>
      </c>
      <c r="J98" s="16">
        <f>IF(AND(A98&lt;&gt;"",ISNUMBER($B$7),ISNUMBER($B$8)),IF(AND(A98&gt;=$B$7,A98&lt;=$B$8),1,0),0)</f>
        <v>1</v>
      </c>
    </row>
    <row r="99">
      <c r="A99" s="9">
        <f>IF(ISNUMBER($B$4),IF(ISNUMBER($B$5),IF($B$4+87&lt;=$B$5,$B$4+87,""),""),"")</f>
        <v>46383</v>
      </c>
      <c r="B99" s="10" t="str">
        <f>IF(A99="","",CHOOSE(WEEKDAY(A99),"日","月","火","水","木","金","土"))</f>
        <v>日</v>
      </c>
      <c r="C99" s="11" t="inlineStr">
        <is>
          <t>休日</t>
        </is>
      </c>
      <c r="D99" s="12" t="n"/>
      <c r="E99" s="12" t="n"/>
      <c r="F99" s="13" t="n"/>
      <c r="G99" s="14">
        <f>IF(OR(A99="",C99&lt;&gt;"労働日"),0,MAX(0,MOD(E99-D99,1)*24-F99/60))</f>
        <v>0</v>
      </c>
      <c r="H99" s="15">
        <f>IF(A99="","",INT((A99-$B$4)/7)+1)</f>
        <v>13</v>
      </c>
      <c r="I99" s="16">
        <f>IF(AND(A99&lt;&gt;"",C99="労働日"),I98+1,0)</f>
        <v>0</v>
      </c>
      <c r="J99" s="16">
        <f>IF(AND(A99&lt;&gt;"",ISNUMBER($B$7),ISNUMBER($B$8)),IF(AND(A99&gt;=$B$7,A99&lt;=$B$8),1,0),0)</f>
        <v>1</v>
      </c>
    </row>
    <row r="100">
      <c r="A100" s="9">
        <f>IF(ISNUMBER($B$4),IF(ISNUMBER($B$5),IF($B$4+88&lt;=$B$5,$B$4+88,""),""),"")</f>
        <v>46384</v>
      </c>
      <c r="B100" s="10" t="str">
        <f>IF(A100="","",CHOOSE(WEEKDAY(A100),"日","月","火","水","木","金","土"))</f>
        <v>月</v>
      </c>
      <c r="C100" s="11" t="inlineStr">
        <is>
          <t>労働日</t>
        </is>
      </c>
      <c r="D100" s="12" t="n">
        <v>0.375</v>
      </c>
      <c r="E100" s="12" t="n">
        <v>0.8125</v>
      </c>
      <c r="F100" s="13" t="n">
        <v>60</v>
      </c>
      <c r="G100" s="14">
        <f>IF(OR(A100="",C100&lt;&gt;"労働日"),0,MAX(0,MOD(E100-D100,1)*24-F100/60))</f>
        <v>9.5</v>
      </c>
      <c r="H100" s="15">
        <f>IF(A100="","",INT((A100-$B$4)/7)+1)</f>
        <v>13</v>
      </c>
      <c r="I100" s="16">
        <f>IF(AND(A100&lt;&gt;"",C100="労働日"),I99+1,0)</f>
        <v>1</v>
      </c>
      <c r="J100" s="16">
        <f>IF(AND(A100&lt;&gt;"",ISNUMBER($B$7),ISNUMBER($B$8)),IF(AND(A100&gt;=$B$7,A100&lt;=$B$8),1,0),0)</f>
        <v>1</v>
      </c>
    </row>
    <row r="101">
      <c r="A101" s="9">
        <f>IF(ISNUMBER($B$4),IF(ISNUMBER($B$5),IF($B$4+89&lt;=$B$5,$B$4+89,""),""),"")</f>
        <v>46385</v>
      </c>
      <c r="B101" s="10" t="str">
        <f>IF(A101="","",CHOOSE(WEEKDAY(A101),"日","月","火","水","木","金","土"))</f>
        <v>火</v>
      </c>
      <c r="C101" s="11" t="inlineStr">
        <is>
          <t>休日</t>
        </is>
      </c>
      <c r="D101" s="12" t="n"/>
      <c r="E101" s="12" t="n"/>
      <c r="F101" s="13" t="n"/>
      <c r="G101" s="14">
        <f>IF(OR(A101="",C101&lt;&gt;"労働日"),0,MAX(0,MOD(E101-D101,1)*24-F101/60))</f>
        <v>0</v>
      </c>
      <c r="H101" s="15">
        <f>IF(A101="","",INT((A101-$B$4)/7)+1)</f>
        <v>13</v>
      </c>
      <c r="I101" s="16">
        <f>IF(AND(A101&lt;&gt;"",C101="労働日"),I100+1,0)</f>
        <v>0</v>
      </c>
      <c r="J101" s="16">
        <f>IF(AND(A101&lt;&gt;"",ISNUMBER($B$7),ISNUMBER($B$8)),IF(AND(A101&gt;=$B$7,A101&lt;=$B$8),1,0),0)</f>
        <v>0</v>
      </c>
    </row>
    <row r="102">
      <c r="A102" s="9">
        <f>IF(ISNUMBER($B$4),IF(ISNUMBER($B$5),IF($B$4+90&lt;=$B$5,$B$4+90,""),""),"")</f>
        <v>46386</v>
      </c>
      <c r="B102" s="10" t="str">
        <f>IF(A102="","",CHOOSE(WEEKDAY(A102),"日","月","火","水","木","金","土"))</f>
        <v>水</v>
      </c>
      <c r="C102" s="11" t="inlineStr">
        <is>
          <t>休日</t>
        </is>
      </c>
      <c r="D102" s="12" t="n"/>
      <c r="E102" s="12" t="n"/>
      <c r="F102" s="13" t="n"/>
      <c r="G102" s="14">
        <f>IF(OR(A102="",C102&lt;&gt;"労働日"),0,MAX(0,MOD(E102-D102,1)*24-F102/60))</f>
        <v>0</v>
      </c>
      <c r="H102" s="15">
        <f>IF(A102="","",INT((A102-$B$4)/7)+1)</f>
        <v>13</v>
      </c>
      <c r="I102" s="16">
        <f>IF(AND(A102&lt;&gt;"",C102="労働日"),I101+1,0)</f>
        <v>0</v>
      </c>
      <c r="J102" s="16">
        <f>IF(AND(A102&lt;&gt;"",ISNUMBER($B$7),ISNUMBER($B$8)),IF(AND(A102&gt;=$B$7,A102&lt;=$B$8),1,0),0)</f>
        <v>0</v>
      </c>
    </row>
    <row r="103">
      <c r="A103" s="9">
        <f>IF(ISNUMBER($B$4),IF(ISNUMBER($B$5),IF($B$4+91&lt;=$B$5,$B$4+91,""),""),"")</f>
        <v>46387</v>
      </c>
      <c r="B103" s="10" t="str">
        <f>IF(A103="","",CHOOSE(WEEKDAY(A103),"日","月","火","水","木","金","土"))</f>
        <v>木</v>
      </c>
      <c r="C103" s="11" t="inlineStr">
        <is>
          <t>休日</t>
        </is>
      </c>
      <c r="D103" s="12" t="n"/>
      <c r="E103" s="12" t="n"/>
      <c r="F103" s="13" t="n"/>
      <c r="G103" s="14">
        <f>IF(OR(A103="",C103&lt;&gt;"労働日"),0,MAX(0,MOD(E103-D103,1)*24-F103/60))</f>
        <v>0</v>
      </c>
      <c r="H103" s="15">
        <f>IF(A103="","",INT((A103-$B$4)/7)+1)</f>
        <v>14</v>
      </c>
      <c r="I103" s="16">
        <f>IF(AND(A103&lt;&gt;"",C103="労働日"),I102+1,0)</f>
        <v>0</v>
      </c>
      <c r="J103" s="16">
        <f>IF(AND(A103&lt;&gt;"",ISNUMBER($B$7),ISNUMBER($B$8)),IF(AND(A103&gt;=$B$7,A103&lt;=$B$8),1,0),0)</f>
        <v>0</v>
      </c>
    </row>
    <row r="104">
      <c r="A104" s="9">
        <f>IF(ISNUMBER($B$4),IF(ISNUMBER($B$5),IF($B$4+92&lt;=$B$5,$B$4+92,""),""),"")</f>
        <v>46388</v>
      </c>
      <c r="B104" s="10" t="str">
        <f>IF(A104="","",CHOOSE(WEEKDAY(A104),"日","月","火","水","木","金","土"))</f>
        <v>金</v>
      </c>
      <c r="C104" s="11" t="inlineStr">
        <is>
          <t>休日</t>
        </is>
      </c>
      <c r="D104" s="12" t="n"/>
      <c r="E104" s="12" t="n"/>
      <c r="F104" s="13" t="n"/>
      <c r="G104" s="14">
        <f>IF(OR(A104="",C104&lt;&gt;"労働日"),0,MAX(0,MOD(E104-D104,1)*24-F104/60))</f>
        <v>0</v>
      </c>
      <c r="H104" s="15">
        <f>IF(A104="","",INT((A104-$B$4)/7)+1)</f>
        <v>14</v>
      </c>
      <c r="I104" s="16">
        <f>IF(AND(A104&lt;&gt;"",C104="労働日"),I103+1,0)</f>
        <v>0</v>
      </c>
      <c r="J104" s="16">
        <f>IF(AND(A104&lt;&gt;"",ISNUMBER($B$7),ISNUMBER($B$8)),IF(AND(A104&gt;=$B$7,A104&lt;=$B$8),1,0),0)</f>
        <v>0</v>
      </c>
    </row>
    <row r="105">
      <c r="A105" s="9">
        <f>IF(ISNUMBER($B$4),IF(ISNUMBER($B$5),IF($B$4+93&lt;=$B$5,$B$4+93,""),""),"")</f>
        <v>46389</v>
      </c>
      <c r="B105" s="10" t="str">
        <f>IF(A105="","",CHOOSE(WEEKDAY(A105),"日","月","火","水","木","金","土"))</f>
        <v>土</v>
      </c>
      <c r="C105" s="11" t="inlineStr">
        <is>
          <t>休日</t>
        </is>
      </c>
      <c r="D105" s="12" t="n"/>
      <c r="E105" s="12" t="n"/>
      <c r="F105" s="13" t="n"/>
      <c r="G105" s="14">
        <f>IF(OR(A105="",C105&lt;&gt;"労働日"),0,MAX(0,MOD(E105-D105,1)*24-F105/60))</f>
        <v>0</v>
      </c>
      <c r="H105" s="15">
        <f>IF(A105="","",INT((A105-$B$4)/7)+1)</f>
        <v>14</v>
      </c>
      <c r="I105" s="16">
        <f>IF(AND(A105&lt;&gt;"",C105="労働日"),I104+1,0)</f>
        <v>0</v>
      </c>
      <c r="J105" s="16">
        <f>IF(AND(A105&lt;&gt;"",ISNUMBER($B$7),ISNUMBER($B$8)),IF(AND(A105&gt;=$B$7,A105&lt;=$B$8),1,0),0)</f>
        <v>0</v>
      </c>
    </row>
    <row r="106">
      <c r="A106" s="9">
        <f>IF(ISNUMBER($B$4),IF(ISNUMBER($B$5),IF($B$4+94&lt;=$B$5,$B$4+94,""),""),"")</f>
        <v>46390</v>
      </c>
      <c r="B106" s="10" t="str">
        <f>IF(A106="","",CHOOSE(WEEKDAY(A106),"日","月","火","水","木","金","土"))</f>
        <v>日</v>
      </c>
      <c r="C106" s="11" t="inlineStr">
        <is>
          <t>休日</t>
        </is>
      </c>
      <c r="D106" s="12" t="n"/>
      <c r="E106" s="12" t="n"/>
      <c r="F106" s="13" t="n"/>
      <c r="G106" s="14">
        <f>IF(OR(A106="",C106&lt;&gt;"労働日"),0,MAX(0,MOD(E106-D106,1)*24-F106/60))</f>
        <v>0</v>
      </c>
      <c r="H106" s="15">
        <f>IF(A106="","",INT((A106-$B$4)/7)+1)</f>
        <v>14</v>
      </c>
      <c r="I106" s="16">
        <f>IF(AND(A106&lt;&gt;"",C106="労働日"),I105+1,0)</f>
        <v>0</v>
      </c>
      <c r="J106" s="16">
        <f>IF(AND(A106&lt;&gt;"",ISNUMBER($B$7),ISNUMBER($B$8)),IF(AND(A106&gt;=$B$7,A106&lt;=$B$8),1,0),0)</f>
        <v>0</v>
      </c>
    </row>
    <row r="107">
      <c r="A107" s="9">
        <f>IF(ISNUMBER($B$4),IF(ISNUMBER($B$5),IF($B$4+95&lt;=$B$5,$B$4+95,""),""),"")</f>
        <v>46391</v>
      </c>
      <c r="B107" s="10" t="str">
        <f>IF(A107="","",CHOOSE(WEEKDAY(A107),"日","月","火","水","木","金","土"))</f>
        <v>月</v>
      </c>
      <c r="C107" s="11" t="inlineStr">
        <is>
          <t>休日</t>
        </is>
      </c>
      <c r="D107" s="12" t="n"/>
      <c r="E107" s="12" t="n"/>
      <c r="F107" s="13" t="n"/>
      <c r="G107" s="14">
        <f>IF(OR(A107="",C107&lt;&gt;"労働日"),0,MAX(0,MOD(E107-D107,1)*24-F107/60))</f>
        <v>0</v>
      </c>
      <c r="H107" s="15">
        <f>IF(A107="","",INT((A107-$B$4)/7)+1)</f>
        <v>14</v>
      </c>
      <c r="I107" s="16">
        <f>IF(AND(A107&lt;&gt;"",C107="労働日"),I106+1,0)</f>
        <v>0</v>
      </c>
      <c r="J107" s="16">
        <f>IF(AND(A107&lt;&gt;"",ISNUMBER($B$7),ISNUMBER($B$8)),IF(AND(A107&gt;=$B$7,A107&lt;=$B$8),1,0),0)</f>
        <v>0</v>
      </c>
    </row>
    <row r="108">
      <c r="A108" s="9">
        <f>IF(ISNUMBER($B$4),IF(ISNUMBER($B$5),IF($B$4+96&lt;=$B$5,$B$4+96,""),""),"")</f>
        <v>46392</v>
      </c>
      <c r="B108" s="10" t="str">
        <f>IF(A108="","",CHOOSE(WEEKDAY(A108),"日","月","火","水","木","金","土"))</f>
        <v>火</v>
      </c>
      <c r="C108" s="11" t="inlineStr">
        <is>
          <t>労働日</t>
        </is>
      </c>
      <c r="D108" s="12" t="n">
        <v>0.375</v>
      </c>
      <c r="E108" s="12" t="n">
        <v>0.75</v>
      </c>
      <c r="F108" s="13" t="n">
        <v>60</v>
      </c>
      <c r="G108" s="14">
        <f>IF(OR(A108="",C108&lt;&gt;"労働日"),0,MAX(0,MOD(E108-D108,1)*24-F108/60))</f>
        <v>8</v>
      </c>
      <c r="H108" s="15">
        <f>IF(A108="","",INT((A108-$B$4)/7)+1)</f>
        <v>14</v>
      </c>
      <c r="I108" s="16">
        <f>IF(AND(A108&lt;&gt;"",C108="労働日"),I107+1,0)</f>
        <v>1</v>
      </c>
      <c r="J108" s="16">
        <f>IF(AND(A108&lt;&gt;"",ISNUMBER($B$7),ISNUMBER($B$8)),IF(AND(A108&gt;=$B$7,A108&lt;=$B$8),1,0),0)</f>
        <v>0</v>
      </c>
    </row>
    <row r="109">
      <c r="A109" s="9">
        <f>IF(ISNUMBER($B$4),IF(ISNUMBER($B$5),IF($B$4+97&lt;=$B$5,$B$4+97,""),""),"")</f>
        <v>46393</v>
      </c>
      <c r="B109" s="10" t="str">
        <f>IF(A109="","",CHOOSE(WEEKDAY(A109),"日","月","火","水","木","金","土"))</f>
        <v>水</v>
      </c>
      <c r="C109" s="11" t="inlineStr">
        <is>
          <t>労働日</t>
        </is>
      </c>
      <c r="D109" s="12" t="n">
        <v>0.375</v>
      </c>
      <c r="E109" s="12" t="n">
        <v>0.75</v>
      </c>
      <c r="F109" s="13" t="n">
        <v>60</v>
      </c>
      <c r="G109" s="14">
        <f>IF(OR(A109="",C109&lt;&gt;"労働日"),0,MAX(0,MOD(E109-D109,1)*24-F109/60))</f>
        <v>8</v>
      </c>
      <c r="H109" s="15">
        <f>IF(A109="","",INT((A109-$B$4)/7)+1)</f>
        <v>14</v>
      </c>
      <c r="I109" s="16">
        <f>IF(AND(A109&lt;&gt;"",C109="労働日"),I108+1,0)</f>
        <v>2</v>
      </c>
      <c r="J109" s="16">
        <f>IF(AND(A109&lt;&gt;"",ISNUMBER($B$7),ISNUMBER($B$8)),IF(AND(A109&gt;=$B$7,A109&lt;=$B$8),1,0),0)</f>
        <v>0</v>
      </c>
    </row>
    <row r="110">
      <c r="A110" s="9">
        <f>IF(ISNUMBER($B$4),IF(ISNUMBER($B$5),IF($B$4+98&lt;=$B$5,$B$4+98,""),""),"")</f>
        <v>46394</v>
      </c>
      <c r="B110" s="10" t="str">
        <f>IF(A110="","",CHOOSE(WEEKDAY(A110),"日","月","火","水","木","金","土"))</f>
        <v>木</v>
      </c>
      <c r="C110" s="11" t="inlineStr">
        <is>
          <t>労働日</t>
        </is>
      </c>
      <c r="D110" s="12" t="n">
        <v>0.375</v>
      </c>
      <c r="E110" s="12" t="n">
        <v>0.75</v>
      </c>
      <c r="F110" s="13" t="n">
        <v>60</v>
      </c>
      <c r="G110" s="14">
        <f>IF(OR(A110="",C110&lt;&gt;"労働日"),0,MAX(0,MOD(E110-D110,1)*24-F110/60))</f>
        <v>8</v>
      </c>
      <c r="H110" s="15">
        <f>IF(A110="","",INT((A110-$B$4)/7)+1)</f>
        <v>15</v>
      </c>
      <c r="I110" s="16">
        <f>IF(AND(A110&lt;&gt;"",C110="労働日"),I109+1,0)</f>
        <v>3</v>
      </c>
      <c r="J110" s="16">
        <f>IF(AND(A110&lt;&gt;"",ISNUMBER($B$7),ISNUMBER($B$8)),IF(AND(A110&gt;=$B$7,A110&lt;=$B$8),1,0),0)</f>
        <v>0</v>
      </c>
    </row>
    <row r="111">
      <c r="A111" s="9">
        <f>IF(ISNUMBER($B$4),IF(ISNUMBER($B$5),IF($B$4+99&lt;=$B$5,$B$4+99,""),""),"")</f>
        <v>46395</v>
      </c>
      <c r="B111" s="10" t="str">
        <f>IF(A111="","",CHOOSE(WEEKDAY(A111),"日","月","火","水","木","金","土"))</f>
        <v>金</v>
      </c>
      <c r="C111" s="11" t="inlineStr">
        <is>
          <t>労働日</t>
        </is>
      </c>
      <c r="D111" s="12" t="n">
        <v>0.375</v>
      </c>
      <c r="E111" s="12" t="n">
        <v>0.75</v>
      </c>
      <c r="F111" s="13" t="n">
        <v>60</v>
      </c>
      <c r="G111" s="14">
        <f>IF(OR(A111="",C111&lt;&gt;"労働日"),0,MAX(0,MOD(E111-D111,1)*24-F111/60))</f>
        <v>8</v>
      </c>
      <c r="H111" s="15">
        <f>IF(A111="","",INT((A111-$B$4)/7)+1)</f>
        <v>15</v>
      </c>
      <c r="I111" s="16">
        <f>IF(AND(A111&lt;&gt;"",C111="労働日"),I110+1,0)</f>
        <v>4</v>
      </c>
      <c r="J111" s="16">
        <f>IF(AND(A111&lt;&gt;"",ISNUMBER($B$7),ISNUMBER($B$8)),IF(AND(A111&gt;=$B$7,A111&lt;=$B$8),1,0),0)</f>
        <v>0</v>
      </c>
    </row>
    <row r="112">
      <c r="A112" s="9">
        <f>IF(ISNUMBER($B$4),IF(ISNUMBER($B$5),IF($B$4+100&lt;=$B$5,$B$4+100,""),""),"")</f>
        <v>46396</v>
      </c>
      <c r="B112" s="10" t="str">
        <f>IF(A112="","",CHOOSE(WEEKDAY(A112),"日","月","火","水","木","金","土"))</f>
        <v>土</v>
      </c>
      <c r="C112" s="11" t="inlineStr">
        <is>
          <t>休日</t>
        </is>
      </c>
      <c r="D112" s="12" t="n"/>
      <c r="E112" s="12" t="n"/>
      <c r="F112" s="13" t="n"/>
      <c r="G112" s="14">
        <f>IF(OR(A112="",C112&lt;&gt;"労働日"),0,MAX(0,MOD(E112-D112,1)*24-F112/60))</f>
        <v>0</v>
      </c>
      <c r="H112" s="15">
        <f>IF(A112="","",INT((A112-$B$4)/7)+1)</f>
        <v>15</v>
      </c>
      <c r="I112" s="16">
        <f>IF(AND(A112&lt;&gt;"",C112="労働日"),I111+1,0)</f>
        <v>0</v>
      </c>
      <c r="J112" s="16">
        <f>IF(AND(A112&lt;&gt;"",ISNUMBER($B$7),ISNUMBER($B$8)),IF(AND(A112&gt;=$B$7,A112&lt;=$B$8),1,0),0)</f>
        <v>0</v>
      </c>
    </row>
    <row r="113">
      <c r="A113" s="9">
        <f>IF(ISNUMBER($B$4),IF(ISNUMBER($B$5),IF($B$4+101&lt;=$B$5,$B$4+101,""),""),"")</f>
        <v>46397</v>
      </c>
      <c r="B113" s="10" t="str">
        <f>IF(A113="","",CHOOSE(WEEKDAY(A113),"日","月","火","水","木","金","土"))</f>
        <v>日</v>
      </c>
      <c r="C113" s="11" t="inlineStr">
        <is>
          <t>休日</t>
        </is>
      </c>
      <c r="D113" s="12" t="n"/>
      <c r="E113" s="12" t="n"/>
      <c r="F113" s="13" t="n"/>
      <c r="G113" s="14">
        <f>IF(OR(A113="",C113&lt;&gt;"労働日"),0,MAX(0,MOD(E113-D113,1)*24-F113/60))</f>
        <v>0</v>
      </c>
      <c r="H113" s="15">
        <f>IF(A113="","",INT((A113-$B$4)/7)+1)</f>
        <v>15</v>
      </c>
      <c r="I113" s="16">
        <f>IF(AND(A113&lt;&gt;"",C113="労働日"),I112+1,0)</f>
        <v>0</v>
      </c>
      <c r="J113" s="16">
        <f>IF(AND(A113&lt;&gt;"",ISNUMBER($B$7),ISNUMBER($B$8)),IF(AND(A113&gt;=$B$7,A113&lt;=$B$8),1,0),0)</f>
        <v>0</v>
      </c>
    </row>
    <row r="114">
      <c r="A114" s="9">
        <f>IF(ISNUMBER($B$4),IF(ISNUMBER($B$5),IF($B$4+102&lt;=$B$5,$B$4+102,""),""),"")</f>
        <v>46398</v>
      </c>
      <c r="B114" s="10" t="str">
        <f>IF(A114="","",CHOOSE(WEEKDAY(A114),"日","月","火","水","木","金","土"))</f>
        <v>月</v>
      </c>
      <c r="C114" s="11" t="inlineStr">
        <is>
          <t>休日</t>
        </is>
      </c>
      <c r="D114" s="12" t="n"/>
      <c r="E114" s="12" t="n"/>
      <c r="F114" s="13" t="n"/>
      <c r="G114" s="14">
        <f>IF(OR(A114="",C114&lt;&gt;"労働日"),0,MAX(0,MOD(E114-D114,1)*24-F114/60))</f>
        <v>0</v>
      </c>
      <c r="H114" s="15">
        <f>IF(A114="","",INT((A114-$B$4)/7)+1)</f>
        <v>15</v>
      </c>
      <c r="I114" s="16">
        <f>IF(AND(A114&lt;&gt;"",C114="労働日"),I113+1,0)</f>
        <v>0</v>
      </c>
      <c r="J114" s="16">
        <f>IF(AND(A114&lt;&gt;"",ISNUMBER($B$7),ISNUMBER($B$8)),IF(AND(A114&gt;=$B$7,A114&lt;=$B$8),1,0),0)</f>
        <v>0</v>
      </c>
    </row>
    <row r="115">
      <c r="A115" s="9">
        <f>IF(ISNUMBER($B$4),IF(ISNUMBER($B$5),IF($B$4+103&lt;=$B$5,$B$4+103,""),""),"")</f>
        <v>46399</v>
      </c>
      <c r="B115" s="10" t="str">
        <f>IF(A115="","",CHOOSE(WEEKDAY(A115),"日","月","火","水","木","金","土"))</f>
        <v>火</v>
      </c>
      <c r="C115" s="11" t="inlineStr">
        <is>
          <t>労働日</t>
        </is>
      </c>
      <c r="D115" s="12" t="n">
        <v>0.375</v>
      </c>
      <c r="E115" s="12" t="n">
        <v>0.75</v>
      </c>
      <c r="F115" s="13" t="n">
        <v>60</v>
      </c>
      <c r="G115" s="14">
        <f>IF(OR(A115="",C115&lt;&gt;"労働日"),0,MAX(0,MOD(E115-D115,1)*24-F115/60))</f>
        <v>8</v>
      </c>
      <c r="H115" s="15">
        <f>IF(A115="","",INT((A115-$B$4)/7)+1)</f>
        <v>15</v>
      </c>
      <c r="I115" s="16">
        <f>IF(AND(A115&lt;&gt;"",C115="労働日"),I114+1,0)</f>
        <v>1</v>
      </c>
      <c r="J115" s="16">
        <f>IF(AND(A115&lt;&gt;"",ISNUMBER($B$7),ISNUMBER($B$8)),IF(AND(A115&gt;=$B$7,A115&lt;=$B$8),1,0),0)</f>
        <v>0</v>
      </c>
    </row>
    <row r="116">
      <c r="A116" s="9">
        <f>IF(ISNUMBER($B$4),IF(ISNUMBER($B$5),IF($B$4+104&lt;=$B$5,$B$4+104,""),""),"")</f>
        <v>46400</v>
      </c>
      <c r="B116" s="10" t="str">
        <f>IF(A116="","",CHOOSE(WEEKDAY(A116),"日","月","火","水","木","金","土"))</f>
        <v>水</v>
      </c>
      <c r="C116" s="11" t="inlineStr">
        <is>
          <t>労働日</t>
        </is>
      </c>
      <c r="D116" s="12" t="n">
        <v>0.375</v>
      </c>
      <c r="E116" s="12" t="n">
        <v>0.75</v>
      </c>
      <c r="F116" s="13" t="n">
        <v>60</v>
      </c>
      <c r="G116" s="14">
        <f>IF(OR(A116="",C116&lt;&gt;"労働日"),0,MAX(0,MOD(E116-D116,1)*24-F116/60))</f>
        <v>8</v>
      </c>
      <c r="H116" s="15">
        <f>IF(A116="","",INT((A116-$B$4)/7)+1)</f>
        <v>15</v>
      </c>
      <c r="I116" s="16">
        <f>IF(AND(A116&lt;&gt;"",C116="労働日"),I115+1,0)</f>
        <v>2</v>
      </c>
      <c r="J116" s="16">
        <f>IF(AND(A116&lt;&gt;"",ISNUMBER($B$7),ISNUMBER($B$8)),IF(AND(A116&gt;=$B$7,A116&lt;=$B$8),1,0),0)</f>
        <v>0</v>
      </c>
    </row>
    <row r="117">
      <c r="A117" s="9">
        <f>IF(ISNUMBER($B$4),IF(ISNUMBER($B$5),IF($B$4+105&lt;=$B$5,$B$4+105,""),""),"")</f>
        <v>46401</v>
      </c>
      <c r="B117" s="10" t="str">
        <f>IF(A117="","",CHOOSE(WEEKDAY(A117),"日","月","火","水","木","金","土"))</f>
        <v>木</v>
      </c>
      <c r="C117" s="11" t="inlineStr">
        <is>
          <t>労働日</t>
        </is>
      </c>
      <c r="D117" s="12" t="n">
        <v>0.375</v>
      </c>
      <c r="E117" s="12" t="n">
        <v>0.75</v>
      </c>
      <c r="F117" s="13" t="n">
        <v>60</v>
      </c>
      <c r="G117" s="14">
        <f>IF(OR(A117="",C117&lt;&gt;"労働日"),0,MAX(0,MOD(E117-D117,1)*24-F117/60))</f>
        <v>8</v>
      </c>
      <c r="H117" s="15">
        <f>IF(A117="","",INT((A117-$B$4)/7)+1)</f>
        <v>16</v>
      </c>
      <c r="I117" s="16">
        <f>IF(AND(A117&lt;&gt;"",C117="労働日"),I116+1,0)</f>
        <v>3</v>
      </c>
      <c r="J117" s="16">
        <f>IF(AND(A117&lt;&gt;"",ISNUMBER($B$7),ISNUMBER($B$8)),IF(AND(A117&gt;=$B$7,A117&lt;=$B$8),1,0),0)</f>
        <v>0</v>
      </c>
    </row>
    <row r="118">
      <c r="A118" s="9">
        <f>IF(ISNUMBER($B$4),IF(ISNUMBER($B$5),IF($B$4+106&lt;=$B$5,$B$4+106,""),""),"")</f>
        <v>46402</v>
      </c>
      <c r="B118" s="10" t="str">
        <f>IF(A118="","",CHOOSE(WEEKDAY(A118),"日","月","火","水","木","金","土"))</f>
        <v>金</v>
      </c>
      <c r="C118" s="11" t="inlineStr">
        <is>
          <t>労働日</t>
        </is>
      </c>
      <c r="D118" s="12" t="n">
        <v>0.375</v>
      </c>
      <c r="E118" s="12" t="n">
        <v>0.75</v>
      </c>
      <c r="F118" s="13" t="n">
        <v>60</v>
      </c>
      <c r="G118" s="14">
        <f>IF(OR(A118="",C118&lt;&gt;"労働日"),0,MAX(0,MOD(E118-D118,1)*24-F118/60))</f>
        <v>8</v>
      </c>
      <c r="H118" s="15">
        <f>IF(A118="","",INT((A118-$B$4)/7)+1)</f>
        <v>16</v>
      </c>
      <c r="I118" s="16">
        <f>IF(AND(A118&lt;&gt;"",C118="労働日"),I117+1,0)</f>
        <v>4</v>
      </c>
      <c r="J118" s="16">
        <f>IF(AND(A118&lt;&gt;"",ISNUMBER($B$7),ISNUMBER($B$8)),IF(AND(A118&gt;=$B$7,A118&lt;=$B$8),1,0),0)</f>
        <v>0</v>
      </c>
    </row>
    <row r="119">
      <c r="A119" s="9">
        <f>IF(ISNUMBER($B$4),IF(ISNUMBER($B$5),IF($B$4+107&lt;=$B$5,$B$4+107,""),""),"")</f>
        <v>46403</v>
      </c>
      <c r="B119" s="10" t="str">
        <f>IF(A119="","",CHOOSE(WEEKDAY(A119),"日","月","火","水","木","金","土"))</f>
        <v>土</v>
      </c>
      <c r="C119" s="11" t="inlineStr">
        <is>
          <t>休日</t>
        </is>
      </c>
      <c r="D119" s="12" t="n"/>
      <c r="E119" s="12" t="n"/>
      <c r="F119" s="13" t="n"/>
      <c r="G119" s="14">
        <f>IF(OR(A119="",C119&lt;&gt;"労働日"),0,MAX(0,MOD(E119-D119,1)*24-F119/60))</f>
        <v>0</v>
      </c>
      <c r="H119" s="15">
        <f>IF(A119="","",INT((A119-$B$4)/7)+1)</f>
        <v>16</v>
      </c>
      <c r="I119" s="16">
        <f>IF(AND(A119&lt;&gt;"",C119="労働日"),I118+1,0)</f>
        <v>0</v>
      </c>
      <c r="J119" s="16">
        <f>IF(AND(A119&lt;&gt;"",ISNUMBER($B$7),ISNUMBER($B$8)),IF(AND(A119&gt;=$B$7,A119&lt;=$B$8),1,0),0)</f>
        <v>0</v>
      </c>
    </row>
    <row r="120">
      <c r="A120" s="9">
        <f>IF(ISNUMBER($B$4),IF(ISNUMBER($B$5),IF($B$4+108&lt;=$B$5,$B$4+108,""),""),"")</f>
        <v>46404</v>
      </c>
      <c r="B120" s="10" t="str">
        <f>IF(A120="","",CHOOSE(WEEKDAY(A120),"日","月","火","水","木","金","土"))</f>
        <v>日</v>
      </c>
      <c r="C120" s="11" t="inlineStr">
        <is>
          <t>休日</t>
        </is>
      </c>
      <c r="D120" s="12" t="n"/>
      <c r="E120" s="12" t="n"/>
      <c r="F120" s="13" t="n"/>
      <c r="G120" s="14">
        <f>IF(OR(A120="",C120&lt;&gt;"労働日"),0,MAX(0,MOD(E120-D120,1)*24-F120/60))</f>
        <v>0</v>
      </c>
      <c r="H120" s="15">
        <f>IF(A120="","",INT((A120-$B$4)/7)+1)</f>
        <v>16</v>
      </c>
      <c r="I120" s="16">
        <f>IF(AND(A120&lt;&gt;"",C120="労働日"),I119+1,0)</f>
        <v>0</v>
      </c>
      <c r="J120" s="16">
        <f>IF(AND(A120&lt;&gt;"",ISNUMBER($B$7),ISNUMBER($B$8)),IF(AND(A120&gt;=$B$7,A120&lt;=$B$8),1,0),0)</f>
        <v>0</v>
      </c>
    </row>
    <row r="121">
      <c r="A121" s="9">
        <f>IF(ISNUMBER($B$4),IF(ISNUMBER($B$5),IF($B$4+109&lt;=$B$5,$B$4+109,""),""),"")</f>
        <v>46405</v>
      </c>
      <c r="B121" s="10" t="str">
        <f>IF(A121="","",CHOOSE(WEEKDAY(A121),"日","月","火","水","木","金","土"))</f>
        <v>月</v>
      </c>
      <c r="C121" s="11" t="inlineStr">
        <is>
          <t>労働日</t>
        </is>
      </c>
      <c r="D121" s="12" t="n">
        <v>0.375</v>
      </c>
      <c r="E121" s="12" t="n">
        <v>0.75</v>
      </c>
      <c r="F121" s="13" t="n">
        <v>60</v>
      </c>
      <c r="G121" s="14">
        <f>IF(OR(A121="",C121&lt;&gt;"労働日"),0,MAX(0,MOD(E121-D121,1)*24-F121/60))</f>
        <v>8</v>
      </c>
      <c r="H121" s="15">
        <f>IF(A121="","",INT((A121-$B$4)/7)+1)</f>
        <v>16</v>
      </c>
      <c r="I121" s="16">
        <f>IF(AND(A121&lt;&gt;"",C121="労働日"),I120+1,0)</f>
        <v>1</v>
      </c>
      <c r="J121" s="16">
        <f>IF(AND(A121&lt;&gt;"",ISNUMBER($B$7),ISNUMBER($B$8)),IF(AND(A121&gt;=$B$7,A121&lt;=$B$8),1,0),0)</f>
        <v>0</v>
      </c>
    </row>
    <row r="122">
      <c r="A122" s="9">
        <f>IF(ISNUMBER($B$4),IF(ISNUMBER($B$5),IF($B$4+110&lt;=$B$5,$B$4+110,""),""),"")</f>
        <v>46406</v>
      </c>
      <c r="B122" s="10" t="str">
        <f>IF(A122="","",CHOOSE(WEEKDAY(A122),"日","月","火","水","木","金","土"))</f>
        <v>火</v>
      </c>
      <c r="C122" s="11" t="inlineStr">
        <is>
          <t>労働日</t>
        </is>
      </c>
      <c r="D122" s="12" t="n">
        <v>0.375</v>
      </c>
      <c r="E122" s="12" t="n">
        <v>0.75</v>
      </c>
      <c r="F122" s="13" t="n">
        <v>60</v>
      </c>
      <c r="G122" s="14">
        <f>IF(OR(A122="",C122&lt;&gt;"労働日"),0,MAX(0,MOD(E122-D122,1)*24-F122/60))</f>
        <v>8</v>
      </c>
      <c r="H122" s="15">
        <f>IF(A122="","",INT((A122-$B$4)/7)+1)</f>
        <v>16</v>
      </c>
      <c r="I122" s="16">
        <f>IF(AND(A122&lt;&gt;"",C122="労働日"),I121+1,0)</f>
        <v>2</v>
      </c>
      <c r="J122" s="16">
        <f>IF(AND(A122&lt;&gt;"",ISNUMBER($B$7),ISNUMBER($B$8)),IF(AND(A122&gt;=$B$7,A122&lt;=$B$8),1,0),0)</f>
        <v>0</v>
      </c>
    </row>
    <row r="123">
      <c r="A123" s="9">
        <f>IF(ISNUMBER($B$4),IF(ISNUMBER($B$5),IF($B$4+111&lt;=$B$5,$B$4+111,""),""),"")</f>
        <v>46407</v>
      </c>
      <c r="B123" s="10" t="str">
        <f>IF(A123="","",CHOOSE(WEEKDAY(A123),"日","月","火","水","木","金","土"))</f>
        <v>水</v>
      </c>
      <c r="C123" s="11" t="inlineStr">
        <is>
          <t>労働日</t>
        </is>
      </c>
      <c r="D123" s="12" t="n">
        <v>0.375</v>
      </c>
      <c r="E123" s="12" t="n">
        <v>0.75</v>
      </c>
      <c r="F123" s="13" t="n">
        <v>60</v>
      </c>
      <c r="G123" s="14">
        <f>IF(OR(A123="",C123&lt;&gt;"労働日"),0,MAX(0,MOD(E123-D123,1)*24-F123/60))</f>
        <v>8</v>
      </c>
      <c r="H123" s="15">
        <f>IF(A123="","",INT((A123-$B$4)/7)+1)</f>
        <v>16</v>
      </c>
      <c r="I123" s="16">
        <f>IF(AND(A123&lt;&gt;"",C123="労働日"),I122+1,0)</f>
        <v>3</v>
      </c>
      <c r="J123" s="16">
        <f>IF(AND(A123&lt;&gt;"",ISNUMBER($B$7),ISNUMBER($B$8)),IF(AND(A123&gt;=$B$7,A123&lt;=$B$8),1,0),0)</f>
        <v>0</v>
      </c>
    </row>
    <row r="124">
      <c r="A124" s="9">
        <f>IF(ISNUMBER($B$4),IF(ISNUMBER($B$5),IF($B$4+112&lt;=$B$5,$B$4+112,""),""),"")</f>
        <v>46408</v>
      </c>
      <c r="B124" s="10" t="str">
        <f>IF(A124="","",CHOOSE(WEEKDAY(A124),"日","月","火","水","木","金","土"))</f>
        <v>木</v>
      </c>
      <c r="C124" s="11" t="inlineStr">
        <is>
          <t>労働日</t>
        </is>
      </c>
      <c r="D124" s="12" t="n">
        <v>0.375</v>
      </c>
      <c r="E124" s="12" t="n">
        <v>0.75</v>
      </c>
      <c r="F124" s="13" t="n">
        <v>60</v>
      </c>
      <c r="G124" s="14">
        <f>IF(OR(A124="",C124&lt;&gt;"労働日"),0,MAX(0,MOD(E124-D124,1)*24-F124/60))</f>
        <v>8</v>
      </c>
      <c r="H124" s="15">
        <f>IF(A124="","",INT((A124-$B$4)/7)+1)</f>
        <v>17</v>
      </c>
      <c r="I124" s="16">
        <f>IF(AND(A124&lt;&gt;"",C124="労働日"),I123+1,0)</f>
        <v>4</v>
      </c>
      <c r="J124" s="16">
        <f>IF(AND(A124&lt;&gt;"",ISNUMBER($B$7),ISNUMBER($B$8)),IF(AND(A124&gt;=$B$7,A124&lt;=$B$8),1,0),0)</f>
        <v>0</v>
      </c>
    </row>
    <row r="125">
      <c r="A125" s="9">
        <f>IF(ISNUMBER($B$4),IF(ISNUMBER($B$5),IF($B$4+113&lt;=$B$5,$B$4+113,""),""),"")</f>
        <v>46409</v>
      </c>
      <c r="B125" s="10" t="str">
        <f>IF(A125="","",CHOOSE(WEEKDAY(A125),"日","月","火","水","木","金","土"))</f>
        <v>金</v>
      </c>
      <c r="C125" s="11" t="inlineStr">
        <is>
          <t>労働日</t>
        </is>
      </c>
      <c r="D125" s="12" t="n">
        <v>0.375</v>
      </c>
      <c r="E125" s="12" t="n">
        <v>0.75</v>
      </c>
      <c r="F125" s="13" t="n">
        <v>60</v>
      </c>
      <c r="G125" s="14">
        <f>IF(OR(A125="",C125&lt;&gt;"労働日"),0,MAX(0,MOD(E125-D125,1)*24-F125/60))</f>
        <v>8</v>
      </c>
      <c r="H125" s="15">
        <f>IF(A125="","",INT((A125-$B$4)/7)+1)</f>
        <v>17</v>
      </c>
      <c r="I125" s="16">
        <f>IF(AND(A125&lt;&gt;"",C125="労働日"),I124+1,0)</f>
        <v>5</v>
      </c>
      <c r="J125" s="16">
        <f>IF(AND(A125&lt;&gt;"",ISNUMBER($B$7),ISNUMBER($B$8)),IF(AND(A125&gt;=$B$7,A125&lt;=$B$8),1,0),0)</f>
        <v>0</v>
      </c>
    </row>
    <row r="126">
      <c r="A126" s="9">
        <f>IF(ISNUMBER($B$4),IF(ISNUMBER($B$5),IF($B$4+114&lt;=$B$5,$B$4+114,""),""),"")</f>
        <v>46410</v>
      </c>
      <c r="B126" s="10" t="str">
        <f>IF(A126="","",CHOOSE(WEEKDAY(A126),"日","月","火","水","木","金","土"))</f>
        <v>土</v>
      </c>
      <c r="C126" s="11" t="inlineStr">
        <is>
          <t>休日</t>
        </is>
      </c>
      <c r="D126" s="12" t="n"/>
      <c r="E126" s="12" t="n"/>
      <c r="F126" s="13" t="n"/>
      <c r="G126" s="14">
        <f>IF(OR(A126="",C126&lt;&gt;"労働日"),0,MAX(0,MOD(E126-D126,1)*24-F126/60))</f>
        <v>0</v>
      </c>
      <c r="H126" s="15">
        <f>IF(A126="","",INT((A126-$B$4)/7)+1)</f>
        <v>17</v>
      </c>
      <c r="I126" s="16">
        <f>IF(AND(A126&lt;&gt;"",C126="労働日"),I125+1,0)</f>
        <v>0</v>
      </c>
      <c r="J126" s="16">
        <f>IF(AND(A126&lt;&gt;"",ISNUMBER($B$7),ISNUMBER($B$8)),IF(AND(A126&gt;=$B$7,A126&lt;=$B$8),1,0),0)</f>
        <v>0</v>
      </c>
    </row>
    <row r="127">
      <c r="A127" s="9">
        <f>IF(ISNUMBER($B$4),IF(ISNUMBER($B$5),IF($B$4+115&lt;=$B$5,$B$4+115,""),""),"")</f>
        <v>46411</v>
      </c>
      <c r="B127" s="10" t="str">
        <f>IF(A127="","",CHOOSE(WEEKDAY(A127),"日","月","火","水","木","金","土"))</f>
        <v>日</v>
      </c>
      <c r="C127" s="11" t="inlineStr">
        <is>
          <t>休日</t>
        </is>
      </c>
      <c r="D127" s="12" t="n"/>
      <c r="E127" s="12" t="n"/>
      <c r="F127" s="13" t="n"/>
      <c r="G127" s="14">
        <f>IF(OR(A127="",C127&lt;&gt;"労働日"),0,MAX(0,MOD(E127-D127,1)*24-F127/60))</f>
        <v>0</v>
      </c>
      <c r="H127" s="15">
        <f>IF(A127="","",INT((A127-$B$4)/7)+1)</f>
        <v>17</v>
      </c>
      <c r="I127" s="16">
        <f>IF(AND(A127&lt;&gt;"",C127="労働日"),I126+1,0)</f>
        <v>0</v>
      </c>
      <c r="J127" s="16">
        <f>IF(AND(A127&lt;&gt;"",ISNUMBER($B$7),ISNUMBER($B$8)),IF(AND(A127&gt;=$B$7,A127&lt;=$B$8),1,0),0)</f>
        <v>0</v>
      </c>
    </row>
    <row r="128">
      <c r="A128" s="9">
        <f>IF(ISNUMBER($B$4),IF(ISNUMBER($B$5),IF($B$4+116&lt;=$B$5,$B$4+116,""),""),"")</f>
        <v>46412</v>
      </c>
      <c r="B128" s="10" t="str">
        <f>IF(A128="","",CHOOSE(WEEKDAY(A128),"日","月","火","水","木","金","土"))</f>
        <v>月</v>
      </c>
      <c r="C128" s="11" t="inlineStr">
        <is>
          <t>労働日</t>
        </is>
      </c>
      <c r="D128" s="12" t="n">
        <v>0.375</v>
      </c>
      <c r="E128" s="12" t="n">
        <v>0.75</v>
      </c>
      <c r="F128" s="13" t="n">
        <v>60</v>
      </c>
      <c r="G128" s="14">
        <f>IF(OR(A128="",C128&lt;&gt;"労働日"),0,MAX(0,MOD(E128-D128,1)*24-F128/60))</f>
        <v>8</v>
      </c>
      <c r="H128" s="15">
        <f>IF(A128="","",INT((A128-$B$4)/7)+1)</f>
        <v>17</v>
      </c>
      <c r="I128" s="16">
        <f>IF(AND(A128&lt;&gt;"",C128="労働日"),I127+1,0)</f>
        <v>1</v>
      </c>
      <c r="J128" s="16">
        <f>IF(AND(A128&lt;&gt;"",ISNUMBER($B$7),ISNUMBER($B$8)),IF(AND(A128&gt;=$B$7,A128&lt;=$B$8),1,0),0)</f>
        <v>0</v>
      </c>
    </row>
    <row r="129">
      <c r="A129" s="9">
        <f>IF(ISNUMBER($B$4),IF(ISNUMBER($B$5),IF($B$4+117&lt;=$B$5,$B$4+117,""),""),"")</f>
        <v>46413</v>
      </c>
      <c r="B129" s="10" t="str">
        <f>IF(A129="","",CHOOSE(WEEKDAY(A129),"日","月","火","水","木","金","土"))</f>
        <v>火</v>
      </c>
      <c r="C129" s="11" t="inlineStr">
        <is>
          <t>労働日</t>
        </is>
      </c>
      <c r="D129" s="12" t="n">
        <v>0.375</v>
      </c>
      <c r="E129" s="12" t="n">
        <v>0.75</v>
      </c>
      <c r="F129" s="13" t="n">
        <v>60</v>
      </c>
      <c r="G129" s="14">
        <f>IF(OR(A129="",C129&lt;&gt;"労働日"),0,MAX(0,MOD(E129-D129,1)*24-F129/60))</f>
        <v>8</v>
      </c>
      <c r="H129" s="15">
        <f>IF(A129="","",INT((A129-$B$4)/7)+1)</f>
        <v>17</v>
      </c>
      <c r="I129" s="16">
        <f>IF(AND(A129&lt;&gt;"",C129="労働日"),I128+1,0)</f>
        <v>2</v>
      </c>
      <c r="J129" s="16">
        <f>IF(AND(A129&lt;&gt;"",ISNUMBER($B$7),ISNUMBER($B$8)),IF(AND(A129&gt;=$B$7,A129&lt;=$B$8),1,0),0)</f>
        <v>0</v>
      </c>
    </row>
    <row r="130">
      <c r="A130" s="9">
        <f>IF(ISNUMBER($B$4),IF(ISNUMBER($B$5),IF($B$4+118&lt;=$B$5,$B$4+118,""),""),"")</f>
        <v>46414</v>
      </c>
      <c r="B130" s="10" t="str">
        <f>IF(A130="","",CHOOSE(WEEKDAY(A130),"日","月","火","水","木","金","土"))</f>
        <v>水</v>
      </c>
      <c r="C130" s="11" t="inlineStr">
        <is>
          <t>労働日</t>
        </is>
      </c>
      <c r="D130" s="12" t="n">
        <v>0.375</v>
      </c>
      <c r="E130" s="12" t="n">
        <v>0.75</v>
      </c>
      <c r="F130" s="13" t="n">
        <v>60</v>
      </c>
      <c r="G130" s="14">
        <f>IF(OR(A130="",C130&lt;&gt;"労働日"),0,MAX(0,MOD(E130-D130,1)*24-F130/60))</f>
        <v>8</v>
      </c>
      <c r="H130" s="15">
        <f>IF(A130="","",INT((A130-$B$4)/7)+1)</f>
        <v>17</v>
      </c>
      <c r="I130" s="16">
        <f>IF(AND(A130&lt;&gt;"",C130="労働日"),I129+1,0)</f>
        <v>3</v>
      </c>
      <c r="J130" s="16">
        <f>IF(AND(A130&lt;&gt;"",ISNUMBER($B$7),ISNUMBER($B$8)),IF(AND(A130&gt;=$B$7,A130&lt;=$B$8),1,0),0)</f>
        <v>0</v>
      </c>
    </row>
    <row r="131">
      <c r="A131" s="9">
        <f>IF(ISNUMBER($B$4),IF(ISNUMBER($B$5),IF($B$4+119&lt;=$B$5,$B$4+119,""),""),"")</f>
        <v>46415</v>
      </c>
      <c r="B131" s="10" t="str">
        <f>IF(A131="","",CHOOSE(WEEKDAY(A131),"日","月","火","水","木","金","土"))</f>
        <v>木</v>
      </c>
      <c r="C131" s="11" t="inlineStr">
        <is>
          <t>労働日</t>
        </is>
      </c>
      <c r="D131" s="12" t="n">
        <v>0.375</v>
      </c>
      <c r="E131" s="12" t="n">
        <v>0.75</v>
      </c>
      <c r="F131" s="13" t="n">
        <v>60</v>
      </c>
      <c r="G131" s="14">
        <f>IF(OR(A131="",C131&lt;&gt;"労働日"),0,MAX(0,MOD(E131-D131,1)*24-F131/60))</f>
        <v>8</v>
      </c>
      <c r="H131" s="15">
        <f>IF(A131="","",INT((A131-$B$4)/7)+1)</f>
        <v>18</v>
      </c>
      <c r="I131" s="16">
        <f>IF(AND(A131&lt;&gt;"",C131="労働日"),I130+1,0)</f>
        <v>4</v>
      </c>
      <c r="J131" s="16">
        <f>IF(AND(A131&lt;&gt;"",ISNUMBER($B$7),ISNUMBER($B$8)),IF(AND(A131&gt;=$B$7,A131&lt;=$B$8),1,0),0)</f>
        <v>0</v>
      </c>
    </row>
    <row r="132">
      <c r="A132" s="9">
        <f>IF(ISNUMBER($B$4),IF(ISNUMBER($B$5),IF($B$4+120&lt;=$B$5,$B$4+120,""),""),"")</f>
        <v>46416</v>
      </c>
      <c r="B132" s="10" t="str">
        <f>IF(A132="","",CHOOSE(WEEKDAY(A132),"日","月","火","水","木","金","土"))</f>
        <v>金</v>
      </c>
      <c r="C132" s="11" t="inlineStr">
        <is>
          <t>労働日</t>
        </is>
      </c>
      <c r="D132" s="12" t="n">
        <v>0.375</v>
      </c>
      <c r="E132" s="12" t="n">
        <v>0.75</v>
      </c>
      <c r="F132" s="13" t="n">
        <v>60</v>
      </c>
      <c r="G132" s="14">
        <f>IF(OR(A132="",C132&lt;&gt;"労働日"),0,MAX(0,MOD(E132-D132,1)*24-F132/60))</f>
        <v>8</v>
      </c>
      <c r="H132" s="15">
        <f>IF(A132="","",INT((A132-$B$4)/7)+1)</f>
        <v>18</v>
      </c>
      <c r="I132" s="16">
        <f>IF(AND(A132&lt;&gt;"",C132="労働日"),I131+1,0)</f>
        <v>5</v>
      </c>
      <c r="J132" s="16">
        <f>IF(AND(A132&lt;&gt;"",ISNUMBER($B$7),ISNUMBER($B$8)),IF(AND(A132&gt;=$B$7,A132&lt;=$B$8),1,0),0)</f>
        <v>0</v>
      </c>
    </row>
    <row r="133">
      <c r="A133" s="9">
        <f>IF(ISNUMBER($B$4),IF(ISNUMBER($B$5),IF($B$4+121&lt;=$B$5,$B$4+121,""),""),"")</f>
        <v>46417</v>
      </c>
      <c r="B133" s="10" t="str">
        <f>IF(A133="","",CHOOSE(WEEKDAY(A133),"日","月","火","水","木","金","土"))</f>
        <v>土</v>
      </c>
      <c r="C133" s="11" t="inlineStr">
        <is>
          <t>休日</t>
        </is>
      </c>
      <c r="D133" s="12" t="n"/>
      <c r="E133" s="12" t="n"/>
      <c r="F133" s="13" t="n"/>
      <c r="G133" s="14">
        <f>IF(OR(A133="",C133&lt;&gt;"労働日"),0,MAX(0,MOD(E133-D133,1)*24-F133/60))</f>
        <v>0</v>
      </c>
      <c r="H133" s="15">
        <f>IF(A133="","",INT((A133-$B$4)/7)+1)</f>
        <v>18</v>
      </c>
      <c r="I133" s="16">
        <f>IF(AND(A133&lt;&gt;"",C133="労働日"),I132+1,0)</f>
        <v>0</v>
      </c>
      <c r="J133" s="16">
        <f>IF(AND(A133&lt;&gt;"",ISNUMBER($B$7),ISNUMBER($B$8)),IF(AND(A133&gt;=$B$7,A133&lt;=$B$8),1,0),0)</f>
        <v>0</v>
      </c>
    </row>
    <row r="134">
      <c r="A134" s="9">
        <f>IF(ISNUMBER($B$4),IF(ISNUMBER($B$5),IF($B$4+122&lt;=$B$5,$B$4+122,""),""),"")</f>
        <v>46418</v>
      </c>
      <c r="B134" s="10" t="str">
        <f>IF(A134="","",CHOOSE(WEEKDAY(A134),"日","月","火","水","木","金","土"))</f>
        <v>日</v>
      </c>
      <c r="C134" s="11" t="inlineStr">
        <is>
          <t>休日</t>
        </is>
      </c>
      <c r="D134" s="12" t="n"/>
      <c r="E134" s="12" t="n"/>
      <c r="F134" s="13" t="n"/>
      <c r="G134" s="14">
        <f>IF(OR(A134="",C134&lt;&gt;"労働日"),0,MAX(0,MOD(E134-D134,1)*24-F134/60))</f>
        <v>0</v>
      </c>
      <c r="H134" s="15">
        <f>IF(A134="","",INT((A134-$B$4)/7)+1)</f>
        <v>18</v>
      </c>
      <c r="I134" s="16">
        <f>IF(AND(A134&lt;&gt;"",C134="労働日"),I133+1,0)</f>
        <v>0</v>
      </c>
      <c r="J134" s="16">
        <f>IF(AND(A134&lt;&gt;"",ISNUMBER($B$7),ISNUMBER($B$8)),IF(AND(A134&gt;=$B$7,A134&lt;=$B$8),1,0),0)</f>
        <v>0</v>
      </c>
    </row>
    <row r="135">
      <c r="A135" s="9">
        <f>IF(ISNUMBER($B$4),IF(ISNUMBER($B$5),IF($B$4+123&lt;=$B$5,$B$4+123,""),""),"")</f>
        <v>46419</v>
      </c>
      <c r="B135" s="10" t="str">
        <f>IF(A135="","",CHOOSE(WEEKDAY(A135),"日","月","火","水","木","金","土"))</f>
        <v>月</v>
      </c>
      <c r="C135" s="11" t="inlineStr">
        <is>
          <t>労働日</t>
        </is>
      </c>
      <c r="D135" s="12" t="n">
        <v>0.375</v>
      </c>
      <c r="E135" s="12" t="n">
        <v>0.75</v>
      </c>
      <c r="F135" s="13" t="n">
        <v>60</v>
      </c>
      <c r="G135" s="14">
        <f>IF(OR(A135="",C135&lt;&gt;"労働日"),0,MAX(0,MOD(E135-D135,1)*24-F135/60))</f>
        <v>8</v>
      </c>
      <c r="H135" s="15">
        <f>IF(A135="","",INT((A135-$B$4)/7)+1)</f>
        <v>18</v>
      </c>
      <c r="I135" s="16">
        <f>IF(AND(A135&lt;&gt;"",C135="労働日"),I134+1,0)</f>
        <v>1</v>
      </c>
      <c r="J135" s="16">
        <f>IF(AND(A135&lt;&gt;"",ISNUMBER($B$7),ISNUMBER($B$8)),IF(AND(A135&gt;=$B$7,A135&lt;=$B$8),1,0),0)</f>
        <v>0</v>
      </c>
    </row>
    <row r="136">
      <c r="A136" s="9">
        <f>IF(ISNUMBER($B$4),IF(ISNUMBER($B$5),IF($B$4+124&lt;=$B$5,$B$4+124,""),""),"")</f>
        <v>46420</v>
      </c>
      <c r="B136" s="10" t="str">
        <f>IF(A136="","",CHOOSE(WEEKDAY(A136),"日","月","火","水","木","金","土"))</f>
        <v>火</v>
      </c>
      <c r="C136" s="11" t="inlineStr">
        <is>
          <t>労働日</t>
        </is>
      </c>
      <c r="D136" s="12" t="n">
        <v>0.375</v>
      </c>
      <c r="E136" s="12" t="n">
        <v>0.75</v>
      </c>
      <c r="F136" s="13" t="n">
        <v>60</v>
      </c>
      <c r="G136" s="14">
        <f>IF(OR(A136="",C136&lt;&gt;"労働日"),0,MAX(0,MOD(E136-D136,1)*24-F136/60))</f>
        <v>8</v>
      </c>
      <c r="H136" s="15">
        <f>IF(A136="","",INT((A136-$B$4)/7)+1)</f>
        <v>18</v>
      </c>
      <c r="I136" s="16">
        <f>IF(AND(A136&lt;&gt;"",C136="労働日"),I135+1,0)</f>
        <v>2</v>
      </c>
      <c r="J136" s="16">
        <f>IF(AND(A136&lt;&gt;"",ISNUMBER($B$7),ISNUMBER($B$8)),IF(AND(A136&gt;=$B$7,A136&lt;=$B$8),1,0),0)</f>
        <v>0</v>
      </c>
    </row>
    <row r="137">
      <c r="A137" s="9">
        <f>IF(ISNUMBER($B$4),IF(ISNUMBER($B$5),IF($B$4+125&lt;=$B$5,$B$4+125,""),""),"")</f>
        <v>46421</v>
      </c>
      <c r="B137" s="10" t="str">
        <f>IF(A137="","",CHOOSE(WEEKDAY(A137),"日","月","火","水","木","金","土"))</f>
        <v>水</v>
      </c>
      <c r="C137" s="11" t="inlineStr">
        <is>
          <t>労働日</t>
        </is>
      </c>
      <c r="D137" s="12" t="n">
        <v>0.375</v>
      </c>
      <c r="E137" s="12" t="n">
        <v>0.75</v>
      </c>
      <c r="F137" s="13" t="n">
        <v>60</v>
      </c>
      <c r="G137" s="14">
        <f>IF(OR(A137="",C137&lt;&gt;"労働日"),0,MAX(0,MOD(E137-D137,1)*24-F137/60))</f>
        <v>8</v>
      </c>
      <c r="H137" s="15">
        <f>IF(A137="","",INT((A137-$B$4)/7)+1)</f>
        <v>18</v>
      </c>
      <c r="I137" s="16">
        <f>IF(AND(A137&lt;&gt;"",C137="労働日"),I136+1,0)</f>
        <v>3</v>
      </c>
      <c r="J137" s="16">
        <f>IF(AND(A137&lt;&gt;"",ISNUMBER($B$7),ISNUMBER($B$8)),IF(AND(A137&gt;=$B$7,A137&lt;=$B$8),1,0),0)</f>
        <v>0</v>
      </c>
    </row>
    <row r="138">
      <c r="A138" s="9">
        <f>IF(ISNUMBER($B$4),IF(ISNUMBER($B$5),IF($B$4+126&lt;=$B$5,$B$4+126,""),""),"")</f>
        <v>46422</v>
      </c>
      <c r="B138" s="10" t="str">
        <f>IF(A138="","",CHOOSE(WEEKDAY(A138),"日","月","火","水","木","金","土"))</f>
        <v>木</v>
      </c>
      <c r="C138" s="11" t="inlineStr">
        <is>
          <t>労働日</t>
        </is>
      </c>
      <c r="D138" s="12" t="n">
        <v>0.375</v>
      </c>
      <c r="E138" s="12" t="n">
        <v>0.75</v>
      </c>
      <c r="F138" s="13" t="n">
        <v>60</v>
      </c>
      <c r="G138" s="14">
        <f>IF(OR(A138="",C138&lt;&gt;"労働日"),0,MAX(0,MOD(E138-D138,1)*24-F138/60))</f>
        <v>8</v>
      </c>
      <c r="H138" s="15">
        <f>IF(A138="","",INT((A138-$B$4)/7)+1)</f>
        <v>19</v>
      </c>
      <c r="I138" s="16">
        <f>IF(AND(A138&lt;&gt;"",C138="労働日"),I137+1,0)</f>
        <v>4</v>
      </c>
      <c r="J138" s="16">
        <f>IF(AND(A138&lt;&gt;"",ISNUMBER($B$7),ISNUMBER($B$8)),IF(AND(A138&gt;=$B$7,A138&lt;=$B$8),1,0),0)</f>
        <v>0</v>
      </c>
    </row>
    <row r="139">
      <c r="A139" s="9">
        <f>IF(ISNUMBER($B$4),IF(ISNUMBER($B$5),IF($B$4+127&lt;=$B$5,$B$4+127,""),""),"")</f>
        <v>46423</v>
      </c>
      <c r="B139" s="10" t="str">
        <f>IF(A139="","",CHOOSE(WEEKDAY(A139),"日","月","火","水","木","金","土"))</f>
        <v>金</v>
      </c>
      <c r="C139" s="11" t="inlineStr">
        <is>
          <t>労働日</t>
        </is>
      </c>
      <c r="D139" s="12" t="n">
        <v>0.375</v>
      </c>
      <c r="E139" s="12" t="n">
        <v>0.75</v>
      </c>
      <c r="F139" s="13" t="n">
        <v>60</v>
      </c>
      <c r="G139" s="14">
        <f>IF(OR(A139="",C139&lt;&gt;"労働日"),0,MAX(0,MOD(E139-D139,1)*24-F139/60))</f>
        <v>8</v>
      </c>
      <c r="H139" s="15">
        <f>IF(A139="","",INT((A139-$B$4)/7)+1)</f>
        <v>19</v>
      </c>
      <c r="I139" s="16">
        <f>IF(AND(A139&lt;&gt;"",C139="労働日"),I138+1,0)</f>
        <v>5</v>
      </c>
      <c r="J139" s="16">
        <f>IF(AND(A139&lt;&gt;"",ISNUMBER($B$7),ISNUMBER($B$8)),IF(AND(A139&gt;=$B$7,A139&lt;=$B$8),1,0),0)</f>
        <v>0</v>
      </c>
    </row>
    <row r="140">
      <c r="A140" s="9">
        <f>IF(ISNUMBER($B$4),IF(ISNUMBER($B$5),IF($B$4+128&lt;=$B$5,$B$4+128,""),""),"")</f>
        <v>46424</v>
      </c>
      <c r="B140" s="10" t="str">
        <f>IF(A140="","",CHOOSE(WEEKDAY(A140),"日","月","火","水","木","金","土"))</f>
        <v>土</v>
      </c>
      <c r="C140" s="11" t="inlineStr">
        <is>
          <t>休日</t>
        </is>
      </c>
      <c r="D140" s="12" t="n"/>
      <c r="E140" s="12" t="n"/>
      <c r="F140" s="13" t="n"/>
      <c r="G140" s="14">
        <f>IF(OR(A140="",C140&lt;&gt;"労働日"),0,MAX(0,MOD(E140-D140,1)*24-F140/60))</f>
        <v>0</v>
      </c>
      <c r="H140" s="15">
        <f>IF(A140="","",INT((A140-$B$4)/7)+1)</f>
        <v>19</v>
      </c>
      <c r="I140" s="16">
        <f>IF(AND(A140&lt;&gt;"",C140="労働日"),I139+1,0)</f>
        <v>0</v>
      </c>
      <c r="J140" s="16">
        <f>IF(AND(A140&lt;&gt;"",ISNUMBER($B$7),ISNUMBER($B$8)),IF(AND(A140&gt;=$B$7,A140&lt;=$B$8),1,0),0)</f>
        <v>0</v>
      </c>
    </row>
    <row r="141">
      <c r="A141" s="9">
        <f>IF(ISNUMBER($B$4),IF(ISNUMBER($B$5),IF($B$4+129&lt;=$B$5,$B$4+129,""),""),"")</f>
        <v>46425</v>
      </c>
      <c r="B141" s="10" t="str">
        <f>IF(A141="","",CHOOSE(WEEKDAY(A141),"日","月","火","水","木","金","土"))</f>
        <v>日</v>
      </c>
      <c r="C141" s="11" t="inlineStr">
        <is>
          <t>休日</t>
        </is>
      </c>
      <c r="D141" s="12" t="n"/>
      <c r="E141" s="12" t="n"/>
      <c r="F141" s="13" t="n"/>
      <c r="G141" s="14">
        <f>IF(OR(A141="",C141&lt;&gt;"労働日"),0,MAX(0,MOD(E141-D141,1)*24-F141/60))</f>
        <v>0</v>
      </c>
      <c r="H141" s="15">
        <f>IF(A141="","",INT((A141-$B$4)/7)+1)</f>
        <v>19</v>
      </c>
      <c r="I141" s="16">
        <f>IF(AND(A141&lt;&gt;"",C141="労働日"),I140+1,0)</f>
        <v>0</v>
      </c>
      <c r="J141" s="16">
        <f>IF(AND(A141&lt;&gt;"",ISNUMBER($B$7),ISNUMBER($B$8)),IF(AND(A141&gt;=$B$7,A141&lt;=$B$8),1,0),0)</f>
        <v>0</v>
      </c>
    </row>
    <row r="142">
      <c r="A142" s="9">
        <f>IF(ISNUMBER($B$4),IF(ISNUMBER($B$5),IF($B$4+130&lt;=$B$5,$B$4+130,""),""),"")</f>
        <v>46426</v>
      </c>
      <c r="B142" s="10" t="str">
        <f>IF(A142="","",CHOOSE(WEEKDAY(A142),"日","月","火","水","木","金","土"))</f>
        <v>月</v>
      </c>
      <c r="C142" s="11" t="inlineStr">
        <is>
          <t>労働日</t>
        </is>
      </c>
      <c r="D142" s="12" t="n">
        <v>0.375</v>
      </c>
      <c r="E142" s="12" t="n">
        <v>0.75</v>
      </c>
      <c r="F142" s="13" t="n">
        <v>60</v>
      </c>
      <c r="G142" s="14">
        <f>IF(OR(A142="",C142&lt;&gt;"労働日"),0,MAX(0,MOD(E142-D142,1)*24-F142/60))</f>
        <v>8</v>
      </c>
      <c r="H142" s="15">
        <f>IF(A142="","",INT((A142-$B$4)/7)+1)</f>
        <v>19</v>
      </c>
      <c r="I142" s="16">
        <f>IF(AND(A142&lt;&gt;"",C142="労働日"),I141+1,0)</f>
        <v>1</v>
      </c>
      <c r="J142" s="16">
        <f>IF(AND(A142&lt;&gt;"",ISNUMBER($B$7),ISNUMBER($B$8)),IF(AND(A142&gt;=$B$7,A142&lt;=$B$8),1,0),0)</f>
        <v>0</v>
      </c>
    </row>
    <row r="143">
      <c r="A143" s="9">
        <f>IF(ISNUMBER($B$4),IF(ISNUMBER($B$5),IF($B$4+131&lt;=$B$5,$B$4+131,""),""),"")</f>
        <v>46427</v>
      </c>
      <c r="B143" s="10" t="str">
        <f>IF(A143="","",CHOOSE(WEEKDAY(A143),"日","月","火","水","木","金","土"))</f>
        <v>火</v>
      </c>
      <c r="C143" s="11" t="inlineStr">
        <is>
          <t>労働日</t>
        </is>
      </c>
      <c r="D143" s="12" t="n">
        <v>0.375</v>
      </c>
      <c r="E143" s="12" t="n">
        <v>0.75</v>
      </c>
      <c r="F143" s="13" t="n">
        <v>60</v>
      </c>
      <c r="G143" s="14">
        <f>IF(OR(A143="",C143&lt;&gt;"労働日"),0,MAX(0,MOD(E143-D143,1)*24-F143/60))</f>
        <v>8</v>
      </c>
      <c r="H143" s="15">
        <f>IF(A143="","",INT((A143-$B$4)/7)+1)</f>
        <v>19</v>
      </c>
      <c r="I143" s="16">
        <f>IF(AND(A143&lt;&gt;"",C143="労働日"),I142+1,0)</f>
        <v>2</v>
      </c>
      <c r="J143" s="16">
        <f>IF(AND(A143&lt;&gt;"",ISNUMBER($B$7),ISNUMBER($B$8)),IF(AND(A143&gt;=$B$7,A143&lt;=$B$8),1,0),0)</f>
        <v>0</v>
      </c>
    </row>
    <row r="144">
      <c r="A144" s="9">
        <f>IF(ISNUMBER($B$4),IF(ISNUMBER($B$5),IF($B$4+132&lt;=$B$5,$B$4+132,""),""),"")</f>
        <v>46428</v>
      </c>
      <c r="B144" s="10" t="str">
        <f>IF(A144="","",CHOOSE(WEEKDAY(A144),"日","月","火","水","木","金","土"))</f>
        <v>水</v>
      </c>
      <c r="C144" s="11" t="inlineStr">
        <is>
          <t>労働日</t>
        </is>
      </c>
      <c r="D144" s="12" t="n">
        <v>0.375</v>
      </c>
      <c r="E144" s="12" t="n">
        <v>0.75</v>
      </c>
      <c r="F144" s="13" t="n">
        <v>60</v>
      </c>
      <c r="G144" s="14">
        <f>IF(OR(A144="",C144&lt;&gt;"労働日"),0,MAX(0,MOD(E144-D144,1)*24-F144/60))</f>
        <v>8</v>
      </c>
      <c r="H144" s="15">
        <f>IF(A144="","",INT((A144-$B$4)/7)+1)</f>
        <v>19</v>
      </c>
      <c r="I144" s="16">
        <f>IF(AND(A144&lt;&gt;"",C144="労働日"),I143+1,0)</f>
        <v>3</v>
      </c>
      <c r="J144" s="16">
        <f>IF(AND(A144&lt;&gt;"",ISNUMBER($B$7),ISNUMBER($B$8)),IF(AND(A144&gt;=$B$7,A144&lt;=$B$8),1,0),0)</f>
        <v>0</v>
      </c>
    </row>
    <row r="145">
      <c r="A145" s="9">
        <f>IF(ISNUMBER($B$4),IF(ISNUMBER($B$5),IF($B$4+133&lt;=$B$5,$B$4+133,""),""),"")</f>
        <v>46429</v>
      </c>
      <c r="B145" s="10" t="str">
        <f>IF(A145="","",CHOOSE(WEEKDAY(A145),"日","月","火","水","木","金","土"))</f>
        <v>木</v>
      </c>
      <c r="C145" s="11" t="inlineStr">
        <is>
          <t>休日</t>
        </is>
      </c>
      <c r="D145" s="12" t="n"/>
      <c r="E145" s="12" t="n"/>
      <c r="F145" s="13" t="n"/>
      <c r="G145" s="14">
        <f>IF(OR(A145="",C145&lt;&gt;"労働日"),0,MAX(0,MOD(E145-D145,1)*24-F145/60))</f>
        <v>0</v>
      </c>
      <c r="H145" s="15">
        <f>IF(A145="","",INT((A145-$B$4)/7)+1)</f>
        <v>20</v>
      </c>
      <c r="I145" s="16">
        <f>IF(AND(A145&lt;&gt;"",C145="労働日"),I144+1,0)</f>
        <v>0</v>
      </c>
      <c r="J145" s="16">
        <f>IF(AND(A145&lt;&gt;"",ISNUMBER($B$7),ISNUMBER($B$8)),IF(AND(A145&gt;=$B$7,A145&lt;=$B$8),1,0),0)</f>
        <v>0</v>
      </c>
    </row>
    <row r="146">
      <c r="A146" s="9">
        <f>IF(ISNUMBER($B$4),IF(ISNUMBER($B$5),IF($B$4+134&lt;=$B$5,$B$4+134,""),""),"")</f>
        <v>46430</v>
      </c>
      <c r="B146" s="10" t="str">
        <f>IF(A146="","",CHOOSE(WEEKDAY(A146),"日","月","火","水","木","金","土"))</f>
        <v>金</v>
      </c>
      <c r="C146" s="11" t="inlineStr">
        <is>
          <t>労働日</t>
        </is>
      </c>
      <c r="D146" s="12" t="n">
        <v>0.375</v>
      </c>
      <c r="E146" s="12" t="n">
        <v>0.75</v>
      </c>
      <c r="F146" s="13" t="n">
        <v>60</v>
      </c>
      <c r="G146" s="14">
        <f>IF(OR(A146="",C146&lt;&gt;"労働日"),0,MAX(0,MOD(E146-D146,1)*24-F146/60))</f>
        <v>8</v>
      </c>
      <c r="H146" s="15">
        <f>IF(A146="","",INT((A146-$B$4)/7)+1)</f>
        <v>20</v>
      </c>
      <c r="I146" s="16">
        <f>IF(AND(A146&lt;&gt;"",C146="労働日"),I145+1,0)</f>
        <v>1</v>
      </c>
      <c r="J146" s="16">
        <f>IF(AND(A146&lt;&gt;"",ISNUMBER($B$7),ISNUMBER($B$8)),IF(AND(A146&gt;=$B$7,A146&lt;=$B$8),1,0),0)</f>
        <v>0</v>
      </c>
    </row>
    <row r="147">
      <c r="A147" s="9">
        <f>IF(ISNUMBER($B$4),IF(ISNUMBER($B$5),IF($B$4+135&lt;=$B$5,$B$4+135,""),""),"")</f>
        <v>46431</v>
      </c>
      <c r="B147" s="10" t="str">
        <f>IF(A147="","",CHOOSE(WEEKDAY(A147),"日","月","火","水","木","金","土"))</f>
        <v>土</v>
      </c>
      <c r="C147" s="11" t="inlineStr">
        <is>
          <t>休日</t>
        </is>
      </c>
      <c r="D147" s="12" t="n"/>
      <c r="E147" s="12" t="n"/>
      <c r="F147" s="13" t="n"/>
      <c r="G147" s="14">
        <f>IF(OR(A147="",C147&lt;&gt;"労働日"),0,MAX(0,MOD(E147-D147,1)*24-F147/60))</f>
        <v>0</v>
      </c>
      <c r="H147" s="15">
        <f>IF(A147="","",INT((A147-$B$4)/7)+1)</f>
        <v>20</v>
      </c>
      <c r="I147" s="16">
        <f>IF(AND(A147&lt;&gt;"",C147="労働日"),I146+1,0)</f>
        <v>0</v>
      </c>
      <c r="J147" s="16">
        <f>IF(AND(A147&lt;&gt;"",ISNUMBER($B$7),ISNUMBER($B$8)),IF(AND(A147&gt;=$B$7,A147&lt;=$B$8),1,0),0)</f>
        <v>0</v>
      </c>
    </row>
    <row r="148">
      <c r="A148" s="9">
        <f>IF(ISNUMBER($B$4),IF(ISNUMBER($B$5),IF($B$4+136&lt;=$B$5,$B$4+136,""),""),"")</f>
        <v>46432</v>
      </c>
      <c r="B148" s="10" t="str">
        <f>IF(A148="","",CHOOSE(WEEKDAY(A148),"日","月","火","水","木","金","土"))</f>
        <v>日</v>
      </c>
      <c r="C148" s="11" t="inlineStr">
        <is>
          <t>休日</t>
        </is>
      </c>
      <c r="D148" s="12" t="n"/>
      <c r="E148" s="12" t="n"/>
      <c r="F148" s="13" t="n"/>
      <c r="G148" s="14">
        <f>IF(OR(A148="",C148&lt;&gt;"労働日"),0,MAX(0,MOD(E148-D148,1)*24-F148/60))</f>
        <v>0</v>
      </c>
      <c r="H148" s="15">
        <f>IF(A148="","",INT((A148-$B$4)/7)+1)</f>
        <v>20</v>
      </c>
      <c r="I148" s="16">
        <f>IF(AND(A148&lt;&gt;"",C148="労働日"),I147+1,0)</f>
        <v>0</v>
      </c>
      <c r="J148" s="16">
        <f>IF(AND(A148&lt;&gt;"",ISNUMBER($B$7),ISNUMBER($B$8)),IF(AND(A148&gt;=$B$7,A148&lt;=$B$8),1,0),0)</f>
        <v>0</v>
      </c>
    </row>
    <row r="149">
      <c r="A149" s="9">
        <f>IF(ISNUMBER($B$4),IF(ISNUMBER($B$5),IF($B$4+137&lt;=$B$5,$B$4+137,""),""),"")</f>
        <v>46433</v>
      </c>
      <c r="B149" s="10" t="str">
        <f>IF(A149="","",CHOOSE(WEEKDAY(A149),"日","月","火","水","木","金","土"))</f>
        <v>月</v>
      </c>
      <c r="C149" s="11" t="inlineStr">
        <is>
          <t>労働日</t>
        </is>
      </c>
      <c r="D149" s="12" t="n">
        <v>0.375</v>
      </c>
      <c r="E149" s="12" t="n">
        <v>0.75</v>
      </c>
      <c r="F149" s="13" t="n">
        <v>60</v>
      </c>
      <c r="G149" s="14">
        <f>IF(OR(A149="",C149&lt;&gt;"労働日"),0,MAX(0,MOD(E149-D149,1)*24-F149/60))</f>
        <v>8</v>
      </c>
      <c r="H149" s="15">
        <f>IF(A149="","",INT((A149-$B$4)/7)+1)</f>
        <v>20</v>
      </c>
      <c r="I149" s="16">
        <f>IF(AND(A149&lt;&gt;"",C149="労働日"),I148+1,0)</f>
        <v>1</v>
      </c>
      <c r="J149" s="16">
        <f>IF(AND(A149&lt;&gt;"",ISNUMBER($B$7),ISNUMBER($B$8)),IF(AND(A149&gt;=$B$7,A149&lt;=$B$8),1,0),0)</f>
        <v>0</v>
      </c>
    </row>
    <row r="150">
      <c r="A150" s="9">
        <f>IF(ISNUMBER($B$4),IF(ISNUMBER($B$5),IF($B$4+138&lt;=$B$5,$B$4+138,""),""),"")</f>
        <v>46434</v>
      </c>
      <c r="B150" s="10" t="str">
        <f>IF(A150="","",CHOOSE(WEEKDAY(A150),"日","月","火","水","木","金","土"))</f>
        <v>火</v>
      </c>
      <c r="C150" s="11" t="inlineStr">
        <is>
          <t>労働日</t>
        </is>
      </c>
      <c r="D150" s="12" t="n">
        <v>0.375</v>
      </c>
      <c r="E150" s="12" t="n">
        <v>0.75</v>
      </c>
      <c r="F150" s="13" t="n">
        <v>60</v>
      </c>
      <c r="G150" s="14">
        <f>IF(OR(A150="",C150&lt;&gt;"労働日"),0,MAX(0,MOD(E150-D150,1)*24-F150/60))</f>
        <v>8</v>
      </c>
      <c r="H150" s="15">
        <f>IF(A150="","",INT((A150-$B$4)/7)+1)</f>
        <v>20</v>
      </c>
      <c r="I150" s="16">
        <f>IF(AND(A150&lt;&gt;"",C150="労働日"),I149+1,0)</f>
        <v>2</v>
      </c>
      <c r="J150" s="16">
        <f>IF(AND(A150&lt;&gt;"",ISNUMBER($B$7),ISNUMBER($B$8)),IF(AND(A150&gt;=$B$7,A150&lt;=$B$8),1,0),0)</f>
        <v>0</v>
      </c>
    </row>
    <row r="151">
      <c r="A151" s="9">
        <f>IF(ISNUMBER($B$4),IF(ISNUMBER($B$5),IF($B$4+139&lt;=$B$5,$B$4+139,""),""),"")</f>
        <v>46435</v>
      </c>
      <c r="B151" s="10" t="str">
        <f>IF(A151="","",CHOOSE(WEEKDAY(A151),"日","月","火","水","木","金","土"))</f>
        <v>水</v>
      </c>
      <c r="C151" s="11" t="inlineStr">
        <is>
          <t>労働日</t>
        </is>
      </c>
      <c r="D151" s="12" t="n">
        <v>0.375</v>
      </c>
      <c r="E151" s="12" t="n">
        <v>0.75</v>
      </c>
      <c r="F151" s="13" t="n">
        <v>60</v>
      </c>
      <c r="G151" s="14">
        <f>IF(OR(A151="",C151&lt;&gt;"労働日"),0,MAX(0,MOD(E151-D151,1)*24-F151/60))</f>
        <v>8</v>
      </c>
      <c r="H151" s="15">
        <f>IF(A151="","",INT((A151-$B$4)/7)+1)</f>
        <v>20</v>
      </c>
      <c r="I151" s="16">
        <f>IF(AND(A151&lt;&gt;"",C151="労働日"),I150+1,0)</f>
        <v>3</v>
      </c>
      <c r="J151" s="16">
        <f>IF(AND(A151&lt;&gt;"",ISNUMBER($B$7),ISNUMBER($B$8)),IF(AND(A151&gt;=$B$7,A151&lt;=$B$8),1,0),0)</f>
        <v>0</v>
      </c>
    </row>
    <row r="152">
      <c r="A152" s="9">
        <f>IF(ISNUMBER($B$4),IF(ISNUMBER($B$5),IF($B$4+140&lt;=$B$5,$B$4+140,""),""),"")</f>
        <v>46436</v>
      </c>
      <c r="B152" s="10" t="str">
        <f>IF(A152="","",CHOOSE(WEEKDAY(A152),"日","月","火","水","木","金","土"))</f>
        <v>木</v>
      </c>
      <c r="C152" s="11" t="inlineStr">
        <is>
          <t>労働日</t>
        </is>
      </c>
      <c r="D152" s="12" t="n">
        <v>0.375</v>
      </c>
      <c r="E152" s="12" t="n">
        <v>0.75</v>
      </c>
      <c r="F152" s="13" t="n">
        <v>60</v>
      </c>
      <c r="G152" s="14">
        <f>IF(OR(A152="",C152&lt;&gt;"労働日"),0,MAX(0,MOD(E152-D152,1)*24-F152/60))</f>
        <v>8</v>
      </c>
      <c r="H152" s="15">
        <f>IF(A152="","",INT((A152-$B$4)/7)+1)</f>
        <v>21</v>
      </c>
      <c r="I152" s="16">
        <f>IF(AND(A152&lt;&gt;"",C152="労働日"),I151+1,0)</f>
        <v>4</v>
      </c>
      <c r="J152" s="16">
        <f>IF(AND(A152&lt;&gt;"",ISNUMBER($B$7),ISNUMBER($B$8)),IF(AND(A152&gt;=$B$7,A152&lt;=$B$8),1,0),0)</f>
        <v>0</v>
      </c>
    </row>
    <row r="153">
      <c r="A153" s="9">
        <f>IF(ISNUMBER($B$4),IF(ISNUMBER($B$5),IF($B$4+141&lt;=$B$5,$B$4+141,""),""),"")</f>
        <v>46437</v>
      </c>
      <c r="B153" s="10" t="str">
        <f>IF(A153="","",CHOOSE(WEEKDAY(A153),"日","月","火","水","木","金","土"))</f>
        <v>金</v>
      </c>
      <c r="C153" s="11" t="inlineStr">
        <is>
          <t>労働日</t>
        </is>
      </c>
      <c r="D153" s="12" t="n">
        <v>0.375</v>
      </c>
      <c r="E153" s="12" t="n">
        <v>0.75</v>
      </c>
      <c r="F153" s="13" t="n">
        <v>60</v>
      </c>
      <c r="G153" s="14">
        <f>IF(OR(A153="",C153&lt;&gt;"労働日"),0,MAX(0,MOD(E153-D153,1)*24-F153/60))</f>
        <v>8</v>
      </c>
      <c r="H153" s="15">
        <f>IF(A153="","",INT((A153-$B$4)/7)+1)</f>
        <v>21</v>
      </c>
      <c r="I153" s="16">
        <f>IF(AND(A153&lt;&gt;"",C153="労働日"),I152+1,0)</f>
        <v>5</v>
      </c>
      <c r="J153" s="16">
        <f>IF(AND(A153&lt;&gt;"",ISNUMBER($B$7),ISNUMBER($B$8)),IF(AND(A153&gt;=$B$7,A153&lt;=$B$8),1,0),0)</f>
        <v>0</v>
      </c>
    </row>
    <row r="154">
      <c r="A154" s="9">
        <f>IF(ISNUMBER($B$4),IF(ISNUMBER($B$5),IF($B$4+142&lt;=$B$5,$B$4+142,""),""),"")</f>
        <v>46438</v>
      </c>
      <c r="B154" s="10" t="str">
        <f>IF(A154="","",CHOOSE(WEEKDAY(A154),"日","月","火","水","木","金","土"))</f>
        <v>土</v>
      </c>
      <c r="C154" s="11" t="inlineStr">
        <is>
          <t>休日</t>
        </is>
      </c>
      <c r="D154" s="12" t="n"/>
      <c r="E154" s="12" t="n"/>
      <c r="F154" s="13" t="n"/>
      <c r="G154" s="14">
        <f>IF(OR(A154="",C154&lt;&gt;"労働日"),0,MAX(0,MOD(E154-D154,1)*24-F154/60))</f>
        <v>0</v>
      </c>
      <c r="H154" s="15">
        <f>IF(A154="","",INT((A154-$B$4)/7)+1)</f>
        <v>21</v>
      </c>
      <c r="I154" s="16">
        <f>IF(AND(A154&lt;&gt;"",C154="労働日"),I153+1,0)</f>
        <v>0</v>
      </c>
      <c r="J154" s="16">
        <f>IF(AND(A154&lt;&gt;"",ISNUMBER($B$7),ISNUMBER($B$8)),IF(AND(A154&gt;=$B$7,A154&lt;=$B$8),1,0),0)</f>
        <v>0</v>
      </c>
    </row>
    <row r="155">
      <c r="A155" s="9">
        <f>IF(ISNUMBER($B$4),IF(ISNUMBER($B$5),IF($B$4+143&lt;=$B$5,$B$4+143,""),""),"")</f>
        <v>46439</v>
      </c>
      <c r="B155" s="10" t="str">
        <f>IF(A155="","",CHOOSE(WEEKDAY(A155),"日","月","火","水","木","金","土"))</f>
        <v>日</v>
      </c>
      <c r="C155" s="11" t="inlineStr">
        <is>
          <t>休日</t>
        </is>
      </c>
      <c r="D155" s="12" t="n"/>
      <c r="E155" s="12" t="n"/>
      <c r="F155" s="13" t="n"/>
      <c r="G155" s="14">
        <f>IF(OR(A155="",C155&lt;&gt;"労働日"),0,MAX(0,MOD(E155-D155,1)*24-F155/60))</f>
        <v>0</v>
      </c>
      <c r="H155" s="15">
        <f>IF(A155="","",INT((A155-$B$4)/7)+1)</f>
        <v>21</v>
      </c>
      <c r="I155" s="16">
        <f>IF(AND(A155&lt;&gt;"",C155="労働日"),I154+1,0)</f>
        <v>0</v>
      </c>
      <c r="J155" s="16">
        <f>IF(AND(A155&lt;&gt;"",ISNUMBER($B$7),ISNUMBER($B$8)),IF(AND(A155&gt;=$B$7,A155&lt;=$B$8),1,0),0)</f>
        <v>0</v>
      </c>
    </row>
    <row r="156">
      <c r="A156" s="9">
        <f>IF(ISNUMBER($B$4),IF(ISNUMBER($B$5),IF($B$4+144&lt;=$B$5,$B$4+144,""),""),"")</f>
        <v>46440</v>
      </c>
      <c r="B156" s="10" t="str">
        <f>IF(A156="","",CHOOSE(WEEKDAY(A156),"日","月","火","水","木","金","土"))</f>
        <v>月</v>
      </c>
      <c r="C156" s="11" t="inlineStr">
        <is>
          <t>労働日</t>
        </is>
      </c>
      <c r="D156" s="12" t="n">
        <v>0.375</v>
      </c>
      <c r="E156" s="12" t="n">
        <v>0.75</v>
      </c>
      <c r="F156" s="13" t="n">
        <v>60</v>
      </c>
      <c r="G156" s="14">
        <f>IF(OR(A156="",C156&lt;&gt;"労働日"),0,MAX(0,MOD(E156-D156,1)*24-F156/60))</f>
        <v>8</v>
      </c>
      <c r="H156" s="15">
        <f>IF(A156="","",INT((A156-$B$4)/7)+1)</f>
        <v>21</v>
      </c>
      <c r="I156" s="16">
        <f>IF(AND(A156&lt;&gt;"",C156="労働日"),I155+1,0)</f>
        <v>1</v>
      </c>
      <c r="J156" s="16">
        <f>IF(AND(A156&lt;&gt;"",ISNUMBER($B$7),ISNUMBER($B$8)),IF(AND(A156&gt;=$B$7,A156&lt;=$B$8),1,0),0)</f>
        <v>0</v>
      </c>
    </row>
    <row r="157">
      <c r="A157" s="9">
        <f>IF(ISNUMBER($B$4),IF(ISNUMBER($B$5),IF($B$4+145&lt;=$B$5,$B$4+145,""),""),"")</f>
        <v>46441</v>
      </c>
      <c r="B157" s="10" t="str">
        <f>IF(A157="","",CHOOSE(WEEKDAY(A157),"日","月","火","水","木","金","土"))</f>
        <v>火</v>
      </c>
      <c r="C157" s="11" t="inlineStr">
        <is>
          <t>労働日</t>
        </is>
      </c>
      <c r="D157" s="12" t="n">
        <v>0.375</v>
      </c>
      <c r="E157" s="12" t="n">
        <v>0.75</v>
      </c>
      <c r="F157" s="13" t="n">
        <v>60</v>
      </c>
      <c r="G157" s="14">
        <f>IF(OR(A157="",C157&lt;&gt;"労働日"),0,MAX(0,MOD(E157-D157,1)*24-F157/60))</f>
        <v>8</v>
      </c>
      <c r="H157" s="15">
        <f>IF(A157="","",INT((A157-$B$4)/7)+1)</f>
        <v>21</v>
      </c>
      <c r="I157" s="16">
        <f>IF(AND(A157&lt;&gt;"",C157="労働日"),I156+1,0)</f>
        <v>2</v>
      </c>
      <c r="J157" s="16">
        <f>IF(AND(A157&lt;&gt;"",ISNUMBER($B$7),ISNUMBER($B$8)),IF(AND(A157&gt;=$B$7,A157&lt;=$B$8),1,0),0)</f>
        <v>0</v>
      </c>
    </row>
    <row r="158">
      <c r="A158" s="9">
        <f>IF(ISNUMBER($B$4),IF(ISNUMBER($B$5),IF($B$4+146&lt;=$B$5,$B$4+146,""),""),"")</f>
        <v>46442</v>
      </c>
      <c r="B158" s="10" t="str">
        <f>IF(A158="","",CHOOSE(WEEKDAY(A158),"日","月","火","水","木","金","土"))</f>
        <v>水</v>
      </c>
      <c r="C158" s="11" t="inlineStr">
        <is>
          <t>労働日</t>
        </is>
      </c>
      <c r="D158" s="12" t="n">
        <v>0.375</v>
      </c>
      <c r="E158" s="12" t="n">
        <v>0.75</v>
      </c>
      <c r="F158" s="13" t="n">
        <v>60</v>
      </c>
      <c r="G158" s="14">
        <f>IF(OR(A158="",C158&lt;&gt;"労働日"),0,MAX(0,MOD(E158-D158,1)*24-F158/60))</f>
        <v>8</v>
      </c>
      <c r="H158" s="15">
        <f>IF(A158="","",INT((A158-$B$4)/7)+1)</f>
        <v>21</v>
      </c>
      <c r="I158" s="16">
        <f>IF(AND(A158&lt;&gt;"",C158="労働日"),I157+1,0)</f>
        <v>3</v>
      </c>
      <c r="J158" s="16">
        <f>IF(AND(A158&lt;&gt;"",ISNUMBER($B$7),ISNUMBER($B$8)),IF(AND(A158&gt;=$B$7,A158&lt;=$B$8),1,0),0)</f>
        <v>0</v>
      </c>
    </row>
    <row r="159">
      <c r="A159" s="9">
        <f>IF(ISNUMBER($B$4),IF(ISNUMBER($B$5),IF($B$4+147&lt;=$B$5,$B$4+147,""),""),"")</f>
        <v>46443</v>
      </c>
      <c r="B159" s="10" t="str">
        <f>IF(A159="","",CHOOSE(WEEKDAY(A159),"日","月","火","水","木","金","土"))</f>
        <v>木</v>
      </c>
      <c r="C159" s="11" t="inlineStr">
        <is>
          <t>労働日</t>
        </is>
      </c>
      <c r="D159" s="12" t="n">
        <v>0.375</v>
      </c>
      <c r="E159" s="12" t="n">
        <v>0.75</v>
      </c>
      <c r="F159" s="13" t="n">
        <v>60</v>
      </c>
      <c r="G159" s="14">
        <f>IF(OR(A159="",C159&lt;&gt;"労働日"),0,MAX(0,MOD(E159-D159,1)*24-F159/60))</f>
        <v>8</v>
      </c>
      <c r="H159" s="15">
        <f>IF(A159="","",INT((A159-$B$4)/7)+1)</f>
        <v>22</v>
      </c>
      <c r="I159" s="16">
        <f>IF(AND(A159&lt;&gt;"",C159="労働日"),I158+1,0)</f>
        <v>4</v>
      </c>
      <c r="J159" s="16">
        <f>IF(AND(A159&lt;&gt;"",ISNUMBER($B$7),ISNUMBER($B$8)),IF(AND(A159&gt;=$B$7,A159&lt;=$B$8),1,0),0)</f>
        <v>0</v>
      </c>
    </row>
    <row r="160">
      <c r="A160" s="9">
        <f>IF(ISNUMBER($B$4),IF(ISNUMBER($B$5),IF($B$4+148&lt;=$B$5,$B$4+148,""),""),"")</f>
        <v>46444</v>
      </c>
      <c r="B160" s="10" t="str">
        <f>IF(A160="","",CHOOSE(WEEKDAY(A160),"日","月","火","水","木","金","土"))</f>
        <v>金</v>
      </c>
      <c r="C160" s="11" t="inlineStr">
        <is>
          <t>労働日</t>
        </is>
      </c>
      <c r="D160" s="12" t="n">
        <v>0.375</v>
      </c>
      <c r="E160" s="12" t="n">
        <v>0.75</v>
      </c>
      <c r="F160" s="13" t="n">
        <v>60</v>
      </c>
      <c r="G160" s="14">
        <f>IF(OR(A160="",C160&lt;&gt;"労働日"),0,MAX(0,MOD(E160-D160,1)*24-F160/60))</f>
        <v>8</v>
      </c>
      <c r="H160" s="15">
        <f>IF(A160="","",INT((A160-$B$4)/7)+1)</f>
        <v>22</v>
      </c>
      <c r="I160" s="16">
        <f>IF(AND(A160&lt;&gt;"",C160="労働日"),I159+1,0)</f>
        <v>5</v>
      </c>
      <c r="J160" s="16">
        <f>IF(AND(A160&lt;&gt;"",ISNUMBER($B$7),ISNUMBER($B$8)),IF(AND(A160&gt;=$B$7,A160&lt;=$B$8),1,0),0)</f>
        <v>0</v>
      </c>
    </row>
    <row r="161">
      <c r="A161" s="9">
        <f>IF(ISNUMBER($B$4),IF(ISNUMBER($B$5),IF($B$4+149&lt;=$B$5,$B$4+149,""),""),"")</f>
        <v>46445</v>
      </c>
      <c r="B161" s="10" t="str">
        <f>IF(A161="","",CHOOSE(WEEKDAY(A161),"日","月","火","水","木","金","土"))</f>
        <v>土</v>
      </c>
      <c r="C161" s="11" t="inlineStr">
        <is>
          <t>休日</t>
        </is>
      </c>
      <c r="D161" s="12" t="n"/>
      <c r="E161" s="12" t="n"/>
      <c r="F161" s="13" t="n"/>
      <c r="G161" s="14">
        <f>IF(OR(A161="",C161&lt;&gt;"労働日"),0,MAX(0,MOD(E161-D161,1)*24-F161/60))</f>
        <v>0</v>
      </c>
      <c r="H161" s="15">
        <f>IF(A161="","",INT((A161-$B$4)/7)+1)</f>
        <v>22</v>
      </c>
      <c r="I161" s="16">
        <f>IF(AND(A161&lt;&gt;"",C161="労働日"),I160+1,0)</f>
        <v>0</v>
      </c>
      <c r="J161" s="16">
        <f>IF(AND(A161&lt;&gt;"",ISNUMBER($B$7),ISNUMBER($B$8)),IF(AND(A161&gt;=$B$7,A161&lt;=$B$8),1,0),0)</f>
        <v>0</v>
      </c>
    </row>
    <row r="162">
      <c r="A162" s="9">
        <f>IF(ISNUMBER($B$4),IF(ISNUMBER($B$5),IF($B$4+150&lt;=$B$5,$B$4+150,""),""),"")</f>
        <v>46446</v>
      </c>
      <c r="B162" s="10" t="str">
        <f>IF(A162="","",CHOOSE(WEEKDAY(A162),"日","月","火","水","木","金","土"))</f>
        <v>日</v>
      </c>
      <c r="C162" s="11" t="inlineStr">
        <is>
          <t>休日</t>
        </is>
      </c>
      <c r="D162" s="12" t="n"/>
      <c r="E162" s="12" t="n"/>
      <c r="F162" s="13" t="n"/>
      <c r="G162" s="14">
        <f>IF(OR(A162="",C162&lt;&gt;"労働日"),0,MAX(0,MOD(E162-D162,1)*24-F162/60))</f>
        <v>0</v>
      </c>
      <c r="H162" s="15">
        <f>IF(A162="","",INT((A162-$B$4)/7)+1)</f>
        <v>22</v>
      </c>
      <c r="I162" s="16">
        <f>IF(AND(A162&lt;&gt;"",C162="労働日"),I161+1,0)</f>
        <v>0</v>
      </c>
      <c r="J162" s="16">
        <f>IF(AND(A162&lt;&gt;"",ISNUMBER($B$7),ISNUMBER($B$8)),IF(AND(A162&gt;=$B$7,A162&lt;=$B$8),1,0),0)</f>
        <v>0</v>
      </c>
    </row>
    <row r="163">
      <c r="A163" s="9">
        <f>IF(ISNUMBER($B$4),IF(ISNUMBER($B$5),IF($B$4+151&lt;=$B$5,$B$4+151,""),""),"")</f>
        <v>46447</v>
      </c>
      <c r="B163" s="10" t="str">
        <f>IF(A163="","",CHOOSE(WEEKDAY(A163),"日","月","火","水","木","金","土"))</f>
        <v>月</v>
      </c>
      <c r="C163" s="11" t="inlineStr">
        <is>
          <t>労働日</t>
        </is>
      </c>
      <c r="D163" s="12" t="n">
        <v>0.375</v>
      </c>
      <c r="E163" s="12" t="n">
        <v>0.75</v>
      </c>
      <c r="F163" s="13" t="n">
        <v>60</v>
      </c>
      <c r="G163" s="14">
        <f>IF(OR(A163="",C163&lt;&gt;"労働日"),0,MAX(0,MOD(E163-D163,1)*24-F163/60))</f>
        <v>8</v>
      </c>
      <c r="H163" s="15">
        <f>IF(A163="","",INT((A163-$B$4)/7)+1)</f>
        <v>22</v>
      </c>
      <c r="I163" s="16">
        <f>IF(AND(A163&lt;&gt;"",C163="労働日"),I162+1,0)</f>
        <v>1</v>
      </c>
      <c r="J163" s="16">
        <f>IF(AND(A163&lt;&gt;"",ISNUMBER($B$7),ISNUMBER($B$8)),IF(AND(A163&gt;=$B$7,A163&lt;=$B$8),1,0),0)</f>
        <v>0</v>
      </c>
    </row>
    <row r="164">
      <c r="A164" s="9">
        <f>IF(ISNUMBER($B$4),IF(ISNUMBER($B$5),IF($B$4+152&lt;=$B$5,$B$4+152,""),""),"")</f>
        <v>46448</v>
      </c>
      <c r="B164" s="10" t="str">
        <f>IF(A164="","",CHOOSE(WEEKDAY(A164),"日","月","火","水","木","金","土"))</f>
        <v>火</v>
      </c>
      <c r="C164" s="11" t="inlineStr">
        <is>
          <t>労働日</t>
        </is>
      </c>
      <c r="D164" s="12" t="n">
        <v>0.375</v>
      </c>
      <c r="E164" s="12" t="n">
        <v>0.75</v>
      </c>
      <c r="F164" s="13" t="n">
        <v>60</v>
      </c>
      <c r="G164" s="14">
        <f>IF(OR(A164="",C164&lt;&gt;"労働日"),0,MAX(0,MOD(E164-D164,1)*24-F164/60))</f>
        <v>8</v>
      </c>
      <c r="H164" s="15">
        <f>IF(A164="","",INT((A164-$B$4)/7)+1)</f>
        <v>22</v>
      </c>
      <c r="I164" s="16">
        <f>IF(AND(A164&lt;&gt;"",C164="労働日"),I163+1,0)</f>
        <v>2</v>
      </c>
      <c r="J164" s="16">
        <f>IF(AND(A164&lt;&gt;"",ISNUMBER($B$7),ISNUMBER($B$8)),IF(AND(A164&gt;=$B$7,A164&lt;=$B$8),1,0),0)</f>
        <v>0</v>
      </c>
    </row>
    <row r="165">
      <c r="A165" s="9">
        <f>IF(ISNUMBER($B$4),IF(ISNUMBER($B$5),IF($B$4+153&lt;=$B$5,$B$4+153,""),""),"")</f>
        <v>46449</v>
      </c>
      <c r="B165" s="10" t="str">
        <f>IF(A165="","",CHOOSE(WEEKDAY(A165),"日","月","火","水","木","金","土"))</f>
        <v>水</v>
      </c>
      <c r="C165" s="11" t="inlineStr">
        <is>
          <t>労働日</t>
        </is>
      </c>
      <c r="D165" s="12" t="n">
        <v>0.375</v>
      </c>
      <c r="E165" s="12" t="n">
        <v>0.75</v>
      </c>
      <c r="F165" s="13" t="n">
        <v>60</v>
      </c>
      <c r="G165" s="14">
        <f>IF(OR(A165="",C165&lt;&gt;"労働日"),0,MAX(0,MOD(E165-D165,1)*24-F165/60))</f>
        <v>8</v>
      </c>
      <c r="H165" s="15">
        <f>IF(A165="","",INT((A165-$B$4)/7)+1)</f>
        <v>22</v>
      </c>
      <c r="I165" s="16">
        <f>IF(AND(A165&lt;&gt;"",C165="労働日"),I164+1,0)</f>
        <v>3</v>
      </c>
      <c r="J165" s="16">
        <f>IF(AND(A165&lt;&gt;"",ISNUMBER($B$7),ISNUMBER($B$8)),IF(AND(A165&gt;=$B$7,A165&lt;=$B$8),1,0),0)</f>
        <v>0</v>
      </c>
    </row>
    <row r="166">
      <c r="A166" s="9">
        <f>IF(ISNUMBER($B$4),IF(ISNUMBER($B$5),IF($B$4+154&lt;=$B$5,$B$4+154,""),""),"")</f>
        <v>46450</v>
      </c>
      <c r="B166" s="10" t="str">
        <f>IF(A166="","",CHOOSE(WEEKDAY(A166),"日","月","火","水","木","金","土"))</f>
        <v>木</v>
      </c>
      <c r="C166" s="11" t="inlineStr">
        <is>
          <t>労働日</t>
        </is>
      </c>
      <c r="D166" s="12" t="n">
        <v>0.375</v>
      </c>
      <c r="E166" s="12" t="n">
        <v>0.75</v>
      </c>
      <c r="F166" s="13" t="n">
        <v>60</v>
      </c>
      <c r="G166" s="14">
        <f>IF(OR(A166="",C166&lt;&gt;"労働日"),0,MAX(0,MOD(E166-D166,1)*24-F166/60))</f>
        <v>8</v>
      </c>
      <c r="H166" s="15">
        <f>IF(A166="","",INT((A166-$B$4)/7)+1)</f>
        <v>23</v>
      </c>
      <c r="I166" s="16">
        <f>IF(AND(A166&lt;&gt;"",C166="労働日"),I165+1,0)</f>
        <v>4</v>
      </c>
      <c r="J166" s="16">
        <f>IF(AND(A166&lt;&gt;"",ISNUMBER($B$7),ISNUMBER($B$8)),IF(AND(A166&gt;=$B$7,A166&lt;=$B$8),1,0),0)</f>
        <v>0</v>
      </c>
    </row>
    <row r="167">
      <c r="A167" s="9">
        <f>IF(ISNUMBER($B$4),IF(ISNUMBER($B$5),IF($B$4+155&lt;=$B$5,$B$4+155,""),""),"")</f>
        <v>46451</v>
      </c>
      <c r="B167" s="10" t="str">
        <f>IF(A167="","",CHOOSE(WEEKDAY(A167),"日","月","火","水","木","金","土"))</f>
        <v>金</v>
      </c>
      <c r="C167" s="11" t="inlineStr">
        <is>
          <t>労働日</t>
        </is>
      </c>
      <c r="D167" s="12" t="n">
        <v>0.375</v>
      </c>
      <c r="E167" s="12" t="n">
        <v>0.75</v>
      </c>
      <c r="F167" s="13" t="n">
        <v>60</v>
      </c>
      <c r="G167" s="14">
        <f>IF(OR(A167="",C167&lt;&gt;"労働日"),0,MAX(0,MOD(E167-D167,1)*24-F167/60))</f>
        <v>8</v>
      </c>
      <c r="H167" s="15">
        <f>IF(A167="","",INT((A167-$B$4)/7)+1)</f>
        <v>23</v>
      </c>
      <c r="I167" s="16">
        <f>IF(AND(A167&lt;&gt;"",C167="労働日"),I166+1,0)</f>
        <v>5</v>
      </c>
      <c r="J167" s="16">
        <f>IF(AND(A167&lt;&gt;"",ISNUMBER($B$7),ISNUMBER($B$8)),IF(AND(A167&gt;=$B$7,A167&lt;=$B$8),1,0),0)</f>
        <v>0</v>
      </c>
    </row>
    <row r="168">
      <c r="A168" s="9">
        <f>IF(ISNUMBER($B$4),IF(ISNUMBER($B$5),IF($B$4+156&lt;=$B$5,$B$4+156,""),""),"")</f>
        <v>46452</v>
      </c>
      <c r="B168" s="10" t="str">
        <f>IF(A168="","",CHOOSE(WEEKDAY(A168),"日","月","火","水","木","金","土"))</f>
        <v>土</v>
      </c>
      <c r="C168" s="11" t="inlineStr">
        <is>
          <t>休日</t>
        </is>
      </c>
      <c r="D168" s="12" t="n"/>
      <c r="E168" s="12" t="n"/>
      <c r="F168" s="13" t="n"/>
      <c r="G168" s="14">
        <f>IF(OR(A168="",C168&lt;&gt;"労働日"),0,MAX(0,MOD(E168-D168,1)*24-F168/60))</f>
        <v>0</v>
      </c>
      <c r="H168" s="15">
        <f>IF(A168="","",INT((A168-$B$4)/7)+1)</f>
        <v>23</v>
      </c>
      <c r="I168" s="16">
        <f>IF(AND(A168&lt;&gt;"",C168="労働日"),I167+1,0)</f>
        <v>0</v>
      </c>
      <c r="J168" s="16">
        <f>IF(AND(A168&lt;&gt;"",ISNUMBER($B$7),ISNUMBER($B$8)),IF(AND(A168&gt;=$B$7,A168&lt;=$B$8),1,0),0)</f>
        <v>0</v>
      </c>
    </row>
    <row r="169">
      <c r="A169" s="9">
        <f>IF(ISNUMBER($B$4),IF(ISNUMBER($B$5),IF($B$4+157&lt;=$B$5,$B$4+157,""),""),"")</f>
        <v>46453</v>
      </c>
      <c r="B169" s="10" t="str">
        <f>IF(A169="","",CHOOSE(WEEKDAY(A169),"日","月","火","水","木","金","土"))</f>
        <v>日</v>
      </c>
      <c r="C169" s="11" t="inlineStr">
        <is>
          <t>休日</t>
        </is>
      </c>
      <c r="D169" s="12" t="n"/>
      <c r="E169" s="12" t="n"/>
      <c r="F169" s="13" t="n"/>
      <c r="G169" s="14">
        <f>IF(OR(A169="",C169&lt;&gt;"労働日"),0,MAX(0,MOD(E169-D169,1)*24-F169/60))</f>
        <v>0</v>
      </c>
      <c r="H169" s="15">
        <f>IF(A169="","",INT((A169-$B$4)/7)+1)</f>
        <v>23</v>
      </c>
      <c r="I169" s="16">
        <f>IF(AND(A169&lt;&gt;"",C169="労働日"),I168+1,0)</f>
        <v>0</v>
      </c>
      <c r="J169" s="16">
        <f>IF(AND(A169&lt;&gt;"",ISNUMBER($B$7),ISNUMBER($B$8)),IF(AND(A169&gt;=$B$7,A169&lt;=$B$8),1,0),0)</f>
        <v>0</v>
      </c>
    </row>
    <row r="170">
      <c r="A170" s="9">
        <f>IF(ISNUMBER($B$4),IF(ISNUMBER($B$5),IF($B$4+158&lt;=$B$5,$B$4+158,""),""),"")</f>
        <v>46454</v>
      </c>
      <c r="B170" s="10" t="str">
        <f>IF(A170="","",CHOOSE(WEEKDAY(A170),"日","月","火","水","木","金","土"))</f>
        <v>月</v>
      </c>
      <c r="C170" s="11" t="inlineStr">
        <is>
          <t>労働日</t>
        </is>
      </c>
      <c r="D170" s="12" t="n">
        <v>0.375</v>
      </c>
      <c r="E170" s="12" t="n">
        <v>0.75</v>
      </c>
      <c r="F170" s="13" t="n">
        <v>60</v>
      </c>
      <c r="G170" s="14">
        <f>IF(OR(A170="",C170&lt;&gt;"労働日"),0,MAX(0,MOD(E170-D170,1)*24-F170/60))</f>
        <v>8</v>
      </c>
      <c r="H170" s="15">
        <f>IF(A170="","",INT((A170-$B$4)/7)+1)</f>
        <v>23</v>
      </c>
      <c r="I170" s="16">
        <f>IF(AND(A170&lt;&gt;"",C170="労働日"),I169+1,0)</f>
        <v>1</v>
      </c>
      <c r="J170" s="16">
        <f>IF(AND(A170&lt;&gt;"",ISNUMBER($B$7),ISNUMBER($B$8)),IF(AND(A170&gt;=$B$7,A170&lt;=$B$8),1,0),0)</f>
        <v>0</v>
      </c>
    </row>
    <row r="171">
      <c r="A171" s="9">
        <f>IF(ISNUMBER($B$4),IF(ISNUMBER($B$5),IF($B$4+159&lt;=$B$5,$B$4+159,""),""),"")</f>
        <v>46455</v>
      </c>
      <c r="B171" s="10" t="str">
        <f>IF(A171="","",CHOOSE(WEEKDAY(A171),"日","月","火","水","木","金","土"))</f>
        <v>火</v>
      </c>
      <c r="C171" s="11" t="inlineStr">
        <is>
          <t>労働日</t>
        </is>
      </c>
      <c r="D171" s="12" t="n">
        <v>0.375</v>
      </c>
      <c r="E171" s="12" t="n">
        <v>0.75</v>
      </c>
      <c r="F171" s="13" t="n">
        <v>60</v>
      </c>
      <c r="G171" s="14">
        <f>IF(OR(A171="",C171&lt;&gt;"労働日"),0,MAX(0,MOD(E171-D171,1)*24-F171/60))</f>
        <v>8</v>
      </c>
      <c r="H171" s="15">
        <f>IF(A171="","",INT((A171-$B$4)/7)+1)</f>
        <v>23</v>
      </c>
      <c r="I171" s="16">
        <f>IF(AND(A171&lt;&gt;"",C171="労働日"),I170+1,0)</f>
        <v>2</v>
      </c>
      <c r="J171" s="16">
        <f>IF(AND(A171&lt;&gt;"",ISNUMBER($B$7),ISNUMBER($B$8)),IF(AND(A171&gt;=$B$7,A171&lt;=$B$8),1,0),0)</f>
        <v>0</v>
      </c>
    </row>
    <row r="172">
      <c r="A172" s="9">
        <f>IF(ISNUMBER($B$4),IF(ISNUMBER($B$5),IF($B$4+160&lt;=$B$5,$B$4+160,""),""),"")</f>
        <v>46456</v>
      </c>
      <c r="B172" s="10" t="str">
        <f>IF(A172="","",CHOOSE(WEEKDAY(A172),"日","月","火","水","木","金","土"))</f>
        <v>水</v>
      </c>
      <c r="C172" s="11" t="inlineStr">
        <is>
          <t>労働日</t>
        </is>
      </c>
      <c r="D172" s="12" t="n">
        <v>0.375</v>
      </c>
      <c r="E172" s="12" t="n">
        <v>0.75</v>
      </c>
      <c r="F172" s="13" t="n">
        <v>60</v>
      </c>
      <c r="G172" s="14">
        <f>IF(OR(A172="",C172&lt;&gt;"労働日"),0,MAX(0,MOD(E172-D172,1)*24-F172/60))</f>
        <v>8</v>
      </c>
      <c r="H172" s="15">
        <f>IF(A172="","",INT((A172-$B$4)/7)+1)</f>
        <v>23</v>
      </c>
      <c r="I172" s="16">
        <f>IF(AND(A172&lt;&gt;"",C172="労働日"),I171+1,0)</f>
        <v>3</v>
      </c>
      <c r="J172" s="16">
        <f>IF(AND(A172&lt;&gt;"",ISNUMBER($B$7),ISNUMBER($B$8)),IF(AND(A172&gt;=$B$7,A172&lt;=$B$8),1,0),0)</f>
        <v>0</v>
      </c>
    </row>
    <row r="173">
      <c r="A173" s="9">
        <f>IF(ISNUMBER($B$4),IF(ISNUMBER($B$5),IF($B$4+161&lt;=$B$5,$B$4+161,""),""),"")</f>
        <v>46457</v>
      </c>
      <c r="B173" s="10" t="str">
        <f>IF(A173="","",CHOOSE(WEEKDAY(A173),"日","月","火","水","木","金","土"))</f>
        <v>木</v>
      </c>
      <c r="C173" s="11" t="inlineStr">
        <is>
          <t>労働日</t>
        </is>
      </c>
      <c r="D173" s="12" t="n">
        <v>0.375</v>
      </c>
      <c r="E173" s="12" t="n">
        <v>0.75</v>
      </c>
      <c r="F173" s="13" t="n">
        <v>60</v>
      </c>
      <c r="G173" s="14">
        <f>IF(OR(A173="",C173&lt;&gt;"労働日"),0,MAX(0,MOD(E173-D173,1)*24-F173/60))</f>
        <v>8</v>
      </c>
      <c r="H173" s="15">
        <f>IF(A173="","",INT((A173-$B$4)/7)+1)</f>
        <v>24</v>
      </c>
      <c r="I173" s="16">
        <f>IF(AND(A173&lt;&gt;"",C173="労働日"),I172+1,0)</f>
        <v>4</v>
      </c>
      <c r="J173" s="16">
        <f>IF(AND(A173&lt;&gt;"",ISNUMBER($B$7),ISNUMBER($B$8)),IF(AND(A173&gt;=$B$7,A173&lt;=$B$8),1,0),0)</f>
        <v>0</v>
      </c>
    </row>
    <row r="174">
      <c r="A174" s="9">
        <f>IF(ISNUMBER($B$4),IF(ISNUMBER($B$5),IF($B$4+162&lt;=$B$5,$B$4+162,""),""),"")</f>
        <v>46458</v>
      </c>
      <c r="B174" s="10" t="str">
        <f>IF(A174="","",CHOOSE(WEEKDAY(A174),"日","月","火","水","木","金","土"))</f>
        <v>金</v>
      </c>
      <c r="C174" s="11" t="inlineStr">
        <is>
          <t>労働日</t>
        </is>
      </c>
      <c r="D174" s="12" t="n">
        <v>0.375</v>
      </c>
      <c r="E174" s="12" t="n">
        <v>0.75</v>
      </c>
      <c r="F174" s="13" t="n">
        <v>60</v>
      </c>
      <c r="G174" s="14">
        <f>IF(OR(A174="",C174&lt;&gt;"労働日"),0,MAX(0,MOD(E174-D174,1)*24-F174/60))</f>
        <v>8</v>
      </c>
      <c r="H174" s="15">
        <f>IF(A174="","",INT((A174-$B$4)/7)+1)</f>
        <v>24</v>
      </c>
      <c r="I174" s="16">
        <f>IF(AND(A174&lt;&gt;"",C174="労働日"),I173+1,0)</f>
        <v>5</v>
      </c>
      <c r="J174" s="16">
        <f>IF(AND(A174&lt;&gt;"",ISNUMBER($B$7),ISNUMBER($B$8)),IF(AND(A174&gt;=$B$7,A174&lt;=$B$8),1,0),0)</f>
        <v>0</v>
      </c>
    </row>
    <row r="175">
      <c r="A175" s="9">
        <f>IF(ISNUMBER($B$4),IF(ISNUMBER($B$5),IF($B$4+163&lt;=$B$5,$B$4+163,""),""),"")</f>
        <v>46459</v>
      </c>
      <c r="B175" s="10" t="str">
        <f>IF(A175="","",CHOOSE(WEEKDAY(A175),"日","月","火","水","木","金","土"))</f>
        <v>土</v>
      </c>
      <c r="C175" s="11" t="inlineStr">
        <is>
          <t>休日</t>
        </is>
      </c>
      <c r="D175" s="12" t="n"/>
      <c r="E175" s="12" t="n"/>
      <c r="F175" s="13" t="n"/>
      <c r="G175" s="14">
        <f>IF(OR(A175="",C175&lt;&gt;"労働日"),0,MAX(0,MOD(E175-D175,1)*24-F175/60))</f>
        <v>0</v>
      </c>
      <c r="H175" s="15">
        <f>IF(A175="","",INT((A175-$B$4)/7)+1)</f>
        <v>24</v>
      </c>
      <c r="I175" s="16">
        <f>IF(AND(A175&lt;&gt;"",C175="労働日"),I174+1,0)</f>
        <v>0</v>
      </c>
      <c r="J175" s="16">
        <f>IF(AND(A175&lt;&gt;"",ISNUMBER($B$7),ISNUMBER($B$8)),IF(AND(A175&gt;=$B$7,A175&lt;=$B$8),1,0),0)</f>
        <v>0</v>
      </c>
    </row>
    <row r="176">
      <c r="A176" s="9">
        <f>IF(ISNUMBER($B$4),IF(ISNUMBER($B$5),IF($B$4+164&lt;=$B$5,$B$4+164,""),""),"")</f>
        <v>46460</v>
      </c>
      <c r="B176" s="10" t="str">
        <f>IF(A176="","",CHOOSE(WEEKDAY(A176),"日","月","火","水","木","金","土"))</f>
        <v>日</v>
      </c>
      <c r="C176" s="11" t="inlineStr">
        <is>
          <t>休日</t>
        </is>
      </c>
      <c r="D176" s="12" t="n"/>
      <c r="E176" s="12" t="n"/>
      <c r="F176" s="13" t="n"/>
      <c r="G176" s="14">
        <f>IF(OR(A176="",C176&lt;&gt;"労働日"),0,MAX(0,MOD(E176-D176,1)*24-F176/60))</f>
        <v>0</v>
      </c>
      <c r="H176" s="15">
        <f>IF(A176="","",INT((A176-$B$4)/7)+1)</f>
        <v>24</v>
      </c>
      <c r="I176" s="16">
        <f>IF(AND(A176&lt;&gt;"",C176="労働日"),I175+1,0)</f>
        <v>0</v>
      </c>
      <c r="J176" s="16">
        <f>IF(AND(A176&lt;&gt;"",ISNUMBER($B$7),ISNUMBER($B$8)),IF(AND(A176&gt;=$B$7,A176&lt;=$B$8),1,0),0)</f>
        <v>0</v>
      </c>
    </row>
    <row r="177">
      <c r="A177" s="9">
        <f>IF(ISNUMBER($B$4),IF(ISNUMBER($B$5),IF($B$4+165&lt;=$B$5,$B$4+165,""),""),"")</f>
        <v>46461</v>
      </c>
      <c r="B177" s="10" t="str">
        <f>IF(A177="","",CHOOSE(WEEKDAY(A177),"日","月","火","水","木","金","土"))</f>
        <v>月</v>
      </c>
      <c r="C177" s="11" t="inlineStr">
        <is>
          <t>労働日</t>
        </is>
      </c>
      <c r="D177" s="12" t="n">
        <v>0.375</v>
      </c>
      <c r="E177" s="12" t="n">
        <v>0.75</v>
      </c>
      <c r="F177" s="13" t="n">
        <v>60</v>
      </c>
      <c r="G177" s="14">
        <f>IF(OR(A177="",C177&lt;&gt;"労働日"),0,MAX(0,MOD(E177-D177,1)*24-F177/60))</f>
        <v>8</v>
      </c>
      <c r="H177" s="15">
        <f>IF(A177="","",INT((A177-$B$4)/7)+1)</f>
        <v>24</v>
      </c>
      <c r="I177" s="16">
        <f>IF(AND(A177&lt;&gt;"",C177="労働日"),I176+1,0)</f>
        <v>1</v>
      </c>
      <c r="J177" s="16">
        <f>IF(AND(A177&lt;&gt;"",ISNUMBER($B$7),ISNUMBER($B$8)),IF(AND(A177&gt;=$B$7,A177&lt;=$B$8),1,0),0)</f>
        <v>0</v>
      </c>
    </row>
    <row r="178">
      <c r="A178" s="9">
        <f>IF(ISNUMBER($B$4),IF(ISNUMBER($B$5),IF($B$4+166&lt;=$B$5,$B$4+166,""),""),"")</f>
        <v>46462</v>
      </c>
      <c r="B178" s="10" t="str">
        <f>IF(A178="","",CHOOSE(WEEKDAY(A178),"日","月","火","水","木","金","土"))</f>
        <v>火</v>
      </c>
      <c r="C178" s="11" t="inlineStr">
        <is>
          <t>労働日</t>
        </is>
      </c>
      <c r="D178" s="12" t="n">
        <v>0.375</v>
      </c>
      <c r="E178" s="12" t="n">
        <v>0.75</v>
      </c>
      <c r="F178" s="13" t="n">
        <v>60</v>
      </c>
      <c r="G178" s="14">
        <f>IF(OR(A178="",C178&lt;&gt;"労働日"),0,MAX(0,MOD(E178-D178,1)*24-F178/60))</f>
        <v>8</v>
      </c>
      <c r="H178" s="15">
        <f>IF(A178="","",INT((A178-$B$4)/7)+1)</f>
        <v>24</v>
      </c>
      <c r="I178" s="16">
        <f>IF(AND(A178&lt;&gt;"",C178="労働日"),I177+1,0)</f>
        <v>2</v>
      </c>
      <c r="J178" s="16">
        <f>IF(AND(A178&lt;&gt;"",ISNUMBER($B$7),ISNUMBER($B$8)),IF(AND(A178&gt;=$B$7,A178&lt;=$B$8),1,0),0)</f>
        <v>0</v>
      </c>
    </row>
    <row r="179">
      <c r="A179" s="9">
        <f>IF(ISNUMBER($B$4),IF(ISNUMBER($B$5),IF($B$4+167&lt;=$B$5,$B$4+167,""),""),"")</f>
        <v>46463</v>
      </c>
      <c r="B179" s="10" t="str">
        <f>IF(A179="","",CHOOSE(WEEKDAY(A179),"日","月","火","水","木","金","土"))</f>
        <v>水</v>
      </c>
      <c r="C179" s="11" t="inlineStr">
        <is>
          <t>労働日</t>
        </is>
      </c>
      <c r="D179" s="12" t="n">
        <v>0.375</v>
      </c>
      <c r="E179" s="12" t="n">
        <v>0.75</v>
      </c>
      <c r="F179" s="13" t="n">
        <v>60</v>
      </c>
      <c r="G179" s="14">
        <f>IF(OR(A179="",C179&lt;&gt;"労働日"),0,MAX(0,MOD(E179-D179,1)*24-F179/60))</f>
        <v>8</v>
      </c>
      <c r="H179" s="15">
        <f>IF(A179="","",INT((A179-$B$4)/7)+1)</f>
        <v>24</v>
      </c>
      <c r="I179" s="16">
        <f>IF(AND(A179&lt;&gt;"",C179="労働日"),I178+1,0)</f>
        <v>3</v>
      </c>
      <c r="J179" s="16">
        <f>IF(AND(A179&lt;&gt;"",ISNUMBER($B$7),ISNUMBER($B$8)),IF(AND(A179&gt;=$B$7,A179&lt;=$B$8),1,0),0)</f>
        <v>0</v>
      </c>
    </row>
    <row r="180">
      <c r="A180" s="9">
        <f>IF(ISNUMBER($B$4),IF(ISNUMBER($B$5),IF($B$4+168&lt;=$B$5,$B$4+168,""),""),"")</f>
        <v>46464</v>
      </c>
      <c r="B180" s="10" t="str">
        <f>IF(A180="","",CHOOSE(WEEKDAY(A180),"日","月","火","水","木","金","土"))</f>
        <v>木</v>
      </c>
      <c r="C180" s="11" t="inlineStr">
        <is>
          <t>労働日</t>
        </is>
      </c>
      <c r="D180" s="12" t="n">
        <v>0.375</v>
      </c>
      <c r="E180" s="12" t="n">
        <v>0.75</v>
      </c>
      <c r="F180" s="13" t="n">
        <v>60</v>
      </c>
      <c r="G180" s="14">
        <f>IF(OR(A180="",C180&lt;&gt;"労働日"),0,MAX(0,MOD(E180-D180,1)*24-F180/60))</f>
        <v>8</v>
      </c>
      <c r="H180" s="15">
        <f>IF(A180="","",INT((A180-$B$4)/7)+1)</f>
        <v>25</v>
      </c>
      <c r="I180" s="16">
        <f>IF(AND(A180&lt;&gt;"",C180="労働日"),I179+1,0)</f>
        <v>4</v>
      </c>
      <c r="J180" s="16">
        <f>IF(AND(A180&lt;&gt;"",ISNUMBER($B$7),ISNUMBER($B$8)),IF(AND(A180&gt;=$B$7,A180&lt;=$B$8),1,0),0)</f>
        <v>0</v>
      </c>
    </row>
    <row r="181">
      <c r="A181" s="9">
        <f>IF(ISNUMBER($B$4),IF(ISNUMBER($B$5),IF($B$4+169&lt;=$B$5,$B$4+169,""),""),"")</f>
        <v>46465</v>
      </c>
      <c r="B181" s="10" t="str">
        <f>IF(A181="","",CHOOSE(WEEKDAY(A181),"日","月","火","水","木","金","土"))</f>
        <v>金</v>
      </c>
      <c r="C181" s="11" t="inlineStr">
        <is>
          <t>労働日</t>
        </is>
      </c>
      <c r="D181" s="12" t="n">
        <v>0.375</v>
      </c>
      <c r="E181" s="12" t="n">
        <v>0.75</v>
      </c>
      <c r="F181" s="13" t="n">
        <v>60</v>
      </c>
      <c r="G181" s="14">
        <f>IF(OR(A181="",C181&lt;&gt;"労働日"),0,MAX(0,MOD(E181-D181,1)*24-F181/60))</f>
        <v>8</v>
      </c>
      <c r="H181" s="15">
        <f>IF(A181="","",INT((A181-$B$4)/7)+1)</f>
        <v>25</v>
      </c>
      <c r="I181" s="16">
        <f>IF(AND(A181&lt;&gt;"",C181="労働日"),I180+1,0)</f>
        <v>5</v>
      </c>
      <c r="J181" s="16">
        <f>IF(AND(A181&lt;&gt;"",ISNUMBER($B$7),ISNUMBER($B$8)),IF(AND(A181&gt;=$B$7,A181&lt;=$B$8),1,0),0)</f>
        <v>0</v>
      </c>
    </row>
    <row r="182">
      <c r="A182" s="9">
        <f>IF(ISNUMBER($B$4),IF(ISNUMBER($B$5),IF($B$4+170&lt;=$B$5,$B$4+170,""),""),"")</f>
        <v>46466</v>
      </c>
      <c r="B182" s="10" t="str">
        <f>IF(A182="","",CHOOSE(WEEKDAY(A182),"日","月","火","水","木","金","土"))</f>
        <v>土</v>
      </c>
      <c r="C182" s="11" t="inlineStr">
        <is>
          <t>休日</t>
        </is>
      </c>
      <c r="D182" s="12" t="n"/>
      <c r="E182" s="12" t="n"/>
      <c r="F182" s="13" t="n"/>
      <c r="G182" s="14">
        <f>IF(OR(A182="",C182&lt;&gt;"労働日"),0,MAX(0,MOD(E182-D182,1)*24-F182/60))</f>
        <v>0</v>
      </c>
      <c r="H182" s="15">
        <f>IF(A182="","",INT((A182-$B$4)/7)+1)</f>
        <v>25</v>
      </c>
      <c r="I182" s="16">
        <f>IF(AND(A182&lt;&gt;"",C182="労働日"),I181+1,0)</f>
        <v>0</v>
      </c>
      <c r="J182" s="16">
        <f>IF(AND(A182&lt;&gt;"",ISNUMBER($B$7),ISNUMBER($B$8)),IF(AND(A182&gt;=$B$7,A182&lt;=$B$8),1,0),0)</f>
        <v>0</v>
      </c>
    </row>
    <row r="183">
      <c r="A183" s="9">
        <f>IF(ISNUMBER($B$4),IF(ISNUMBER($B$5),IF($B$4+171&lt;=$B$5,$B$4+171,""),""),"")</f>
        <v>46467</v>
      </c>
      <c r="B183" s="10" t="str">
        <f>IF(A183="","",CHOOSE(WEEKDAY(A183),"日","月","火","水","木","金","土"))</f>
        <v>日</v>
      </c>
      <c r="C183" s="11" t="inlineStr">
        <is>
          <t>休日</t>
        </is>
      </c>
      <c r="D183" s="12" t="n"/>
      <c r="E183" s="12" t="n"/>
      <c r="F183" s="13" t="n"/>
      <c r="G183" s="14">
        <f>IF(OR(A183="",C183&lt;&gt;"労働日"),0,MAX(0,MOD(E183-D183,1)*24-F183/60))</f>
        <v>0</v>
      </c>
      <c r="H183" s="15">
        <f>IF(A183="","",INT((A183-$B$4)/7)+1)</f>
        <v>25</v>
      </c>
      <c r="I183" s="16">
        <f>IF(AND(A183&lt;&gt;"",C183="労働日"),I182+1,0)</f>
        <v>0</v>
      </c>
      <c r="J183" s="16">
        <f>IF(AND(A183&lt;&gt;"",ISNUMBER($B$7),ISNUMBER($B$8)),IF(AND(A183&gt;=$B$7,A183&lt;=$B$8),1,0),0)</f>
        <v>0</v>
      </c>
    </row>
    <row r="184">
      <c r="A184" s="9">
        <f>IF(ISNUMBER($B$4),IF(ISNUMBER($B$5),IF($B$4+172&lt;=$B$5,$B$4+172,""),""),"")</f>
        <v>46468</v>
      </c>
      <c r="B184" s="10" t="str">
        <f>IF(A184="","",CHOOSE(WEEKDAY(A184),"日","月","火","水","木","金","土"))</f>
        <v>月</v>
      </c>
      <c r="C184" s="11" t="inlineStr">
        <is>
          <t>労働日</t>
        </is>
      </c>
      <c r="D184" s="12" t="n">
        <v>0.375</v>
      </c>
      <c r="E184" s="12" t="n">
        <v>0.75</v>
      </c>
      <c r="F184" s="13" t="n">
        <v>60</v>
      </c>
      <c r="G184" s="14">
        <f>IF(OR(A184="",C184&lt;&gt;"労働日"),0,MAX(0,MOD(E184-D184,1)*24-F184/60))</f>
        <v>8</v>
      </c>
      <c r="H184" s="15">
        <f>IF(A184="","",INT((A184-$B$4)/7)+1)</f>
        <v>25</v>
      </c>
      <c r="I184" s="16">
        <f>IF(AND(A184&lt;&gt;"",C184="労働日"),I183+1,0)</f>
        <v>1</v>
      </c>
      <c r="J184" s="16">
        <f>IF(AND(A184&lt;&gt;"",ISNUMBER($B$7),ISNUMBER($B$8)),IF(AND(A184&gt;=$B$7,A184&lt;=$B$8),1,0),0)</f>
        <v>0</v>
      </c>
    </row>
    <row r="185">
      <c r="A185" s="9">
        <f>IF(ISNUMBER($B$4),IF(ISNUMBER($B$5),IF($B$4+173&lt;=$B$5,$B$4+173,""),""),"")</f>
        <v>46469</v>
      </c>
      <c r="B185" s="10" t="str">
        <f>IF(A185="","",CHOOSE(WEEKDAY(A185),"日","月","火","水","木","金","土"))</f>
        <v>火</v>
      </c>
      <c r="C185" s="11" t="inlineStr">
        <is>
          <t>労働日</t>
        </is>
      </c>
      <c r="D185" s="12" t="n">
        <v>0.375</v>
      </c>
      <c r="E185" s="12" t="n">
        <v>0.75</v>
      </c>
      <c r="F185" s="13" t="n">
        <v>60</v>
      </c>
      <c r="G185" s="14">
        <f>IF(OR(A185="",C185&lt;&gt;"労働日"),0,MAX(0,MOD(E185-D185,1)*24-F185/60))</f>
        <v>8</v>
      </c>
      <c r="H185" s="15">
        <f>IF(A185="","",INT((A185-$B$4)/7)+1)</f>
        <v>25</v>
      </c>
      <c r="I185" s="16">
        <f>IF(AND(A185&lt;&gt;"",C185="労働日"),I184+1,0)</f>
        <v>2</v>
      </c>
      <c r="J185" s="16">
        <f>IF(AND(A185&lt;&gt;"",ISNUMBER($B$7),ISNUMBER($B$8)),IF(AND(A185&gt;=$B$7,A185&lt;=$B$8),1,0),0)</f>
        <v>0</v>
      </c>
    </row>
    <row r="186">
      <c r="A186" s="9">
        <f>IF(ISNUMBER($B$4),IF(ISNUMBER($B$5),IF($B$4+174&lt;=$B$5,$B$4+174,""),""),"")</f>
        <v>46470</v>
      </c>
      <c r="B186" s="10" t="str">
        <f>IF(A186="","",CHOOSE(WEEKDAY(A186),"日","月","火","水","木","金","土"))</f>
        <v>水</v>
      </c>
      <c r="C186" s="11" t="inlineStr">
        <is>
          <t>労働日</t>
        </is>
      </c>
      <c r="D186" s="12" t="n">
        <v>0.375</v>
      </c>
      <c r="E186" s="12" t="n">
        <v>0.75</v>
      </c>
      <c r="F186" s="13" t="n">
        <v>60</v>
      </c>
      <c r="G186" s="14">
        <f>IF(OR(A186="",C186&lt;&gt;"労働日"),0,MAX(0,MOD(E186-D186,1)*24-F186/60))</f>
        <v>8</v>
      </c>
      <c r="H186" s="15">
        <f>IF(A186="","",INT((A186-$B$4)/7)+1)</f>
        <v>25</v>
      </c>
      <c r="I186" s="16">
        <f>IF(AND(A186&lt;&gt;"",C186="労働日"),I185+1,0)</f>
        <v>3</v>
      </c>
      <c r="J186" s="16">
        <f>IF(AND(A186&lt;&gt;"",ISNUMBER($B$7),ISNUMBER($B$8)),IF(AND(A186&gt;=$B$7,A186&lt;=$B$8),1,0),0)</f>
        <v>0</v>
      </c>
    </row>
    <row r="187">
      <c r="A187" s="9">
        <f>IF(ISNUMBER($B$4),IF(ISNUMBER($B$5),IF($B$4+175&lt;=$B$5,$B$4+175,""),""),"")</f>
        <v>46471</v>
      </c>
      <c r="B187" s="10" t="str">
        <f>IF(A187="","",CHOOSE(WEEKDAY(A187),"日","月","火","水","木","金","土"))</f>
        <v>木</v>
      </c>
      <c r="C187" s="11" t="inlineStr">
        <is>
          <t>労働日</t>
        </is>
      </c>
      <c r="D187" s="12" t="n">
        <v>0.375</v>
      </c>
      <c r="E187" s="12" t="n">
        <v>0.75</v>
      </c>
      <c r="F187" s="13" t="n">
        <v>60</v>
      </c>
      <c r="G187" s="14">
        <f>IF(OR(A187="",C187&lt;&gt;"労働日"),0,MAX(0,MOD(E187-D187,1)*24-F187/60))</f>
        <v>8</v>
      </c>
      <c r="H187" s="15">
        <f>IF(A187="","",INT((A187-$B$4)/7)+1)</f>
        <v>26</v>
      </c>
      <c r="I187" s="16">
        <f>IF(AND(A187&lt;&gt;"",C187="労働日"),I186+1,0)</f>
        <v>4</v>
      </c>
      <c r="J187" s="16">
        <f>IF(AND(A187&lt;&gt;"",ISNUMBER($B$7),ISNUMBER($B$8)),IF(AND(A187&gt;=$B$7,A187&lt;=$B$8),1,0),0)</f>
        <v>0</v>
      </c>
    </row>
    <row r="188">
      <c r="A188" s="9">
        <f>IF(ISNUMBER($B$4),IF(ISNUMBER($B$5),IF($B$4+176&lt;=$B$5,$B$4+176,""),""),"")</f>
        <v>46472</v>
      </c>
      <c r="B188" s="10" t="str">
        <f>IF(A188="","",CHOOSE(WEEKDAY(A188),"日","月","火","水","木","金","土"))</f>
        <v>金</v>
      </c>
      <c r="C188" s="11" t="inlineStr">
        <is>
          <t>労働日</t>
        </is>
      </c>
      <c r="D188" s="12" t="n">
        <v>0.375</v>
      </c>
      <c r="E188" s="12" t="n">
        <v>0.75</v>
      </c>
      <c r="F188" s="13" t="n">
        <v>60</v>
      </c>
      <c r="G188" s="14">
        <f>IF(OR(A188="",C188&lt;&gt;"労働日"),0,MAX(0,MOD(E188-D188,1)*24-F188/60))</f>
        <v>8</v>
      </c>
      <c r="H188" s="15">
        <f>IF(A188="","",INT((A188-$B$4)/7)+1)</f>
        <v>26</v>
      </c>
      <c r="I188" s="16">
        <f>IF(AND(A188&lt;&gt;"",C188="労働日"),I187+1,0)</f>
        <v>5</v>
      </c>
      <c r="J188" s="16">
        <f>IF(AND(A188&lt;&gt;"",ISNUMBER($B$7),ISNUMBER($B$8)),IF(AND(A188&gt;=$B$7,A188&lt;=$B$8),1,0),0)</f>
        <v>0</v>
      </c>
    </row>
    <row r="189">
      <c r="A189" s="9">
        <f>IF(ISNUMBER($B$4),IF(ISNUMBER($B$5),IF($B$4+177&lt;=$B$5,$B$4+177,""),""),"")</f>
        <v>46473</v>
      </c>
      <c r="B189" s="10" t="str">
        <f>IF(A189="","",CHOOSE(WEEKDAY(A189),"日","月","火","水","木","金","土"))</f>
        <v>土</v>
      </c>
      <c r="C189" s="11" t="inlineStr">
        <is>
          <t>休日</t>
        </is>
      </c>
      <c r="D189" s="12" t="n"/>
      <c r="E189" s="12" t="n"/>
      <c r="F189" s="13" t="n"/>
      <c r="G189" s="14">
        <f>IF(OR(A189="",C189&lt;&gt;"労働日"),0,MAX(0,MOD(E189-D189,1)*24-F189/60))</f>
        <v>0</v>
      </c>
      <c r="H189" s="15">
        <f>IF(A189="","",INT((A189-$B$4)/7)+1)</f>
        <v>26</v>
      </c>
      <c r="I189" s="16">
        <f>IF(AND(A189&lt;&gt;"",C189="労働日"),I188+1,0)</f>
        <v>0</v>
      </c>
      <c r="J189" s="16">
        <f>IF(AND(A189&lt;&gt;"",ISNUMBER($B$7),ISNUMBER($B$8)),IF(AND(A189&gt;=$B$7,A189&lt;=$B$8),1,0),0)</f>
        <v>0</v>
      </c>
    </row>
    <row r="190">
      <c r="A190" s="9">
        <f>IF(ISNUMBER($B$4),IF(ISNUMBER($B$5),IF($B$4+178&lt;=$B$5,$B$4+178,""),""),"")</f>
        <v>46474</v>
      </c>
      <c r="B190" s="10" t="str">
        <f>IF(A190="","",CHOOSE(WEEKDAY(A190),"日","月","火","水","木","金","土"))</f>
        <v>日</v>
      </c>
      <c r="C190" s="11" t="inlineStr">
        <is>
          <t>休日</t>
        </is>
      </c>
      <c r="D190" s="12" t="n"/>
      <c r="E190" s="12" t="n"/>
      <c r="F190" s="13" t="n"/>
      <c r="G190" s="14">
        <f>IF(OR(A190="",C190&lt;&gt;"労働日"),0,MAX(0,MOD(E190-D190,1)*24-F190/60))</f>
        <v>0</v>
      </c>
      <c r="H190" s="15">
        <f>IF(A190="","",INT((A190-$B$4)/7)+1)</f>
        <v>26</v>
      </c>
      <c r="I190" s="16">
        <f>IF(AND(A190&lt;&gt;"",C190="労働日"),I189+1,0)</f>
        <v>0</v>
      </c>
      <c r="J190" s="16">
        <f>IF(AND(A190&lt;&gt;"",ISNUMBER($B$7),ISNUMBER($B$8)),IF(AND(A190&gt;=$B$7,A190&lt;=$B$8),1,0),0)</f>
        <v>0</v>
      </c>
    </row>
    <row r="191">
      <c r="A191" s="9">
        <f>IF(ISNUMBER($B$4),IF(ISNUMBER($B$5),IF($B$4+179&lt;=$B$5,$B$4+179,""),""),"")</f>
        <v>46475</v>
      </c>
      <c r="B191" s="10" t="str">
        <f>IF(A191="","",CHOOSE(WEEKDAY(A191),"日","月","火","水","木","金","土"))</f>
        <v>月</v>
      </c>
      <c r="C191" s="11" t="inlineStr">
        <is>
          <t>労働日</t>
        </is>
      </c>
      <c r="D191" s="12" t="n">
        <v>0.375</v>
      </c>
      <c r="E191" s="12" t="n">
        <v>0.75</v>
      </c>
      <c r="F191" s="13" t="n">
        <v>60</v>
      </c>
      <c r="G191" s="14">
        <f>IF(OR(A191="",C191&lt;&gt;"労働日"),0,MAX(0,MOD(E191-D191,1)*24-F191/60))</f>
        <v>8</v>
      </c>
      <c r="H191" s="15">
        <f>IF(A191="","",INT((A191-$B$4)/7)+1)</f>
        <v>26</v>
      </c>
      <c r="I191" s="16">
        <f>IF(AND(A191&lt;&gt;"",C191="労働日"),I190+1,0)</f>
        <v>1</v>
      </c>
      <c r="J191" s="16">
        <f>IF(AND(A191&lt;&gt;"",ISNUMBER($B$7),ISNUMBER($B$8)),IF(AND(A191&gt;=$B$7,A191&lt;=$B$8),1,0),0)</f>
        <v>0</v>
      </c>
    </row>
    <row r="192">
      <c r="A192" s="9">
        <f>IF(ISNUMBER($B$4),IF(ISNUMBER($B$5),IF($B$4+180&lt;=$B$5,$B$4+180,""),""),"")</f>
        <v>46476</v>
      </c>
      <c r="B192" s="10" t="str">
        <f>IF(A192="","",CHOOSE(WEEKDAY(A192),"日","月","火","水","木","金","土"))</f>
        <v>火</v>
      </c>
      <c r="C192" s="11" t="inlineStr">
        <is>
          <t>労働日</t>
        </is>
      </c>
      <c r="D192" s="12" t="n">
        <v>0.375</v>
      </c>
      <c r="E192" s="12" t="n">
        <v>0.75</v>
      </c>
      <c r="F192" s="13" t="n">
        <v>60</v>
      </c>
      <c r="G192" s="14">
        <f>IF(OR(A192="",C192&lt;&gt;"労働日"),0,MAX(0,MOD(E192-D192,1)*24-F192/60))</f>
        <v>8</v>
      </c>
      <c r="H192" s="15">
        <f>IF(A192="","",INT((A192-$B$4)/7)+1)</f>
        <v>26</v>
      </c>
      <c r="I192" s="16">
        <f>IF(AND(A192&lt;&gt;"",C192="労働日"),I191+1,0)</f>
        <v>2</v>
      </c>
      <c r="J192" s="16">
        <f>IF(AND(A192&lt;&gt;"",ISNUMBER($B$7),ISNUMBER($B$8)),IF(AND(A192&gt;=$B$7,A192&lt;=$B$8),1,0),0)</f>
        <v>0</v>
      </c>
    </row>
    <row r="193">
      <c r="A193" s="9">
        <f>IF(ISNUMBER($B$4),IF(ISNUMBER($B$5),IF($B$4+181&lt;=$B$5,$B$4+181,""),""),"")</f>
        <v>46477</v>
      </c>
      <c r="B193" s="10" t="str">
        <f>IF(A193="","",CHOOSE(WEEKDAY(A193),"日","月","火","水","木","金","土"))</f>
        <v>水</v>
      </c>
      <c r="C193" s="11" t="inlineStr">
        <is>
          <t>労働日</t>
        </is>
      </c>
      <c r="D193" s="12" t="n">
        <v>0.375</v>
      </c>
      <c r="E193" s="12" t="n">
        <v>0.75</v>
      </c>
      <c r="F193" s="13" t="n">
        <v>60</v>
      </c>
      <c r="G193" s="14">
        <f>IF(OR(A193="",C193&lt;&gt;"労働日"),0,MAX(0,MOD(E193-D193,1)*24-F193/60))</f>
        <v>8</v>
      </c>
      <c r="H193" s="15">
        <f>IF(A193="","",INT((A193-$B$4)/7)+1)</f>
        <v>26</v>
      </c>
      <c r="I193" s="16">
        <f>IF(AND(A193&lt;&gt;"",C193="労働日"),I192+1,0)</f>
        <v>3</v>
      </c>
      <c r="J193" s="16">
        <f>IF(AND(A193&lt;&gt;"",ISNUMBER($B$7),ISNUMBER($B$8)),IF(AND(A193&gt;=$B$7,A193&lt;=$B$8),1,0),0)</f>
        <v>0</v>
      </c>
    </row>
    <row r="194">
      <c r="A194" s="9">
        <f>IF(ISNUMBER($B$4),IF(ISNUMBER($B$5),IF($B$4+182&lt;=$B$5,$B$4+182,""),""),"")</f>
        <v>46478</v>
      </c>
      <c r="B194" s="10" t="str">
        <f>IF(A194="","",CHOOSE(WEEKDAY(A194),"日","月","火","水","木","金","土"))</f>
        <v>木</v>
      </c>
      <c r="C194" s="11" t="inlineStr">
        <is>
          <t>労働日</t>
        </is>
      </c>
      <c r="D194" s="12" t="n">
        <v>0.375</v>
      </c>
      <c r="E194" s="12" t="n">
        <v>0.75</v>
      </c>
      <c r="F194" s="13" t="n">
        <v>60</v>
      </c>
      <c r="G194" s="14">
        <f>IF(OR(A194="",C194&lt;&gt;"労働日"),0,MAX(0,MOD(E194-D194,1)*24-F194/60))</f>
        <v>8</v>
      </c>
      <c r="H194" s="15">
        <f>IF(A194="","",INT((A194-$B$4)/7)+1)</f>
        <v>27</v>
      </c>
      <c r="I194" s="16">
        <f>IF(AND(A194&lt;&gt;"",C194="労働日"),I193+1,0)</f>
        <v>4</v>
      </c>
      <c r="J194" s="16">
        <f>IF(AND(A194&lt;&gt;"",ISNUMBER($B$7),ISNUMBER($B$8)),IF(AND(A194&gt;=$B$7,A194&lt;=$B$8),1,0),0)</f>
        <v>0</v>
      </c>
    </row>
    <row r="195">
      <c r="A195" s="9">
        <f>IF(ISNUMBER($B$4),IF(ISNUMBER($B$5),IF($B$4+183&lt;=$B$5,$B$4+183,""),""),"")</f>
        <v>46479</v>
      </c>
      <c r="B195" s="10" t="str">
        <f>IF(A195="","",CHOOSE(WEEKDAY(A195),"日","月","火","水","木","金","土"))</f>
        <v>金</v>
      </c>
      <c r="C195" s="11" t="inlineStr">
        <is>
          <t>労働日</t>
        </is>
      </c>
      <c r="D195" s="12" t="n">
        <v>0.375</v>
      </c>
      <c r="E195" s="12" t="n">
        <v>0.75</v>
      </c>
      <c r="F195" s="13" t="n">
        <v>60</v>
      </c>
      <c r="G195" s="14">
        <f>IF(OR(A195="",C195&lt;&gt;"労働日"),0,MAX(0,MOD(E195-D195,1)*24-F195/60))</f>
        <v>8</v>
      </c>
      <c r="H195" s="15">
        <f>IF(A195="","",INT((A195-$B$4)/7)+1)</f>
        <v>27</v>
      </c>
      <c r="I195" s="16">
        <f>IF(AND(A195&lt;&gt;"",C195="労働日"),I194+1,0)</f>
        <v>5</v>
      </c>
      <c r="J195" s="16">
        <f>IF(AND(A195&lt;&gt;"",ISNUMBER($B$7),ISNUMBER($B$8)),IF(AND(A195&gt;=$B$7,A195&lt;=$B$8),1,0),0)</f>
        <v>0</v>
      </c>
    </row>
    <row r="196">
      <c r="A196" s="9">
        <f>IF(ISNUMBER($B$4),IF(ISNUMBER($B$5),IF($B$4+184&lt;=$B$5,$B$4+184,""),""),"")</f>
        <v>46480</v>
      </c>
      <c r="B196" s="10" t="str">
        <f>IF(A196="","",CHOOSE(WEEKDAY(A196),"日","月","火","水","木","金","土"))</f>
        <v>土</v>
      </c>
      <c r="C196" s="11" t="inlineStr">
        <is>
          <t>休日</t>
        </is>
      </c>
      <c r="D196" s="12" t="n"/>
      <c r="E196" s="12" t="n"/>
      <c r="F196" s="13" t="n"/>
      <c r="G196" s="14">
        <f>IF(OR(A196="",C196&lt;&gt;"労働日"),0,MAX(0,MOD(E196-D196,1)*24-F196/60))</f>
        <v>0</v>
      </c>
      <c r="H196" s="15">
        <f>IF(A196="","",INT((A196-$B$4)/7)+1)</f>
        <v>27</v>
      </c>
      <c r="I196" s="16">
        <f>IF(AND(A196&lt;&gt;"",C196="労働日"),I195+1,0)</f>
        <v>0</v>
      </c>
      <c r="J196" s="16">
        <f>IF(AND(A196&lt;&gt;"",ISNUMBER($B$7),ISNUMBER($B$8)),IF(AND(A196&gt;=$B$7,A196&lt;=$B$8),1,0),0)</f>
        <v>0</v>
      </c>
    </row>
    <row r="197">
      <c r="A197" s="9">
        <f>IF(ISNUMBER($B$4),IF(ISNUMBER($B$5),IF($B$4+185&lt;=$B$5,$B$4+185,""),""),"")</f>
        <v>46481</v>
      </c>
      <c r="B197" s="10" t="str">
        <f>IF(A197="","",CHOOSE(WEEKDAY(A197),"日","月","火","水","木","金","土"))</f>
        <v>日</v>
      </c>
      <c r="C197" s="11" t="inlineStr">
        <is>
          <t>休日</t>
        </is>
      </c>
      <c r="D197" s="12" t="n"/>
      <c r="E197" s="12" t="n"/>
      <c r="F197" s="13" t="n"/>
      <c r="G197" s="14">
        <f>IF(OR(A197="",C197&lt;&gt;"労働日"),0,MAX(0,MOD(E197-D197,1)*24-F197/60))</f>
        <v>0</v>
      </c>
      <c r="H197" s="15">
        <f>IF(A197="","",INT((A197-$B$4)/7)+1)</f>
        <v>27</v>
      </c>
      <c r="I197" s="16">
        <f>IF(AND(A197&lt;&gt;"",C197="労働日"),I196+1,0)</f>
        <v>0</v>
      </c>
      <c r="J197" s="16">
        <f>IF(AND(A197&lt;&gt;"",ISNUMBER($B$7),ISNUMBER($B$8)),IF(AND(A197&gt;=$B$7,A197&lt;=$B$8),1,0),0)</f>
        <v>0</v>
      </c>
    </row>
    <row r="198">
      <c r="A198" s="9">
        <f>IF(ISNUMBER($B$4),IF(ISNUMBER($B$5),IF($B$4+186&lt;=$B$5,$B$4+186,""),""),"")</f>
        <v>46482</v>
      </c>
      <c r="B198" s="10" t="str">
        <f>IF(A198="","",CHOOSE(WEEKDAY(A198),"日","月","火","水","木","金","土"))</f>
        <v>月</v>
      </c>
      <c r="C198" s="11" t="inlineStr">
        <is>
          <t>労働日</t>
        </is>
      </c>
      <c r="D198" s="12" t="n">
        <v>0.375</v>
      </c>
      <c r="E198" s="12" t="n">
        <v>0.75</v>
      </c>
      <c r="F198" s="13" t="n">
        <v>60</v>
      </c>
      <c r="G198" s="14">
        <f>IF(OR(A198="",C198&lt;&gt;"労働日"),0,MAX(0,MOD(E198-D198,1)*24-F198/60))</f>
        <v>8</v>
      </c>
      <c r="H198" s="15">
        <f>IF(A198="","",INT((A198-$B$4)/7)+1)</f>
        <v>27</v>
      </c>
      <c r="I198" s="16">
        <f>IF(AND(A198&lt;&gt;"",C198="労働日"),I197+1,0)</f>
        <v>1</v>
      </c>
      <c r="J198" s="16">
        <f>IF(AND(A198&lt;&gt;"",ISNUMBER($B$7),ISNUMBER($B$8)),IF(AND(A198&gt;=$B$7,A198&lt;=$B$8),1,0),0)</f>
        <v>0</v>
      </c>
    </row>
    <row r="199">
      <c r="A199" s="9">
        <f>IF(ISNUMBER($B$4),IF(ISNUMBER($B$5),IF($B$4+187&lt;=$B$5,$B$4+187,""),""),"")</f>
        <v>46483</v>
      </c>
      <c r="B199" s="10" t="str">
        <f>IF(A199="","",CHOOSE(WEEKDAY(A199),"日","月","火","水","木","金","土"))</f>
        <v>火</v>
      </c>
      <c r="C199" s="11" t="inlineStr">
        <is>
          <t>労働日</t>
        </is>
      </c>
      <c r="D199" s="12" t="n">
        <v>0.375</v>
      </c>
      <c r="E199" s="12" t="n">
        <v>0.75</v>
      </c>
      <c r="F199" s="13" t="n">
        <v>60</v>
      </c>
      <c r="G199" s="14">
        <f>IF(OR(A199="",C199&lt;&gt;"労働日"),0,MAX(0,MOD(E199-D199,1)*24-F199/60))</f>
        <v>8</v>
      </c>
      <c r="H199" s="15">
        <f>IF(A199="","",INT((A199-$B$4)/7)+1)</f>
        <v>27</v>
      </c>
      <c r="I199" s="16">
        <f>IF(AND(A199&lt;&gt;"",C199="労働日"),I198+1,0)</f>
        <v>2</v>
      </c>
      <c r="J199" s="16">
        <f>IF(AND(A199&lt;&gt;"",ISNUMBER($B$7),ISNUMBER($B$8)),IF(AND(A199&gt;=$B$7,A199&lt;=$B$8),1,0),0)</f>
        <v>0</v>
      </c>
    </row>
    <row r="200">
      <c r="A200" s="9">
        <f>IF(ISNUMBER($B$4),IF(ISNUMBER($B$5),IF($B$4+188&lt;=$B$5,$B$4+188,""),""),"")</f>
        <v>46484</v>
      </c>
      <c r="B200" s="10" t="str">
        <f>IF(A200="","",CHOOSE(WEEKDAY(A200),"日","月","火","水","木","金","土"))</f>
        <v>水</v>
      </c>
      <c r="C200" s="11" t="inlineStr">
        <is>
          <t>労働日</t>
        </is>
      </c>
      <c r="D200" s="12" t="n">
        <v>0.375</v>
      </c>
      <c r="E200" s="12" t="n">
        <v>0.75</v>
      </c>
      <c r="F200" s="13" t="n">
        <v>60</v>
      </c>
      <c r="G200" s="14">
        <f>IF(OR(A200="",C200&lt;&gt;"労働日"),0,MAX(0,MOD(E200-D200,1)*24-F200/60))</f>
        <v>8</v>
      </c>
      <c r="H200" s="15">
        <f>IF(A200="","",INT((A200-$B$4)/7)+1)</f>
        <v>27</v>
      </c>
      <c r="I200" s="16">
        <f>IF(AND(A200&lt;&gt;"",C200="労働日"),I199+1,0)</f>
        <v>3</v>
      </c>
      <c r="J200" s="16">
        <f>IF(AND(A200&lt;&gt;"",ISNUMBER($B$7),ISNUMBER($B$8)),IF(AND(A200&gt;=$B$7,A200&lt;=$B$8),1,0),0)</f>
        <v>0</v>
      </c>
    </row>
    <row r="201">
      <c r="A201" s="9">
        <f>IF(ISNUMBER($B$4),IF(ISNUMBER($B$5),IF($B$4+189&lt;=$B$5,$B$4+189,""),""),"")</f>
        <v>46485</v>
      </c>
      <c r="B201" s="10" t="str">
        <f>IF(A201="","",CHOOSE(WEEKDAY(A201),"日","月","火","水","木","金","土"))</f>
        <v>木</v>
      </c>
      <c r="C201" s="11" t="inlineStr">
        <is>
          <t>労働日</t>
        </is>
      </c>
      <c r="D201" s="12" t="n">
        <v>0.375</v>
      </c>
      <c r="E201" s="12" t="n">
        <v>0.75</v>
      </c>
      <c r="F201" s="13" t="n">
        <v>60</v>
      </c>
      <c r="G201" s="14">
        <f>IF(OR(A201="",C201&lt;&gt;"労働日"),0,MAX(0,MOD(E201-D201,1)*24-F201/60))</f>
        <v>8</v>
      </c>
      <c r="H201" s="15">
        <f>IF(A201="","",INT((A201-$B$4)/7)+1)</f>
        <v>28</v>
      </c>
      <c r="I201" s="16">
        <f>IF(AND(A201&lt;&gt;"",C201="労働日"),I200+1,0)</f>
        <v>4</v>
      </c>
      <c r="J201" s="16">
        <f>IF(AND(A201&lt;&gt;"",ISNUMBER($B$7),ISNUMBER($B$8)),IF(AND(A201&gt;=$B$7,A201&lt;=$B$8),1,0),0)</f>
        <v>0</v>
      </c>
    </row>
    <row r="202">
      <c r="A202" s="9">
        <f>IF(ISNUMBER($B$4),IF(ISNUMBER($B$5),IF($B$4+190&lt;=$B$5,$B$4+190,""),""),"")</f>
        <v>46486</v>
      </c>
      <c r="B202" s="10" t="str">
        <f>IF(A202="","",CHOOSE(WEEKDAY(A202),"日","月","火","水","木","金","土"))</f>
        <v>金</v>
      </c>
      <c r="C202" s="11" t="inlineStr">
        <is>
          <t>労働日</t>
        </is>
      </c>
      <c r="D202" s="12" t="n">
        <v>0.375</v>
      </c>
      <c r="E202" s="12" t="n">
        <v>0.75</v>
      </c>
      <c r="F202" s="13" t="n">
        <v>60</v>
      </c>
      <c r="G202" s="14">
        <f>IF(OR(A202="",C202&lt;&gt;"労働日"),0,MAX(0,MOD(E202-D202,1)*24-F202/60))</f>
        <v>8</v>
      </c>
      <c r="H202" s="15">
        <f>IF(A202="","",INT((A202-$B$4)/7)+1)</f>
        <v>28</v>
      </c>
      <c r="I202" s="16">
        <f>IF(AND(A202&lt;&gt;"",C202="労働日"),I201+1,0)</f>
        <v>5</v>
      </c>
      <c r="J202" s="16">
        <f>IF(AND(A202&lt;&gt;"",ISNUMBER($B$7),ISNUMBER($B$8)),IF(AND(A202&gt;=$B$7,A202&lt;=$B$8),1,0),0)</f>
        <v>0</v>
      </c>
    </row>
    <row r="203">
      <c r="A203" s="9">
        <f>IF(ISNUMBER($B$4),IF(ISNUMBER($B$5),IF($B$4+191&lt;=$B$5,$B$4+191,""),""),"")</f>
        <v>46487</v>
      </c>
      <c r="B203" s="10" t="str">
        <f>IF(A203="","",CHOOSE(WEEKDAY(A203),"日","月","火","水","木","金","土"))</f>
        <v>土</v>
      </c>
      <c r="C203" s="11" t="inlineStr">
        <is>
          <t>休日</t>
        </is>
      </c>
      <c r="D203" s="12" t="n"/>
      <c r="E203" s="12" t="n"/>
      <c r="F203" s="13" t="n"/>
      <c r="G203" s="14">
        <f>IF(OR(A203="",C203&lt;&gt;"労働日"),0,MAX(0,MOD(E203-D203,1)*24-F203/60))</f>
        <v>0</v>
      </c>
      <c r="H203" s="15">
        <f>IF(A203="","",INT((A203-$B$4)/7)+1)</f>
        <v>28</v>
      </c>
      <c r="I203" s="16">
        <f>IF(AND(A203&lt;&gt;"",C203="労働日"),I202+1,0)</f>
        <v>0</v>
      </c>
      <c r="J203" s="16">
        <f>IF(AND(A203&lt;&gt;"",ISNUMBER($B$7),ISNUMBER($B$8)),IF(AND(A203&gt;=$B$7,A203&lt;=$B$8),1,0),0)</f>
        <v>0</v>
      </c>
    </row>
    <row r="204">
      <c r="A204" s="9">
        <f>IF(ISNUMBER($B$4),IF(ISNUMBER($B$5),IF($B$4+192&lt;=$B$5,$B$4+192,""),""),"")</f>
        <v>46488</v>
      </c>
      <c r="B204" s="10" t="str">
        <f>IF(A204="","",CHOOSE(WEEKDAY(A204),"日","月","火","水","木","金","土"))</f>
        <v>日</v>
      </c>
      <c r="C204" s="11" t="inlineStr">
        <is>
          <t>休日</t>
        </is>
      </c>
      <c r="D204" s="12" t="n"/>
      <c r="E204" s="12" t="n"/>
      <c r="F204" s="13" t="n"/>
      <c r="G204" s="14">
        <f>IF(OR(A204="",C204&lt;&gt;"労働日"),0,MAX(0,MOD(E204-D204,1)*24-F204/60))</f>
        <v>0</v>
      </c>
      <c r="H204" s="15">
        <f>IF(A204="","",INT((A204-$B$4)/7)+1)</f>
        <v>28</v>
      </c>
      <c r="I204" s="16">
        <f>IF(AND(A204&lt;&gt;"",C204="労働日"),I203+1,0)</f>
        <v>0</v>
      </c>
      <c r="J204" s="16">
        <f>IF(AND(A204&lt;&gt;"",ISNUMBER($B$7),ISNUMBER($B$8)),IF(AND(A204&gt;=$B$7,A204&lt;=$B$8),1,0),0)</f>
        <v>0</v>
      </c>
    </row>
    <row r="205">
      <c r="A205" s="9">
        <f>IF(ISNUMBER($B$4),IF(ISNUMBER($B$5),IF($B$4+193&lt;=$B$5,$B$4+193,""),""),"")</f>
        <v>46489</v>
      </c>
      <c r="B205" s="10" t="str">
        <f>IF(A205="","",CHOOSE(WEEKDAY(A205),"日","月","火","水","木","金","土"))</f>
        <v>月</v>
      </c>
      <c r="C205" s="11" t="inlineStr">
        <is>
          <t>労働日</t>
        </is>
      </c>
      <c r="D205" s="12" t="n">
        <v>0.375</v>
      </c>
      <c r="E205" s="12" t="n">
        <v>0.75</v>
      </c>
      <c r="F205" s="13" t="n">
        <v>60</v>
      </c>
      <c r="G205" s="14">
        <f>IF(OR(A205="",C205&lt;&gt;"労働日"),0,MAX(0,MOD(E205-D205,1)*24-F205/60))</f>
        <v>8</v>
      </c>
      <c r="H205" s="15">
        <f>IF(A205="","",INT((A205-$B$4)/7)+1)</f>
        <v>28</v>
      </c>
      <c r="I205" s="16">
        <f>IF(AND(A205&lt;&gt;"",C205="労働日"),I204+1,0)</f>
        <v>1</v>
      </c>
      <c r="J205" s="16">
        <f>IF(AND(A205&lt;&gt;"",ISNUMBER($B$7),ISNUMBER($B$8)),IF(AND(A205&gt;=$B$7,A205&lt;=$B$8),1,0),0)</f>
        <v>0</v>
      </c>
    </row>
    <row r="206">
      <c r="A206" s="9">
        <f>IF(ISNUMBER($B$4),IF(ISNUMBER($B$5),IF($B$4+194&lt;=$B$5,$B$4+194,""),""),"")</f>
        <v>46490</v>
      </c>
      <c r="B206" s="10" t="str">
        <f>IF(A206="","",CHOOSE(WEEKDAY(A206),"日","月","火","水","木","金","土"))</f>
        <v>火</v>
      </c>
      <c r="C206" s="11" t="inlineStr">
        <is>
          <t>労働日</t>
        </is>
      </c>
      <c r="D206" s="12" t="n">
        <v>0.375</v>
      </c>
      <c r="E206" s="12" t="n">
        <v>0.75</v>
      </c>
      <c r="F206" s="13" t="n">
        <v>60</v>
      </c>
      <c r="G206" s="14">
        <f>IF(OR(A206="",C206&lt;&gt;"労働日"),0,MAX(0,MOD(E206-D206,1)*24-F206/60))</f>
        <v>8</v>
      </c>
      <c r="H206" s="15">
        <f>IF(A206="","",INT((A206-$B$4)/7)+1)</f>
        <v>28</v>
      </c>
      <c r="I206" s="16">
        <f>IF(AND(A206&lt;&gt;"",C206="労働日"),I205+1,0)</f>
        <v>2</v>
      </c>
      <c r="J206" s="16">
        <f>IF(AND(A206&lt;&gt;"",ISNUMBER($B$7),ISNUMBER($B$8)),IF(AND(A206&gt;=$B$7,A206&lt;=$B$8),1,0),0)</f>
        <v>0</v>
      </c>
    </row>
    <row r="207">
      <c r="A207" s="9">
        <f>IF(ISNUMBER($B$4),IF(ISNUMBER($B$5),IF($B$4+195&lt;=$B$5,$B$4+195,""),""),"")</f>
        <v>46491</v>
      </c>
      <c r="B207" s="10" t="str">
        <f>IF(A207="","",CHOOSE(WEEKDAY(A207),"日","月","火","水","木","金","土"))</f>
        <v>水</v>
      </c>
      <c r="C207" s="11" t="inlineStr">
        <is>
          <t>労働日</t>
        </is>
      </c>
      <c r="D207" s="12" t="n">
        <v>0.375</v>
      </c>
      <c r="E207" s="12" t="n">
        <v>0.75</v>
      </c>
      <c r="F207" s="13" t="n">
        <v>60</v>
      </c>
      <c r="G207" s="14">
        <f>IF(OR(A207="",C207&lt;&gt;"労働日"),0,MAX(0,MOD(E207-D207,1)*24-F207/60))</f>
        <v>8</v>
      </c>
      <c r="H207" s="15">
        <f>IF(A207="","",INT((A207-$B$4)/7)+1)</f>
        <v>28</v>
      </c>
      <c r="I207" s="16">
        <f>IF(AND(A207&lt;&gt;"",C207="労働日"),I206+1,0)</f>
        <v>3</v>
      </c>
      <c r="J207" s="16">
        <f>IF(AND(A207&lt;&gt;"",ISNUMBER($B$7),ISNUMBER($B$8)),IF(AND(A207&gt;=$B$7,A207&lt;=$B$8),1,0),0)</f>
        <v>0</v>
      </c>
    </row>
    <row r="208">
      <c r="A208" s="9">
        <f>IF(ISNUMBER($B$4),IF(ISNUMBER($B$5),IF($B$4+196&lt;=$B$5,$B$4+196,""),""),"")</f>
        <v>46492</v>
      </c>
      <c r="B208" s="10" t="str">
        <f>IF(A208="","",CHOOSE(WEEKDAY(A208),"日","月","火","水","木","金","土"))</f>
        <v>木</v>
      </c>
      <c r="C208" s="11" t="inlineStr">
        <is>
          <t>労働日</t>
        </is>
      </c>
      <c r="D208" s="12" t="n">
        <v>0.375</v>
      </c>
      <c r="E208" s="12" t="n">
        <v>0.75</v>
      </c>
      <c r="F208" s="13" t="n">
        <v>60</v>
      </c>
      <c r="G208" s="14">
        <f>IF(OR(A208="",C208&lt;&gt;"労働日"),0,MAX(0,MOD(E208-D208,1)*24-F208/60))</f>
        <v>8</v>
      </c>
      <c r="H208" s="15">
        <f>IF(A208="","",INT((A208-$B$4)/7)+1)</f>
        <v>29</v>
      </c>
      <c r="I208" s="16">
        <f>IF(AND(A208&lt;&gt;"",C208="労働日"),I207+1,0)</f>
        <v>4</v>
      </c>
      <c r="J208" s="16">
        <f>IF(AND(A208&lt;&gt;"",ISNUMBER($B$7),ISNUMBER($B$8)),IF(AND(A208&gt;=$B$7,A208&lt;=$B$8),1,0),0)</f>
        <v>0</v>
      </c>
    </row>
    <row r="209">
      <c r="A209" s="9">
        <f>IF(ISNUMBER($B$4),IF(ISNUMBER($B$5),IF($B$4+197&lt;=$B$5,$B$4+197,""),""),"")</f>
        <v>46493</v>
      </c>
      <c r="B209" s="10" t="str">
        <f>IF(A209="","",CHOOSE(WEEKDAY(A209),"日","月","火","水","木","金","土"))</f>
        <v>金</v>
      </c>
      <c r="C209" s="11" t="inlineStr">
        <is>
          <t>労働日</t>
        </is>
      </c>
      <c r="D209" s="12" t="n">
        <v>0.375</v>
      </c>
      <c r="E209" s="12" t="n">
        <v>0.75</v>
      </c>
      <c r="F209" s="13" t="n">
        <v>60</v>
      </c>
      <c r="G209" s="14">
        <f>IF(OR(A209="",C209&lt;&gt;"労働日"),0,MAX(0,MOD(E209-D209,1)*24-F209/60))</f>
        <v>8</v>
      </c>
      <c r="H209" s="15">
        <f>IF(A209="","",INT((A209-$B$4)/7)+1)</f>
        <v>29</v>
      </c>
      <c r="I209" s="16">
        <f>IF(AND(A209&lt;&gt;"",C209="労働日"),I208+1,0)</f>
        <v>5</v>
      </c>
      <c r="J209" s="16">
        <f>IF(AND(A209&lt;&gt;"",ISNUMBER($B$7),ISNUMBER($B$8)),IF(AND(A209&gt;=$B$7,A209&lt;=$B$8),1,0),0)</f>
        <v>0</v>
      </c>
    </row>
    <row r="210">
      <c r="A210" s="9">
        <f>IF(ISNUMBER($B$4),IF(ISNUMBER($B$5),IF($B$4+198&lt;=$B$5,$B$4+198,""),""),"")</f>
        <v>46494</v>
      </c>
      <c r="B210" s="10" t="str">
        <f>IF(A210="","",CHOOSE(WEEKDAY(A210),"日","月","火","水","木","金","土"))</f>
        <v>土</v>
      </c>
      <c r="C210" s="11" t="inlineStr">
        <is>
          <t>休日</t>
        </is>
      </c>
      <c r="D210" s="12" t="n"/>
      <c r="E210" s="12" t="n"/>
      <c r="F210" s="13" t="n"/>
      <c r="G210" s="14">
        <f>IF(OR(A210="",C210&lt;&gt;"労働日"),0,MAX(0,MOD(E210-D210,1)*24-F210/60))</f>
        <v>0</v>
      </c>
      <c r="H210" s="15">
        <f>IF(A210="","",INT((A210-$B$4)/7)+1)</f>
        <v>29</v>
      </c>
      <c r="I210" s="16">
        <f>IF(AND(A210&lt;&gt;"",C210="労働日"),I209+1,0)</f>
        <v>0</v>
      </c>
      <c r="J210" s="16">
        <f>IF(AND(A210&lt;&gt;"",ISNUMBER($B$7),ISNUMBER($B$8)),IF(AND(A210&gt;=$B$7,A210&lt;=$B$8),1,0),0)</f>
        <v>0</v>
      </c>
    </row>
    <row r="211">
      <c r="A211" s="9">
        <f>IF(ISNUMBER($B$4),IF(ISNUMBER($B$5),IF($B$4+199&lt;=$B$5,$B$4+199,""),""),"")</f>
        <v>46495</v>
      </c>
      <c r="B211" s="10" t="str">
        <f>IF(A211="","",CHOOSE(WEEKDAY(A211),"日","月","火","水","木","金","土"))</f>
        <v>日</v>
      </c>
      <c r="C211" s="11" t="inlineStr">
        <is>
          <t>休日</t>
        </is>
      </c>
      <c r="D211" s="12" t="n"/>
      <c r="E211" s="12" t="n"/>
      <c r="F211" s="13" t="n"/>
      <c r="G211" s="14">
        <f>IF(OR(A211="",C211&lt;&gt;"労働日"),0,MAX(0,MOD(E211-D211,1)*24-F211/60))</f>
        <v>0</v>
      </c>
      <c r="H211" s="15">
        <f>IF(A211="","",INT((A211-$B$4)/7)+1)</f>
        <v>29</v>
      </c>
      <c r="I211" s="16">
        <f>IF(AND(A211&lt;&gt;"",C211="労働日"),I210+1,0)</f>
        <v>0</v>
      </c>
      <c r="J211" s="16">
        <f>IF(AND(A211&lt;&gt;"",ISNUMBER($B$7),ISNUMBER($B$8)),IF(AND(A211&gt;=$B$7,A211&lt;=$B$8),1,0),0)</f>
        <v>0</v>
      </c>
    </row>
    <row r="212">
      <c r="A212" s="9">
        <f>IF(ISNUMBER($B$4),IF(ISNUMBER($B$5),IF($B$4+200&lt;=$B$5,$B$4+200,""),""),"")</f>
        <v>46496</v>
      </c>
      <c r="B212" s="10" t="str">
        <f>IF(A212="","",CHOOSE(WEEKDAY(A212),"日","月","火","水","木","金","土"))</f>
        <v>月</v>
      </c>
      <c r="C212" s="11" t="inlineStr">
        <is>
          <t>労働日</t>
        </is>
      </c>
      <c r="D212" s="12" t="n">
        <v>0.375</v>
      </c>
      <c r="E212" s="12" t="n">
        <v>0.75</v>
      </c>
      <c r="F212" s="13" t="n">
        <v>60</v>
      </c>
      <c r="G212" s="14">
        <f>IF(OR(A212="",C212&lt;&gt;"労働日"),0,MAX(0,MOD(E212-D212,1)*24-F212/60))</f>
        <v>8</v>
      </c>
      <c r="H212" s="15">
        <f>IF(A212="","",INT((A212-$B$4)/7)+1)</f>
        <v>29</v>
      </c>
      <c r="I212" s="16">
        <f>IF(AND(A212&lt;&gt;"",C212="労働日"),I211+1,0)</f>
        <v>1</v>
      </c>
      <c r="J212" s="16">
        <f>IF(AND(A212&lt;&gt;"",ISNUMBER($B$7),ISNUMBER($B$8)),IF(AND(A212&gt;=$B$7,A212&lt;=$B$8),1,0),0)</f>
        <v>0</v>
      </c>
    </row>
    <row r="213">
      <c r="A213" s="9">
        <f>IF(ISNUMBER($B$4),IF(ISNUMBER($B$5),IF($B$4+201&lt;=$B$5,$B$4+201,""),""),"")</f>
        <v>46497</v>
      </c>
      <c r="B213" s="10" t="str">
        <f>IF(A213="","",CHOOSE(WEEKDAY(A213),"日","月","火","水","木","金","土"))</f>
        <v>火</v>
      </c>
      <c r="C213" s="11" t="inlineStr">
        <is>
          <t>労働日</t>
        </is>
      </c>
      <c r="D213" s="12" t="n">
        <v>0.375</v>
      </c>
      <c r="E213" s="12" t="n">
        <v>0.75</v>
      </c>
      <c r="F213" s="13" t="n">
        <v>60</v>
      </c>
      <c r="G213" s="14">
        <f>IF(OR(A213="",C213&lt;&gt;"労働日"),0,MAX(0,MOD(E213-D213,1)*24-F213/60))</f>
        <v>8</v>
      </c>
      <c r="H213" s="15">
        <f>IF(A213="","",INT((A213-$B$4)/7)+1)</f>
        <v>29</v>
      </c>
      <c r="I213" s="16">
        <f>IF(AND(A213&lt;&gt;"",C213="労働日"),I212+1,0)</f>
        <v>2</v>
      </c>
      <c r="J213" s="16">
        <f>IF(AND(A213&lt;&gt;"",ISNUMBER($B$7),ISNUMBER($B$8)),IF(AND(A213&gt;=$B$7,A213&lt;=$B$8),1,0),0)</f>
        <v>0</v>
      </c>
    </row>
    <row r="214">
      <c r="A214" s="9">
        <f>IF(ISNUMBER($B$4),IF(ISNUMBER($B$5),IF($B$4+202&lt;=$B$5,$B$4+202,""),""),"")</f>
        <v>46498</v>
      </c>
      <c r="B214" s="10" t="str">
        <f>IF(A214="","",CHOOSE(WEEKDAY(A214),"日","月","火","水","木","金","土"))</f>
        <v>水</v>
      </c>
      <c r="C214" s="11" t="inlineStr">
        <is>
          <t>労働日</t>
        </is>
      </c>
      <c r="D214" s="12" t="n">
        <v>0.375</v>
      </c>
      <c r="E214" s="12" t="n">
        <v>0.75</v>
      </c>
      <c r="F214" s="13" t="n">
        <v>60</v>
      </c>
      <c r="G214" s="14">
        <f>IF(OR(A214="",C214&lt;&gt;"労働日"),0,MAX(0,MOD(E214-D214,1)*24-F214/60))</f>
        <v>8</v>
      </c>
      <c r="H214" s="15">
        <f>IF(A214="","",INT((A214-$B$4)/7)+1)</f>
        <v>29</v>
      </c>
      <c r="I214" s="16">
        <f>IF(AND(A214&lt;&gt;"",C214="労働日"),I213+1,0)</f>
        <v>3</v>
      </c>
      <c r="J214" s="16">
        <f>IF(AND(A214&lt;&gt;"",ISNUMBER($B$7),ISNUMBER($B$8)),IF(AND(A214&gt;=$B$7,A214&lt;=$B$8),1,0),0)</f>
        <v>0</v>
      </c>
    </row>
    <row r="215">
      <c r="A215" s="9">
        <f>IF(ISNUMBER($B$4),IF(ISNUMBER($B$5),IF($B$4+203&lt;=$B$5,$B$4+203,""),""),"")</f>
        <v>46499</v>
      </c>
      <c r="B215" s="10" t="str">
        <f>IF(A215="","",CHOOSE(WEEKDAY(A215),"日","月","火","水","木","金","土"))</f>
        <v>木</v>
      </c>
      <c r="C215" s="11" t="inlineStr">
        <is>
          <t>労働日</t>
        </is>
      </c>
      <c r="D215" s="12" t="n">
        <v>0.375</v>
      </c>
      <c r="E215" s="12" t="n">
        <v>0.75</v>
      </c>
      <c r="F215" s="13" t="n">
        <v>60</v>
      </c>
      <c r="G215" s="14">
        <f>IF(OR(A215="",C215&lt;&gt;"労働日"),0,MAX(0,MOD(E215-D215,1)*24-F215/60))</f>
        <v>8</v>
      </c>
      <c r="H215" s="15">
        <f>IF(A215="","",INT((A215-$B$4)/7)+1)</f>
        <v>30</v>
      </c>
      <c r="I215" s="16">
        <f>IF(AND(A215&lt;&gt;"",C215="労働日"),I214+1,0)</f>
        <v>4</v>
      </c>
      <c r="J215" s="16">
        <f>IF(AND(A215&lt;&gt;"",ISNUMBER($B$7),ISNUMBER($B$8)),IF(AND(A215&gt;=$B$7,A215&lt;=$B$8),1,0),0)</f>
        <v>0</v>
      </c>
    </row>
    <row r="216">
      <c r="A216" s="9">
        <f>IF(ISNUMBER($B$4),IF(ISNUMBER($B$5),IF($B$4+204&lt;=$B$5,$B$4+204,""),""),"")</f>
        <v>46500</v>
      </c>
      <c r="B216" s="10" t="str">
        <f>IF(A216="","",CHOOSE(WEEKDAY(A216),"日","月","火","水","木","金","土"))</f>
        <v>金</v>
      </c>
      <c r="C216" s="11" t="inlineStr">
        <is>
          <t>労働日</t>
        </is>
      </c>
      <c r="D216" s="12" t="n">
        <v>0.375</v>
      </c>
      <c r="E216" s="12" t="n">
        <v>0.75</v>
      </c>
      <c r="F216" s="13" t="n">
        <v>60</v>
      </c>
      <c r="G216" s="14">
        <f>IF(OR(A216="",C216&lt;&gt;"労働日"),0,MAX(0,MOD(E216-D216,1)*24-F216/60))</f>
        <v>8</v>
      </c>
      <c r="H216" s="15">
        <f>IF(A216="","",INT((A216-$B$4)/7)+1)</f>
        <v>30</v>
      </c>
      <c r="I216" s="16">
        <f>IF(AND(A216&lt;&gt;"",C216="労働日"),I215+1,0)</f>
        <v>5</v>
      </c>
      <c r="J216" s="16">
        <f>IF(AND(A216&lt;&gt;"",ISNUMBER($B$7),ISNUMBER($B$8)),IF(AND(A216&gt;=$B$7,A216&lt;=$B$8),1,0),0)</f>
        <v>0</v>
      </c>
    </row>
    <row r="217">
      <c r="A217" s="9">
        <f>IF(ISNUMBER($B$4),IF(ISNUMBER($B$5),IF($B$4+205&lt;=$B$5,$B$4+205,""),""),"")</f>
        <v>46501</v>
      </c>
      <c r="B217" s="10" t="str">
        <f>IF(A217="","",CHOOSE(WEEKDAY(A217),"日","月","火","水","木","金","土"))</f>
        <v>土</v>
      </c>
      <c r="C217" s="11" t="inlineStr">
        <is>
          <t>休日</t>
        </is>
      </c>
      <c r="D217" s="12" t="n"/>
      <c r="E217" s="12" t="n"/>
      <c r="F217" s="13" t="n"/>
      <c r="G217" s="14">
        <f>IF(OR(A217="",C217&lt;&gt;"労働日"),0,MAX(0,MOD(E217-D217,1)*24-F217/60))</f>
        <v>0</v>
      </c>
      <c r="H217" s="15">
        <f>IF(A217="","",INT((A217-$B$4)/7)+1)</f>
        <v>30</v>
      </c>
      <c r="I217" s="16">
        <f>IF(AND(A217&lt;&gt;"",C217="労働日"),I216+1,0)</f>
        <v>0</v>
      </c>
      <c r="J217" s="16">
        <f>IF(AND(A217&lt;&gt;"",ISNUMBER($B$7),ISNUMBER($B$8)),IF(AND(A217&gt;=$B$7,A217&lt;=$B$8),1,0),0)</f>
        <v>0</v>
      </c>
    </row>
    <row r="218">
      <c r="A218" s="9">
        <f>IF(ISNUMBER($B$4),IF(ISNUMBER($B$5),IF($B$4+206&lt;=$B$5,$B$4+206,""),""),"")</f>
        <v>46502</v>
      </c>
      <c r="B218" s="10" t="str">
        <f>IF(A218="","",CHOOSE(WEEKDAY(A218),"日","月","火","水","木","金","土"))</f>
        <v>日</v>
      </c>
      <c r="C218" s="11" t="inlineStr">
        <is>
          <t>休日</t>
        </is>
      </c>
      <c r="D218" s="12" t="n"/>
      <c r="E218" s="12" t="n"/>
      <c r="F218" s="13" t="n"/>
      <c r="G218" s="14">
        <f>IF(OR(A218="",C218&lt;&gt;"労働日"),0,MAX(0,MOD(E218-D218,1)*24-F218/60))</f>
        <v>0</v>
      </c>
      <c r="H218" s="15">
        <f>IF(A218="","",INT((A218-$B$4)/7)+1)</f>
        <v>30</v>
      </c>
      <c r="I218" s="16">
        <f>IF(AND(A218&lt;&gt;"",C218="労働日"),I217+1,0)</f>
        <v>0</v>
      </c>
      <c r="J218" s="16">
        <f>IF(AND(A218&lt;&gt;"",ISNUMBER($B$7),ISNUMBER($B$8)),IF(AND(A218&gt;=$B$7,A218&lt;=$B$8),1,0),0)</f>
        <v>0</v>
      </c>
    </row>
    <row r="219">
      <c r="A219" s="9">
        <f>IF(ISNUMBER($B$4),IF(ISNUMBER($B$5),IF($B$4+207&lt;=$B$5,$B$4+207,""),""),"")</f>
        <v>46503</v>
      </c>
      <c r="B219" s="10" t="str">
        <f>IF(A219="","",CHOOSE(WEEKDAY(A219),"日","月","火","水","木","金","土"))</f>
        <v>月</v>
      </c>
      <c r="C219" s="11" t="inlineStr">
        <is>
          <t>労働日</t>
        </is>
      </c>
      <c r="D219" s="12" t="n">
        <v>0.375</v>
      </c>
      <c r="E219" s="12" t="n">
        <v>0.75</v>
      </c>
      <c r="F219" s="13" t="n">
        <v>60</v>
      </c>
      <c r="G219" s="14">
        <f>IF(OR(A219="",C219&lt;&gt;"労働日"),0,MAX(0,MOD(E219-D219,1)*24-F219/60))</f>
        <v>8</v>
      </c>
      <c r="H219" s="15">
        <f>IF(A219="","",INT((A219-$B$4)/7)+1)</f>
        <v>30</v>
      </c>
      <c r="I219" s="16">
        <f>IF(AND(A219&lt;&gt;"",C219="労働日"),I218+1,0)</f>
        <v>1</v>
      </c>
      <c r="J219" s="16">
        <f>IF(AND(A219&lt;&gt;"",ISNUMBER($B$7),ISNUMBER($B$8)),IF(AND(A219&gt;=$B$7,A219&lt;=$B$8),1,0),0)</f>
        <v>0</v>
      </c>
    </row>
    <row r="220">
      <c r="A220" s="9">
        <f>IF(ISNUMBER($B$4),IF(ISNUMBER($B$5),IF($B$4+208&lt;=$B$5,$B$4+208,""),""),"")</f>
        <v>46504</v>
      </c>
      <c r="B220" s="10" t="str">
        <f>IF(A220="","",CHOOSE(WEEKDAY(A220),"日","月","火","水","木","金","土"))</f>
        <v>火</v>
      </c>
      <c r="C220" s="11" t="inlineStr">
        <is>
          <t>労働日</t>
        </is>
      </c>
      <c r="D220" s="12" t="n">
        <v>0.375</v>
      </c>
      <c r="E220" s="12" t="n">
        <v>0.75</v>
      </c>
      <c r="F220" s="13" t="n">
        <v>60</v>
      </c>
      <c r="G220" s="14">
        <f>IF(OR(A220="",C220&lt;&gt;"労働日"),0,MAX(0,MOD(E220-D220,1)*24-F220/60))</f>
        <v>8</v>
      </c>
      <c r="H220" s="15">
        <f>IF(A220="","",INT((A220-$B$4)/7)+1)</f>
        <v>30</v>
      </c>
      <c r="I220" s="16">
        <f>IF(AND(A220&lt;&gt;"",C220="労働日"),I219+1,0)</f>
        <v>2</v>
      </c>
      <c r="J220" s="16">
        <f>IF(AND(A220&lt;&gt;"",ISNUMBER($B$7),ISNUMBER($B$8)),IF(AND(A220&gt;=$B$7,A220&lt;=$B$8),1,0),0)</f>
        <v>0</v>
      </c>
    </row>
    <row r="221">
      <c r="A221" s="9">
        <f>IF(ISNUMBER($B$4),IF(ISNUMBER($B$5),IF($B$4+209&lt;=$B$5,$B$4+209,""),""),"")</f>
        <v>46505</v>
      </c>
      <c r="B221" s="10" t="str">
        <f>IF(A221="","",CHOOSE(WEEKDAY(A221),"日","月","火","水","木","金","土"))</f>
        <v>水</v>
      </c>
      <c r="C221" s="11" t="inlineStr">
        <is>
          <t>労働日</t>
        </is>
      </c>
      <c r="D221" s="12" t="n">
        <v>0.375</v>
      </c>
      <c r="E221" s="12" t="n">
        <v>0.75</v>
      </c>
      <c r="F221" s="13" t="n">
        <v>60</v>
      </c>
      <c r="G221" s="14">
        <f>IF(OR(A221="",C221&lt;&gt;"労働日"),0,MAX(0,MOD(E221-D221,1)*24-F221/60))</f>
        <v>8</v>
      </c>
      <c r="H221" s="15">
        <f>IF(A221="","",INT((A221-$B$4)/7)+1)</f>
        <v>30</v>
      </c>
      <c r="I221" s="16">
        <f>IF(AND(A221&lt;&gt;"",C221="労働日"),I220+1,0)</f>
        <v>3</v>
      </c>
      <c r="J221" s="16">
        <f>IF(AND(A221&lt;&gt;"",ISNUMBER($B$7),ISNUMBER($B$8)),IF(AND(A221&gt;=$B$7,A221&lt;=$B$8),1,0),0)</f>
        <v>0</v>
      </c>
    </row>
    <row r="222">
      <c r="A222" s="9">
        <f>IF(ISNUMBER($B$4),IF(ISNUMBER($B$5),IF($B$4+210&lt;=$B$5,$B$4+210,""),""),"")</f>
        <v>46506</v>
      </c>
      <c r="B222" s="10" t="str">
        <f>IF(A222="","",CHOOSE(WEEKDAY(A222),"日","月","火","水","木","金","土"))</f>
        <v>木</v>
      </c>
      <c r="C222" s="11" t="inlineStr">
        <is>
          <t>休日</t>
        </is>
      </c>
      <c r="D222" s="12" t="n"/>
      <c r="E222" s="12" t="n"/>
      <c r="F222" s="13" t="n"/>
      <c r="G222" s="14">
        <f>IF(OR(A222="",C222&lt;&gt;"労働日"),0,MAX(0,MOD(E222-D222,1)*24-F222/60))</f>
        <v>0</v>
      </c>
      <c r="H222" s="15">
        <f>IF(A222="","",INT((A222-$B$4)/7)+1)</f>
        <v>31</v>
      </c>
      <c r="I222" s="16">
        <f>IF(AND(A222&lt;&gt;"",C222="労働日"),I221+1,0)</f>
        <v>0</v>
      </c>
      <c r="J222" s="16">
        <f>IF(AND(A222&lt;&gt;"",ISNUMBER($B$7),ISNUMBER($B$8)),IF(AND(A222&gt;=$B$7,A222&lt;=$B$8),1,0),0)</f>
        <v>0</v>
      </c>
    </row>
    <row r="223">
      <c r="A223" s="9">
        <f>IF(ISNUMBER($B$4),IF(ISNUMBER($B$5),IF($B$4+211&lt;=$B$5,$B$4+211,""),""),"")</f>
        <v>46507</v>
      </c>
      <c r="B223" s="10" t="str">
        <f>IF(A223="","",CHOOSE(WEEKDAY(A223),"日","月","火","水","木","金","土"))</f>
        <v>金</v>
      </c>
      <c r="C223" s="11" t="inlineStr">
        <is>
          <t>労働日</t>
        </is>
      </c>
      <c r="D223" s="12" t="n">
        <v>0.375</v>
      </c>
      <c r="E223" s="12" t="n">
        <v>0.75</v>
      </c>
      <c r="F223" s="13" t="n">
        <v>60</v>
      </c>
      <c r="G223" s="14">
        <f>IF(OR(A223="",C223&lt;&gt;"労働日"),0,MAX(0,MOD(E223-D223,1)*24-F223/60))</f>
        <v>8</v>
      </c>
      <c r="H223" s="15">
        <f>IF(A223="","",INT((A223-$B$4)/7)+1)</f>
        <v>31</v>
      </c>
      <c r="I223" s="16">
        <f>IF(AND(A223&lt;&gt;"",C223="労働日"),I222+1,0)</f>
        <v>1</v>
      </c>
      <c r="J223" s="16">
        <f>IF(AND(A223&lt;&gt;"",ISNUMBER($B$7),ISNUMBER($B$8)),IF(AND(A223&gt;=$B$7,A223&lt;=$B$8),1,0),0)</f>
        <v>0</v>
      </c>
    </row>
    <row r="224">
      <c r="A224" s="9">
        <f>IF(ISNUMBER($B$4),IF(ISNUMBER($B$5),IF($B$4+212&lt;=$B$5,$B$4+212,""),""),"")</f>
        <v>46508</v>
      </c>
      <c r="B224" s="10" t="str">
        <f>IF(A224="","",CHOOSE(WEEKDAY(A224),"日","月","火","水","木","金","土"))</f>
        <v>土</v>
      </c>
      <c r="C224" s="11" t="inlineStr">
        <is>
          <t>休日</t>
        </is>
      </c>
      <c r="D224" s="12" t="n"/>
      <c r="E224" s="12" t="n"/>
      <c r="F224" s="13" t="n"/>
      <c r="G224" s="14">
        <f>IF(OR(A224="",C224&lt;&gt;"労働日"),0,MAX(0,MOD(E224-D224,1)*24-F224/60))</f>
        <v>0</v>
      </c>
      <c r="H224" s="15">
        <f>IF(A224="","",INT((A224-$B$4)/7)+1)</f>
        <v>31</v>
      </c>
      <c r="I224" s="16">
        <f>IF(AND(A224&lt;&gt;"",C224="労働日"),I223+1,0)</f>
        <v>0</v>
      </c>
      <c r="J224" s="16">
        <f>IF(AND(A224&lt;&gt;"",ISNUMBER($B$7),ISNUMBER($B$8)),IF(AND(A224&gt;=$B$7,A224&lt;=$B$8),1,0),0)</f>
        <v>0</v>
      </c>
    </row>
    <row r="225">
      <c r="A225" s="9">
        <f>IF(ISNUMBER($B$4),IF(ISNUMBER($B$5),IF($B$4+213&lt;=$B$5,$B$4+213,""),""),"")</f>
        <v>46509</v>
      </c>
      <c r="B225" s="10" t="str">
        <f>IF(A225="","",CHOOSE(WEEKDAY(A225),"日","月","火","水","木","金","土"))</f>
        <v>日</v>
      </c>
      <c r="C225" s="11" t="inlineStr">
        <is>
          <t>休日</t>
        </is>
      </c>
      <c r="D225" s="12" t="n"/>
      <c r="E225" s="12" t="n"/>
      <c r="F225" s="13" t="n"/>
      <c r="G225" s="14">
        <f>IF(OR(A225="",C225&lt;&gt;"労働日"),0,MAX(0,MOD(E225-D225,1)*24-F225/60))</f>
        <v>0</v>
      </c>
      <c r="H225" s="15">
        <f>IF(A225="","",INT((A225-$B$4)/7)+1)</f>
        <v>31</v>
      </c>
      <c r="I225" s="16">
        <f>IF(AND(A225&lt;&gt;"",C225="労働日"),I224+1,0)</f>
        <v>0</v>
      </c>
      <c r="J225" s="16">
        <f>IF(AND(A225&lt;&gt;"",ISNUMBER($B$7),ISNUMBER($B$8)),IF(AND(A225&gt;=$B$7,A225&lt;=$B$8),1,0),0)</f>
        <v>0</v>
      </c>
    </row>
    <row r="226">
      <c r="A226" s="9">
        <f>IF(ISNUMBER($B$4),IF(ISNUMBER($B$5),IF($B$4+214&lt;=$B$5,$B$4+214,""),""),"")</f>
        <v>46510</v>
      </c>
      <c r="B226" s="10" t="str">
        <f>IF(A226="","",CHOOSE(WEEKDAY(A226),"日","月","火","水","木","金","土"))</f>
        <v>月</v>
      </c>
      <c r="C226" s="11" t="inlineStr">
        <is>
          <t>休日</t>
        </is>
      </c>
      <c r="D226" s="12" t="n"/>
      <c r="E226" s="12" t="n"/>
      <c r="F226" s="13" t="n"/>
      <c r="G226" s="14">
        <f>IF(OR(A226="",C226&lt;&gt;"労働日"),0,MAX(0,MOD(E226-D226,1)*24-F226/60))</f>
        <v>0</v>
      </c>
      <c r="H226" s="15">
        <f>IF(A226="","",INT((A226-$B$4)/7)+1)</f>
        <v>31</v>
      </c>
      <c r="I226" s="16">
        <f>IF(AND(A226&lt;&gt;"",C226="労働日"),I225+1,0)</f>
        <v>0</v>
      </c>
      <c r="J226" s="16">
        <f>IF(AND(A226&lt;&gt;"",ISNUMBER($B$7),ISNUMBER($B$8)),IF(AND(A226&gt;=$B$7,A226&lt;=$B$8),1,0),0)</f>
        <v>0</v>
      </c>
    </row>
    <row r="227">
      <c r="A227" s="9">
        <f>IF(ISNUMBER($B$4),IF(ISNUMBER($B$5),IF($B$4+215&lt;=$B$5,$B$4+215,""),""),"")</f>
        <v>46511</v>
      </c>
      <c r="B227" s="10" t="str">
        <f>IF(A227="","",CHOOSE(WEEKDAY(A227),"日","月","火","水","木","金","土"))</f>
        <v>火</v>
      </c>
      <c r="C227" s="11" t="inlineStr">
        <is>
          <t>休日</t>
        </is>
      </c>
      <c r="D227" s="12" t="n"/>
      <c r="E227" s="12" t="n"/>
      <c r="F227" s="13" t="n"/>
      <c r="G227" s="14">
        <f>IF(OR(A227="",C227&lt;&gt;"労働日"),0,MAX(0,MOD(E227-D227,1)*24-F227/60))</f>
        <v>0</v>
      </c>
      <c r="H227" s="15">
        <f>IF(A227="","",INT((A227-$B$4)/7)+1)</f>
        <v>31</v>
      </c>
      <c r="I227" s="16">
        <f>IF(AND(A227&lt;&gt;"",C227="労働日"),I226+1,0)</f>
        <v>0</v>
      </c>
      <c r="J227" s="16">
        <f>IF(AND(A227&lt;&gt;"",ISNUMBER($B$7),ISNUMBER($B$8)),IF(AND(A227&gt;=$B$7,A227&lt;=$B$8),1,0),0)</f>
        <v>0</v>
      </c>
    </row>
    <row r="228">
      <c r="A228" s="9">
        <f>IF(ISNUMBER($B$4),IF(ISNUMBER($B$5),IF($B$4+216&lt;=$B$5,$B$4+216,""),""),"")</f>
        <v>46512</v>
      </c>
      <c r="B228" s="10" t="str">
        <f>IF(A228="","",CHOOSE(WEEKDAY(A228),"日","月","火","水","木","金","土"))</f>
        <v>水</v>
      </c>
      <c r="C228" s="11" t="inlineStr">
        <is>
          <t>休日</t>
        </is>
      </c>
      <c r="D228" s="12" t="n"/>
      <c r="E228" s="12" t="n"/>
      <c r="F228" s="13" t="n"/>
      <c r="G228" s="14">
        <f>IF(OR(A228="",C228&lt;&gt;"労働日"),0,MAX(0,MOD(E228-D228,1)*24-F228/60))</f>
        <v>0</v>
      </c>
      <c r="H228" s="15">
        <f>IF(A228="","",INT((A228-$B$4)/7)+1)</f>
        <v>31</v>
      </c>
      <c r="I228" s="16">
        <f>IF(AND(A228&lt;&gt;"",C228="労働日"),I227+1,0)</f>
        <v>0</v>
      </c>
      <c r="J228" s="16">
        <f>IF(AND(A228&lt;&gt;"",ISNUMBER($B$7),ISNUMBER($B$8)),IF(AND(A228&gt;=$B$7,A228&lt;=$B$8),1,0),0)</f>
        <v>0</v>
      </c>
    </row>
    <row r="229">
      <c r="A229" s="9">
        <f>IF(ISNUMBER($B$4),IF(ISNUMBER($B$5),IF($B$4+217&lt;=$B$5,$B$4+217,""),""),"")</f>
        <v>46513</v>
      </c>
      <c r="B229" s="10" t="str">
        <f>IF(A229="","",CHOOSE(WEEKDAY(A229),"日","月","火","水","木","金","土"))</f>
        <v>木</v>
      </c>
      <c r="C229" s="11" t="inlineStr">
        <is>
          <t>労働日</t>
        </is>
      </c>
      <c r="D229" s="12" t="n">
        <v>0.375</v>
      </c>
      <c r="E229" s="12" t="n">
        <v>0.75</v>
      </c>
      <c r="F229" s="13" t="n">
        <v>60</v>
      </c>
      <c r="G229" s="14">
        <f>IF(OR(A229="",C229&lt;&gt;"労働日"),0,MAX(0,MOD(E229-D229,1)*24-F229/60))</f>
        <v>8</v>
      </c>
      <c r="H229" s="15">
        <f>IF(A229="","",INT((A229-$B$4)/7)+1)</f>
        <v>32</v>
      </c>
      <c r="I229" s="16">
        <f>IF(AND(A229&lt;&gt;"",C229="労働日"),I228+1,0)</f>
        <v>1</v>
      </c>
      <c r="J229" s="16">
        <f>IF(AND(A229&lt;&gt;"",ISNUMBER($B$7),ISNUMBER($B$8)),IF(AND(A229&gt;=$B$7,A229&lt;=$B$8),1,0),0)</f>
        <v>0</v>
      </c>
    </row>
    <row r="230">
      <c r="A230" s="9">
        <f>IF(ISNUMBER($B$4),IF(ISNUMBER($B$5),IF($B$4+218&lt;=$B$5,$B$4+218,""),""),"")</f>
        <v>46514</v>
      </c>
      <c r="B230" s="10" t="str">
        <f>IF(A230="","",CHOOSE(WEEKDAY(A230),"日","月","火","水","木","金","土"))</f>
        <v>金</v>
      </c>
      <c r="C230" s="11" t="inlineStr">
        <is>
          <t>労働日</t>
        </is>
      </c>
      <c r="D230" s="12" t="n">
        <v>0.375</v>
      </c>
      <c r="E230" s="12" t="n">
        <v>0.75</v>
      </c>
      <c r="F230" s="13" t="n">
        <v>60</v>
      </c>
      <c r="G230" s="14">
        <f>IF(OR(A230="",C230&lt;&gt;"労働日"),0,MAX(0,MOD(E230-D230,1)*24-F230/60))</f>
        <v>8</v>
      </c>
      <c r="H230" s="15">
        <f>IF(A230="","",INT((A230-$B$4)/7)+1)</f>
        <v>32</v>
      </c>
      <c r="I230" s="16">
        <f>IF(AND(A230&lt;&gt;"",C230="労働日"),I229+1,0)</f>
        <v>2</v>
      </c>
      <c r="J230" s="16">
        <f>IF(AND(A230&lt;&gt;"",ISNUMBER($B$7),ISNUMBER($B$8)),IF(AND(A230&gt;=$B$7,A230&lt;=$B$8),1,0),0)</f>
        <v>0</v>
      </c>
    </row>
    <row r="231">
      <c r="A231" s="9">
        <f>IF(ISNUMBER($B$4),IF(ISNUMBER($B$5),IF($B$4+219&lt;=$B$5,$B$4+219,""),""),"")</f>
        <v>46515</v>
      </c>
      <c r="B231" s="10" t="str">
        <f>IF(A231="","",CHOOSE(WEEKDAY(A231),"日","月","火","水","木","金","土"))</f>
        <v>土</v>
      </c>
      <c r="C231" s="11" t="inlineStr">
        <is>
          <t>休日</t>
        </is>
      </c>
      <c r="D231" s="12" t="n"/>
      <c r="E231" s="12" t="n"/>
      <c r="F231" s="13" t="n"/>
      <c r="G231" s="14">
        <f>IF(OR(A231="",C231&lt;&gt;"労働日"),0,MAX(0,MOD(E231-D231,1)*24-F231/60))</f>
        <v>0</v>
      </c>
      <c r="H231" s="15">
        <f>IF(A231="","",INT((A231-$B$4)/7)+1)</f>
        <v>32</v>
      </c>
      <c r="I231" s="16">
        <f>IF(AND(A231&lt;&gt;"",C231="労働日"),I230+1,0)</f>
        <v>0</v>
      </c>
      <c r="J231" s="16">
        <f>IF(AND(A231&lt;&gt;"",ISNUMBER($B$7),ISNUMBER($B$8)),IF(AND(A231&gt;=$B$7,A231&lt;=$B$8),1,0),0)</f>
        <v>0</v>
      </c>
    </row>
    <row r="232">
      <c r="A232" s="9">
        <f>IF(ISNUMBER($B$4),IF(ISNUMBER($B$5),IF($B$4+220&lt;=$B$5,$B$4+220,""),""),"")</f>
        <v>46516</v>
      </c>
      <c r="B232" s="10" t="str">
        <f>IF(A232="","",CHOOSE(WEEKDAY(A232),"日","月","火","水","木","金","土"))</f>
        <v>日</v>
      </c>
      <c r="C232" s="11" t="inlineStr">
        <is>
          <t>休日</t>
        </is>
      </c>
      <c r="D232" s="12" t="n"/>
      <c r="E232" s="12" t="n"/>
      <c r="F232" s="13" t="n"/>
      <c r="G232" s="14">
        <f>IF(OR(A232="",C232&lt;&gt;"労働日"),0,MAX(0,MOD(E232-D232,1)*24-F232/60))</f>
        <v>0</v>
      </c>
      <c r="H232" s="15">
        <f>IF(A232="","",INT((A232-$B$4)/7)+1)</f>
        <v>32</v>
      </c>
      <c r="I232" s="16">
        <f>IF(AND(A232&lt;&gt;"",C232="労働日"),I231+1,0)</f>
        <v>0</v>
      </c>
      <c r="J232" s="16">
        <f>IF(AND(A232&lt;&gt;"",ISNUMBER($B$7),ISNUMBER($B$8)),IF(AND(A232&gt;=$B$7,A232&lt;=$B$8),1,0),0)</f>
        <v>0</v>
      </c>
    </row>
    <row r="233">
      <c r="A233" s="9">
        <f>IF(ISNUMBER($B$4),IF(ISNUMBER($B$5),IF($B$4+221&lt;=$B$5,$B$4+221,""),""),"")</f>
        <v>46517</v>
      </c>
      <c r="B233" s="10" t="str">
        <f>IF(A233="","",CHOOSE(WEEKDAY(A233),"日","月","火","水","木","金","土"))</f>
        <v>月</v>
      </c>
      <c r="C233" s="11" t="inlineStr">
        <is>
          <t>労働日</t>
        </is>
      </c>
      <c r="D233" s="12" t="n">
        <v>0.375</v>
      </c>
      <c r="E233" s="12" t="n">
        <v>0.75</v>
      </c>
      <c r="F233" s="13" t="n">
        <v>60</v>
      </c>
      <c r="G233" s="14">
        <f>IF(OR(A233="",C233&lt;&gt;"労働日"),0,MAX(0,MOD(E233-D233,1)*24-F233/60))</f>
        <v>8</v>
      </c>
      <c r="H233" s="15">
        <f>IF(A233="","",INT((A233-$B$4)/7)+1)</f>
        <v>32</v>
      </c>
      <c r="I233" s="16">
        <f>IF(AND(A233&lt;&gt;"",C233="労働日"),I232+1,0)</f>
        <v>1</v>
      </c>
      <c r="J233" s="16">
        <f>IF(AND(A233&lt;&gt;"",ISNUMBER($B$7),ISNUMBER($B$8)),IF(AND(A233&gt;=$B$7,A233&lt;=$B$8),1,0),0)</f>
        <v>0</v>
      </c>
    </row>
    <row r="234">
      <c r="A234" s="9">
        <f>IF(ISNUMBER($B$4),IF(ISNUMBER($B$5),IF($B$4+222&lt;=$B$5,$B$4+222,""),""),"")</f>
        <v>46518</v>
      </c>
      <c r="B234" s="10" t="str">
        <f>IF(A234="","",CHOOSE(WEEKDAY(A234),"日","月","火","水","木","金","土"))</f>
        <v>火</v>
      </c>
      <c r="C234" s="11" t="inlineStr">
        <is>
          <t>労働日</t>
        </is>
      </c>
      <c r="D234" s="12" t="n">
        <v>0.375</v>
      </c>
      <c r="E234" s="12" t="n">
        <v>0.75</v>
      </c>
      <c r="F234" s="13" t="n">
        <v>60</v>
      </c>
      <c r="G234" s="14">
        <f>IF(OR(A234="",C234&lt;&gt;"労働日"),0,MAX(0,MOD(E234-D234,1)*24-F234/60))</f>
        <v>8</v>
      </c>
      <c r="H234" s="15">
        <f>IF(A234="","",INT((A234-$B$4)/7)+1)</f>
        <v>32</v>
      </c>
      <c r="I234" s="16">
        <f>IF(AND(A234&lt;&gt;"",C234="労働日"),I233+1,0)</f>
        <v>2</v>
      </c>
      <c r="J234" s="16">
        <f>IF(AND(A234&lt;&gt;"",ISNUMBER($B$7),ISNUMBER($B$8)),IF(AND(A234&gt;=$B$7,A234&lt;=$B$8),1,0),0)</f>
        <v>0</v>
      </c>
    </row>
    <row r="235">
      <c r="A235" s="9">
        <f>IF(ISNUMBER($B$4),IF(ISNUMBER($B$5),IF($B$4+223&lt;=$B$5,$B$4+223,""),""),"")</f>
        <v>46519</v>
      </c>
      <c r="B235" s="10" t="str">
        <f>IF(A235="","",CHOOSE(WEEKDAY(A235),"日","月","火","水","木","金","土"))</f>
        <v>水</v>
      </c>
      <c r="C235" s="11" t="inlineStr">
        <is>
          <t>労働日</t>
        </is>
      </c>
      <c r="D235" s="12" t="n">
        <v>0.375</v>
      </c>
      <c r="E235" s="12" t="n">
        <v>0.75</v>
      </c>
      <c r="F235" s="13" t="n">
        <v>60</v>
      </c>
      <c r="G235" s="14">
        <f>IF(OR(A235="",C235&lt;&gt;"労働日"),0,MAX(0,MOD(E235-D235,1)*24-F235/60))</f>
        <v>8</v>
      </c>
      <c r="H235" s="15">
        <f>IF(A235="","",INT((A235-$B$4)/7)+1)</f>
        <v>32</v>
      </c>
      <c r="I235" s="16">
        <f>IF(AND(A235&lt;&gt;"",C235="労働日"),I234+1,0)</f>
        <v>3</v>
      </c>
      <c r="J235" s="16">
        <f>IF(AND(A235&lt;&gt;"",ISNUMBER($B$7),ISNUMBER($B$8)),IF(AND(A235&gt;=$B$7,A235&lt;=$B$8),1,0),0)</f>
        <v>0</v>
      </c>
    </row>
    <row r="236">
      <c r="A236" s="9">
        <f>IF(ISNUMBER($B$4),IF(ISNUMBER($B$5),IF($B$4+224&lt;=$B$5,$B$4+224,""),""),"")</f>
        <v>46520</v>
      </c>
      <c r="B236" s="10" t="str">
        <f>IF(A236="","",CHOOSE(WEEKDAY(A236),"日","月","火","水","木","金","土"))</f>
        <v>木</v>
      </c>
      <c r="C236" s="11" t="inlineStr">
        <is>
          <t>労働日</t>
        </is>
      </c>
      <c r="D236" s="12" t="n">
        <v>0.375</v>
      </c>
      <c r="E236" s="12" t="n">
        <v>0.75</v>
      </c>
      <c r="F236" s="13" t="n">
        <v>60</v>
      </c>
      <c r="G236" s="14">
        <f>IF(OR(A236="",C236&lt;&gt;"労働日"),0,MAX(0,MOD(E236-D236,1)*24-F236/60))</f>
        <v>8</v>
      </c>
      <c r="H236" s="15">
        <f>IF(A236="","",INT((A236-$B$4)/7)+1)</f>
        <v>33</v>
      </c>
      <c r="I236" s="16">
        <f>IF(AND(A236&lt;&gt;"",C236="労働日"),I235+1,0)</f>
        <v>4</v>
      </c>
      <c r="J236" s="16">
        <f>IF(AND(A236&lt;&gt;"",ISNUMBER($B$7),ISNUMBER($B$8)),IF(AND(A236&gt;=$B$7,A236&lt;=$B$8),1,0),0)</f>
        <v>0</v>
      </c>
    </row>
    <row r="237">
      <c r="A237" s="9">
        <f>IF(ISNUMBER($B$4),IF(ISNUMBER($B$5),IF($B$4+225&lt;=$B$5,$B$4+225,""),""),"")</f>
        <v>46521</v>
      </c>
      <c r="B237" s="10" t="str">
        <f>IF(A237="","",CHOOSE(WEEKDAY(A237),"日","月","火","水","木","金","土"))</f>
        <v>金</v>
      </c>
      <c r="C237" s="11" t="inlineStr">
        <is>
          <t>労働日</t>
        </is>
      </c>
      <c r="D237" s="12" t="n">
        <v>0.375</v>
      </c>
      <c r="E237" s="12" t="n">
        <v>0.75</v>
      </c>
      <c r="F237" s="13" t="n">
        <v>60</v>
      </c>
      <c r="G237" s="14">
        <f>IF(OR(A237="",C237&lt;&gt;"労働日"),0,MAX(0,MOD(E237-D237,1)*24-F237/60))</f>
        <v>8</v>
      </c>
      <c r="H237" s="15">
        <f>IF(A237="","",INT((A237-$B$4)/7)+1)</f>
        <v>33</v>
      </c>
      <c r="I237" s="16">
        <f>IF(AND(A237&lt;&gt;"",C237="労働日"),I236+1,0)</f>
        <v>5</v>
      </c>
      <c r="J237" s="16">
        <f>IF(AND(A237&lt;&gt;"",ISNUMBER($B$7),ISNUMBER($B$8)),IF(AND(A237&gt;=$B$7,A237&lt;=$B$8),1,0),0)</f>
        <v>0</v>
      </c>
    </row>
    <row r="238">
      <c r="A238" s="9">
        <f>IF(ISNUMBER($B$4),IF(ISNUMBER($B$5),IF($B$4+226&lt;=$B$5,$B$4+226,""),""),"")</f>
        <v>46522</v>
      </c>
      <c r="B238" s="10" t="str">
        <f>IF(A238="","",CHOOSE(WEEKDAY(A238),"日","月","火","水","木","金","土"))</f>
        <v>土</v>
      </c>
      <c r="C238" s="11" t="inlineStr">
        <is>
          <t>休日</t>
        </is>
      </c>
      <c r="D238" s="12" t="n"/>
      <c r="E238" s="12" t="n"/>
      <c r="F238" s="13" t="n"/>
      <c r="G238" s="14">
        <f>IF(OR(A238="",C238&lt;&gt;"労働日"),0,MAX(0,MOD(E238-D238,1)*24-F238/60))</f>
        <v>0</v>
      </c>
      <c r="H238" s="15">
        <f>IF(A238="","",INT((A238-$B$4)/7)+1)</f>
        <v>33</v>
      </c>
      <c r="I238" s="16">
        <f>IF(AND(A238&lt;&gt;"",C238="労働日"),I237+1,0)</f>
        <v>0</v>
      </c>
      <c r="J238" s="16">
        <f>IF(AND(A238&lt;&gt;"",ISNUMBER($B$7),ISNUMBER($B$8)),IF(AND(A238&gt;=$B$7,A238&lt;=$B$8),1,0),0)</f>
        <v>0</v>
      </c>
    </row>
    <row r="239">
      <c r="A239" s="9">
        <f>IF(ISNUMBER($B$4),IF(ISNUMBER($B$5),IF($B$4+227&lt;=$B$5,$B$4+227,""),""),"")</f>
        <v>46523</v>
      </c>
      <c r="B239" s="10" t="str">
        <f>IF(A239="","",CHOOSE(WEEKDAY(A239),"日","月","火","水","木","金","土"))</f>
        <v>日</v>
      </c>
      <c r="C239" s="11" t="inlineStr">
        <is>
          <t>休日</t>
        </is>
      </c>
      <c r="D239" s="12" t="n"/>
      <c r="E239" s="12" t="n"/>
      <c r="F239" s="13" t="n"/>
      <c r="G239" s="14">
        <f>IF(OR(A239="",C239&lt;&gt;"労働日"),0,MAX(0,MOD(E239-D239,1)*24-F239/60))</f>
        <v>0</v>
      </c>
      <c r="H239" s="15">
        <f>IF(A239="","",INT((A239-$B$4)/7)+1)</f>
        <v>33</v>
      </c>
      <c r="I239" s="16">
        <f>IF(AND(A239&lt;&gt;"",C239="労働日"),I238+1,0)</f>
        <v>0</v>
      </c>
      <c r="J239" s="16">
        <f>IF(AND(A239&lt;&gt;"",ISNUMBER($B$7),ISNUMBER($B$8)),IF(AND(A239&gt;=$B$7,A239&lt;=$B$8),1,0),0)</f>
        <v>0</v>
      </c>
    </row>
    <row r="240">
      <c r="A240" s="9">
        <f>IF(ISNUMBER($B$4),IF(ISNUMBER($B$5),IF($B$4+228&lt;=$B$5,$B$4+228,""),""),"")</f>
        <v>46524</v>
      </c>
      <c r="B240" s="10" t="str">
        <f>IF(A240="","",CHOOSE(WEEKDAY(A240),"日","月","火","水","木","金","土"))</f>
        <v>月</v>
      </c>
      <c r="C240" s="11" t="inlineStr">
        <is>
          <t>労働日</t>
        </is>
      </c>
      <c r="D240" s="12" t="n">
        <v>0.375</v>
      </c>
      <c r="E240" s="12" t="n">
        <v>0.75</v>
      </c>
      <c r="F240" s="13" t="n">
        <v>60</v>
      </c>
      <c r="G240" s="14">
        <f>IF(OR(A240="",C240&lt;&gt;"労働日"),0,MAX(0,MOD(E240-D240,1)*24-F240/60))</f>
        <v>8</v>
      </c>
      <c r="H240" s="15">
        <f>IF(A240="","",INT((A240-$B$4)/7)+1)</f>
        <v>33</v>
      </c>
      <c r="I240" s="16">
        <f>IF(AND(A240&lt;&gt;"",C240="労働日"),I239+1,0)</f>
        <v>1</v>
      </c>
      <c r="J240" s="16">
        <f>IF(AND(A240&lt;&gt;"",ISNUMBER($B$7),ISNUMBER($B$8)),IF(AND(A240&gt;=$B$7,A240&lt;=$B$8),1,0),0)</f>
        <v>0</v>
      </c>
    </row>
    <row r="241">
      <c r="A241" s="9">
        <f>IF(ISNUMBER($B$4),IF(ISNUMBER($B$5),IF($B$4+229&lt;=$B$5,$B$4+229,""),""),"")</f>
        <v>46525</v>
      </c>
      <c r="B241" s="10" t="str">
        <f>IF(A241="","",CHOOSE(WEEKDAY(A241),"日","月","火","水","木","金","土"))</f>
        <v>火</v>
      </c>
      <c r="C241" s="11" t="inlineStr">
        <is>
          <t>労働日</t>
        </is>
      </c>
      <c r="D241" s="12" t="n">
        <v>0.375</v>
      </c>
      <c r="E241" s="12" t="n">
        <v>0.75</v>
      </c>
      <c r="F241" s="13" t="n">
        <v>60</v>
      </c>
      <c r="G241" s="14">
        <f>IF(OR(A241="",C241&lt;&gt;"労働日"),0,MAX(0,MOD(E241-D241,1)*24-F241/60))</f>
        <v>8</v>
      </c>
      <c r="H241" s="15">
        <f>IF(A241="","",INT((A241-$B$4)/7)+1)</f>
        <v>33</v>
      </c>
      <c r="I241" s="16">
        <f>IF(AND(A241&lt;&gt;"",C241="労働日"),I240+1,0)</f>
        <v>2</v>
      </c>
      <c r="J241" s="16">
        <f>IF(AND(A241&lt;&gt;"",ISNUMBER($B$7),ISNUMBER($B$8)),IF(AND(A241&gt;=$B$7,A241&lt;=$B$8),1,0),0)</f>
        <v>0</v>
      </c>
    </row>
    <row r="242">
      <c r="A242" s="9">
        <f>IF(ISNUMBER($B$4),IF(ISNUMBER($B$5),IF($B$4+230&lt;=$B$5,$B$4+230,""),""),"")</f>
        <v>46526</v>
      </c>
      <c r="B242" s="10" t="str">
        <f>IF(A242="","",CHOOSE(WEEKDAY(A242),"日","月","火","水","木","金","土"))</f>
        <v>水</v>
      </c>
      <c r="C242" s="11" t="inlineStr">
        <is>
          <t>労働日</t>
        </is>
      </c>
      <c r="D242" s="12" t="n">
        <v>0.375</v>
      </c>
      <c r="E242" s="12" t="n">
        <v>0.75</v>
      </c>
      <c r="F242" s="13" t="n">
        <v>60</v>
      </c>
      <c r="G242" s="14">
        <f>IF(OR(A242="",C242&lt;&gt;"労働日"),0,MAX(0,MOD(E242-D242,1)*24-F242/60))</f>
        <v>8</v>
      </c>
      <c r="H242" s="15">
        <f>IF(A242="","",INT((A242-$B$4)/7)+1)</f>
        <v>33</v>
      </c>
      <c r="I242" s="16">
        <f>IF(AND(A242&lt;&gt;"",C242="労働日"),I241+1,0)</f>
        <v>3</v>
      </c>
      <c r="J242" s="16">
        <f>IF(AND(A242&lt;&gt;"",ISNUMBER($B$7),ISNUMBER($B$8)),IF(AND(A242&gt;=$B$7,A242&lt;=$B$8),1,0),0)</f>
        <v>0</v>
      </c>
    </row>
    <row r="243">
      <c r="A243" s="9">
        <f>IF(ISNUMBER($B$4),IF(ISNUMBER($B$5),IF($B$4+231&lt;=$B$5,$B$4+231,""),""),"")</f>
        <v>46527</v>
      </c>
      <c r="B243" s="10" t="str">
        <f>IF(A243="","",CHOOSE(WEEKDAY(A243),"日","月","火","水","木","金","土"))</f>
        <v>木</v>
      </c>
      <c r="C243" s="11" t="inlineStr">
        <is>
          <t>労働日</t>
        </is>
      </c>
      <c r="D243" s="12" t="n">
        <v>0.375</v>
      </c>
      <c r="E243" s="12" t="n">
        <v>0.75</v>
      </c>
      <c r="F243" s="13" t="n">
        <v>60</v>
      </c>
      <c r="G243" s="14">
        <f>IF(OR(A243="",C243&lt;&gt;"労働日"),0,MAX(0,MOD(E243-D243,1)*24-F243/60))</f>
        <v>8</v>
      </c>
      <c r="H243" s="15">
        <f>IF(A243="","",INT((A243-$B$4)/7)+1)</f>
        <v>34</v>
      </c>
      <c r="I243" s="16">
        <f>IF(AND(A243&lt;&gt;"",C243="労働日"),I242+1,0)</f>
        <v>4</v>
      </c>
      <c r="J243" s="16">
        <f>IF(AND(A243&lt;&gt;"",ISNUMBER($B$7),ISNUMBER($B$8)),IF(AND(A243&gt;=$B$7,A243&lt;=$B$8),1,0),0)</f>
        <v>0</v>
      </c>
    </row>
    <row r="244">
      <c r="A244" s="9">
        <f>IF(ISNUMBER($B$4),IF(ISNUMBER($B$5),IF($B$4+232&lt;=$B$5,$B$4+232,""),""),"")</f>
        <v>46528</v>
      </c>
      <c r="B244" s="10" t="str">
        <f>IF(A244="","",CHOOSE(WEEKDAY(A244),"日","月","火","水","木","金","土"))</f>
        <v>金</v>
      </c>
      <c r="C244" s="11" t="inlineStr">
        <is>
          <t>労働日</t>
        </is>
      </c>
      <c r="D244" s="12" t="n">
        <v>0.375</v>
      </c>
      <c r="E244" s="12" t="n">
        <v>0.75</v>
      </c>
      <c r="F244" s="13" t="n">
        <v>60</v>
      </c>
      <c r="G244" s="14">
        <f>IF(OR(A244="",C244&lt;&gt;"労働日"),0,MAX(0,MOD(E244-D244,1)*24-F244/60))</f>
        <v>8</v>
      </c>
      <c r="H244" s="15">
        <f>IF(A244="","",INT((A244-$B$4)/7)+1)</f>
        <v>34</v>
      </c>
      <c r="I244" s="16">
        <f>IF(AND(A244&lt;&gt;"",C244="労働日"),I243+1,0)</f>
        <v>5</v>
      </c>
      <c r="J244" s="16">
        <f>IF(AND(A244&lt;&gt;"",ISNUMBER($B$7),ISNUMBER($B$8)),IF(AND(A244&gt;=$B$7,A244&lt;=$B$8),1,0),0)</f>
        <v>0</v>
      </c>
    </row>
    <row r="245">
      <c r="A245" s="9">
        <f>IF(ISNUMBER($B$4),IF(ISNUMBER($B$5),IF($B$4+233&lt;=$B$5,$B$4+233,""),""),"")</f>
        <v>46529</v>
      </c>
      <c r="B245" s="10" t="str">
        <f>IF(A245="","",CHOOSE(WEEKDAY(A245),"日","月","火","水","木","金","土"))</f>
        <v>土</v>
      </c>
      <c r="C245" s="11" t="inlineStr">
        <is>
          <t>休日</t>
        </is>
      </c>
      <c r="D245" s="12" t="n"/>
      <c r="E245" s="12" t="n"/>
      <c r="F245" s="13" t="n"/>
      <c r="G245" s="14">
        <f>IF(OR(A245="",C245&lt;&gt;"労働日"),0,MAX(0,MOD(E245-D245,1)*24-F245/60))</f>
        <v>0</v>
      </c>
      <c r="H245" s="15">
        <f>IF(A245="","",INT((A245-$B$4)/7)+1)</f>
        <v>34</v>
      </c>
      <c r="I245" s="16">
        <f>IF(AND(A245&lt;&gt;"",C245="労働日"),I244+1,0)</f>
        <v>0</v>
      </c>
      <c r="J245" s="16">
        <f>IF(AND(A245&lt;&gt;"",ISNUMBER($B$7),ISNUMBER($B$8)),IF(AND(A245&gt;=$B$7,A245&lt;=$B$8),1,0),0)</f>
        <v>0</v>
      </c>
    </row>
    <row r="246">
      <c r="A246" s="9">
        <f>IF(ISNUMBER($B$4),IF(ISNUMBER($B$5),IF($B$4+234&lt;=$B$5,$B$4+234,""),""),"")</f>
        <v>46530</v>
      </c>
      <c r="B246" s="10" t="str">
        <f>IF(A246="","",CHOOSE(WEEKDAY(A246),"日","月","火","水","木","金","土"))</f>
        <v>日</v>
      </c>
      <c r="C246" s="11" t="inlineStr">
        <is>
          <t>休日</t>
        </is>
      </c>
      <c r="D246" s="12" t="n"/>
      <c r="E246" s="12" t="n"/>
      <c r="F246" s="13" t="n"/>
      <c r="G246" s="14">
        <f>IF(OR(A246="",C246&lt;&gt;"労働日"),0,MAX(0,MOD(E246-D246,1)*24-F246/60))</f>
        <v>0</v>
      </c>
      <c r="H246" s="15">
        <f>IF(A246="","",INT((A246-$B$4)/7)+1)</f>
        <v>34</v>
      </c>
      <c r="I246" s="16">
        <f>IF(AND(A246&lt;&gt;"",C246="労働日"),I245+1,0)</f>
        <v>0</v>
      </c>
      <c r="J246" s="16">
        <f>IF(AND(A246&lt;&gt;"",ISNUMBER($B$7),ISNUMBER($B$8)),IF(AND(A246&gt;=$B$7,A246&lt;=$B$8),1,0),0)</f>
        <v>0</v>
      </c>
    </row>
    <row r="247">
      <c r="A247" s="9">
        <f>IF(ISNUMBER($B$4),IF(ISNUMBER($B$5),IF($B$4+235&lt;=$B$5,$B$4+235,""),""),"")</f>
        <v>46531</v>
      </c>
      <c r="B247" s="10" t="str">
        <f>IF(A247="","",CHOOSE(WEEKDAY(A247),"日","月","火","水","木","金","土"))</f>
        <v>月</v>
      </c>
      <c r="C247" s="11" t="inlineStr">
        <is>
          <t>労働日</t>
        </is>
      </c>
      <c r="D247" s="12" t="n">
        <v>0.375</v>
      </c>
      <c r="E247" s="12" t="n">
        <v>0.75</v>
      </c>
      <c r="F247" s="13" t="n">
        <v>60</v>
      </c>
      <c r="G247" s="14">
        <f>IF(OR(A247="",C247&lt;&gt;"労働日"),0,MAX(0,MOD(E247-D247,1)*24-F247/60))</f>
        <v>8</v>
      </c>
      <c r="H247" s="15">
        <f>IF(A247="","",INT((A247-$B$4)/7)+1)</f>
        <v>34</v>
      </c>
      <c r="I247" s="16">
        <f>IF(AND(A247&lt;&gt;"",C247="労働日"),I246+1,0)</f>
        <v>1</v>
      </c>
      <c r="J247" s="16">
        <f>IF(AND(A247&lt;&gt;"",ISNUMBER($B$7),ISNUMBER($B$8)),IF(AND(A247&gt;=$B$7,A247&lt;=$B$8),1,0),0)</f>
        <v>0</v>
      </c>
    </row>
    <row r="248">
      <c r="A248" s="9">
        <f>IF(ISNUMBER($B$4),IF(ISNUMBER($B$5),IF($B$4+236&lt;=$B$5,$B$4+236,""),""),"")</f>
        <v>46532</v>
      </c>
      <c r="B248" s="10" t="str">
        <f>IF(A248="","",CHOOSE(WEEKDAY(A248),"日","月","火","水","木","金","土"))</f>
        <v>火</v>
      </c>
      <c r="C248" s="11" t="inlineStr">
        <is>
          <t>労働日</t>
        </is>
      </c>
      <c r="D248" s="12" t="n">
        <v>0.375</v>
      </c>
      <c r="E248" s="12" t="n">
        <v>0.75</v>
      </c>
      <c r="F248" s="13" t="n">
        <v>60</v>
      </c>
      <c r="G248" s="14">
        <f>IF(OR(A248="",C248&lt;&gt;"労働日"),0,MAX(0,MOD(E248-D248,1)*24-F248/60))</f>
        <v>8</v>
      </c>
      <c r="H248" s="15">
        <f>IF(A248="","",INT((A248-$B$4)/7)+1)</f>
        <v>34</v>
      </c>
      <c r="I248" s="16">
        <f>IF(AND(A248&lt;&gt;"",C248="労働日"),I247+1,0)</f>
        <v>2</v>
      </c>
      <c r="J248" s="16">
        <f>IF(AND(A248&lt;&gt;"",ISNUMBER($B$7),ISNUMBER($B$8)),IF(AND(A248&gt;=$B$7,A248&lt;=$B$8),1,0),0)</f>
        <v>0</v>
      </c>
    </row>
    <row r="249">
      <c r="A249" s="9">
        <f>IF(ISNUMBER($B$4),IF(ISNUMBER($B$5),IF($B$4+237&lt;=$B$5,$B$4+237,""),""),"")</f>
        <v>46533</v>
      </c>
      <c r="B249" s="10" t="str">
        <f>IF(A249="","",CHOOSE(WEEKDAY(A249),"日","月","火","水","木","金","土"))</f>
        <v>水</v>
      </c>
      <c r="C249" s="11" t="inlineStr">
        <is>
          <t>労働日</t>
        </is>
      </c>
      <c r="D249" s="12" t="n">
        <v>0.375</v>
      </c>
      <c r="E249" s="12" t="n">
        <v>0.75</v>
      </c>
      <c r="F249" s="13" t="n">
        <v>60</v>
      </c>
      <c r="G249" s="14">
        <f>IF(OR(A249="",C249&lt;&gt;"労働日"),0,MAX(0,MOD(E249-D249,1)*24-F249/60))</f>
        <v>8</v>
      </c>
      <c r="H249" s="15">
        <f>IF(A249="","",INT((A249-$B$4)/7)+1)</f>
        <v>34</v>
      </c>
      <c r="I249" s="16">
        <f>IF(AND(A249&lt;&gt;"",C249="労働日"),I248+1,0)</f>
        <v>3</v>
      </c>
      <c r="J249" s="16">
        <f>IF(AND(A249&lt;&gt;"",ISNUMBER($B$7),ISNUMBER($B$8)),IF(AND(A249&gt;=$B$7,A249&lt;=$B$8),1,0),0)</f>
        <v>0</v>
      </c>
    </row>
    <row r="250">
      <c r="A250" s="9">
        <f>IF(ISNUMBER($B$4),IF(ISNUMBER($B$5),IF($B$4+238&lt;=$B$5,$B$4+238,""),""),"")</f>
        <v>46534</v>
      </c>
      <c r="B250" s="10" t="str">
        <f>IF(A250="","",CHOOSE(WEEKDAY(A250),"日","月","火","水","木","金","土"))</f>
        <v>木</v>
      </c>
      <c r="C250" s="11" t="inlineStr">
        <is>
          <t>労働日</t>
        </is>
      </c>
      <c r="D250" s="12" t="n">
        <v>0.375</v>
      </c>
      <c r="E250" s="12" t="n">
        <v>0.75</v>
      </c>
      <c r="F250" s="13" t="n">
        <v>60</v>
      </c>
      <c r="G250" s="14">
        <f>IF(OR(A250="",C250&lt;&gt;"労働日"),0,MAX(0,MOD(E250-D250,1)*24-F250/60))</f>
        <v>8</v>
      </c>
      <c r="H250" s="15">
        <f>IF(A250="","",INT((A250-$B$4)/7)+1)</f>
        <v>35</v>
      </c>
      <c r="I250" s="16">
        <f>IF(AND(A250&lt;&gt;"",C250="労働日"),I249+1,0)</f>
        <v>4</v>
      </c>
      <c r="J250" s="16">
        <f>IF(AND(A250&lt;&gt;"",ISNUMBER($B$7),ISNUMBER($B$8)),IF(AND(A250&gt;=$B$7,A250&lt;=$B$8),1,0),0)</f>
        <v>0</v>
      </c>
    </row>
    <row r="251">
      <c r="A251" s="9">
        <f>IF(ISNUMBER($B$4),IF(ISNUMBER($B$5),IF($B$4+239&lt;=$B$5,$B$4+239,""),""),"")</f>
        <v>46535</v>
      </c>
      <c r="B251" s="10" t="str">
        <f>IF(A251="","",CHOOSE(WEEKDAY(A251),"日","月","火","水","木","金","土"))</f>
        <v>金</v>
      </c>
      <c r="C251" s="11" t="inlineStr">
        <is>
          <t>労働日</t>
        </is>
      </c>
      <c r="D251" s="12" t="n">
        <v>0.375</v>
      </c>
      <c r="E251" s="12" t="n">
        <v>0.75</v>
      </c>
      <c r="F251" s="13" t="n">
        <v>60</v>
      </c>
      <c r="G251" s="14">
        <f>IF(OR(A251="",C251&lt;&gt;"労働日"),0,MAX(0,MOD(E251-D251,1)*24-F251/60))</f>
        <v>8</v>
      </c>
      <c r="H251" s="15">
        <f>IF(A251="","",INT((A251-$B$4)/7)+1)</f>
        <v>35</v>
      </c>
      <c r="I251" s="16">
        <f>IF(AND(A251&lt;&gt;"",C251="労働日"),I250+1,0)</f>
        <v>5</v>
      </c>
      <c r="J251" s="16">
        <f>IF(AND(A251&lt;&gt;"",ISNUMBER($B$7),ISNUMBER($B$8)),IF(AND(A251&gt;=$B$7,A251&lt;=$B$8),1,0),0)</f>
        <v>0</v>
      </c>
    </row>
    <row r="252">
      <c r="A252" s="9">
        <f>IF(ISNUMBER($B$4),IF(ISNUMBER($B$5),IF($B$4+240&lt;=$B$5,$B$4+240,""),""),"")</f>
        <v>46536</v>
      </c>
      <c r="B252" s="10" t="str">
        <f>IF(A252="","",CHOOSE(WEEKDAY(A252),"日","月","火","水","木","金","土"))</f>
        <v>土</v>
      </c>
      <c r="C252" s="11" t="inlineStr">
        <is>
          <t>休日</t>
        </is>
      </c>
      <c r="D252" s="12" t="n"/>
      <c r="E252" s="12" t="n"/>
      <c r="F252" s="13" t="n"/>
      <c r="G252" s="14">
        <f>IF(OR(A252="",C252&lt;&gt;"労働日"),0,MAX(0,MOD(E252-D252,1)*24-F252/60))</f>
        <v>0</v>
      </c>
      <c r="H252" s="15">
        <f>IF(A252="","",INT((A252-$B$4)/7)+1)</f>
        <v>35</v>
      </c>
      <c r="I252" s="16">
        <f>IF(AND(A252&lt;&gt;"",C252="労働日"),I251+1,0)</f>
        <v>0</v>
      </c>
      <c r="J252" s="16">
        <f>IF(AND(A252&lt;&gt;"",ISNUMBER($B$7),ISNUMBER($B$8)),IF(AND(A252&gt;=$B$7,A252&lt;=$B$8),1,0),0)</f>
        <v>0</v>
      </c>
    </row>
    <row r="253">
      <c r="A253" s="9">
        <f>IF(ISNUMBER($B$4),IF(ISNUMBER($B$5),IF($B$4+241&lt;=$B$5,$B$4+241,""),""),"")</f>
        <v>46537</v>
      </c>
      <c r="B253" s="10" t="str">
        <f>IF(A253="","",CHOOSE(WEEKDAY(A253),"日","月","火","水","木","金","土"))</f>
        <v>日</v>
      </c>
      <c r="C253" s="11" t="inlineStr">
        <is>
          <t>休日</t>
        </is>
      </c>
      <c r="D253" s="12" t="n"/>
      <c r="E253" s="12" t="n"/>
      <c r="F253" s="13" t="n"/>
      <c r="G253" s="14">
        <f>IF(OR(A253="",C253&lt;&gt;"労働日"),0,MAX(0,MOD(E253-D253,1)*24-F253/60))</f>
        <v>0</v>
      </c>
      <c r="H253" s="15">
        <f>IF(A253="","",INT((A253-$B$4)/7)+1)</f>
        <v>35</v>
      </c>
      <c r="I253" s="16">
        <f>IF(AND(A253&lt;&gt;"",C253="労働日"),I252+1,0)</f>
        <v>0</v>
      </c>
      <c r="J253" s="16">
        <f>IF(AND(A253&lt;&gt;"",ISNUMBER($B$7),ISNUMBER($B$8)),IF(AND(A253&gt;=$B$7,A253&lt;=$B$8),1,0),0)</f>
        <v>0</v>
      </c>
    </row>
    <row r="254">
      <c r="A254" s="9">
        <f>IF(ISNUMBER($B$4),IF(ISNUMBER($B$5),IF($B$4+242&lt;=$B$5,$B$4+242,""),""),"")</f>
        <v>46538</v>
      </c>
      <c r="B254" s="10" t="str">
        <f>IF(A254="","",CHOOSE(WEEKDAY(A254),"日","月","火","水","木","金","土"))</f>
        <v>月</v>
      </c>
      <c r="C254" s="11" t="inlineStr">
        <is>
          <t>労働日</t>
        </is>
      </c>
      <c r="D254" s="12" t="n">
        <v>0.375</v>
      </c>
      <c r="E254" s="12" t="n">
        <v>0.75</v>
      </c>
      <c r="F254" s="13" t="n">
        <v>60</v>
      </c>
      <c r="G254" s="14">
        <f>IF(OR(A254="",C254&lt;&gt;"労働日"),0,MAX(0,MOD(E254-D254,1)*24-F254/60))</f>
        <v>8</v>
      </c>
      <c r="H254" s="15">
        <f>IF(A254="","",INT((A254-$B$4)/7)+1)</f>
        <v>35</v>
      </c>
      <c r="I254" s="16">
        <f>IF(AND(A254&lt;&gt;"",C254="労働日"),I253+1,0)</f>
        <v>1</v>
      </c>
      <c r="J254" s="16">
        <f>IF(AND(A254&lt;&gt;"",ISNUMBER($B$7),ISNUMBER($B$8)),IF(AND(A254&gt;=$B$7,A254&lt;=$B$8),1,0),0)</f>
        <v>0</v>
      </c>
    </row>
    <row r="255">
      <c r="A255" s="9">
        <f>IF(ISNUMBER($B$4),IF(ISNUMBER($B$5),IF($B$4+243&lt;=$B$5,$B$4+243,""),""),"")</f>
        <v>46539</v>
      </c>
      <c r="B255" s="10" t="str">
        <f>IF(A255="","",CHOOSE(WEEKDAY(A255),"日","月","火","水","木","金","土"))</f>
        <v>火</v>
      </c>
      <c r="C255" s="11" t="inlineStr">
        <is>
          <t>労働日</t>
        </is>
      </c>
      <c r="D255" s="12" t="n">
        <v>0.375</v>
      </c>
      <c r="E255" s="12" t="n">
        <v>0.75</v>
      </c>
      <c r="F255" s="13" t="n">
        <v>60</v>
      </c>
      <c r="G255" s="14">
        <f>IF(OR(A255="",C255&lt;&gt;"労働日"),0,MAX(0,MOD(E255-D255,1)*24-F255/60))</f>
        <v>8</v>
      </c>
      <c r="H255" s="15">
        <f>IF(A255="","",INT((A255-$B$4)/7)+1)</f>
        <v>35</v>
      </c>
      <c r="I255" s="16">
        <f>IF(AND(A255&lt;&gt;"",C255="労働日"),I254+1,0)</f>
        <v>2</v>
      </c>
      <c r="J255" s="16">
        <f>IF(AND(A255&lt;&gt;"",ISNUMBER($B$7),ISNUMBER($B$8)),IF(AND(A255&gt;=$B$7,A255&lt;=$B$8),1,0),0)</f>
        <v>0</v>
      </c>
    </row>
    <row r="256">
      <c r="A256" s="9">
        <f>IF(ISNUMBER($B$4),IF(ISNUMBER($B$5),IF($B$4+244&lt;=$B$5,$B$4+244,""),""),"")</f>
        <v>46540</v>
      </c>
      <c r="B256" s="10" t="str">
        <f>IF(A256="","",CHOOSE(WEEKDAY(A256),"日","月","火","水","木","金","土"))</f>
        <v>水</v>
      </c>
      <c r="C256" s="11" t="inlineStr">
        <is>
          <t>労働日</t>
        </is>
      </c>
      <c r="D256" s="12" t="n">
        <v>0.375</v>
      </c>
      <c r="E256" s="12" t="n">
        <v>0.75</v>
      </c>
      <c r="F256" s="13" t="n">
        <v>60</v>
      </c>
      <c r="G256" s="14">
        <f>IF(OR(A256="",C256&lt;&gt;"労働日"),0,MAX(0,MOD(E256-D256,1)*24-F256/60))</f>
        <v>8</v>
      </c>
      <c r="H256" s="15">
        <f>IF(A256="","",INT((A256-$B$4)/7)+1)</f>
        <v>35</v>
      </c>
      <c r="I256" s="16">
        <f>IF(AND(A256&lt;&gt;"",C256="労働日"),I255+1,0)</f>
        <v>3</v>
      </c>
      <c r="J256" s="16">
        <f>IF(AND(A256&lt;&gt;"",ISNUMBER($B$7),ISNUMBER($B$8)),IF(AND(A256&gt;=$B$7,A256&lt;=$B$8),1,0),0)</f>
        <v>0</v>
      </c>
    </row>
    <row r="257">
      <c r="A257" s="9">
        <f>IF(ISNUMBER($B$4),IF(ISNUMBER($B$5),IF($B$4+245&lt;=$B$5,$B$4+245,""),""),"")</f>
        <v>46541</v>
      </c>
      <c r="B257" s="10" t="str">
        <f>IF(A257="","",CHOOSE(WEEKDAY(A257),"日","月","火","水","木","金","土"))</f>
        <v>木</v>
      </c>
      <c r="C257" s="11" t="inlineStr">
        <is>
          <t>労働日</t>
        </is>
      </c>
      <c r="D257" s="12" t="n">
        <v>0.375</v>
      </c>
      <c r="E257" s="12" t="n">
        <v>0.75</v>
      </c>
      <c r="F257" s="13" t="n">
        <v>60</v>
      </c>
      <c r="G257" s="14">
        <f>IF(OR(A257="",C257&lt;&gt;"労働日"),0,MAX(0,MOD(E257-D257,1)*24-F257/60))</f>
        <v>8</v>
      </c>
      <c r="H257" s="15">
        <f>IF(A257="","",INT((A257-$B$4)/7)+1)</f>
        <v>36</v>
      </c>
      <c r="I257" s="16">
        <f>IF(AND(A257&lt;&gt;"",C257="労働日"),I256+1,0)</f>
        <v>4</v>
      </c>
      <c r="J257" s="16">
        <f>IF(AND(A257&lt;&gt;"",ISNUMBER($B$7),ISNUMBER($B$8)),IF(AND(A257&gt;=$B$7,A257&lt;=$B$8),1,0),0)</f>
        <v>0</v>
      </c>
    </row>
    <row r="258">
      <c r="A258" s="9">
        <f>IF(ISNUMBER($B$4),IF(ISNUMBER($B$5),IF($B$4+246&lt;=$B$5,$B$4+246,""),""),"")</f>
        <v>46542</v>
      </c>
      <c r="B258" s="10" t="str">
        <f>IF(A258="","",CHOOSE(WEEKDAY(A258),"日","月","火","水","木","金","土"))</f>
        <v>金</v>
      </c>
      <c r="C258" s="11" t="inlineStr">
        <is>
          <t>労働日</t>
        </is>
      </c>
      <c r="D258" s="12" t="n">
        <v>0.375</v>
      </c>
      <c r="E258" s="12" t="n">
        <v>0.75</v>
      </c>
      <c r="F258" s="13" t="n">
        <v>60</v>
      </c>
      <c r="G258" s="14">
        <f>IF(OR(A258="",C258&lt;&gt;"労働日"),0,MAX(0,MOD(E258-D258,1)*24-F258/60))</f>
        <v>8</v>
      </c>
      <c r="H258" s="15">
        <f>IF(A258="","",INT((A258-$B$4)/7)+1)</f>
        <v>36</v>
      </c>
      <c r="I258" s="16">
        <f>IF(AND(A258&lt;&gt;"",C258="労働日"),I257+1,0)</f>
        <v>5</v>
      </c>
      <c r="J258" s="16">
        <f>IF(AND(A258&lt;&gt;"",ISNUMBER($B$7),ISNUMBER($B$8)),IF(AND(A258&gt;=$B$7,A258&lt;=$B$8),1,0),0)</f>
        <v>0</v>
      </c>
    </row>
    <row r="259">
      <c r="A259" s="9">
        <f>IF(ISNUMBER($B$4),IF(ISNUMBER($B$5),IF($B$4+247&lt;=$B$5,$B$4+247,""),""),"")</f>
        <v>46543</v>
      </c>
      <c r="B259" s="10" t="str">
        <f>IF(A259="","",CHOOSE(WEEKDAY(A259),"日","月","火","水","木","金","土"))</f>
        <v>土</v>
      </c>
      <c r="C259" s="11" t="inlineStr">
        <is>
          <t>休日</t>
        </is>
      </c>
      <c r="D259" s="12" t="n"/>
      <c r="E259" s="12" t="n"/>
      <c r="F259" s="13" t="n"/>
      <c r="G259" s="14">
        <f>IF(OR(A259="",C259&lt;&gt;"労働日"),0,MAX(0,MOD(E259-D259,1)*24-F259/60))</f>
        <v>0</v>
      </c>
      <c r="H259" s="15">
        <f>IF(A259="","",INT((A259-$B$4)/7)+1)</f>
        <v>36</v>
      </c>
      <c r="I259" s="16">
        <f>IF(AND(A259&lt;&gt;"",C259="労働日"),I258+1,0)</f>
        <v>0</v>
      </c>
      <c r="J259" s="16">
        <f>IF(AND(A259&lt;&gt;"",ISNUMBER($B$7),ISNUMBER($B$8)),IF(AND(A259&gt;=$B$7,A259&lt;=$B$8),1,0),0)</f>
        <v>0</v>
      </c>
    </row>
    <row r="260">
      <c r="A260" s="9">
        <f>IF(ISNUMBER($B$4),IF(ISNUMBER($B$5),IF($B$4+248&lt;=$B$5,$B$4+248,""),""),"")</f>
        <v>46544</v>
      </c>
      <c r="B260" s="10" t="str">
        <f>IF(A260="","",CHOOSE(WEEKDAY(A260),"日","月","火","水","木","金","土"))</f>
        <v>日</v>
      </c>
      <c r="C260" s="11" t="inlineStr">
        <is>
          <t>休日</t>
        </is>
      </c>
      <c r="D260" s="12" t="n"/>
      <c r="E260" s="12" t="n"/>
      <c r="F260" s="13" t="n"/>
      <c r="G260" s="14">
        <f>IF(OR(A260="",C260&lt;&gt;"労働日"),0,MAX(0,MOD(E260-D260,1)*24-F260/60))</f>
        <v>0</v>
      </c>
      <c r="H260" s="15">
        <f>IF(A260="","",INT((A260-$B$4)/7)+1)</f>
        <v>36</v>
      </c>
      <c r="I260" s="16">
        <f>IF(AND(A260&lt;&gt;"",C260="労働日"),I259+1,0)</f>
        <v>0</v>
      </c>
      <c r="J260" s="16">
        <f>IF(AND(A260&lt;&gt;"",ISNUMBER($B$7),ISNUMBER($B$8)),IF(AND(A260&gt;=$B$7,A260&lt;=$B$8),1,0),0)</f>
        <v>0</v>
      </c>
    </row>
    <row r="261">
      <c r="A261" s="9">
        <f>IF(ISNUMBER($B$4),IF(ISNUMBER($B$5),IF($B$4+249&lt;=$B$5,$B$4+249,""),""),"")</f>
        <v>46545</v>
      </c>
      <c r="B261" s="10" t="str">
        <f>IF(A261="","",CHOOSE(WEEKDAY(A261),"日","月","火","水","木","金","土"))</f>
        <v>月</v>
      </c>
      <c r="C261" s="11" t="inlineStr">
        <is>
          <t>労働日</t>
        </is>
      </c>
      <c r="D261" s="12" t="n">
        <v>0.375</v>
      </c>
      <c r="E261" s="12" t="n">
        <v>0.75</v>
      </c>
      <c r="F261" s="13" t="n">
        <v>60</v>
      </c>
      <c r="G261" s="14">
        <f>IF(OR(A261="",C261&lt;&gt;"労働日"),0,MAX(0,MOD(E261-D261,1)*24-F261/60))</f>
        <v>8</v>
      </c>
      <c r="H261" s="15">
        <f>IF(A261="","",INT((A261-$B$4)/7)+1)</f>
        <v>36</v>
      </c>
      <c r="I261" s="16">
        <f>IF(AND(A261&lt;&gt;"",C261="労働日"),I260+1,0)</f>
        <v>1</v>
      </c>
      <c r="J261" s="16">
        <f>IF(AND(A261&lt;&gt;"",ISNUMBER($B$7),ISNUMBER($B$8)),IF(AND(A261&gt;=$B$7,A261&lt;=$B$8),1,0),0)</f>
        <v>0</v>
      </c>
    </row>
    <row r="262">
      <c r="A262" s="9">
        <f>IF(ISNUMBER($B$4),IF(ISNUMBER($B$5),IF($B$4+250&lt;=$B$5,$B$4+250,""),""),"")</f>
        <v>46546</v>
      </c>
      <c r="B262" s="10" t="str">
        <f>IF(A262="","",CHOOSE(WEEKDAY(A262),"日","月","火","水","木","金","土"))</f>
        <v>火</v>
      </c>
      <c r="C262" s="11" t="inlineStr">
        <is>
          <t>労働日</t>
        </is>
      </c>
      <c r="D262" s="12" t="n">
        <v>0.375</v>
      </c>
      <c r="E262" s="12" t="n">
        <v>0.75</v>
      </c>
      <c r="F262" s="13" t="n">
        <v>60</v>
      </c>
      <c r="G262" s="14">
        <f>IF(OR(A262="",C262&lt;&gt;"労働日"),0,MAX(0,MOD(E262-D262,1)*24-F262/60))</f>
        <v>8</v>
      </c>
      <c r="H262" s="15">
        <f>IF(A262="","",INT((A262-$B$4)/7)+1)</f>
        <v>36</v>
      </c>
      <c r="I262" s="16">
        <f>IF(AND(A262&lt;&gt;"",C262="労働日"),I261+1,0)</f>
        <v>2</v>
      </c>
      <c r="J262" s="16">
        <f>IF(AND(A262&lt;&gt;"",ISNUMBER($B$7),ISNUMBER($B$8)),IF(AND(A262&gt;=$B$7,A262&lt;=$B$8),1,0),0)</f>
        <v>0</v>
      </c>
    </row>
    <row r="263">
      <c r="A263" s="9">
        <f>IF(ISNUMBER($B$4),IF(ISNUMBER($B$5),IF($B$4+251&lt;=$B$5,$B$4+251,""),""),"")</f>
        <v>46547</v>
      </c>
      <c r="B263" s="10" t="str">
        <f>IF(A263="","",CHOOSE(WEEKDAY(A263),"日","月","火","水","木","金","土"))</f>
        <v>水</v>
      </c>
      <c r="C263" s="11" t="inlineStr">
        <is>
          <t>労働日</t>
        </is>
      </c>
      <c r="D263" s="12" t="n">
        <v>0.375</v>
      </c>
      <c r="E263" s="12" t="n">
        <v>0.75</v>
      </c>
      <c r="F263" s="13" t="n">
        <v>60</v>
      </c>
      <c r="G263" s="14">
        <f>IF(OR(A263="",C263&lt;&gt;"労働日"),0,MAX(0,MOD(E263-D263,1)*24-F263/60))</f>
        <v>8</v>
      </c>
      <c r="H263" s="15">
        <f>IF(A263="","",INT((A263-$B$4)/7)+1)</f>
        <v>36</v>
      </c>
      <c r="I263" s="16">
        <f>IF(AND(A263&lt;&gt;"",C263="労働日"),I262+1,0)</f>
        <v>3</v>
      </c>
      <c r="J263" s="16">
        <f>IF(AND(A263&lt;&gt;"",ISNUMBER($B$7),ISNUMBER($B$8)),IF(AND(A263&gt;=$B$7,A263&lt;=$B$8),1,0),0)</f>
        <v>0</v>
      </c>
    </row>
    <row r="264">
      <c r="A264" s="9">
        <f>IF(ISNUMBER($B$4),IF(ISNUMBER($B$5),IF($B$4+252&lt;=$B$5,$B$4+252,""),""),"")</f>
        <v>46548</v>
      </c>
      <c r="B264" s="10" t="str">
        <f>IF(A264="","",CHOOSE(WEEKDAY(A264),"日","月","火","水","木","金","土"))</f>
        <v>木</v>
      </c>
      <c r="C264" s="11" t="inlineStr">
        <is>
          <t>労働日</t>
        </is>
      </c>
      <c r="D264" s="12" t="n">
        <v>0.375</v>
      </c>
      <c r="E264" s="12" t="n">
        <v>0.75</v>
      </c>
      <c r="F264" s="13" t="n">
        <v>60</v>
      </c>
      <c r="G264" s="14">
        <f>IF(OR(A264="",C264&lt;&gt;"労働日"),0,MAX(0,MOD(E264-D264,1)*24-F264/60))</f>
        <v>8</v>
      </c>
      <c r="H264" s="15">
        <f>IF(A264="","",INT((A264-$B$4)/7)+1)</f>
        <v>37</v>
      </c>
      <c r="I264" s="16">
        <f>IF(AND(A264&lt;&gt;"",C264="労働日"),I263+1,0)</f>
        <v>4</v>
      </c>
      <c r="J264" s="16">
        <f>IF(AND(A264&lt;&gt;"",ISNUMBER($B$7),ISNUMBER($B$8)),IF(AND(A264&gt;=$B$7,A264&lt;=$B$8),1,0),0)</f>
        <v>0</v>
      </c>
    </row>
    <row r="265">
      <c r="A265" s="9">
        <f>IF(ISNUMBER($B$4),IF(ISNUMBER($B$5),IF($B$4+253&lt;=$B$5,$B$4+253,""),""),"")</f>
        <v>46549</v>
      </c>
      <c r="B265" s="10" t="str">
        <f>IF(A265="","",CHOOSE(WEEKDAY(A265),"日","月","火","水","木","金","土"))</f>
        <v>金</v>
      </c>
      <c r="C265" s="11" t="inlineStr">
        <is>
          <t>労働日</t>
        </is>
      </c>
      <c r="D265" s="12" t="n">
        <v>0.375</v>
      </c>
      <c r="E265" s="12" t="n">
        <v>0.75</v>
      </c>
      <c r="F265" s="13" t="n">
        <v>60</v>
      </c>
      <c r="G265" s="14">
        <f>IF(OR(A265="",C265&lt;&gt;"労働日"),0,MAX(0,MOD(E265-D265,1)*24-F265/60))</f>
        <v>8</v>
      </c>
      <c r="H265" s="15">
        <f>IF(A265="","",INT((A265-$B$4)/7)+1)</f>
        <v>37</v>
      </c>
      <c r="I265" s="16">
        <f>IF(AND(A265&lt;&gt;"",C265="労働日"),I264+1,0)</f>
        <v>5</v>
      </c>
      <c r="J265" s="16">
        <f>IF(AND(A265&lt;&gt;"",ISNUMBER($B$7),ISNUMBER($B$8)),IF(AND(A265&gt;=$B$7,A265&lt;=$B$8),1,0),0)</f>
        <v>0</v>
      </c>
    </row>
    <row r="266">
      <c r="A266" s="9">
        <f>IF(ISNUMBER($B$4),IF(ISNUMBER($B$5),IF($B$4+254&lt;=$B$5,$B$4+254,""),""),"")</f>
        <v>46550</v>
      </c>
      <c r="B266" s="10" t="str">
        <f>IF(A266="","",CHOOSE(WEEKDAY(A266),"日","月","火","水","木","金","土"))</f>
        <v>土</v>
      </c>
      <c r="C266" s="11" t="inlineStr">
        <is>
          <t>休日</t>
        </is>
      </c>
      <c r="D266" s="12" t="n"/>
      <c r="E266" s="12" t="n"/>
      <c r="F266" s="13" t="n"/>
      <c r="G266" s="14">
        <f>IF(OR(A266="",C266&lt;&gt;"労働日"),0,MAX(0,MOD(E266-D266,1)*24-F266/60))</f>
        <v>0</v>
      </c>
      <c r="H266" s="15">
        <f>IF(A266="","",INT((A266-$B$4)/7)+1)</f>
        <v>37</v>
      </c>
      <c r="I266" s="16">
        <f>IF(AND(A266&lt;&gt;"",C266="労働日"),I265+1,0)</f>
        <v>0</v>
      </c>
      <c r="J266" s="16">
        <f>IF(AND(A266&lt;&gt;"",ISNUMBER($B$7),ISNUMBER($B$8)),IF(AND(A266&gt;=$B$7,A266&lt;=$B$8),1,0),0)</f>
        <v>0</v>
      </c>
    </row>
    <row r="267">
      <c r="A267" s="9">
        <f>IF(ISNUMBER($B$4),IF(ISNUMBER($B$5),IF($B$4+255&lt;=$B$5,$B$4+255,""),""),"")</f>
        <v>46551</v>
      </c>
      <c r="B267" s="10" t="str">
        <f>IF(A267="","",CHOOSE(WEEKDAY(A267),"日","月","火","水","木","金","土"))</f>
        <v>日</v>
      </c>
      <c r="C267" s="11" t="inlineStr">
        <is>
          <t>休日</t>
        </is>
      </c>
      <c r="D267" s="12" t="n"/>
      <c r="E267" s="12" t="n"/>
      <c r="F267" s="13" t="n"/>
      <c r="G267" s="14">
        <f>IF(OR(A267="",C267&lt;&gt;"労働日"),0,MAX(0,MOD(E267-D267,1)*24-F267/60))</f>
        <v>0</v>
      </c>
      <c r="H267" s="15">
        <f>IF(A267="","",INT((A267-$B$4)/7)+1)</f>
        <v>37</v>
      </c>
      <c r="I267" s="16">
        <f>IF(AND(A267&lt;&gt;"",C267="労働日"),I266+1,0)</f>
        <v>0</v>
      </c>
      <c r="J267" s="16">
        <f>IF(AND(A267&lt;&gt;"",ISNUMBER($B$7),ISNUMBER($B$8)),IF(AND(A267&gt;=$B$7,A267&lt;=$B$8),1,0),0)</f>
        <v>0</v>
      </c>
    </row>
    <row r="268">
      <c r="A268" s="9">
        <f>IF(ISNUMBER($B$4),IF(ISNUMBER($B$5),IF($B$4+256&lt;=$B$5,$B$4+256,""),""),"")</f>
        <v>46552</v>
      </c>
      <c r="B268" s="10" t="str">
        <f>IF(A268="","",CHOOSE(WEEKDAY(A268),"日","月","火","水","木","金","土"))</f>
        <v>月</v>
      </c>
      <c r="C268" s="11" t="inlineStr">
        <is>
          <t>労働日</t>
        </is>
      </c>
      <c r="D268" s="12" t="n">
        <v>0.375</v>
      </c>
      <c r="E268" s="12" t="n">
        <v>0.75</v>
      </c>
      <c r="F268" s="13" t="n">
        <v>60</v>
      </c>
      <c r="G268" s="14">
        <f>IF(OR(A268="",C268&lt;&gt;"労働日"),0,MAX(0,MOD(E268-D268,1)*24-F268/60))</f>
        <v>8</v>
      </c>
      <c r="H268" s="15">
        <f>IF(A268="","",INT((A268-$B$4)/7)+1)</f>
        <v>37</v>
      </c>
      <c r="I268" s="16">
        <f>IF(AND(A268&lt;&gt;"",C268="労働日"),I267+1,0)</f>
        <v>1</v>
      </c>
      <c r="J268" s="16">
        <f>IF(AND(A268&lt;&gt;"",ISNUMBER($B$7),ISNUMBER($B$8)),IF(AND(A268&gt;=$B$7,A268&lt;=$B$8),1,0),0)</f>
        <v>0</v>
      </c>
    </row>
    <row r="269">
      <c r="A269" s="9">
        <f>IF(ISNUMBER($B$4),IF(ISNUMBER($B$5),IF($B$4+257&lt;=$B$5,$B$4+257,""),""),"")</f>
        <v>46553</v>
      </c>
      <c r="B269" s="10" t="str">
        <f>IF(A269="","",CHOOSE(WEEKDAY(A269),"日","月","火","水","木","金","土"))</f>
        <v>火</v>
      </c>
      <c r="C269" s="11" t="inlineStr">
        <is>
          <t>労働日</t>
        </is>
      </c>
      <c r="D269" s="12" t="n">
        <v>0.375</v>
      </c>
      <c r="E269" s="12" t="n">
        <v>0.75</v>
      </c>
      <c r="F269" s="13" t="n">
        <v>60</v>
      </c>
      <c r="G269" s="14">
        <f>IF(OR(A269="",C269&lt;&gt;"労働日"),0,MAX(0,MOD(E269-D269,1)*24-F269/60))</f>
        <v>8</v>
      </c>
      <c r="H269" s="15">
        <f>IF(A269="","",INT((A269-$B$4)/7)+1)</f>
        <v>37</v>
      </c>
      <c r="I269" s="16">
        <f>IF(AND(A269&lt;&gt;"",C269="労働日"),I268+1,0)</f>
        <v>2</v>
      </c>
      <c r="J269" s="16">
        <f>IF(AND(A269&lt;&gt;"",ISNUMBER($B$7),ISNUMBER($B$8)),IF(AND(A269&gt;=$B$7,A269&lt;=$B$8),1,0),0)</f>
        <v>0</v>
      </c>
    </row>
    <row r="270">
      <c r="A270" s="9">
        <f>IF(ISNUMBER($B$4),IF(ISNUMBER($B$5),IF($B$4+258&lt;=$B$5,$B$4+258,""),""),"")</f>
        <v>46554</v>
      </c>
      <c r="B270" s="10" t="str">
        <f>IF(A270="","",CHOOSE(WEEKDAY(A270),"日","月","火","水","木","金","土"))</f>
        <v>水</v>
      </c>
      <c r="C270" s="11" t="inlineStr">
        <is>
          <t>労働日</t>
        </is>
      </c>
      <c r="D270" s="12" t="n">
        <v>0.375</v>
      </c>
      <c r="E270" s="12" t="n">
        <v>0.75</v>
      </c>
      <c r="F270" s="13" t="n">
        <v>60</v>
      </c>
      <c r="G270" s="14">
        <f>IF(OR(A270="",C270&lt;&gt;"労働日"),0,MAX(0,MOD(E270-D270,1)*24-F270/60))</f>
        <v>8</v>
      </c>
      <c r="H270" s="15">
        <f>IF(A270="","",INT((A270-$B$4)/7)+1)</f>
        <v>37</v>
      </c>
      <c r="I270" s="16">
        <f>IF(AND(A270&lt;&gt;"",C270="労働日"),I269+1,0)</f>
        <v>3</v>
      </c>
      <c r="J270" s="16">
        <f>IF(AND(A270&lt;&gt;"",ISNUMBER($B$7),ISNUMBER($B$8)),IF(AND(A270&gt;=$B$7,A270&lt;=$B$8),1,0),0)</f>
        <v>0</v>
      </c>
    </row>
    <row r="271">
      <c r="A271" s="9">
        <f>IF(ISNUMBER($B$4),IF(ISNUMBER($B$5),IF($B$4+259&lt;=$B$5,$B$4+259,""),""),"")</f>
        <v>46555</v>
      </c>
      <c r="B271" s="10" t="str">
        <f>IF(A271="","",CHOOSE(WEEKDAY(A271),"日","月","火","水","木","金","土"))</f>
        <v>木</v>
      </c>
      <c r="C271" s="11" t="inlineStr">
        <is>
          <t>労働日</t>
        </is>
      </c>
      <c r="D271" s="12" t="n">
        <v>0.375</v>
      </c>
      <c r="E271" s="12" t="n">
        <v>0.75</v>
      </c>
      <c r="F271" s="13" t="n">
        <v>60</v>
      </c>
      <c r="G271" s="14">
        <f>IF(OR(A271="",C271&lt;&gt;"労働日"),0,MAX(0,MOD(E271-D271,1)*24-F271/60))</f>
        <v>8</v>
      </c>
      <c r="H271" s="15">
        <f>IF(A271="","",INT((A271-$B$4)/7)+1)</f>
        <v>38</v>
      </c>
      <c r="I271" s="16">
        <f>IF(AND(A271&lt;&gt;"",C271="労働日"),I270+1,0)</f>
        <v>4</v>
      </c>
      <c r="J271" s="16">
        <f>IF(AND(A271&lt;&gt;"",ISNUMBER($B$7),ISNUMBER($B$8)),IF(AND(A271&gt;=$B$7,A271&lt;=$B$8),1,0),0)</f>
        <v>0</v>
      </c>
    </row>
    <row r="272">
      <c r="A272" s="9">
        <f>IF(ISNUMBER($B$4),IF(ISNUMBER($B$5),IF($B$4+260&lt;=$B$5,$B$4+260,""),""),"")</f>
        <v>46556</v>
      </c>
      <c r="B272" s="10" t="str">
        <f>IF(A272="","",CHOOSE(WEEKDAY(A272),"日","月","火","水","木","金","土"))</f>
        <v>金</v>
      </c>
      <c r="C272" s="11" t="inlineStr">
        <is>
          <t>労働日</t>
        </is>
      </c>
      <c r="D272" s="12" t="n">
        <v>0.375</v>
      </c>
      <c r="E272" s="12" t="n">
        <v>0.75</v>
      </c>
      <c r="F272" s="13" t="n">
        <v>60</v>
      </c>
      <c r="G272" s="14">
        <f>IF(OR(A272="",C272&lt;&gt;"労働日"),0,MAX(0,MOD(E272-D272,1)*24-F272/60))</f>
        <v>8</v>
      </c>
      <c r="H272" s="15">
        <f>IF(A272="","",INT((A272-$B$4)/7)+1)</f>
        <v>38</v>
      </c>
      <c r="I272" s="16">
        <f>IF(AND(A272&lt;&gt;"",C272="労働日"),I271+1,0)</f>
        <v>5</v>
      </c>
      <c r="J272" s="16">
        <f>IF(AND(A272&lt;&gt;"",ISNUMBER($B$7),ISNUMBER($B$8)),IF(AND(A272&gt;=$B$7,A272&lt;=$B$8),1,0),0)</f>
        <v>0</v>
      </c>
    </row>
    <row r="273">
      <c r="A273" s="9">
        <f>IF(ISNUMBER($B$4),IF(ISNUMBER($B$5),IF($B$4+261&lt;=$B$5,$B$4+261,""),""),"")</f>
        <v>46557</v>
      </c>
      <c r="B273" s="10" t="str">
        <f>IF(A273="","",CHOOSE(WEEKDAY(A273),"日","月","火","水","木","金","土"))</f>
        <v>土</v>
      </c>
      <c r="C273" s="11" t="inlineStr">
        <is>
          <t>休日</t>
        </is>
      </c>
      <c r="D273" s="12" t="n"/>
      <c r="E273" s="12" t="n"/>
      <c r="F273" s="13" t="n"/>
      <c r="G273" s="14">
        <f>IF(OR(A273="",C273&lt;&gt;"労働日"),0,MAX(0,MOD(E273-D273,1)*24-F273/60))</f>
        <v>0</v>
      </c>
      <c r="H273" s="15">
        <f>IF(A273="","",INT((A273-$B$4)/7)+1)</f>
        <v>38</v>
      </c>
      <c r="I273" s="16">
        <f>IF(AND(A273&lt;&gt;"",C273="労働日"),I272+1,0)</f>
        <v>0</v>
      </c>
      <c r="J273" s="16">
        <f>IF(AND(A273&lt;&gt;"",ISNUMBER($B$7),ISNUMBER($B$8)),IF(AND(A273&gt;=$B$7,A273&lt;=$B$8),1,0),0)</f>
        <v>0</v>
      </c>
    </row>
    <row r="274">
      <c r="A274" s="9">
        <f>IF(ISNUMBER($B$4),IF(ISNUMBER($B$5),IF($B$4+262&lt;=$B$5,$B$4+262,""),""),"")</f>
        <v>46558</v>
      </c>
      <c r="B274" s="10" t="str">
        <f>IF(A274="","",CHOOSE(WEEKDAY(A274),"日","月","火","水","木","金","土"))</f>
        <v>日</v>
      </c>
      <c r="C274" s="11" t="inlineStr">
        <is>
          <t>休日</t>
        </is>
      </c>
      <c r="D274" s="12" t="n"/>
      <c r="E274" s="12" t="n"/>
      <c r="F274" s="13" t="n"/>
      <c r="G274" s="14">
        <f>IF(OR(A274="",C274&lt;&gt;"労働日"),0,MAX(0,MOD(E274-D274,1)*24-F274/60))</f>
        <v>0</v>
      </c>
      <c r="H274" s="15">
        <f>IF(A274="","",INT((A274-$B$4)/7)+1)</f>
        <v>38</v>
      </c>
      <c r="I274" s="16">
        <f>IF(AND(A274&lt;&gt;"",C274="労働日"),I273+1,0)</f>
        <v>0</v>
      </c>
      <c r="J274" s="16">
        <f>IF(AND(A274&lt;&gt;"",ISNUMBER($B$7),ISNUMBER($B$8)),IF(AND(A274&gt;=$B$7,A274&lt;=$B$8),1,0),0)</f>
        <v>0</v>
      </c>
    </row>
    <row r="275">
      <c r="A275" s="9">
        <f>IF(ISNUMBER($B$4),IF(ISNUMBER($B$5),IF($B$4+263&lt;=$B$5,$B$4+263,""),""),"")</f>
        <v>46559</v>
      </c>
      <c r="B275" s="10" t="str">
        <f>IF(A275="","",CHOOSE(WEEKDAY(A275),"日","月","火","水","木","金","土"))</f>
        <v>月</v>
      </c>
      <c r="C275" s="11" t="inlineStr">
        <is>
          <t>労働日</t>
        </is>
      </c>
      <c r="D275" s="12" t="n">
        <v>0.375</v>
      </c>
      <c r="E275" s="12" t="n">
        <v>0.75</v>
      </c>
      <c r="F275" s="13" t="n">
        <v>60</v>
      </c>
      <c r="G275" s="14">
        <f>IF(OR(A275="",C275&lt;&gt;"労働日"),0,MAX(0,MOD(E275-D275,1)*24-F275/60))</f>
        <v>8</v>
      </c>
      <c r="H275" s="15">
        <f>IF(A275="","",INT((A275-$B$4)/7)+1)</f>
        <v>38</v>
      </c>
      <c r="I275" s="16">
        <f>IF(AND(A275&lt;&gt;"",C275="労働日"),I274+1,0)</f>
        <v>1</v>
      </c>
      <c r="J275" s="16">
        <f>IF(AND(A275&lt;&gt;"",ISNUMBER($B$7),ISNUMBER($B$8)),IF(AND(A275&gt;=$B$7,A275&lt;=$B$8),1,0),0)</f>
        <v>0</v>
      </c>
    </row>
    <row r="276">
      <c r="A276" s="9">
        <f>IF(ISNUMBER($B$4),IF(ISNUMBER($B$5),IF($B$4+264&lt;=$B$5,$B$4+264,""),""),"")</f>
        <v>46560</v>
      </c>
      <c r="B276" s="10" t="str">
        <f>IF(A276="","",CHOOSE(WEEKDAY(A276),"日","月","火","水","木","金","土"))</f>
        <v>火</v>
      </c>
      <c r="C276" s="11" t="inlineStr">
        <is>
          <t>労働日</t>
        </is>
      </c>
      <c r="D276" s="12" t="n">
        <v>0.375</v>
      </c>
      <c r="E276" s="12" t="n">
        <v>0.75</v>
      </c>
      <c r="F276" s="13" t="n">
        <v>60</v>
      </c>
      <c r="G276" s="14">
        <f>IF(OR(A276="",C276&lt;&gt;"労働日"),0,MAX(0,MOD(E276-D276,1)*24-F276/60))</f>
        <v>8</v>
      </c>
      <c r="H276" s="15">
        <f>IF(A276="","",INT((A276-$B$4)/7)+1)</f>
        <v>38</v>
      </c>
      <c r="I276" s="16">
        <f>IF(AND(A276&lt;&gt;"",C276="労働日"),I275+1,0)</f>
        <v>2</v>
      </c>
      <c r="J276" s="16">
        <f>IF(AND(A276&lt;&gt;"",ISNUMBER($B$7),ISNUMBER($B$8)),IF(AND(A276&gt;=$B$7,A276&lt;=$B$8),1,0),0)</f>
        <v>0</v>
      </c>
    </row>
    <row r="277">
      <c r="A277" s="9">
        <f>IF(ISNUMBER($B$4),IF(ISNUMBER($B$5),IF($B$4+265&lt;=$B$5,$B$4+265,""),""),"")</f>
        <v>46561</v>
      </c>
      <c r="B277" s="10" t="str">
        <f>IF(A277="","",CHOOSE(WEEKDAY(A277),"日","月","火","水","木","金","土"))</f>
        <v>水</v>
      </c>
      <c r="C277" s="11" t="inlineStr">
        <is>
          <t>労働日</t>
        </is>
      </c>
      <c r="D277" s="12" t="n">
        <v>0.375</v>
      </c>
      <c r="E277" s="12" t="n">
        <v>0.75</v>
      </c>
      <c r="F277" s="13" t="n">
        <v>60</v>
      </c>
      <c r="G277" s="14">
        <f>IF(OR(A277="",C277&lt;&gt;"労働日"),0,MAX(0,MOD(E277-D277,1)*24-F277/60))</f>
        <v>8</v>
      </c>
      <c r="H277" s="15">
        <f>IF(A277="","",INT((A277-$B$4)/7)+1)</f>
        <v>38</v>
      </c>
      <c r="I277" s="16">
        <f>IF(AND(A277&lt;&gt;"",C277="労働日"),I276+1,0)</f>
        <v>3</v>
      </c>
      <c r="J277" s="16">
        <f>IF(AND(A277&lt;&gt;"",ISNUMBER($B$7),ISNUMBER($B$8)),IF(AND(A277&gt;=$B$7,A277&lt;=$B$8),1,0),0)</f>
        <v>0</v>
      </c>
    </row>
    <row r="278">
      <c r="A278" s="9">
        <f>IF(ISNUMBER($B$4),IF(ISNUMBER($B$5),IF($B$4+266&lt;=$B$5,$B$4+266,""),""),"")</f>
        <v>46562</v>
      </c>
      <c r="B278" s="10" t="str">
        <f>IF(A278="","",CHOOSE(WEEKDAY(A278),"日","月","火","水","木","金","土"))</f>
        <v>木</v>
      </c>
      <c r="C278" s="11" t="inlineStr">
        <is>
          <t>労働日</t>
        </is>
      </c>
      <c r="D278" s="12" t="n">
        <v>0.375</v>
      </c>
      <c r="E278" s="12" t="n">
        <v>0.75</v>
      </c>
      <c r="F278" s="13" t="n">
        <v>60</v>
      </c>
      <c r="G278" s="14">
        <f>IF(OR(A278="",C278&lt;&gt;"労働日"),0,MAX(0,MOD(E278-D278,1)*24-F278/60))</f>
        <v>8</v>
      </c>
      <c r="H278" s="15">
        <f>IF(A278="","",INT((A278-$B$4)/7)+1)</f>
        <v>39</v>
      </c>
      <c r="I278" s="16">
        <f>IF(AND(A278&lt;&gt;"",C278="労働日"),I277+1,0)</f>
        <v>4</v>
      </c>
      <c r="J278" s="16">
        <f>IF(AND(A278&lt;&gt;"",ISNUMBER($B$7),ISNUMBER($B$8)),IF(AND(A278&gt;=$B$7,A278&lt;=$B$8),1,0),0)</f>
        <v>0</v>
      </c>
    </row>
    <row r="279">
      <c r="A279" s="9">
        <f>IF(ISNUMBER($B$4),IF(ISNUMBER($B$5),IF($B$4+267&lt;=$B$5,$B$4+267,""),""),"")</f>
        <v>46563</v>
      </c>
      <c r="B279" s="10" t="str">
        <f>IF(A279="","",CHOOSE(WEEKDAY(A279),"日","月","火","水","木","金","土"))</f>
        <v>金</v>
      </c>
      <c r="C279" s="11" t="inlineStr">
        <is>
          <t>労働日</t>
        </is>
      </c>
      <c r="D279" s="12" t="n">
        <v>0.375</v>
      </c>
      <c r="E279" s="12" t="n">
        <v>0.75</v>
      </c>
      <c r="F279" s="13" t="n">
        <v>60</v>
      </c>
      <c r="G279" s="14">
        <f>IF(OR(A279="",C279&lt;&gt;"労働日"),0,MAX(0,MOD(E279-D279,1)*24-F279/60))</f>
        <v>8</v>
      </c>
      <c r="H279" s="15">
        <f>IF(A279="","",INT((A279-$B$4)/7)+1)</f>
        <v>39</v>
      </c>
      <c r="I279" s="16">
        <f>IF(AND(A279&lt;&gt;"",C279="労働日"),I278+1,0)</f>
        <v>5</v>
      </c>
      <c r="J279" s="16">
        <f>IF(AND(A279&lt;&gt;"",ISNUMBER($B$7),ISNUMBER($B$8)),IF(AND(A279&gt;=$B$7,A279&lt;=$B$8),1,0),0)</f>
        <v>0</v>
      </c>
    </row>
    <row r="280">
      <c r="A280" s="9">
        <f>IF(ISNUMBER($B$4),IF(ISNUMBER($B$5),IF($B$4+268&lt;=$B$5,$B$4+268,""),""),"")</f>
        <v>46564</v>
      </c>
      <c r="B280" s="10" t="str">
        <f>IF(A280="","",CHOOSE(WEEKDAY(A280),"日","月","火","水","木","金","土"))</f>
        <v>土</v>
      </c>
      <c r="C280" s="11" t="inlineStr">
        <is>
          <t>休日</t>
        </is>
      </c>
      <c r="D280" s="12" t="n"/>
      <c r="E280" s="12" t="n"/>
      <c r="F280" s="13" t="n"/>
      <c r="G280" s="14">
        <f>IF(OR(A280="",C280&lt;&gt;"労働日"),0,MAX(0,MOD(E280-D280,1)*24-F280/60))</f>
        <v>0</v>
      </c>
      <c r="H280" s="15">
        <f>IF(A280="","",INT((A280-$B$4)/7)+1)</f>
        <v>39</v>
      </c>
      <c r="I280" s="16">
        <f>IF(AND(A280&lt;&gt;"",C280="労働日"),I279+1,0)</f>
        <v>0</v>
      </c>
      <c r="J280" s="16">
        <f>IF(AND(A280&lt;&gt;"",ISNUMBER($B$7),ISNUMBER($B$8)),IF(AND(A280&gt;=$B$7,A280&lt;=$B$8),1,0),0)</f>
        <v>0</v>
      </c>
    </row>
    <row r="281">
      <c r="A281" s="9">
        <f>IF(ISNUMBER($B$4),IF(ISNUMBER($B$5),IF($B$4+269&lt;=$B$5,$B$4+269,""),""),"")</f>
        <v>46565</v>
      </c>
      <c r="B281" s="10" t="str">
        <f>IF(A281="","",CHOOSE(WEEKDAY(A281),"日","月","火","水","木","金","土"))</f>
        <v>日</v>
      </c>
      <c r="C281" s="11" t="inlineStr">
        <is>
          <t>休日</t>
        </is>
      </c>
      <c r="D281" s="12" t="n"/>
      <c r="E281" s="12" t="n"/>
      <c r="F281" s="13" t="n"/>
      <c r="G281" s="14">
        <f>IF(OR(A281="",C281&lt;&gt;"労働日"),0,MAX(0,MOD(E281-D281,1)*24-F281/60))</f>
        <v>0</v>
      </c>
      <c r="H281" s="15">
        <f>IF(A281="","",INT((A281-$B$4)/7)+1)</f>
        <v>39</v>
      </c>
      <c r="I281" s="16">
        <f>IF(AND(A281&lt;&gt;"",C281="労働日"),I280+1,0)</f>
        <v>0</v>
      </c>
      <c r="J281" s="16">
        <f>IF(AND(A281&lt;&gt;"",ISNUMBER($B$7),ISNUMBER($B$8)),IF(AND(A281&gt;=$B$7,A281&lt;=$B$8),1,0),0)</f>
        <v>0</v>
      </c>
    </row>
    <row r="282">
      <c r="A282" s="9">
        <f>IF(ISNUMBER($B$4),IF(ISNUMBER($B$5),IF($B$4+270&lt;=$B$5,$B$4+270,""),""),"")</f>
        <v>46566</v>
      </c>
      <c r="B282" s="10" t="str">
        <f>IF(A282="","",CHOOSE(WEEKDAY(A282),"日","月","火","水","木","金","土"))</f>
        <v>月</v>
      </c>
      <c r="C282" s="11" t="inlineStr">
        <is>
          <t>労働日</t>
        </is>
      </c>
      <c r="D282" s="12" t="n">
        <v>0.375</v>
      </c>
      <c r="E282" s="12" t="n">
        <v>0.75</v>
      </c>
      <c r="F282" s="13" t="n">
        <v>60</v>
      </c>
      <c r="G282" s="14">
        <f>IF(OR(A282="",C282&lt;&gt;"労働日"),0,MAX(0,MOD(E282-D282,1)*24-F282/60))</f>
        <v>8</v>
      </c>
      <c r="H282" s="15">
        <f>IF(A282="","",INT((A282-$B$4)/7)+1)</f>
        <v>39</v>
      </c>
      <c r="I282" s="16">
        <f>IF(AND(A282&lt;&gt;"",C282="労働日"),I281+1,0)</f>
        <v>1</v>
      </c>
      <c r="J282" s="16">
        <f>IF(AND(A282&lt;&gt;"",ISNUMBER($B$7),ISNUMBER($B$8)),IF(AND(A282&gt;=$B$7,A282&lt;=$B$8),1,0),0)</f>
        <v>0</v>
      </c>
    </row>
    <row r="283">
      <c r="A283" s="9">
        <f>IF(ISNUMBER($B$4),IF(ISNUMBER($B$5),IF($B$4+271&lt;=$B$5,$B$4+271,""),""),"")</f>
        <v>46567</v>
      </c>
      <c r="B283" s="10" t="str">
        <f>IF(A283="","",CHOOSE(WEEKDAY(A283),"日","月","火","水","木","金","土"))</f>
        <v>火</v>
      </c>
      <c r="C283" s="11" t="inlineStr">
        <is>
          <t>労働日</t>
        </is>
      </c>
      <c r="D283" s="12" t="n">
        <v>0.375</v>
      </c>
      <c r="E283" s="12" t="n">
        <v>0.75</v>
      </c>
      <c r="F283" s="13" t="n">
        <v>60</v>
      </c>
      <c r="G283" s="14">
        <f>IF(OR(A283="",C283&lt;&gt;"労働日"),0,MAX(0,MOD(E283-D283,1)*24-F283/60))</f>
        <v>8</v>
      </c>
      <c r="H283" s="15">
        <f>IF(A283="","",INT((A283-$B$4)/7)+1)</f>
        <v>39</v>
      </c>
      <c r="I283" s="16">
        <f>IF(AND(A283&lt;&gt;"",C283="労働日"),I282+1,0)</f>
        <v>2</v>
      </c>
      <c r="J283" s="16">
        <f>IF(AND(A283&lt;&gt;"",ISNUMBER($B$7),ISNUMBER($B$8)),IF(AND(A283&gt;=$B$7,A283&lt;=$B$8),1,0),0)</f>
        <v>0</v>
      </c>
    </row>
    <row r="284">
      <c r="A284" s="9">
        <f>IF(ISNUMBER($B$4),IF(ISNUMBER($B$5),IF($B$4+272&lt;=$B$5,$B$4+272,""),""),"")</f>
        <v>46568</v>
      </c>
      <c r="B284" s="10" t="str">
        <f>IF(A284="","",CHOOSE(WEEKDAY(A284),"日","月","火","水","木","金","土"))</f>
        <v>水</v>
      </c>
      <c r="C284" s="11" t="inlineStr">
        <is>
          <t>労働日</t>
        </is>
      </c>
      <c r="D284" s="12" t="n">
        <v>0.375</v>
      </c>
      <c r="E284" s="12" t="n">
        <v>0.75</v>
      </c>
      <c r="F284" s="13" t="n">
        <v>60</v>
      </c>
      <c r="G284" s="14">
        <f>IF(OR(A284="",C284&lt;&gt;"労働日"),0,MAX(0,MOD(E284-D284,1)*24-F284/60))</f>
        <v>8</v>
      </c>
      <c r="H284" s="15">
        <f>IF(A284="","",INT((A284-$B$4)/7)+1)</f>
        <v>39</v>
      </c>
      <c r="I284" s="16">
        <f>IF(AND(A284&lt;&gt;"",C284="労働日"),I283+1,0)</f>
        <v>3</v>
      </c>
      <c r="J284" s="16">
        <f>IF(AND(A284&lt;&gt;"",ISNUMBER($B$7),ISNUMBER($B$8)),IF(AND(A284&gt;=$B$7,A284&lt;=$B$8),1,0),0)</f>
        <v>0</v>
      </c>
    </row>
    <row r="285">
      <c r="A285" s="9">
        <f>IF(ISNUMBER($B$4),IF(ISNUMBER($B$5),IF($B$4+273&lt;=$B$5,$B$4+273,""),""),"")</f>
        <v>46569</v>
      </c>
      <c r="B285" s="10" t="str">
        <f>IF(A285="","",CHOOSE(WEEKDAY(A285),"日","月","火","水","木","金","土"))</f>
        <v>木</v>
      </c>
      <c r="C285" s="11" t="inlineStr">
        <is>
          <t>労働日</t>
        </is>
      </c>
      <c r="D285" s="12" t="n">
        <v>0.375</v>
      </c>
      <c r="E285" s="12" t="n">
        <v>0.75</v>
      </c>
      <c r="F285" s="13" t="n">
        <v>60</v>
      </c>
      <c r="G285" s="14">
        <f>IF(OR(A285="",C285&lt;&gt;"労働日"),0,MAX(0,MOD(E285-D285,1)*24-F285/60))</f>
        <v>8</v>
      </c>
      <c r="H285" s="15">
        <f>IF(A285="","",INT((A285-$B$4)/7)+1)</f>
        <v>40</v>
      </c>
      <c r="I285" s="16">
        <f>IF(AND(A285&lt;&gt;"",C285="労働日"),I284+1,0)</f>
        <v>4</v>
      </c>
      <c r="J285" s="16">
        <f>IF(AND(A285&lt;&gt;"",ISNUMBER($B$7),ISNUMBER($B$8)),IF(AND(A285&gt;=$B$7,A285&lt;=$B$8),1,0),0)</f>
        <v>0</v>
      </c>
    </row>
    <row r="286">
      <c r="A286" s="9">
        <f>IF(ISNUMBER($B$4),IF(ISNUMBER($B$5),IF($B$4+274&lt;=$B$5,$B$4+274,""),""),"")</f>
        <v>46570</v>
      </c>
      <c r="B286" s="10" t="str">
        <f>IF(A286="","",CHOOSE(WEEKDAY(A286),"日","月","火","水","木","金","土"))</f>
        <v>金</v>
      </c>
      <c r="C286" s="11" t="inlineStr">
        <is>
          <t>労働日</t>
        </is>
      </c>
      <c r="D286" s="12" t="n">
        <v>0.375</v>
      </c>
      <c r="E286" s="12" t="n">
        <v>0.75</v>
      </c>
      <c r="F286" s="13" t="n">
        <v>60</v>
      </c>
      <c r="G286" s="14">
        <f>IF(OR(A286="",C286&lt;&gt;"労働日"),0,MAX(0,MOD(E286-D286,1)*24-F286/60))</f>
        <v>8</v>
      </c>
      <c r="H286" s="15">
        <f>IF(A286="","",INT((A286-$B$4)/7)+1)</f>
        <v>40</v>
      </c>
      <c r="I286" s="16">
        <f>IF(AND(A286&lt;&gt;"",C286="労働日"),I285+1,0)</f>
        <v>5</v>
      </c>
      <c r="J286" s="16">
        <f>IF(AND(A286&lt;&gt;"",ISNUMBER($B$7),ISNUMBER($B$8)),IF(AND(A286&gt;=$B$7,A286&lt;=$B$8),1,0),0)</f>
        <v>0</v>
      </c>
    </row>
    <row r="287">
      <c r="A287" s="9">
        <f>IF(ISNUMBER($B$4),IF(ISNUMBER($B$5),IF($B$4+275&lt;=$B$5,$B$4+275,""),""),"")</f>
        <v>46571</v>
      </c>
      <c r="B287" s="10" t="str">
        <f>IF(A287="","",CHOOSE(WEEKDAY(A287),"日","月","火","水","木","金","土"))</f>
        <v>土</v>
      </c>
      <c r="C287" s="11" t="inlineStr">
        <is>
          <t>休日</t>
        </is>
      </c>
      <c r="D287" s="12" t="n"/>
      <c r="E287" s="12" t="n"/>
      <c r="F287" s="13" t="n"/>
      <c r="G287" s="14">
        <f>IF(OR(A287="",C287&lt;&gt;"労働日"),0,MAX(0,MOD(E287-D287,1)*24-F287/60))</f>
        <v>0</v>
      </c>
      <c r="H287" s="15">
        <f>IF(A287="","",INT((A287-$B$4)/7)+1)</f>
        <v>40</v>
      </c>
      <c r="I287" s="16">
        <f>IF(AND(A287&lt;&gt;"",C287="労働日"),I286+1,0)</f>
        <v>0</v>
      </c>
      <c r="J287" s="16">
        <f>IF(AND(A287&lt;&gt;"",ISNUMBER($B$7),ISNUMBER($B$8)),IF(AND(A287&gt;=$B$7,A287&lt;=$B$8),1,0),0)</f>
        <v>0</v>
      </c>
    </row>
    <row r="288">
      <c r="A288" s="9">
        <f>IF(ISNUMBER($B$4),IF(ISNUMBER($B$5),IF($B$4+276&lt;=$B$5,$B$4+276,""),""),"")</f>
        <v>46572</v>
      </c>
      <c r="B288" s="10" t="str">
        <f>IF(A288="","",CHOOSE(WEEKDAY(A288),"日","月","火","水","木","金","土"))</f>
        <v>日</v>
      </c>
      <c r="C288" s="11" t="inlineStr">
        <is>
          <t>休日</t>
        </is>
      </c>
      <c r="D288" s="12" t="n"/>
      <c r="E288" s="12" t="n"/>
      <c r="F288" s="13" t="n"/>
      <c r="G288" s="14">
        <f>IF(OR(A288="",C288&lt;&gt;"労働日"),0,MAX(0,MOD(E288-D288,1)*24-F288/60))</f>
        <v>0</v>
      </c>
      <c r="H288" s="15">
        <f>IF(A288="","",INT((A288-$B$4)/7)+1)</f>
        <v>40</v>
      </c>
      <c r="I288" s="16">
        <f>IF(AND(A288&lt;&gt;"",C288="労働日"),I287+1,0)</f>
        <v>0</v>
      </c>
      <c r="J288" s="16">
        <f>IF(AND(A288&lt;&gt;"",ISNUMBER($B$7),ISNUMBER($B$8)),IF(AND(A288&gt;=$B$7,A288&lt;=$B$8),1,0),0)</f>
        <v>0</v>
      </c>
    </row>
    <row r="289">
      <c r="A289" s="9">
        <f>IF(ISNUMBER($B$4),IF(ISNUMBER($B$5),IF($B$4+277&lt;=$B$5,$B$4+277,""),""),"")</f>
        <v>46573</v>
      </c>
      <c r="B289" s="10" t="str">
        <f>IF(A289="","",CHOOSE(WEEKDAY(A289),"日","月","火","水","木","金","土"))</f>
        <v>月</v>
      </c>
      <c r="C289" s="11" t="inlineStr">
        <is>
          <t>労働日</t>
        </is>
      </c>
      <c r="D289" s="12" t="n">
        <v>0.375</v>
      </c>
      <c r="E289" s="12" t="n">
        <v>0.75</v>
      </c>
      <c r="F289" s="13" t="n">
        <v>60</v>
      </c>
      <c r="G289" s="14">
        <f>IF(OR(A289="",C289&lt;&gt;"労働日"),0,MAX(0,MOD(E289-D289,1)*24-F289/60))</f>
        <v>8</v>
      </c>
      <c r="H289" s="15">
        <f>IF(A289="","",INT((A289-$B$4)/7)+1)</f>
        <v>40</v>
      </c>
      <c r="I289" s="16">
        <f>IF(AND(A289&lt;&gt;"",C289="労働日"),I288+1,0)</f>
        <v>1</v>
      </c>
      <c r="J289" s="16">
        <f>IF(AND(A289&lt;&gt;"",ISNUMBER($B$7),ISNUMBER($B$8)),IF(AND(A289&gt;=$B$7,A289&lt;=$B$8),1,0),0)</f>
        <v>0</v>
      </c>
    </row>
    <row r="290">
      <c r="A290" s="9">
        <f>IF(ISNUMBER($B$4),IF(ISNUMBER($B$5),IF($B$4+278&lt;=$B$5,$B$4+278,""),""),"")</f>
        <v>46574</v>
      </c>
      <c r="B290" s="10" t="str">
        <f>IF(A290="","",CHOOSE(WEEKDAY(A290),"日","月","火","水","木","金","土"))</f>
        <v>火</v>
      </c>
      <c r="C290" s="11" t="inlineStr">
        <is>
          <t>労働日</t>
        </is>
      </c>
      <c r="D290" s="12" t="n">
        <v>0.375</v>
      </c>
      <c r="E290" s="12" t="n">
        <v>0.75</v>
      </c>
      <c r="F290" s="13" t="n">
        <v>60</v>
      </c>
      <c r="G290" s="14">
        <f>IF(OR(A290="",C290&lt;&gt;"労働日"),0,MAX(0,MOD(E290-D290,1)*24-F290/60))</f>
        <v>8</v>
      </c>
      <c r="H290" s="15">
        <f>IF(A290="","",INT((A290-$B$4)/7)+1)</f>
        <v>40</v>
      </c>
      <c r="I290" s="16">
        <f>IF(AND(A290&lt;&gt;"",C290="労働日"),I289+1,0)</f>
        <v>2</v>
      </c>
      <c r="J290" s="16">
        <f>IF(AND(A290&lt;&gt;"",ISNUMBER($B$7),ISNUMBER($B$8)),IF(AND(A290&gt;=$B$7,A290&lt;=$B$8),1,0),0)</f>
        <v>0</v>
      </c>
    </row>
    <row r="291">
      <c r="A291" s="9">
        <f>IF(ISNUMBER($B$4),IF(ISNUMBER($B$5),IF($B$4+279&lt;=$B$5,$B$4+279,""),""),"")</f>
        <v>46575</v>
      </c>
      <c r="B291" s="10" t="str">
        <f>IF(A291="","",CHOOSE(WEEKDAY(A291),"日","月","火","水","木","金","土"))</f>
        <v>水</v>
      </c>
      <c r="C291" s="11" t="inlineStr">
        <is>
          <t>労働日</t>
        </is>
      </c>
      <c r="D291" s="12" t="n">
        <v>0.375</v>
      </c>
      <c r="E291" s="12" t="n">
        <v>0.75</v>
      </c>
      <c r="F291" s="13" t="n">
        <v>60</v>
      </c>
      <c r="G291" s="14">
        <f>IF(OR(A291="",C291&lt;&gt;"労働日"),0,MAX(0,MOD(E291-D291,1)*24-F291/60))</f>
        <v>8</v>
      </c>
      <c r="H291" s="15">
        <f>IF(A291="","",INT((A291-$B$4)/7)+1)</f>
        <v>40</v>
      </c>
      <c r="I291" s="16">
        <f>IF(AND(A291&lt;&gt;"",C291="労働日"),I290+1,0)</f>
        <v>3</v>
      </c>
      <c r="J291" s="16">
        <f>IF(AND(A291&lt;&gt;"",ISNUMBER($B$7),ISNUMBER($B$8)),IF(AND(A291&gt;=$B$7,A291&lt;=$B$8),1,0),0)</f>
        <v>0</v>
      </c>
    </row>
    <row r="292">
      <c r="A292" s="9">
        <f>IF(ISNUMBER($B$4),IF(ISNUMBER($B$5),IF($B$4+280&lt;=$B$5,$B$4+280,""),""),"")</f>
        <v>46576</v>
      </c>
      <c r="B292" s="10" t="str">
        <f>IF(A292="","",CHOOSE(WEEKDAY(A292),"日","月","火","水","木","金","土"))</f>
        <v>木</v>
      </c>
      <c r="C292" s="11" t="inlineStr">
        <is>
          <t>労働日</t>
        </is>
      </c>
      <c r="D292" s="12" t="n">
        <v>0.375</v>
      </c>
      <c r="E292" s="12" t="n">
        <v>0.75</v>
      </c>
      <c r="F292" s="13" t="n">
        <v>60</v>
      </c>
      <c r="G292" s="14">
        <f>IF(OR(A292="",C292&lt;&gt;"労働日"),0,MAX(0,MOD(E292-D292,1)*24-F292/60))</f>
        <v>8</v>
      </c>
      <c r="H292" s="15">
        <f>IF(A292="","",INT((A292-$B$4)/7)+1)</f>
        <v>41</v>
      </c>
      <c r="I292" s="16">
        <f>IF(AND(A292&lt;&gt;"",C292="労働日"),I291+1,0)</f>
        <v>4</v>
      </c>
      <c r="J292" s="16">
        <f>IF(AND(A292&lt;&gt;"",ISNUMBER($B$7),ISNUMBER($B$8)),IF(AND(A292&gt;=$B$7,A292&lt;=$B$8),1,0),0)</f>
        <v>0</v>
      </c>
    </row>
    <row r="293">
      <c r="A293" s="9">
        <f>IF(ISNUMBER($B$4),IF(ISNUMBER($B$5),IF($B$4+281&lt;=$B$5,$B$4+281,""),""),"")</f>
        <v>46577</v>
      </c>
      <c r="B293" s="10" t="str">
        <f>IF(A293="","",CHOOSE(WEEKDAY(A293),"日","月","火","水","木","金","土"))</f>
        <v>金</v>
      </c>
      <c r="C293" s="11" t="inlineStr">
        <is>
          <t>労働日</t>
        </is>
      </c>
      <c r="D293" s="12" t="n">
        <v>0.375</v>
      </c>
      <c r="E293" s="12" t="n">
        <v>0.75</v>
      </c>
      <c r="F293" s="13" t="n">
        <v>60</v>
      </c>
      <c r="G293" s="14">
        <f>IF(OR(A293="",C293&lt;&gt;"労働日"),0,MAX(0,MOD(E293-D293,1)*24-F293/60))</f>
        <v>8</v>
      </c>
      <c r="H293" s="15">
        <f>IF(A293="","",INT((A293-$B$4)/7)+1)</f>
        <v>41</v>
      </c>
      <c r="I293" s="16">
        <f>IF(AND(A293&lt;&gt;"",C293="労働日"),I292+1,0)</f>
        <v>5</v>
      </c>
      <c r="J293" s="16">
        <f>IF(AND(A293&lt;&gt;"",ISNUMBER($B$7),ISNUMBER($B$8)),IF(AND(A293&gt;=$B$7,A293&lt;=$B$8),1,0),0)</f>
        <v>0</v>
      </c>
    </row>
    <row r="294">
      <c r="A294" s="9">
        <f>IF(ISNUMBER($B$4),IF(ISNUMBER($B$5),IF($B$4+282&lt;=$B$5,$B$4+282,""),""),"")</f>
        <v>46578</v>
      </c>
      <c r="B294" s="10" t="str">
        <f>IF(A294="","",CHOOSE(WEEKDAY(A294),"日","月","火","水","木","金","土"))</f>
        <v>土</v>
      </c>
      <c r="C294" s="11" t="inlineStr">
        <is>
          <t>休日</t>
        </is>
      </c>
      <c r="D294" s="12" t="n"/>
      <c r="E294" s="12" t="n"/>
      <c r="F294" s="13" t="n"/>
      <c r="G294" s="14">
        <f>IF(OR(A294="",C294&lt;&gt;"労働日"),0,MAX(0,MOD(E294-D294,1)*24-F294/60))</f>
        <v>0</v>
      </c>
      <c r="H294" s="15">
        <f>IF(A294="","",INT((A294-$B$4)/7)+1)</f>
        <v>41</v>
      </c>
      <c r="I294" s="16">
        <f>IF(AND(A294&lt;&gt;"",C294="労働日"),I293+1,0)</f>
        <v>0</v>
      </c>
      <c r="J294" s="16">
        <f>IF(AND(A294&lt;&gt;"",ISNUMBER($B$7),ISNUMBER($B$8)),IF(AND(A294&gt;=$B$7,A294&lt;=$B$8),1,0),0)</f>
        <v>0</v>
      </c>
    </row>
    <row r="295">
      <c r="A295" s="9">
        <f>IF(ISNUMBER($B$4),IF(ISNUMBER($B$5),IF($B$4+283&lt;=$B$5,$B$4+283,""),""),"")</f>
        <v>46579</v>
      </c>
      <c r="B295" s="10" t="str">
        <f>IF(A295="","",CHOOSE(WEEKDAY(A295),"日","月","火","水","木","金","土"))</f>
        <v>日</v>
      </c>
      <c r="C295" s="11" t="inlineStr">
        <is>
          <t>休日</t>
        </is>
      </c>
      <c r="D295" s="12" t="n"/>
      <c r="E295" s="12" t="n"/>
      <c r="F295" s="13" t="n"/>
      <c r="G295" s="14">
        <f>IF(OR(A295="",C295&lt;&gt;"労働日"),0,MAX(0,MOD(E295-D295,1)*24-F295/60))</f>
        <v>0</v>
      </c>
      <c r="H295" s="15">
        <f>IF(A295="","",INT((A295-$B$4)/7)+1)</f>
        <v>41</v>
      </c>
      <c r="I295" s="16">
        <f>IF(AND(A295&lt;&gt;"",C295="労働日"),I294+1,0)</f>
        <v>0</v>
      </c>
      <c r="J295" s="16">
        <f>IF(AND(A295&lt;&gt;"",ISNUMBER($B$7),ISNUMBER($B$8)),IF(AND(A295&gt;=$B$7,A295&lt;=$B$8),1,0),0)</f>
        <v>0</v>
      </c>
    </row>
    <row r="296">
      <c r="A296" s="9">
        <f>IF(ISNUMBER($B$4),IF(ISNUMBER($B$5),IF($B$4+284&lt;=$B$5,$B$4+284,""),""),"")</f>
        <v>46580</v>
      </c>
      <c r="B296" s="10" t="str">
        <f>IF(A296="","",CHOOSE(WEEKDAY(A296),"日","月","火","水","木","金","土"))</f>
        <v>月</v>
      </c>
      <c r="C296" s="11" t="inlineStr">
        <is>
          <t>労働日</t>
        </is>
      </c>
      <c r="D296" s="12" t="n">
        <v>0.375</v>
      </c>
      <c r="E296" s="12" t="n">
        <v>0.75</v>
      </c>
      <c r="F296" s="13" t="n">
        <v>60</v>
      </c>
      <c r="G296" s="14">
        <f>IF(OR(A296="",C296&lt;&gt;"労働日"),0,MAX(0,MOD(E296-D296,1)*24-F296/60))</f>
        <v>8</v>
      </c>
      <c r="H296" s="15">
        <f>IF(A296="","",INT((A296-$B$4)/7)+1)</f>
        <v>41</v>
      </c>
      <c r="I296" s="16">
        <f>IF(AND(A296&lt;&gt;"",C296="労働日"),I295+1,0)</f>
        <v>1</v>
      </c>
      <c r="J296" s="16">
        <f>IF(AND(A296&lt;&gt;"",ISNUMBER($B$7),ISNUMBER($B$8)),IF(AND(A296&gt;=$B$7,A296&lt;=$B$8),1,0),0)</f>
        <v>0</v>
      </c>
    </row>
    <row r="297">
      <c r="A297" s="9">
        <f>IF(ISNUMBER($B$4),IF(ISNUMBER($B$5),IF($B$4+285&lt;=$B$5,$B$4+285,""),""),"")</f>
        <v>46581</v>
      </c>
      <c r="B297" s="10" t="str">
        <f>IF(A297="","",CHOOSE(WEEKDAY(A297),"日","月","火","水","木","金","土"))</f>
        <v>火</v>
      </c>
      <c r="C297" s="11" t="inlineStr">
        <is>
          <t>労働日</t>
        </is>
      </c>
      <c r="D297" s="12" t="n">
        <v>0.375</v>
      </c>
      <c r="E297" s="12" t="n">
        <v>0.75</v>
      </c>
      <c r="F297" s="13" t="n">
        <v>60</v>
      </c>
      <c r="G297" s="14">
        <f>IF(OR(A297="",C297&lt;&gt;"労働日"),0,MAX(0,MOD(E297-D297,1)*24-F297/60))</f>
        <v>8</v>
      </c>
      <c r="H297" s="15">
        <f>IF(A297="","",INT((A297-$B$4)/7)+1)</f>
        <v>41</v>
      </c>
      <c r="I297" s="16">
        <f>IF(AND(A297&lt;&gt;"",C297="労働日"),I296+1,0)</f>
        <v>2</v>
      </c>
      <c r="J297" s="16">
        <f>IF(AND(A297&lt;&gt;"",ISNUMBER($B$7),ISNUMBER($B$8)),IF(AND(A297&gt;=$B$7,A297&lt;=$B$8),1,0),0)</f>
        <v>0</v>
      </c>
    </row>
    <row r="298">
      <c r="A298" s="9">
        <f>IF(ISNUMBER($B$4),IF(ISNUMBER($B$5),IF($B$4+286&lt;=$B$5,$B$4+286,""),""),"")</f>
        <v>46582</v>
      </c>
      <c r="B298" s="10" t="str">
        <f>IF(A298="","",CHOOSE(WEEKDAY(A298),"日","月","火","水","木","金","土"))</f>
        <v>水</v>
      </c>
      <c r="C298" s="11" t="inlineStr">
        <is>
          <t>労働日</t>
        </is>
      </c>
      <c r="D298" s="12" t="n">
        <v>0.375</v>
      </c>
      <c r="E298" s="12" t="n">
        <v>0.75</v>
      </c>
      <c r="F298" s="13" t="n">
        <v>60</v>
      </c>
      <c r="G298" s="14">
        <f>IF(OR(A298="",C298&lt;&gt;"労働日"),0,MAX(0,MOD(E298-D298,1)*24-F298/60))</f>
        <v>8</v>
      </c>
      <c r="H298" s="15">
        <f>IF(A298="","",INT((A298-$B$4)/7)+1)</f>
        <v>41</v>
      </c>
      <c r="I298" s="16">
        <f>IF(AND(A298&lt;&gt;"",C298="労働日"),I297+1,0)</f>
        <v>3</v>
      </c>
      <c r="J298" s="16">
        <f>IF(AND(A298&lt;&gt;"",ISNUMBER($B$7),ISNUMBER($B$8)),IF(AND(A298&gt;=$B$7,A298&lt;=$B$8),1,0),0)</f>
        <v>0</v>
      </c>
    </row>
    <row r="299">
      <c r="A299" s="9">
        <f>IF(ISNUMBER($B$4),IF(ISNUMBER($B$5),IF($B$4+287&lt;=$B$5,$B$4+287,""),""),"")</f>
        <v>46583</v>
      </c>
      <c r="B299" s="10" t="str">
        <f>IF(A299="","",CHOOSE(WEEKDAY(A299),"日","月","火","水","木","金","土"))</f>
        <v>木</v>
      </c>
      <c r="C299" s="11" t="inlineStr">
        <is>
          <t>労働日</t>
        </is>
      </c>
      <c r="D299" s="12" t="n">
        <v>0.375</v>
      </c>
      <c r="E299" s="12" t="n">
        <v>0.75</v>
      </c>
      <c r="F299" s="13" t="n">
        <v>60</v>
      </c>
      <c r="G299" s="14">
        <f>IF(OR(A299="",C299&lt;&gt;"労働日"),0,MAX(0,MOD(E299-D299,1)*24-F299/60))</f>
        <v>8</v>
      </c>
      <c r="H299" s="15">
        <f>IF(A299="","",INT((A299-$B$4)/7)+1)</f>
        <v>42</v>
      </c>
      <c r="I299" s="16">
        <f>IF(AND(A299&lt;&gt;"",C299="労働日"),I298+1,0)</f>
        <v>4</v>
      </c>
      <c r="J299" s="16">
        <f>IF(AND(A299&lt;&gt;"",ISNUMBER($B$7),ISNUMBER($B$8)),IF(AND(A299&gt;=$B$7,A299&lt;=$B$8),1,0),0)</f>
        <v>0</v>
      </c>
    </row>
    <row r="300">
      <c r="A300" s="9">
        <f>IF(ISNUMBER($B$4),IF(ISNUMBER($B$5),IF($B$4+288&lt;=$B$5,$B$4+288,""),""),"")</f>
        <v>46584</v>
      </c>
      <c r="B300" s="10" t="str">
        <f>IF(A300="","",CHOOSE(WEEKDAY(A300),"日","月","火","水","木","金","土"))</f>
        <v>金</v>
      </c>
      <c r="C300" s="11" t="inlineStr">
        <is>
          <t>労働日</t>
        </is>
      </c>
      <c r="D300" s="12" t="n">
        <v>0.375</v>
      </c>
      <c r="E300" s="12" t="n">
        <v>0.75</v>
      </c>
      <c r="F300" s="13" t="n">
        <v>60</v>
      </c>
      <c r="G300" s="14">
        <f>IF(OR(A300="",C300&lt;&gt;"労働日"),0,MAX(0,MOD(E300-D300,1)*24-F300/60))</f>
        <v>8</v>
      </c>
      <c r="H300" s="15">
        <f>IF(A300="","",INT((A300-$B$4)/7)+1)</f>
        <v>42</v>
      </c>
      <c r="I300" s="16">
        <f>IF(AND(A300&lt;&gt;"",C300="労働日"),I299+1,0)</f>
        <v>5</v>
      </c>
      <c r="J300" s="16">
        <f>IF(AND(A300&lt;&gt;"",ISNUMBER($B$7),ISNUMBER($B$8)),IF(AND(A300&gt;=$B$7,A300&lt;=$B$8),1,0),0)</f>
        <v>0</v>
      </c>
    </row>
    <row r="301">
      <c r="A301" s="9">
        <f>IF(ISNUMBER($B$4),IF(ISNUMBER($B$5),IF($B$4+289&lt;=$B$5,$B$4+289,""),""),"")</f>
        <v>46585</v>
      </c>
      <c r="B301" s="10" t="str">
        <f>IF(A301="","",CHOOSE(WEEKDAY(A301),"日","月","火","水","木","金","土"))</f>
        <v>土</v>
      </c>
      <c r="C301" s="11" t="inlineStr">
        <is>
          <t>休日</t>
        </is>
      </c>
      <c r="D301" s="12" t="n"/>
      <c r="E301" s="12" t="n"/>
      <c r="F301" s="13" t="n"/>
      <c r="G301" s="14">
        <f>IF(OR(A301="",C301&lt;&gt;"労働日"),0,MAX(0,MOD(E301-D301,1)*24-F301/60))</f>
        <v>0</v>
      </c>
      <c r="H301" s="15">
        <f>IF(A301="","",INT((A301-$B$4)/7)+1)</f>
        <v>42</v>
      </c>
      <c r="I301" s="16">
        <f>IF(AND(A301&lt;&gt;"",C301="労働日"),I300+1,0)</f>
        <v>0</v>
      </c>
      <c r="J301" s="16">
        <f>IF(AND(A301&lt;&gt;"",ISNUMBER($B$7),ISNUMBER($B$8)),IF(AND(A301&gt;=$B$7,A301&lt;=$B$8),1,0),0)</f>
        <v>0</v>
      </c>
    </row>
    <row r="302">
      <c r="A302" s="9">
        <f>IF(ISNUMBER($B$4),IF(ISNUMBER($B$5),IF($B$4+290&lt;=$B$5,$B$4+290,""),""),"")</f>
        <v>46586</v>
      </c>
      <c r="B302" s="10" t="str">
        <f>IF(A302="","",CHOOSE(WEEKDAY(A302),"日","月","火","水","木","金","土"))</f>
        <v>日</v>
      </c>
      <c r="C302" s="11" t="inlineStr">
        <is>
          <t>休日</t>
        </is>
      </c>
      <c r="D302" s="12" t="n"/>
      <c r="E302" s="12" t="n"/>
      <c r="F302" s="13" t="n"/>
      <c r="G302" s="14">
        <f>IF(OR(A302="",C302&lt;&gt;"労働日"),0,MAX(0,MOD(E302-D302,1)*24-F302/60))</f>
        <v>0</v>
      </c>
      <c r="H302" s="15">
        <f>IF(A302="","",INT((A302-$B$4)/7)+1)</f>
        <v>42</v>
      </c>
      <c r="I302" s="16">
        <f>IF(AND(A302&lt;&gt;"",C302="労働日"),I301+1,0)</f>
        <v>0</v>
      </c>
      <c r="J302" s="16">
        <f>IF(AND(A302&lt;&gt;"",ISNUMBER($B$7),ISNUMBER($B$8)),IF(AND(A302&gt;=$B$7,A302&lt;=$B$8),1,0),0)</f>
        <v>0</v>
      </c>
    </row>
    <row r="303">
      <c r="A303" s="9">
        <f>IF(ISNUMBER($B$4),IF(ISNUMBER($B$5),IF($B$4+291&lt;=$B$5,$B$4+291,""),""),"")</f>
        <v>46587</v>
      </c>
      <c r="B303" s="10" t="str">
        <f>IF(A303="","",CHOOSE(WEEKDAY(A303),"日","月","火","水","木","金","土"))</f>
        <v>月</v>
      </c>
      <c r="C303" s="11" t="inlineStr">
        <is>
          <t>労働日</t>
        </is>
      </c>
      <c r="D303" s="12" t="n">
        <v>0.375</v>
      </c>
      <c r="E303" s="12" t="n">
        <v>0.75</v>
      </c>
      <c r="F303" s="13" t="n">
        <v>60</v>
      </c>
      <c r="G303" s="14">
        <f>IF(OR(A303="",C303&lt;&gt;"労働日"),0,MAX(0,MOD(E303-D303,1)*24-F303/60))</f>
        <v>8</v>
      </c>
      <c r="H303" s="15">
        <f>IF(A303="","",INT((A303-$B$4)/7)+1)</f>
        <v>42</v>
      </c>
      <c r="I303" s="16">
        <f>IF(AND(A303&lt;&gt;"",C303="労働日"),I302+1,0)</f>
        <v>1</v>
      </c>
      <c r="J303" s="16">
        <f>IF(AND(A303&lt;&gt;"",ISNUMBER($B$7),ISNUMBER($B$8)),IF(AND(A303&gt;=$B$7,A303&lt;=$B$8),1,0),0)</f>
        <v>0</v>
      </c>
    </row>
    <row r="304">
      <c r="A304" s="9">
        <f>IF(ISNUMBER($B$4),IF(ISNUMBER($B$5),IF($B$4+292&lt;=$B$5,$B$4+292,""),""),"")</f>
        <v>46588</v>
      </c>
      <c r="B304" s="10" t="str">
        <f>IF(A304="","",CHOOSE(WEEKDAY(A304),"日","月","火","水","木","金","土"))</f>
        <v>火</v>
      </c>
      <c r="C304" s="11" t="inlineStr">
        <is>
          <t>労働日</t>
        </is>
      </c>
      <c r="D304" s="12" t="n">
        <v>0.375</v>
      </c>
      <c r="E304" s="12" t="n">
        <v>0.75</v>
      </c>
      <c r="F304" s="13" t="n">
        <v>60</v>
      </c>
      <c r="G304" s="14">
        <f>IF(OR(A304="",C304&lt;&gt;"労働日"),0,MAX(0,MOD(E304-D304,1)*24-F304/60))</f>
        <v>8</v>
      </c>
      <c r="H304" s="15">
        <f>IF(A304="","",INT((A304-$B$4)/7)+1)</f>
        <v>42</v>
      </c>
      <c r="I304" s="16">
        <f>IF(AND(A304&lt;&gt;"",C304="労働日"),I303+1,0)</f>
        <v>2</v>
      </c>
      <c r="J304" s="16">
        <f>IF(AND(A304&lt;&gt;"",ISNUMBER($B$7),ISNUMBER($B$8)),IF(AND(A304&gt;=$B$7,A304&lt;=$B$8),1,0),0)</f>
        <v>0</v>
      </c>
    </row>
    <row r="305">
      <c r="A305" s="9">
        <f>IF(ISNUMBER($B$4),IF(ISNUMBER($B$5),IF($B$4+293&lt;=$B$5,$B$4+293,""),""),"")</f>
        <v>46589</v>
      </c>
      <c r="B305" s="10" t="str">
        <f>IF(A305="","",CHOOSE(WEEKDAY(A305),"日","月","火","水","木","金","土"))</f>
        <v>水</v>
      </c>
      <c r="C305" s="11" t="inlineStr">
        <is>
          <t>労働日</t>
        </is>
      </c>
      <c r="D305" s="12" t="n">
        <v>0.375</v>
      </c>
      <c r="E305" s="12" t="n">
        <v>0.75</v>
      </c>
      <c r="F305" s="13" t="n">
        <v>60</v>
      </c>
      <c r="G305" s="14">
        <f>IF(OR(A305="",C305&lt;&gt;"労働日"),0,MAX(0,MOD(E305-D305,1)*24-F305/60))</f>
        <v>8</v>
      </c>
      <c r="H305" s="15">
        <f>IF(A305="","",INT((A305-$B$4)/7)+1)</f>
        <v>42</v>
      </c>
      <c r="I305" s="16">
        <f>IF(AND(A305&lt;&gt;"",C305="労働日"),I304+1,0)</f>
        <v>3</v>
      </c>
      <c r="J305" s="16">
        <f>IF(AND(A305&lt;&gt;"",ISNUMBER($B$7),ISNUMBER($B$8)),IF(AND(A305&gt;=$B$7,A305&lt;=$B$8),1,0),0)</f>
        <v>0</v>
      </c>
    </row>
    <row r="306">
      <c r="A306" s="9">
        <f>IF(ISNUMBER($B$4),IF(ISNUMBER($B$5),IF($B$4+294&lt;=$B$5,$B$4+294,""),""),"")</f>
        <v>46590</v>
      </c>
      <c r="B306" s="10" t="str">
        <f>IF(A306="","",CHOOSE(WEEKDAY(A306),"日","月","火","水","木","金","土"))</f>
        <v>木</v>
      </c>
      <c r="C306" s="11" t="inlineStr">
        <is>
          <t>労働日</t>
        </is>
      </c>
      <c r="D306" s="12" t="n">
        <v>0.375</v>
      </c>
      <c r="E306" s="12" t="n">
        <v>0.75</v>
      </c>
      <c r="F306" s="13" t="n">
        <v>60</v>
      </c>
      <c r="G306" s="14">
        <f>IF(OR(A306="",C306&lt;&gt;"労働日"),0,MAX(0,MOD(E306-D306,1)*24-F306/60))</f>
        <v>8</v>
      </c>
      <c r="H306" s="15">
        <f>IF(A306="","",INT((A306-$B$4)/7)+1)</f>
        <v>43</v>
      </c>
      <c r="I306" s="16">
        <f>IF(AND(A306&lt;&gt;"",C306="労働日"),I305+1,0)</f>
        <v>4</v>
      </c>
      <c r="J306" s="16">
        <f>IF(AND(A306&lt;&gt;"",ISNUMBER($B$7),ISNUMBER($B$8)),IF(AND(A306&gt;=$B$7,A306&lt;=$B$8),1,0),0)</f>
        <v>0</v>
      </c>
    </row>
    <row r="307">
      <c r="A307" s="9">
        <f>IF(ISNUMBER($B$4),IF(ISNUMBER($B$5),IF($B$4+295&lt;=$B$5,$B$4+295,""),""),"")</f>
        <v>46591</v>
      </c>
      <c r="B307" s="10" t="str">
        <f>IF(A307="","",CHOOSE(WEEKDAY(A307),"日","月","火","水","木","金","土"))</f>
        <v>金</v>
      </c>
      <c r="C307" s="11" t="inlineStr">
        <is>
          <t>労働日</t>
        </is>
      </c>
      <c r="D307" s="12" t="n">
        <v>0.375</v>
      </c>
      <c r="E307" s="12" t="n">
        <v>0.75</v>
      </c>
      <c r="F307" s="13" t="n">
        <v>60</v>
      </c>
      <c r="G307" s="14">
        <f>IF(OR(A307="",C307&lt;&gt;"労働日"),0,MAX(0,MOD(E307-D307,1)*24-F307/60))</f>
        <v>8</v>
      </c>
      <c r="H307" s="15">
        <f>IF(A307="","",INT((A307-$B$4)/7)+1)</f>
        <v>43</v>
      </c>
      <c r="I307" s="16">
        <f>IF(AND(A307&lt;&gt;"",C307="労働日"),I306+1,0)</f>
        <v>5</v>
      </c>
      <c r="J307" s="16">
        <f>IF(AND(A307&lt;&gt;"",ISNUMBER($B$7),ISNUMBER($B$8)),IF(AND(A307&gt;=$B$7,A307&lt;=$B$8),1,0),0)</f>
        <v>0</v>
      </c>
    </row>
    <row r="308">
      <c r="A308" s="9">
        <f>IF(ISNUMBER($B$4),IF(ISNUMBER($B$5),IF($B$4+296&lt;=$B$5,$B$4+296,""),""),"")</f>
        <v>46592</v>
      </c>
      <c r="B308" s="10" t="str">
        <f>IF(A308="","",CHOOSE(WEEKDAY(A308),"日","月","火","水","木","金","土"))</f>
        <v>土</v>
      </c>
      <c r="C308" s="11" t="inlineStr">
        <is>
          <t>休日</t>
        </is>
      </c>
      <c r="D308" s="12" t="n"/>
      <c r="E308" s="12" t="n"/>
      <c r="F308" s="13" t="n"/>
      <c r="G308" s="14">
        <f>IF(OR(A308="",C308&lt;&gt;"労働日"),0,MAX(0,MOD(E308-D308,1)*24-F308/60))</f>
        <v>0</v>
      </c>
      <c r="H308" s="15">
        <f>IF(A308="","",INT((A308-$B$4)/7)+1)</f>
        <v>43</v>
      </c>
      <c r="I308" s="16">
        <f>IF(AND(A308&lt;&gt;"",C308="労働日"),I307+1,0)</f>
        <v>0</v>
      </c>
      <c r="J308" s="16">
        <f>IF(AND(A308&lt;&gt;"",ISNUMBER($B$7),ISNUMBER($B$8)),IF(AND(A308&gt;=$B$7,A308&lt;=$B$8),1,0),0)</f>
        <v>0</v>
      </c>
    </row>
    <row r="309">
      <c r="A309" s="9">
        <f>IF(ISNUMBER($B$4),IF(ISNUMBER($B$5),IF($B$4+297&lt;=$B$5,$B$4+297,""),""),"")</f>
        <v>46593</v>
      </c>
      <c r="B309" s="10" t="str">
        <f>IF(A309="","",CHOOSE(WEEKDAY(A309),"日","月","火","水","木","金","土"))</f>
        <v>日</v>
      </c>
      <c r="C309" s="11" t="inlineStr">
        <is>
          <t>休日</t>
        </is>
      </c>
      <c r="D309" s="12" t="n"/>
      <c r="E309" s="12" t="n"/>
      <c r="F309" s="13" t="n"/>
      <c r="G309" s="14">
        <f>IF(OR(A309="",C309&lt;&gt;"労働日"),0,MAX(0,MOD(E309-D309,1)*24-F309/60))</f>
        <v>0</v>
      </c>
      <c r="H309" s="15">
        <f>IF(A309="","",INT((A309-$B$4)/7)+1)</f>
        <v>43</v>
      </c>
      <c r="I309" s="16">
        <f>IF(AND(A309&lt;&gt;"",C309="労働日"),I308+1,0)</f>
        <v>0</v>
      </c>
      <c r="J309" s="16">
        <f>IF(AND(A309&lt;&gt;"",ISNUMBER($B$7),ISNUMBER($B$8)),IF(AND(A309&gt;=$B$7,A309&lt;=$B$8),1,0),0)</f>
        <v>0</v>
      </c>
    </row>
    <row r="310">
      <c r="A310" s="9">
        <f>IF(ISNUMBER($B$4),IF(ISNUMBER($B$5),IF($B$4+298&lt;=$B$5,$B$4+298,""),""),"")</f>
        <v>46594</v>
      </c>
      <c r="B310" s="10" t="str">
        <f>IF(A310="","",CHOOSE(WEEKDAY(A310),"日","月","火","水","木","金","土"))</f>
        <v>月</v>
      </c>
      <c r="C310" s="11" t="inlineStr">
        <is>
          <t>労働日</t>
        </is>
      </c>
      <c r="D310" s="12" t="n">
        <v>0.375</v>
      </c>
      <c r="E310" s="12" t="n">
        <v>0.75</v>
      </c>
      <c r="F310" s="13" t="n">
        <v>60</v>
      </c>
      <c r="G310" s="14">
        <f>IF(OR(A310="",C310&lt;&gt;"労働日"),0,MAX(0,MOD(E310-D310,1)*24-F310/60))</f>
        <v>8</v>
      </c>
      <c r="H310" s="15">
        <f>IF(A310="","",INT((A310-$B$4)/7)+1)</f>
        <v>43</v>
      </c>
      <c r="I310" s="16">
        <f>IF(AND(A310&lt;&gt;"",C310="労働日"),I309+1,0)</f>
        <v>1</v>
      </c>
      <c r="J310" s="16">
        <f>IF(AND(A310&lt;&gt;"",ISNUMBER($B$7),ISNUMBER($B$8)),IF(AND(A310&gt;=$B$7,A310&lt;=$B$8),1,0),0)</f>
        <v>0</v>
      </c>
    </row>
    <row r="311">
      <c r="A311" s="9">
        <f>IF(ISNUMBER($B$4),IF(ISNUMBER($B$5),IF($B$4+299&lt;=$B$5,$B$4+299,""),""),"")</f>
        <v>46595</v>
      </c>
      <c r="B311" s="10" t="str">
        <f>IF(A311="","",CHOOSE(WEEKDAY(A311),"日","月","火","水","木","金","土"))</f>
        <v>火</v>
      </c>
      <c r="C311" s="11" t="inlineStr">
        <is>
          <t>労働日</t>
        </is>
      </c>
      <c r="D311" s="12" t="n">
        <v>0.375</v>
      </c>
      <c r="E311" s="12" t="n">
        <v>0.75</v>
      </c>
      <c r="F311" s="13" t="n">
        <v>60</v>
      </c>
      <c r="G311" s="14">
        <f>IF(OR(A311="",C311&lt;&gt;"労働日"),0,MAX(0,MOD(E311-D311,1)*24-F311/60))</f>
        <v>8</v>
      </c>
      <c r="H311" s="15">
        <f>IF(A311="","",INT((A311-$B$4)/7)+1)</f>
        <v>43</v>
      </c>
      <c r="I311" s="16">
        <f>IF(AND(A311&lt;&gt;"",C311="労働日"),I310+1,0)</f>
        <v>2</v>
      </c>
      <c r="J311" s="16">
        <f>IF(AND(A311&lt;&gt;"",ISNUMBER($B$7),ISNUMBER($B$8)),IF(AND(A311&gt;=$B$7,A311&lt;=$B$8),1,0),0)</f>
        <v>0</v>
      </c>
    </row>
    <row r="312">
      <c r="A312" s="9">
        <f>IF(ISNUMBER($B$4),IF(ISNUMBER($B$5),IF($B$4+300&lt;=$B$5,$B$4+300,""),""),"")</f>
        <v>46596</v>
      </c>
      <c r="B312" s="10" t="str">
        <f>IF(A312="","",CHOOSE(WEEKDAY(A312),"日","月","火","水","木","金","土"))</f>
        <v>水</v>
      </c>
      <c r="C312" s="11" t="inlineStr">
        <is>
          <t>労働日</t>
        </is>
      </c>
      <c r="D312" s="12" t="n">
        <v>0.375</v>
      </c>
      <c r="E312" s="12" t="n">
        <v>0.75</v>
      </c>
      <c r="F312" s="13" t="n">
        <v>60</v>
      </c>
      <c r="G312" s="14">
        <f>IF(OR(A312="",C312&lt;&gt;"労働日"),0,MAX(0,MOD(E312-D312,1)*24-F312/60))</f>
        <v>8</v>
      </c>
      <c r="H312" s="15">
        <f>IF(A312="","",INT((A312-$B$4)/7)+1)</f>
        <v>43</v>
      </c>
      <c r="I312" s="16">
        <f>IF(AND(A312&lt;&gt;"",C312="労働日"),I311+1,0)</f>
        <v>3</v>
      </c>
      <c r="J312" s="16">
        <f>IF(AND(A312&lt;&gt;"",ISNUMBER($B$7),ISNUMBER($B$8)),IF(AND(A312&gt;=$B$7,A312&lt;=$B$8),1,0),0)</f>
        <v>0</v>
      </c>
    </row>
    <row r="313">
      <c r="A313" s="9">
        <f>IF(ISNUMBER($B$4),IF(ISNUMBER($B$5),IF($B$4+301&lt;=$B$5,$B$4+301,""),""),"")</f>
        <v>46597</v>
      </c>
      <c r="B313" s="10" t="str">
        <f>IF(A313="","",CHOOSE(WEEKDAY(A313),"日","月","火","水","木","金","土"))</f>
        <v>木</v>
      </c>
      <c r="C313" s="11" t="inlineStr">
        <is>
          <t>労働日</t>
        </is>
      </c>
      <c r="D313" s="12" t="n">
        <v>0.375</v>
      </c>
      <c r="E313" s="12" t="n">
        <v>0.75</v>
      </c>
      <c r="F313" s="13" t="n">
        <v>60</v>
      </c>
      <c r="G313" s="14">
        <f>IF(OR(A313="",C313&lt;&gt;"労働日"),0,MAX(0,MOD(E313-D313,1)*24-F313/60))</f>
        <v>8</v>
      </c>
      <c r="H313" s="15">
        <f>IF(A313="","",INT((A313-$B$4)/7)+1)</f>
        <v>44</v>
      </c>
      <c r="I313" s="16">
        <f>IF(AND(A313&lt;&gt;"",C313="労働日"),I312+1,0)</f>
        <v>4</v>
      </c>
      <c r="J313" s="16">
        <f>IF(AND(A313&lt;&gt;"",ISNUMBER($B$7),ISNUMBER($B$8)),IF(AND(A313&gt;=$B$7,A313&lt;=$B$8),1,0),0)</f>
        <v>0</v>
      </c>
    </row>
    <row r="314">
      <c r="A314" s="9">
        <f>IF(ISNUMBER($B$4),IF(ISNUMBER($B$5),IF($B$4+302&lt;=$B$5,$B$4+302,""),""),"")</f>
        <v>46598</v>
      </c>
      <c r="B314" s="10" t="str">
        <f>IF(A314="","",CHOOSE(WEEKDAY(A314),"日","月","火","水","木","金","土"))</f>
        <v>金</v>
      </c>
      <c r="C314" s="11" t="inlineStr">
        <is>
          <t>労働日</t>
        </is>
      </c>
      <c r="D314" s="12" t="n">
        <v>0.375</v>
      </c>
      <c r="E314" s="12" t="n">
        <v>0.75</v>
      </c>
      <c r="F314" s="13" t="n">
        <v>60</v>
      </c>
      <c r="G314" s="14">
        <f>IF(OR(A314="",C314&lt;&gt;"労働日"),0,MAX(0,MOD(E314-D314,1)*24-F314/60))</f>
        <v>8</v>
      </c>
      <c r="H314" s="15">
        <f>IF(A314="","",INT((A314-$B$4)/7)+1)</f>
        <v>44</v>
      </c>
      <c r="I314" s="16">
        <f>IF(AND(A314&lt;&gt;"",C314="労働日"),I313+1,0)</f>
        <v>5</v>
      </c>
      <c r="J314" s="16">
        <f>IF(AND(A314&lt;&gt;"",ISNUMBER($B$7),ISNUMBER($B$8)),IF(AND(A314&gt;=$B$7,A314&lt;=$B$8),1,0),0)</f>
        <v>0</v>
      </c>
    </row>
    <row r="315">
      <c r="A315" s="9">
        <f>IF(ISNUMBER($B$4),IF(ISNUMBER($B$5),IF($B$4+303&lt;=$B$5,$B$4+303,""),""),"")</f>
        <v>46599</v>
      </c>
      <c r="B315" s="10" t="str">
        <f>IF(A315="","",CHOOSE(WEEKDAY(A315),"日","月","火","水","木","金","土"))</f>
        <v>土</v>
      </c>
      <c r="C315" s="11" t="inlineStr">
        <is>
          <t>休日</t>
        </is>
      </c>
      <c r="D315" s="12" t="n"/>
      <c r="E315" s="12" t="n"/>
      <c r="F315" s="13" t="n"/>
      <c r="G315" s="14">
        <f>IF(OR(A315="",C315&lt;&gt;"労働日"),0,MAX(0,MOD(E315-D315,1)*24-F315/60))</f>
        <v>0</v>
      </c>
      <c r="H315" s="15">
        <f>IF(A315="","",INT((A315-$B$4)/7)+1)</f>
        <v>44</v>
      </c>
      <c r="I315" s="16">
        <f>IF(AND(A315&lt;&gt;"",C315="労働日"),I314+1,0)</f>
        <v>0</v>
      </c>
      <c r="J315" s="16">
        <f>IF(AND(A315&lt;&gt;"",ISNUMBER($B$7),ISNUMBER($B$8)),IF(AND(A315&gt;=$B$7,A315&lt;=$B$8),1,0),0)</f>
        <v>0</v>
      </c>
    </row>
    <row r="316">
      <c r="A316" s="9">
        <f>IF(ISNUMBER($B$4),IF(ISNUMBER($B$5),IF($B$4+304&lt;=$B$5,$B$4+304,""),""),"")</f>
        <v>46600</v>
      </c>
      <c r="B316" s="10" t="str">
        <f>IF(A316="","",CHOOSE(WEEKDAY(A316),"日","月","火","水","木","金","土"))</f>
        <v>日</v>
      </c>
      <c r="C316" s="11" t="inlineStr">
        <is>
          <t>休日</t>
        </is>
      </c>
      <c r="D316" s="12" t="n"/>
      <c r="E316" s="12" t="n"/>
      <c r="F316" s="13" t="n"/>
      <c r="G316" s="14">
        <f>IF(OR(A316="",C316&lt;&gt;"労働日"),0,MAX(0,MOD(E316-D316,1)*24-F316/60))</f>
        <v>0</v>
      </c>
      <c r="H316" s="15">
        <f>IF(A316="","",INT((A316-$B$4)/7)+1)</f>
        <v>44</v>
      </c>
      <c r="I316" s="16">
        <f>IF(AND(A316&lt;&gt;"",C316="労働日"),I315+1,0)</f>
        <v>0</v>
      </c>
      <c r="J316" s="16">
        <f>IF(AND(A316&lt;&gt;"",ISNUMBER($B$7),ISNUMBER($B$8)),IF(AND(A316&gt;=$B$7,A316&lt;=$B$8),1,0),0)</f>
        <v>0</v>
      </c>
    </row>
    <row r="317">
      <c r="A317" s="9">
        <f>IF(ISNUMBER($B$4),IF(ISNUMBER($B$5),IF($B$4+305&lt;=$B$5,$B$4+305,""),""),"")</f>
        <v>46601</v>
      </c>
      <c r="B317" s="10" t="str">
        <f>IF(A317="","",CHOOSE(WEEKDAY(A317),"日","月","火","水","木","金","土"))</f>
        <v>月</v>
      </c>
      <c r="C317" s="11" t="inlineStr">
        <is>
          <t>労働日</t>
        </is>
      </c>
      <c r="D317" s="12" t="n">
        <v>0.375</v>
      </c>
      <c r="E317" s="12" t="n">
        <v>0.75</v>
      </c>
      <c r="F317" s="13" t="n">
        <v>60</v>
      </c>
      <c r="G317" s="14">
        <f>IF(OR(A317="",C317&lt;&gt;"労働日"),0,MAX(0,MOD(E317-D317,1)*24-F317/60))</f>
        <v>8</v>
      </c>
      <c r="H317" s="15">
        <f>IF(A317="","",INT((A317-$B$4)/7)+1)</f>
        <v>44</v>
      </c>
      <c r="I317" s="16">
        <f>IF(AND(A317&lt;&gt;"",C317="労働日"),I316+1,0)</f>
        <v>1</v>
      </c>
      <c r="J317" s="16">
        <f>IF(AND(A317&lt;&gt;"",ISNUMBER($B$7),ISNUMBER($B$8)),IF(AND(A317&gt;=$B$7,A317&lt;=$B$8),1,0),0)</f>
        <v>0</v>
      </c>
    </row>
    <row r="318">
      <c r="A318" s="9">
        <f>IF(ISNUMBER($B$4),IF(ISNUMBER($B$5),IF($B$4+306&lt;=$B$5,$B$4+306,""),""),"")</f>
        <v>46602</v>
      </c>
      <c r="B318" s="10" t="str">
        <f>IF(A318="","",CHOOSE(WEEKDAY(A318),"日","月","火","水","木","金","土"))</f>
        <v>火</v>
      </c>
      <c r="C318" s="11" t="inlineStr">
        <is>
          <t>労働日</t>
        </is>
      </c>
      <c r="D318" s="12" t="n">
        <v>0.375</v>
      </c>
      <c r="E318" s="12" t="n">
        <v>0.75</v>
      </c>
      <c r="F318" s="13" t="n">
        <v>60</v>
      </c>
      <c r="G318" s="14">
        <f>IF(OR(A318="",C318&lt;&gt;"労働日"),0,MAX(0,MOD(E318-D318,1)*24-F318/60))</f>
        <v>8</v>
      </c>
      <c r="H318" s="15">
        <f>IF(A318="","",INT((A318-$B$4)/7)+1)</f>
        <v>44</v>
      </c>
      <c r="I318" s="16">
        <f>IF(AND(A318&lt;&gt;"",C318="労働日"),I317+1,0)</f>
        <v>2</v>
      </c>
      <c r="J318" s="16">
        <f>IF(AND(A318&lt;&gt;"",ISNUMBER($B$7),ISNUMBER($B$8)),IF(AND(A318&gt;=$B$7,A318&lt;=$B$8),1,0),0)</f>
        <v>0</v>
      </c>
    </row>
    <row r="319">
      <c r="A319" s="9">
        <f>IF(ISNUMBER($B$4),IF(ISNUMBER($B$5),IF($B$4+307&lt;=$B$5,$B$4+307,""),""),"")</f>
        <v>46603</v>
      </c>
      <c r="B319" s="10" t="str">
        <f>IF(A319="","",CHOOSE(WEEKDAY(A319),"日","月","火","水","木","金","土"))</f>
        <v>水</v>
      </c>
      <c r="C319" s="11" t="inlineStr">
        <is>
          <t>労働日</t>
        </is>
      </c>
      <c r="D319" s="12" t="n">
        <v>0.375</v>
      </c>
      <c r="E319" s="12" t="n">
        <v>0.75</v>
      </c>
      <c r="F319" s="13" t="n">
        <v>60</v>
      </c>
      <c r="G319" s="14">
        <f>IF(OR(A319="",C319&lt;&gt;"労働日"),0,MAX(0,MOD(E319-D319,1)*24-F319/60))</f>
        <v>8</v>
      </c>
      <c r="H319" s="15">
        <f>IF(A319="","",INT((A319-$B$4)/7)+1)</f>
        <v>44</v>
      </c>
      <c r="I319" s="16">
        <f>IF(AND(A319&lt;&gt;"",C319="労働日"),I318+1,0)</f>
        <v>3</v>
      </c>
      <c r="J319" s="16">
        <f>IF(AND(A319&lt;&gt;"",ISNUMBER($B$7),ISNUMBER($B$8)),IF(AND(A319&gt;=$B$7,A319&lt;=$B$8),1,0),0)</f>
        <v>0</v>
      </c>
    </row>
    <row r="320">
      <c r="A320" s="9">
        <f>IF(ISNUMBER($B$4),IF(ISNUMBER($B$5),IF($B$4+308&lt;=$B$5,$B$4+308,""),""),"")</f>
        <v>46604</v>
      </c>
      <c r="B320" s="10" t="str">
        <f>IF(A320="","",CHOOSE(WEEKDAY(A320),"日","月","火","水","木","金","土"))</f>
        <v>木</v>
      </c>
      <c r="C320" s="11" t="inlineStr">
        <is>
          <t>労働日</t>
        </is>
      </c>
      <c r="D320" s="12" t="n">
        <v>0.375</v>
      </c>
      <c r="E320" s="12" t="n">
        <v>0.75</v>
      </c>
      <c r="F320" s="13" t="n">
        <v>60</v>
      </c>
      <c r="G320" s="14">
        <f>IF(OR(A320="",C320&lt;&gt;"労働日"),0,MAX(0,MOD(E320-D320,1)*24-F320/60))</f>
        <v>8</v>
      </c>
      <c r="H320" s="15">
        <f>IF(A320="","",INT((A320-$B$4)/7)+1)</f>
        <v>45</v>
      </c>
      <c r="I320" s="16">
        <f>IF(AND(A320&lt;&gt;"",C320="労働日"),I319+1,0)</f>
        <v>4</v>
      </c>
      <c r="J320" s="16">
        <f>IF(AND(A320&lt;&gt;"",ISNUMBER($B$7),ISNUMBER($B$8)),IF(AND(A320&gt;=$B$7,A320&lt;=$B$8),1,0),0)</f>
        <v>0</v>
      </c>
    </row>
    <row r="321">
      <c r="A321" s="9">
        <f>IF(ISNUMBER($B$4),IF(ISNUMBER($B$5),IF($B$4+309&lt;=$B$5,$B$4+309,""),""),"")</f>
        <v>46605</v>
      </c>
      <c r="B321" s="10" t="str">
        <f>IF(A321="","",CHOOSE(WEEKDAY(A321),"日","月","火","水","木","金","土"))</f>
        <v>金</v>
      </c>
      <c r="C321" s="11" t="inlineStr">
        <is>
          <t>労働日</t>
        </is>
      </c>
      <c r="D321" s="12" t="n">
        <v>0.375</v>
      </c>
      <c r="E321" s="12" t="n">
        <v>0.75</v>
      </c>
      <c r="F321" s="13" t="n">
        <v>60</v>
      </c>
      <c r="G321" s="14">
        <f>IF(OR(A321="",C321&lt;&gt;"労働日"),0,MAX(0,MOD(E321-D321,1)*24-F321/60))</f>
        <v>8</v>
      </c>
      <c r="H321" s="15">
        <f>IF(A321="","",INT((A321-$B$4)/7)+1)</f>
        <v>45</v>
      </c>
      <c r="I321" s="16">
        <f>IF(AND(A321&lt;&gt;"",C321="労働日"),I320+1,0)</f>
        <v>5</v>
      </c>
      <c r="J321" s="16">
        <f>IF(AND(A321&lt;&gt;"",ISNUMBER($B$7),ISNUMBER($B$8)),IF(AND(A321&gt;=$B$7,A321&lt;=$B$8),1,0),0)</f>
        <v>0</v>
      </c>
    </row>
    <row r="322">
      <c r="A322" s="9">
        <f>IF(ISNUMBER($B$4),IF(ISNUMBER($B$5),IF($B$4+310&lt;=$B$5,$B$4+310,""),""),"")</f>
        <v>46606</v>
      </c>
      <c r="B322" s="10" t="str">
        <f>IF(A322="","",CHOOSE(WEEKDAY(A322),"日","月","火","水","木","金","土"))</f>
        <v>土</v>
      </c>
      <c r="C322" s="11" t="inlineStr">
        <is>
          <t>休日</t>
        </is>
      </c>
      <c r="D322" s="12" t="n"/>
      <c r="E322" s="12" t="n"/>
      <c r="F322" s="13" t="n"/>
      <c r="G322" s="14">
        <f>IF(OR(A322="",C322&lt;&gt;"労働日"),0,MAX(0,MOD(E322-D322,1)*24-F322/60))</f>
        <v>0</v>
      </c>
      <c r="H322" s="15">
        <f>IF(A322="","",INT((A322-$B$4)/7)+1)</f>
        <v>45</v>
      </c>
      <c r="I322" s="16">
        <f>IF(AND(A322&lt;&gt;"",C322="労働日"),I321+1,0)</f>
        <v>0</v>
      </c>
      <c r="J322" s="16">
        <f>IF(AND(A322&lt;&gt;"",ISNUMBER($B$7),ISNUMBER($B$8)),IF(AND(A322&gt;=$B$7,A322&lt;=$B$8),1,0),0)</f>
        <v>0</v>
      </c>
    </row>
    <row r="323">
      <c r="A323" s="9">
        <f>IF(ISNUMBER($B$4),IF(ISNUMBER($B$5),IF($B$4+311&lt;=$B$5,$B$4+311,""),""),"")</f>
        <v>46607</v>
      </c>
      <c r="B323" s="10" t="str">
        <f>IF(A323="","",CHOOSE(WEEKDAY(A323),"日","月","火","水","木","金","土"))</f>
        <v>日</v>
      </c>
      <c r="C323" s="11" t="inlineStr">
        <is>
          <t>休日</t>
        </is>
      </c>
      <c r="D323" s="12" t="n"/>
      <c r="E323" s="12" t="n"/>
      <c r="F323" s="13" t="n"/>
      <c r="G323" s="14">
        <f>IF(OR(A323="",C323&lt;&gt;"労働日"),0,MAX(0,MOD(E323-D323,1)*24-F323/60))</f>
        <v>0</v>
      </c>
      <c r="H323" s="15">
        <f>IF(A323="","",INT((A323-$B$4)/7)+1)</f>
        <v>45</v>
      </c>
      <c r="I323" s="16">
        <f>IF(AND(A323&lt;&gt;"",C323="労働日"),I322+1,0)</f>
        <v>0</v>
      </c>
      <c r="J323" s="16">
        <f>IF(AND(A323&lt;&gt;"",ISNUMBER($B$7),ISNUMBER($B$8)),IF(AND(A323&gt;=$B$7,A323&lt;=$B$8),1,0),0)</f>
        <v>0</v>
      </c>
    </row>
    <row r="324">
      <c r="A324" s="9">
        <f>IF(ISNUMBER($B$4),IF(ISNUMBER($B$5),IF($B$4+312&lt;=$B$5,$B$4+312,""),""),"")</f>
        <v>46608</v>
      </c>
      <c r="B324" s="10" t="str">
        <f>IF(A324="","",CHOOSE(WEEKDAY(A324),"日","月","火","水","木","金","土"))</f>
        <v>月</v>
      </c>
      <c r="C324" s="11" t="inlineStr">
        <is>
          <t>労働日</t>
        </is>
      </c>
      <c r="D324" s="12" t="n">
        <v>0.375</v>
      </c>
      <c r="E324" s="12" t="n">
        <v>0.75</v>
      </c>
      <c r="F324" s="13" t="n">
        <v>60</v>
      </c>
      <c r="G324" s="14">
        <f>IF(OR(A324="",C324&lt;&gt;"労働日"),0,MAX(0,MOD(E324-D324,1)*24-F324/60))</f>
        <v>8</v>
      </c>
      <c r="H324" s="15">
        <f>IF(A324="","",INT((A324-$B$4)/7)+1)</f>
        <v>45</v>
      </c>
      <c r="I324" s="16">
        <f>IF(AND(A324&lt;&gt;"",C324="労働日"),I323+1,0)</f>
        <v>1</v>
      </c>
      <c r="J324" s="16">
        <f>IF(AND(A324&lt;&gt;"",ISNUMBER($B$7),ISNUMBER($B$8)),IF(AND(A324&gt;=$B$7,A324&lt;=$B$8),1,0),0)</f>
        <v>0</v>
      </c>
    </row>
    <row r="325">
      <c r="A325" s="9">
        <f>IF(ISNUMBER($B$4),IF(ISNUMBER($B$5),IF($B$4+313&lt;=$B$5,$B$4+313,""),""),"")</f>
        <v>46609</v>
      </c>
      <c r="B325" s="10" t="str">
        <f>IF(A325="","",CHOOSE(WEEKDAY(A325),"日","月","火","水","木","金","土"))</f>
        <v>火</v>
      </c>
      <c r="C325" s="11" t="inlineStr">
        <is>
          <t>労働日</t>
        </is>
      </c>
      <c r="D325" s="12" t="n">
        <v>0.375</v>
      </c>
      <c r="E325" s="12" t="n">
        <v>0.75</v>
      </c>
      <c r="F325" s="13" t="n">
        <v>60</v>
      </c>
      <c r="G325" s="14">
        <f>IF(OR(A325="",C325&lt;&gt;"労働日"),0,MAX(0,MOD(E325-D325,1)*24-F325/60))</f>
        <v>8</v>
      </c>
      <c r="H325" s="15">
        <f>IF(A325="","",INT((A325-$B$4)/7)+1)</f>
        <v>45</v>
      </c>
      <c r="I325" s="16">
        <f>IF(AND(A325&lt;&gt;"",C325="労働日"),I324+1,0)</f>
        <v>2</v>
      </c>
      <c r="J325" s="16">
        <f>IF(AND(A325&lt;&gt;"",ISNUMBER($B$7),ISNUMBER($B$8)),IF(AND(A325&gt;=$B$7,A325&lt;=$B$8),1,0),0)</f>
        <v>0</v>
      </c>
    </row>
    <row r="326">
      <c r="A326" s="9">
        <f>IF(ISNUMBER($B$4),IF(ISNUMBER($B$5),IF($B$4+314&lt;=$B$5,$B$4+314,""),""),"")</f>
        <v>46610</v>
      </c>
      <c r="B326" s="10" t="str">
        <f>IF(A326="","",CHOOSE(WEEKDAY(A326),"日","月","火","水","木","金","土"))</f>
        <v>水</v>
      </c>
      <c r="C326" s="11" t="inlineStr">
        <is>
          <t>労働日</t>
        </is>
      </c>
      <c r="D326" s="12" t="n">
        <v>0.375</v>
      </c>
      <c r="E326" s="12" t="n">
        <v>0.75</v>
      </c>
      <c r="F326" s="13" t="n">
        <v>60</v>
      </c>
      <c r="G326" s="14">
        <f>IF(OR(A326="",C326&lt;&gt;"労働日"),0,MAX(0,MOD(E326-D326,1)*24-F326/60))</f>
        <v>8</v>
      </c>
      <c r="H326" s="15">
        <f>IF(A326="","",INT((A326-$B$4)/7)+1)</f>
        <v>45</v>
      </c>
      <c r="I326" s="16">
        <f>IF(AND(A326&lt;&gt;"",C326="労働日"),I325+1,0)</f>
        <v>3</v>
      </c>
      <c r="J326" s="16">
        <f>IF(AND(A326&lt;&gt;"",ISNUMBER($B$7),ISNUMBER($B$8)),IF(AND(A326&gt;=$B$7,A326&lt;=$B$8),1,0),0)</f>
        <v>0</v>
      </c>
    </row>
    <row r="327">
      <c r="A327" s="9">
        <f>IF(ISNUMBER($B$4),IF(ISNUMBER($B$5),IF($B$4+315&lt;=$B$5,$B$4+315,""),""),"")</f>
        <v>46611</v>
      </c>
      <c r="B327" s="10" t="str">
        <f>IF(A327="","",CHOOSE(WEEKDAY(A327),"日","月","火","水","木","金","土"))</f>
        <v>木</v>
      </c>
      <c r="C327" s="11" t="inlineStr">
        <is>
          <t>休日</t>
        </is>
      </c>
      <c r="D327" s="12" t="n"/>
      <c r="E327" s="12" t="n"/>
      <c r="F327" s="13" t="n"/>
      <c r="G327" s="14">
        <f>IF(OR(A327="",C327&lt;&gt;"労働日"),0,MAX(0,MOD(E327-D327,1)*24-F327/60))</f>
        <v>0</v>
      </c>
      <c r="H327" s="15">
        <f>IF(A327="","",INT((A327-$B$4)/7)+1)</f>
        <v>46</v>
      </c>
      <c r="I327" s="16">
        <f>IF(AND(A327&lt;&gt;"",C327="労働日"),I326+1,0)</f>
        <v>0</v>
      </c>
      <c r="J327" s="16">
        <f>IF(AND(A327&lt;&gt;"",ISNUMBER($B$7),ISNUMBER($B$8)),IF(AND(A327&gt;=$B$7,A327&lt;=$B$8),1,0),0)</f>
        <v>0</v>
      </c>
    </row>
    <row r="328">
      <c r="A328" s="9">
        <f>IF(ISNUMBER($B$4),IF(ISNUMBER($B$5),IF($B$4+316&lt;=$B$5,$B$4+316,""),""),"")</f>
        <v>46612</v>
      </c>
      <c r="B328" s="10" t="str">
        <f>IF(A328="","",CHOOSE(WEEKDAY(A328),"日","月","火","水","木","金","土"))</f>
        <v>金</v>
      </c>
      <c r="C328" s="11" t="inlineStr">
        <is>
          <t>休日</t>
        </is>
      </c>
      <c r="D328" s="12" t="n"/>
      <c r="E328" s="12" t="n"/>
      <c r="F328" s="13" t="n"/>
      <c r="G328" s="14">
        <f>IF(OR(A328="",C328&lt;&gt;"労働日"),0,MAX(0,MOD(E328-D328,1)*24-F328/60))</f>
        <v>0</v>
      </c>
      <c r="H328" s="15">
        <f>IF(A328="","",INT((A328-$B$4)/7)+1)</f>
        <v>46</v>
      </c>
      <c r="I328" s="16">
        <f>IF(AND(A328&lt;&gt;"",C328="労働日"),I327+1,0)</f>
        <v>0</v>
      </c>
      <c r="J328" s="16">
        <f>IF(AND(A328&lt;&gt;"",ISNUMBER($B$7),ISNUMBER($B$8)),IF(AND(A328&gt;=$B$7,A328&lt;=$B$8),1,0),0)</f>
        <v>0</v>
      </c>
    </row>
    <row r="329">
      <c r="A329" s="9">
        <f>IF(ISNUMBER($B$4),IF(ISNUMBER($B$5),IF($B$4+317&lt;=$B$5,$B$4+317,""),""),"")</f>
        <v>46613</v>
      </c>
      <c r="B329" s="10" t="str">
        <f>IF(A329="","",CHOOSE(WEEKDAY(A329),"日","月","火","水","木","金","土"))</f>
        <v>土</v>
      </c>
      <c r="C329" s="11" t="inlineStr">
        <is>
          <t>休日</t>
        </is>
      </c>
      <c r="D329" s="12" t="n"/>
      <c r="E329" s="12" t="n"/>
      <c r="F329" s="13" t="n"/>
      <c r="G329" s="14">
        <f>IF(OR(A329="",C329&lt;&gt;"労働日"),0,MAX(0,MOD(E329-D329,1)*24-F329/60))</f>
        <v>0</v>
      </c>
      <c r="H329" s="15">
        <f>IF(A329="","",INT((A329-$B$4)/7)+1)</f>
        <v>46</v>
      </c>
      <c r="I329" s="16">
        <f>IF(AND(A329&lt;&gt;"",C329="労働日"),I328+1,0)</f>
        <v>0</v>
      </c>
      <c r="J329" s="16">
        <f>IF(AND(A329&lt;&gt;"",ISNUMBER($B$7),ISNUMBER($B$8)),IF(AND(A329&gt;=$B$7,A329&lt;=$B$8),1,0),0)</f>
        <v>0</v>
      </c>
    </row>
    <row r="330">
      <c r="A330" s="9">
        <f>IF(ISNUMBER($B$4),IF(ISNUMBER($B$5),IF($B$4+318&lt;=$B$5,$B$4+318,""),""),"")</f>
        <v>46614</v>
      </c>
      <c r="B330" s="10" t="str">
        <f>IF(A330="","",CHOOSE(WEEKDAY(A330),"日","月","火","水","木","金","土"))</f>
        <v>日</v>
      </c>
      <c r="C330" s="11" t="inlineStr">
        <is>
          <t>休日</t>
        </is>
      </c>
      <c r="D330" s="12" t="n"/>
      <c r="E330" s="12" t="n"/>
      <c r="F330" s="13" t="n"/>
      <c r="G330" s="14">
        <f>IF(OR(A330="",C330&lt;&gt;"労働日"),0,MAX(0,MOD(E330-D330,1)*24-F330/60))</f>
        <v>0</v>
      </c>
      <c r="H330" s="15">
        <f>IF(A330="","",INT((A330-$B$4)/7)+1)</f>
        <v>46</v>
      </c>
      <c r="I330" s="16">
        <f>IF(AND(A330&lt;&gt;"",C330="労働日"),I329+1,0)</f>
        <v>0</v>
      </c>
      <c r="J330" s="16">
        <f>IF(AND(A330&lt;&gt;"",ISNUMBER($B$7),ISNUMBER($B$8)),IF(AND(A330&gt;=$B$7,A330&lt;=$B$8),1,0),0)</f>
        <v>0</v>
      </c>
    </row>
    <row r="331">
      <c r="A331" s="9">
        <f>IF(ISNUMBER($B$4),IF(ISNUMBER($B$5),IF($B$4+319&lt;=$B$5,$B$4+319,""),""),"")</f>
        <v>46615</v>
      </c>
      <c r="B331" s="10" t="str">
        <f>IF(A331="","",CHOOSE(WEEKDAY(A331),"日","月","火","水","木","金","土"))</f>
        <v>月</v>
      </c>
      <c r="C331" s="11" t="inlineStr">
        <is>
          <t>休日</t>
        </is>
      </c>
      <c r="D331" s="12" t="n"/>
      <c r="E331" s="12" t="n"/>
      <c r="F331" s="13" t="n"/>
      <c r="G331" s="14">
        <f>IF(OR(A331="",C331&lt;&gt;"労働日"),0,MAX(0,MOD(E331-D331,1)*24-F331/60))</f>
        <v>0</v>
      </c>
      <c r="H331" s="15">
        <f>IF(A331="","",INT((A331-$B$4)/7)+1)</f>
        <v>46</v>
      </c>
      <c r="I331" s="16">
        <f>IF(AND(A331&lt;&gt;"",C331="労働日"),I330+1,0)</f>
        <v>0</v>
      </c>
      <c r="J331" s="16">
        <f>IF(AND(A331&lt;&gt;"",ISNUMBER($B$7),ISNUMBER($B$8)),IF(AND(A331&gt;=$B$7,A331&lt;=$B$8),1,0),0)</f>
        <v>0</v>
      </c>
    </row>
    <row r="332">
      <c r="A332" s="9">
        <f>IF(ISNUMBER($B$4),IF(ISNUMBER($B$5),IF($B$4+320&lt;=$B$5,$B$4+320,""),""),"")</f>
        <v>46616</v>
      </c>
      <c r="B332" s="10" t="str">
        <f>IF(A332="","",CHOOSE(WEEKDAY(A332),"日","月","火","水","木","金","土"))</f>
        <v>火</v>
      </c>
      <c r="C332" s="11" t="inlineStr">
        <is>
          <t>労働日</t>
        </is>
      </c>
      <c r="D332" s="12" t="n">
        <v>0.375</v>
      </c>
      <c r="E332" s="12" t="n">
        <v>0.75</v>
      </c>
      <c r="F332" s="13" t="n">
        <v>60</v>
      </c>
      <c r="G332" s="14">
        <f>IF(OR(A332="",C332&lt;&gt;"労働日"),0,MAX(0,MOD(E332-D332,1)*24-F332/60))</f>
        <v>8</v>
      </c>
      <c r="H332" s="15">
        <f>IF(A332="","",INT((A332-$B$4)/7)+1)</f>
        <v>46</v>
      </c>
      <c r="I332" s="16">
        <f>IF(AND(A332&lt;&gt;"",C332="労働日"),I331+1,0)</f>
        <v>1</v>
      </c>
      <c r="J332" s="16">
        <f>IF(AND(A332&lt;&gt;"",ISNUMBER($B$7),ISNUMBER($B$8)),IF(AND(A332&gt;=$B$7,A332&lt;=$B$8),1,0),0)</f>
        <v>0</v>
      </c>
    </row>
    <row r="333">
      <c r="A333" s="9">
        <f>IF(ISNUMBER($B$4),IF(ISNUMBER($B$5),IF($B$4+321&lt;=$B$5,$B$4+321,""),""),"")</f>
        <v>46617</v>
      </c>
      <c r="B333" s="10" t="str">
        <f>IF(A333="","",CHOOSE(WEEKDAY(A333),"日","月","火","水","木","金","土"))</f>
        <v>水</v>
      </c>
      <c r="C333" s="11" t="inlineStr">
        <is>
          <t>労働日</t>
        </is>
      </c>
      <c r="D333" s="12" t="n">
        <v>0.375</v>
      </c>
      <c r="E333" s="12" t="n">
        <v>0.75</v>
      </c>
      <c r="F333" s="13" t="n">
        <v>60</v>
      </c>
      <c r="G333" s="14">
        <f>IF(OR(A333="",C333&lt;&gt;"労働日"),0,MAX(0,MOD(E333-D333,1)*24-F333/60))</f>
        <v>8</v>
      </c>
      <c r="H333" s="15">
        <f>IF(A333="","",INT((A333-$B$4)/7)+1)</f>
        <v>46</v>
      </c>
      <c r="I333" s="16">
        <f>IF(AND(A333&lt;&gt;"",C333="労働日"),I332+1,0)</f>
        <v>2</v>
      </c>
      <c r="J333" s="16">
        <f>IF(AND(A333&lt;&gt;"",ISNUMBER($B$7),ISNUMBER($B$8)),IF(AND(A333&gt;=$B$7,A333&lt;=$B$8),1,0),0)</f>
        <v>0</v>
      </c>
    </row>
    <row r="334">
      <c r="A334" s="9">
        <f>IF(ISNUMBER($B$4),IF(ISNUMBER($B$5),IF($B$4+322&lt;=$B$5,$B$4+322,""),""),"")</f>
        <v>46618</v>
      </c>
      <c r="B334" s="10" t="str">
        <f>IF(A334="","",CHOOSE(WEEKDAY(A334),"日","月","火","水","木","金","土"))</f>
        <v>木</v>
      </c>
      <c r="C334" s="11" t="inlineStr">
        <is>
          <t>労働日</t>
        </is>
      </c>
      <c r="D334" s="12" t="n">
        <v>0.375</v>
      </c>
      <c r="E334" s="12" t="n">
        <v>0.75</v>
      </c>
      <c r="F334" s="13" t="n">
        <v>60</v>
      </c>
      <c r="G334" s="14">
        <f>IF(OR(A334="",C334&lt;&gt;"労働日"),0,MAX(0,MOD(E334-D334,1)*24-F334/60))</f>
        <v>8</v>
      </c>
      <c r="H334" s="15">
        <f>IF(A334="","",INT((A334-$B$4)/7)+1)</f>
        <v>47</v>
      </c>
      <c r="I334" s="16">
        <f>IF(AND(A334&lt;&gt;"",C334="労働日"),I333+1,0)</f>
        <v>3</v>
      </c>
      <c r="J334" s="16">
        <f>IF(AND(A334&lt;&gt;"",ISNUMBER($B$7),ISNUMBER($B$8)),IF(AND(A334&gt;=$B$7,A334&lt;=$B$8),1,0),0)</f>
        <v>0</v>
      </c>
    </row>
    <row r="335">
      <c r="A335" s="9">
        <f>IF(ISNUMBER($B$4),IF(ISNUMBER($B$5),IF($B$4+323&lt;=$B$5,$B$4+323,""),""),"")</f>
        <v>46619</v>
      </c>
      <c r="B335" s="10" t="str">
        <f>IF(A335="","",CHOOSE(WEEKDAY(A335),"日","月","火","水","木","金","土"))</f>
        <v>金</v>
      </c>
      <c r="C335" s="11" t="inlineStr">
        <is>
          <t>労働日</t>
        </is>
      </c>
      <c r="D335" s="12" t="n">
        <v>0.375</v>
      </c>
      <c r="E335" s="12" t="n">
        <v>0.75</v>
      </c>
      <c r="F335" s="13" t="n">
        <v>60</v>
      </c>
      <c r="G335" s="14">
        <f>IF(OR(A335="",C335&lt;&gt;"労働日"),0,MAX(0,MOD(E335-D335,1)*24-F335/60))</f>
        <v>8</v>
      </c>
      <c r="H335" s="15">
        <f>IF(A335="","",INT((A335-$B$4)/7)+1)</f>
        <v>47</v>
      </c>
      <c r="I335" s="16">
        <f>IF(AND(A335&lt;&gt;"",C335="労働日"),I334+1,0)</f>
        <v>4</v>
      </c>
      <c r="J335" s="16">
        <f>IF(AND(A335&lt;&gt;"",ISNUMBER($B$7),ISNUMBER($B$8)),IF(AND(A335&gt;=$B$7,A335&lt;=$B$8),1,0),0)</f>
        <v>0</v>
      </c>
    </row>
    <row r="336">
      <c r="A336" s="9">
        <f>IF(ISNUMBER($B$4),IF(ISNUMBER($B$5),IF($B$4+324&lt;=$B$5,$B$4+324,""),""),"")</f>
        <v>46620</v>
      </c>
      <c r="B336" s="10" t="str">
        <f>IF(A336="","",CHOOSE(WEEKDAY(A336),"日","月","火","水","木","金","土"))</f>
        <v>土</v>
      </c>
      <c r="C336" s="11" t="inlineStr">
        <is>
          <t>休日</t>
        </is>
      </c>
      <c r="D336" s="12" t="n"/>
      <c r="E336" s="12" t="n"/>
      <c r="F336" s="13" t="n"/>
      <c r="G336" s="14">
        <f>IF(OR(A336="",C336&lt;&gt;"労働日"),0,MAX(0,MOD(E336-D336,1)*24-F336/60))</f>
        <v>0</v>
      </c>
      <c r="H336" s="15">
        <f>IF(A336="","",INT((A336-$B$4)/7)+1)</f>
        <v>47</v>
      </c>
      <c r="I336" s="16">
        <f>IF(AND(A336&lt;&gt;"",C336="労働日"),I335+1,0)</f>
        <v>0</v>
      </c>
      <c r="J336" s="16">
        <f>IF(AND(A336&lt;&gt;"",ISNUMBER($B$7),ISNUMBER($B$8)),IF(AND(A336&gt;=$B$7,A336&lt;=$B$8),1,0),0)</f>
        <v>0</v>
      </c>
    </row>
    <row r="337">
      <c r="A337" s="9">
        <f>IF(ISNUMBER($B$4),IF(ISNUMBER($B$5),IF($B$4+325&lt;=$B$5,$B$4+325,""),""),"")</f>
        <v>46621</v>
      </c>
      <c r="B337" s="10" t="str">
        <f>IF(A337="","",CHOOSE(WEEKDAY(A337),"日","月","火","水","木","金","土"))</f>
        <v>日</v>
      </c>
      <c r="C337" s="11" t="inlineStr">
        <is>
          <t>休日</t>
        </is>
      </c>
      <c r="D337" s="12" t="n"/>
      <c r="E337" s="12" t="n"/>
      <c r="F337" s="13" t="n"/>
      <c r="G337" s="14">
        <f>IF(OR(A337="",C337&lt;&gt;"労働日"),0,MAX(0,MOD(E337-D337,1)*24-F337/60))</f>
        <v>0</v>
      </c>
      <c r="H337" s="15">
        <f>IF(A337="","",INT((A337-$B$4)/7)+1)</f>
        <v>47</v>
      </c>
      <c r="I337" s="16">
        <f>IF(AND(A337&lt;&gt;"",C337="労働日"),I336+1,0)</f>
        <v>0</v>
      </c>
      <c r="J337" s="16">
        <f>IF(AND(A337&lt;&gt;"",ISNUMBER($B$7),ISNUMBER($B$8)),IF(AND(A337&gt;=$B$7,A337&lt;=$B$8),1,0),0)</f>
        <v>0</v>
      </c>
    </row>
    <row r="338">
      <c r="A338" s="9">
        <f>IF(ISNUMBER($B$4),IF(ISNUMBER($B$5),IF($B$4+326&lt;=$B$5,$B$4+326,""),""),"")</f>
        <v>46622</v>
      </c>
      <c r="B338" s="10" t="str">
        <f>IF(A338="","",CHOOSE(WEEKDAY(A338),"日","月","火","水","木","金","土"))</f>
        <v>月</v>
      </c>
      <c r="C338" s="11" t="inlineStr">
        <is>
          <t>労働日</t>
        </is>
      </c>
      <c r="D338" s="12" t="n">
        <v>0.375</v>
      </c>
      <c r="E338" s="12" t="n">
        <v>0.75</v>
      </c>
      <c r="F338" s="13" t="n">
        <v>60</v>
      </c>
      <c r="G338" s="14">
        <f>IF(OR(A338="",C338&lt;&gt;"労働日"),0,MAX(0,MOD(E338-D338,1)*24-F338/60))</f>
        <v>8</v>
      </c>
      <c r="H338" s="15">
        <f>IF(A338="","",INT((A338-$B$4)/7)+1)</f>
        <v>47</v>
      </c>
      <c r="I338" s="16">
        <f>IF(AND(A338&lt;&gt;"",C338="労働日"),I337+1,0)</f>
        <v>1</v>
      </c>
      <c r="J338" s="16">
        <f>IF(AND(A338&lt;&gt;"",ISNUMBER($B$7),ISNUMBER($B$8)),IF(AND(A338&gt;=$B$7,A338&lt;=$B$8),1,0),0)</f>
        <v>0</v>
      </c>
    </row>
    <row r="339">
      <c r="A339" s="9">
        <f>IF(ISNUMBER($B$4),IF(ISNUMBER($B$5),IF($B$4+327&lt;=$B$5,$B$4+327,""),""),"")</f>
        <v>46623</v>
      </c>
      <c r="B339" s="10" t="str">
        <f>IF(A339="","",CHOOSE(WEEKDAY(A339),"日","月","火","水","木","金","土"))</f>
        <v>火</v>
      </c>
      <c r="C339" s="11" t="inlineStr">
        <is>
          <t>労働日</t>
        </is>
      </c>
      <c r="D339" s="12" t="n">
        <v>0.375</v>
      </c>
      <c r="E339" s="12" t="n">
        <v>0.75</v>
      </c>
      <c r="F339" s="13" t="n">
        <v>60</v>
      </c>
      <c r="G339" s="14">
        <f>IF(OR(A339="",C339&lt;&gt;"労働日"),0,MAX(0,MOD(E339-D339,1)*24-F339/60))</f>
        <v>8</v>
      </c>
      <c r="H339" s="15">
        <f>IF(A339="","",INT((A339-$B$4)/7)+1)</f>
        <v>47</v>
      </c>
      <c r="I339" s="16">
        <f>IF(AND(A339&lt;&gt;"",C339="労働日"),I338+1,0)</f>
        <v>2</v>
      </c>
      <c r="J339" s="16">
        <f>IF(AND(A339&lt;&gt;"",ISNUMBER($B$7),ISNUMBER($B$8)),IF(AND(A339&gt;=$B$7,A339&lt;=$B$8),1,0),0)</f>
        <v>0</v>
      </c>
    </row>
    <row r="340">
      <c r="A340" s="9">
        <f>IF(ISNUMBER($B$4),IF(ISNUMBER($B$5),IF($B$4+328&lt;=$B$5,$B$4+328,""),""),"")</f>
        <v>46624</v>
      </c>
      <c r="B340" s="10" t="str">
        <f>IF(A340="","",CHOOSE(WEEKDAY(A340),"日","月","火","水","木","金","土"))</f>
        <v>水</v>
      </c>
      <c r="C340" s="11" t="inlineStr">
        <is>
          <t>労働日</t>
        </is>
      </c>
      <c r="D340" s="12" t="n">
        <v>0.375</v>
      </c>
      <c r="E340" s="12" t="n">
        <v>0.75</v>
      </c>
      <c r="F340" s="13" t="n">
        <v>60</v>
      </c>
      <c r="G340" s="14">
        <f>IF(OR(A340="",C340&lt;&gt;"労働日"),0,MAX(0,MOD(E340-D340,1)*24-F340/60))</f>
        <v>8</v>
      </c>
      <c r="H340" s="15">
        <f>IF(A340="","",INT((A340-$B$4)/7)+1)</f>
        <v>47</v>
      </c>
      <c r="I340" s="16">
        <f>IF(AND(A340&lt;&gt;"",C340="労働日"),I339+1,0)</f>
        <v>3</v>
      </c>
      <c r="J340" s="16">
        <f>IF(AND(A340&lt;&gt;"",ISNUMBER($B$7),ISNUMBER($B$8)),IF(AND(A340&gt;=$B$7,A340&lt;=$B$8),1,0),0)</f>
        <v>0</v>
      </c>
    </row>
    <row r="341">
      <c r="A341" s="9">
        <f>IF(ISNUMBER($B$4),IF(ISNUMBER($B$5),IF($B$4+329&lt;=$B$5,$B$4+329,""),""),"")</f>
        <v>46625</v>
      </c>
      <c r="B341" s="10" t="str">
        <f>IF(A341="","",CHOOSE(WEEKDAY(A341),"日","月","火","水","木","金","土"))</f>
        <v>木</v>
      </c>
      <c r="C341" s="11" t="inlineStr">
        <is>
          <t>労働日</t>
        </is>
      </c>
      <c r="D341" s="12" t="n">
        <v>0.375</v>
      </c>
      <c r="E341" s="12" t="n">
        <v>0.75</v>
      </c>
      <c r="F341" s="13" t="n">
        <v>60</v>
      </c>
      <c r="G341" s="14">
        <f>IF(OR(A341="",C341&lt;&gt;"労働日"),0,MAX(0,MOD(E341-D341,1)*24-F341/60))</f>
        <v>8</v>
      </c>
      <c r="H341" s="15">
        <f>IF(A341="","",INT((A341-$B$4)/7)+1)</f>
        <v>48</v>
      </c>
      <c r="I341" s="16">
        <f>IF(AND(A341&lt;&gt;"",C341="労働日"),I340+1,0)</f>
        <v>4</v>
      </c>
      <c r="J341" s="16">
        <f>IF(AND(A341&lt;&gt;"",ISNUMBER($B$7),ISNUMBER($B$8)),IF(AND(A341&gt;=$B$7,A341&lt;=$B$8),1,0),0)</f>
        <v>0</v>
      </c>
    </row>
    <row r="342">
      <c r="A342" s="9">
        <f>IF(ISNUMBER($B$4),IF(ISNUMBER($B$5),IF($B$4+330&lt;=$B$5,$B$4+330,""),""),"")</f>
        <v>46626</v>
      </c>
      <c r="B342" s="10" t="str">
        <f>IF(A342="","",CHOOSE(WEEKDAY(A342),"日","月","火","水","木","金","土"))</f>
        <v>金</v>
      </c>
      <c r="C342" s="11" t="inlineStr">
        <is>
          <t>労働日</t>
        </is>
      </c>
      <c r="D342" s="12" t="n">
        <v>0.375</v>
      </c>
      <c r="E342" s="12" t="n">
        <v>0.75</v>
      </c>
      <c r="F342" s="13" t="n">
        <v>60</v>
      </c>
      <c r="G342" s="14">
        <f>IF(OR(A342="",C342&lt;&gt;"労働日"),0,MAX(0,MOD(E342-D342,1)*24-F342/60))</f>
        <v>8</v>
      </c>
      <c r="H342" s="15">
        <f>IF(A342="","",INT((A342-$B$4)/7)+1)</f>
        <v>48</v>
      </c>
      <c r="I342" s="16">
        <f>IF(AND(A342&lt;&gt;"",C342="労働日"),I341+1,0)</f>
        <v>5</v>
      </c>
      <c r="J342" s="16">
        <f>IF(AND(A342&lt;&gt;"",ISNUMBER($B$7),ISNUMBER($B$8)),IF(AND(A342&gt;=$B$7,A342&lt;=$B$8),1,0),0)</f>
        <v>0</v>
      </c>
    </row>
    <row r="343">
      <c r="A343" s="9">
        <f>IF(ISNUMBER($B$4),IF(ISNUMBER($B$5),IF($B$4+331&lt;=$B$5,$B$4+331,""),""),"")</f>
        <v>46627</v>
      </c>
      <c r="B343" s="10" t="str">
        <f>IF(A343="","",CHOOSE(WEEKDAY(A343),"日","月","火","水","木","金","土"))</f>
        <v>土</v>
      </c>
      <c r="C343" s="11" t="inlineStr">
        <is>
          <t>休日</t>
        </is>
      </c>
      <c r="D343" s="12" t="n"/>
      <c r="E343" s="12" t="n"/>
      <c r="F343" s="13" t="n"/>
      <c r="G343" s="14">
        <f>IF(OR(A343="",C343&lt;&gt;"労働日"),0,MAX(0,MOD(E343-D343,1)*24-F343/60))</f>
        <v>0</v>
      </c>
      <c r="H343" s="15">
        <f>IF(A343="","",INT((A343-$B$4)/7)+1)</f>
        <v>48</v>
      </c>
      <c r="I343" s="16">
        <f>IF(AND(A343&lt;&gt;"",C343="労働日"),I342+1,0)</f>
        <v>0</v>
      </c>
      <c r="J343" s="16">
        <f>IF(AND(A343&lt;&gt;"",ISNUMBER($B$7),ISNUMBER($B$8)),IF(AND(A343&gt;=$B$7,A343&lt;=$B$8),1,0),0)</f>
        <v>0</v>
      </c>
    </row>
    <row r="344">
      <c r="A344" s="9">
        <f>IF(ISNUMBER($B$4),IF(ISNUMBER($B$5),IF($B$4+332&lt;=$B$5,$B$4+332,""),""),"")</f>
        <v>46628</v>
      </c>
      <c r="B344" s="10" t="str">
        <f>IF(A344="","",CHOOSE(WEEKDAY(A344),"日","月","火","水","木","金","土"))</f>
        <v>日</v>
      </c>
      <c r="C344" s="11" t="inlineStr">
        <is>
          <t>休日</t>
        </is>
      </c>
      <c r="D344" s="12" t="n"/>
      <c r="E344" s="12" t="n"/>
      <c r="F344" s="13" t="n"/>
      <c r="G344" s="14">
        <f>IF(OR(A344="",C344&lt;&gt;"労働日"),0,MAX(0,MOD(E344-D344,1)*24-F344/60))</f>
        <v>0</v>
      </c>
      <c r="H344" s="15">
        <f>IF(A344="","",INT((A344-$B$4)/7)+1)</f>
        <v>48</v>
      </c>
      <c r="I344" s="16">
        <f>IF(AND(A344&lt;&gt;"",C344="労働日"),I343+1,0)</f>
        <v>0</v>
      </c>
      <c r="J344" s="16">
        <f>IF(AND(A344&lt;&gt;"",ISNUMBER($B$7),ISNUMBER($B$8)),IF(AND(A344&gt;=$B$7,A344&lt;=$B$8),1,0),0)</f>
        <v>0</v>
      </c>
    </row>
    <row r="345">
      <c r="A345" s="9">
        <f>IF(ISNUMBER($B$4),IF(ISNUMBER($B$5),IF($B$4+333&lt;=$B$5,$B$4+333,""),""),"")</f>
        <v>46629</v>
      </c>
      <c r="B345" s="10" t="str">
        <f>IF(A345="","",CHOOSE(WEEKDAY(A345),"日","月","火","水","木","金","土"))</f>
        <v>月</v>
      </c>
      <c r="C345" s="11" t="inlineStr">
        <is>
          <t>労働日</t>
        </is>
      </c>
      <c r="D345" s="12" t="n">
        <v>0.375</v>
      </c>
      <c r="E345" s="12" t="n">
        <v>0.75</v>
      </c>
      <c r="F345" s="13" t="n">
        <v>60</v>
      </c>
      <c r="G345" s="14">
        <f>IF(OR(A345="",C345&lt;&gt;"労働日"),0,MAX(0,MOD(E345-D345,1)*24-F345/60))</f>
        <v>8</v>
      </c>
      <c r="H345" s="15">
        <f>IF(A345="","",INT((A345-$B$4)/7)+1)</f>
        <v>48</v>
      </c>
      <c r="I345" s="16">
        <f>IF(AND(A345&lt;&gt;"",C345="労働日"),I344+1,0)</f>
        <v>1</v>
      </c>
      <c r="J345" s="16">
        <f>IF(AND(A345&lt;&gt;"",ISNUMBER($B$7),ISNUMBER($B$8)),IF(AND(A345&gt;=$B$7,A345&lt;=$B$8),1,0),0)</f>
        <v>0</v>
      </c>
    </row>
    <row r="346">
      <c r="A346" s="9">
        <f>IF(ISNUMBER($B$4),IF(ISNUMBER($B$5),IF($B$4+334&lt;=$B$5,$B$4+334,""),""),"")</f>
        <v>46630</v>
      </c>
      <c r="B346" s="10" t="str">
        <f>IF(A346="","",CHOOSE(WEEKDAY(A346),"日","月","火","水","木","金","土"))</f>
        <v>火</v>
      </c>
      <c r="C346" s="11" t="inlineStr">
        <is>
          <t>労働日</t>
        </is>
      </c>
      <c r="D346" s="12" t="n">
        <v>0.375</v>
      </c>
      <c r="E346" s="12" t="n">
        <v>0.75</v>
      </c>
      <c r="F346" s="13" t="n">
        <v>60</v>
      </c>
      <c r="G346" s="14">
        <f>IF(OR(A346="",C346&lt;&gt;"労働日"),0,MAX(0,MOD(E346-D346,1)*24-F346/60))</f>
        <v>8</v>
      </c>
      <c r="H346" s="15">
        <f>IF(A346="","",INT((A346-$B$4)/7)+1)</f>
        <v>48</v>
      </c>
      <c r="I346" s="16">
        <f>IF(AND(A346&lt;&gt;"",C346="労働日"),I345+1,0)</f>
        <v>2</v>
      </c>
      <c r="J346" s="16">
        <f>IF(AND(A346&lt;&gt;"",ISNUMBER($B$7),ISNUMBER($B$8)),IF(AND(A346&gt;=$B$7,A346&lt;=$B$8),1,0),0)</f>
        <v>0</v>
      </c>
    </row>
    <row r="347">
      <c r="A347" s="9">
        <f>IF(ISNUMBER($B$4),IF(ISNUMBER($B$5),IF($B$4+335&lt;=$B$5,$B$4+335,""),""),"")</f>
        <v>46631</v>
      </c>
      <c r="B347" s="10" t="str">
        <f>IF(A347="","",CHOOSE(WEEKDAY(A347),"日","月","火","水","木","金","土"))</f>
        <v>水</v>
      </c>
      <c r="C347" s="11" t="inlineStr">
        <is>
          <t>労働日</t>
        </is>
      </c>
      <c r="D347" s="12" t="n">
        <v>0.375</v>
      </c>
      <c r="E347" s="12" t="n">
        <v>0.75</v>
      </c>
      <c r="F347" s="13" t="n">
        <v>60</v>
      </c>
      <c r="G347" s="14">
        <f>IF(OR(A347="",C347&lt;&gt;"労働日"),0,MAX(0,MOD(E347-D347,1)*24-F347/60))</f>
        <v>8</v>
      </c>
      <c r="H347" s="15">
        <f>IF(A347="","",INT((A347-$B$4)/7)+1)</f>
        <v>48</v>
      </c>
      <c r="I347" s="16">
        <f>IF(AND(A347&lt;&gt;"",C347="労働日"),I346+1,0)</f>
        <v>3</v>
      </c>
      <c r="J347" s="16">
        <f>IF(AND(A347&lt;&gt;"",ISNUMBER($B$7),ISNUMBER($B$8)),IF(AND(A347&gt;=$B$7,A347&lt;=$B$8),1,0),0)</f>
        <v>0</v>
      </c>
    </row>
    <row r="348">
      <c r="A348" s="9">
        <f>IF(ISNUMBER($B$4),IF(ISNUMBER($B$5),IF($B$4+336&lt;=$B$5,$B$4+336,""),""),"")</f>
        <v>46632</v>
      </c>
      <c r="B348" s="10" t="str">
        <f>IF(A348="","",CHOOSE(WEEKDAY(A348),"日","月","火","水","木","金","土"))</f>
        <v>木</v>
      </c>
      <c r="C348" s="11" t="inlineStr">
        <is>
          <t>労働日</t>
        </is>
      </c>
      <c r="D348" s="12" t="n">
        <v>0.375</v>
      </c>
      <c r="E348" s="12" t="n">
        <v>0.75</v>
      </c>
      <c r="F348" s="13" t="n">
        <v>60</v>
      </c>
      <c r="G348" s="14">
        <f>IF(OR(A348="",C348&lt;&gt;"労働日"),0,MAX(0,MOD(E348-D348,1)*24-F348/60))</f>
        <v>8</v>
      </c>
      <c r="H348" s="15">
        <f>IF(A348="","",INT((A348-$B$4)/7)+1)</f>
        <v>49</v>
      </c>
      <c r="I348" s="16">
        <f>IF(AND(A348&lt;&gt;"",C348="労働日"),I347+1,0)</f>
        <v>4</v>
      </c>
      <c r="J348" s="16">
        <f>IF(AND(A348&lt;&gt;"",ISNUMBER($B$7),ISNUMBER($B$8)),IF(AND(A348&gt;=$B$7,A348&lt;=$B$8),1,0),0)</f>
        <v>0</v>
      </c>
    </row>
    <row r="349">
      <c r="A349" s="9">
        <f>IF(ISNUMBER($B$4),IF(ISNUMBER($B$5),IF($B$4+337&lt;=$B$5,$B$4+337,""),""),"")</f>
        <v>46633</v>
      </c>
      <c r="B349" s="10" t="str">
        <f>IF(A349="","",CHOOSE(WEEKDAY(A349),"日","月","火","水","木","金","土"))</f>
        <v>金</v>
      </c>
      <c r="C349" s="11" t="inlineStr">
        <is>
          <t>労働日</t>
        </is>
      </c>
      <c r="D349" s="12" t="n">
        <v>0.375</v>
      </c>
      <c r="E349" s="12" t="n">
        <v>0.75</v>
      </c>
      <c r="F349" s="13" t="n">
        <v>60</v>
      </c>
      <c r="G349" s="14">
        <f>IF(OR(A349="",C349&lt;&gt;"労働日"),0,MAX(0,MOD(E349-D349,1)*24-F349/60))</f>
        <v>8</v>
      </c>
      <c r="H349" s="15">
        <f>IF(A349="","",INT((A349-$B$4)/7)+1)</f>
        <v>49</v>
      </c>
      <c r="I349" s="16">
        <f>IF(AND(A349&lt;&gt;"",C349="労働日"),I348+1,0)</f>
        <v>5</v>
      </c>
      <c r="J349" s="16">
        <f>IF(AND(A349&lt;&gt;"",ISNUMBER($B$7),ISNUMBER($B$8)),IF(AND(A349&gt;=$B$7,A349&lt;=$B$8),1,0),0)</f>
        <v>0</v>
      </c>
    </row>
    <row r="350">
      <c r="A350" s="9">
        <f>IF(ISNUMBER($B$4),IF(ISNUMBER($B$5),IF($B$4+338&lt;=$B$5,$B$4+338,""),""),"")</f>
        <v>46634</v>
      </c>
      <c r="B350" s="10" t="str">
        <f>IF(A350="","",CHOOSE(WEEKDAY(A350),"日","月","火","水","木","金","土"))</f>
        <v>土</v>
      </c>
      <c r="C350" s="11" t="inlineStr">
        <is>
          <t>休日</t>
        </is>
      </c>
      <c r="D350" s="12" t="n"/>
      <c r="E350" s="12" t="n"/>
      <c r="F350" s="13" t="n"/>
      <c r="G350" s="14">
        <f>IF(OR(A350="",C350&lt;&gt;"労働日"),0,MAX(0,MOD(E350-D350,1)*24-F350/60))</f>
        <v>0</v>
      </c>
      <c r="H350" s="15">
        <f>IF(A350="","",INT((A350-$B$4)/7)+1)</f>
        <v>49</v>
      </c>
      <c r="I350" s="16">
        <f>IF(AND(A350&lt;&gt;"",C350="労働日"),I349+1,0)</f>
        <v>0</v>
      </c>
      <c r="J350" s="16">
        <f>IF(AND(A350&lt;&gt;"",ISNUMBER($B$7),ISNUMBER($B$8)),IF(AND(A350&gt;=$B$7,A350&lt;=$B$8),1,0),0)</f>
        <v>0</v>
      </c>
    </row>
    <row r="351">
      <c r="A351" s="9">
        <f>IF(ISNUMBER($B$4),IF(ISNUMBER($B$5),IF($B$4+339&lt;=$B$5,$B$4+339,""),""),"")</f>
        <v>46635</v>
      </c>
      <c r="B351" s="10" t="str">
        <f>IF(A351="","",CHOOSE(WEEKDAY(A351),"日","月","火","水","木","金","土"))</f>
        <v>日</v>
      </c>
      <c r="C351" s="11" t="inlineStr">
        <is>
          <t>休日</t>
        </is>
      </c>
      <c r="D351" s="12" t="n"/>
      <c r="E351" s="12" t="n"/>
      <c r="F351" s="13" t="n"/>
      <c r="G351" s="14">
        <f>IF(OR(A351="",C351&lt;&gt;"労働日"),0,MAX(0,MOD(E351-D351,1)*24-F351/60))</f>
        <v>0</v>
      </c>
      <c r="H351" s="15">
        <f>IF(A351="","",INT((A351-$B$4)/7)+1)</f>
        <v>49</v>
      </c>
      <c r="I351" s="16">
        <f>IF(AND(A351&lt;&gt;"",C351="労働日"),I350+1,0)</f>
        <v>0</v>
      </c>
      <c r="J351" s="16">
        <f>IF(AND(A351&lt;&gt;"",ISNUMBER($B$7),ISNUMBER($B$8)),IF(AND(A351&gt;=$B$7,A351&lt;=$B$8),1,0),0)</f>
        <v>0</v>
      </c>
    </row>
    <row r="352">
      <c r="A352" s="9">
        <f>IF(ISNUMBER($B$4),IF(ISNUMBER($B$5),IF($B$4+340&lt;=$B$5,$B$4+340,""),""),"")</f>
        <v>46636</v>
      </c>
      <c r="B352" s="10" t="str">
        <f>IF(A352="","",CHOOSE(WEEKDAY(A352),"日","月","火","水","木","金","土"))</f>
        <v>月</v>
      </c>
      <c r="C352" s="11" t="inlineStr">
        <is>
          <t>労働日</t>
        </is>
      </c>
      <c r="D352" s="12" t="n">
        <v>0.375</v>
      </c>
      <c r="E352" s="12" t="n">
        <v>0.75</v>
      </c>
      <c r="F352" s="13" t="n">
        <v>60</v>
      </c>
      <c r="G352" s="14">
        <f>IF(OR(A352="",C352&lt;&gt;"労働日"),0,MAX(0,MOD(E352-D352,1)*24-F352/60))</f>
        <v>8</v>
      </c>
      <c r="H352" s="15">
        <f>IF(A352="","",INT((A352-$B$4)/7)+1)</f>
        <v>49</v>
      </c>
      <c r="I352" s="16">
        <f>IF(AND(A352&lt;&gt;"",C352="労働日"),I351+1,0)</f>
        <v>1</v>
      </c>
      <c r="J352" s="16">
        <f>IF(AND(A352&lt;&gt;"",ISNUMBER($B$7),ISNUMBER($B$8)),IF(AND(A352&gt;=$B$7,A352&lt;=$B$8),1,0),0)</f>
        <v>0</v>
      </c>
    </row>
    <row r="353">
      <c r="A353" s="9">
        <f>IF(ISNUMBER($B$4),IF(ISNUMBER($B$5),IF($B$4+341&lt;=$B$5,$B$4+341,""),""),"")</f>
        <v>46637</v>
      </c>
      <c r="B353" s="10" t="str">
        <f>IF(A353="","",CHOOSE(WEEKDAY(A353),"日","月","火","水","木","金","土"))</f>
        <v>火</v>
      </c>
      <c r="C353" s="11" t="inlineStr">
        <is>
          <t>労働日</t>
        </is>
      </c>
      <c r="D353" s="12" t="n">
        <v>0.375</v>
      </c>
      <c r="E353" s="12" t="n">
        <v>0.75</v>
      </c>
      <c r="F353" s="13" t="n">
        <v>60</v>
      </c>
      <c r="G353" s="14">
        <f>IF(OR(A353="",C353&lt;&gt;"労働日"),0,MAX(0,MOD(E353-D353,1)*24-F353/60))</f>
        <v>8</v>
      </c>
      <c r="H353" s="15">
        <f>IF(A353="","",INT((A353-$B$4)/7)+1)</f>
        <v>49</v>
      </c>
      <c r="I353" s="16">
        <f>IF(AND(A353&lt;&gt;"",C353="労働日"),I352+1,0)</f>
        <v>2</v>
      </c>
      <c r="J353" s="16">
        <f>IF(AND(A353&lt;&gt;"",ISNUMBER($B$7),ISNUMBER($B$8)),IF(AND(A353&gt;=$B$7,A353&lt;=$B$8),1,0),0)</f>
        <v>0</v>
      </c>
    </row>
    <row r="354">
      <c r="A354" s="9">
        <f>IF(ISNUMBER($B$4),IF(ISNUMBER($B$5),IF($B$4+342&lt;=$B$5,$B$4+342,""),""),"")</f>
        <v>46638</v>
      </c>
      <c r="B354" s="10" t="str">
        <f>IF(A354="","",CHOOSE(WEEKDAY(A354),"日","月","火","水","木","金","土"))</f>
        <v>水</v>
      </c>
      <c r="C354" s="11" t="inlineStr">
        <is>
          <t>労働日</t>
        </is>
      </c>
      <c r="D354" s="12" t="n">
        <v>0.375</v>
      </c>
      <c r="E354" s="12" t="n">
        <v>0.75</v>
      </c>
      <c r="F354" s="13" t="n">
        <v>60</v>
      </c>
      <c r="G354" s="14">
        <f>IF(OR(A354="",C354&lt;&gt;"労働日"),0,MAX(0,MOD(E354-D354,1)*24-F354/60))</f>
        <v>8</v>
      </c>
      <c r="H354" s="15">
        <f>IF(A354="","",INT((A354-$B$4)/7)+1)</f>
        <v>49</v>
      </c>
      <c r="I354" s="16">
        <f>IF(AND(A354&lt;&gt;"",C354="労働日"),I353+1,0)</f>
        <v>3</v>
      </c>
      <c r="J354" s="16">
        <f>IF(AND(A354&lt;&gt;"",ISNUMBER($B$7),ISNUMBER($B$8)),IF(AND(A354&gt;=$B$7,A354&lt;=$B$8),1,0),0)</f>
        <v>0</v>
      </c>
    </row>
    <row r="355">
      <c r="A355" s="9">
        <f>IF(ISNUMBER($B$4),IF(ISNUMBER($B$5),IF($B$4+343&lt;=$B$5,$B$4+343,""),""),"")</f>
        <v>46639</v>
      </c>
      <c r="B355" s="10" t="str">
        <f>IF(A355="","",CHOOSE(WEEKDAY(A355),"日","月","火","水","木","金","土"))</f>
        <v>木</v>
      </c>
      <c r="C355" s="11" t="inlineStr">
        <is>
          <t>労働日</t>
        </is>
      </c>
      <c r="D355" s="12" t="n">
        <v>0.375</v>
      </c>
      <c r="E355" s="12" t="n">
        <v>0.75</v>
      </c>
      <c r="F355" s="13" t="n">
        <v>60</v>
      </c>
      <c r="G355" s="14">
        <f>IF(OR(A355="",C355&lt;&gt;"労働日"),0,MAX(0,MOD(E355-D355,1)*24-F355/60))</f>
        <v>8</v>
      </c>
      <c r="H355" s="15">
        <f>IF(A355="","",INT((A355-$B$4)/7)+1)</f>
        <v>50</v>
      </c>
      <c r="I355" s="16">
        <f>IF(AND(A355&lt;&gt;"",C355="労働日"),I354+1,0)</f>
        <v>4</v>
      </c>
      <c r="J355" s="16">
        <f>IF(AND(A355&lt;&gt;"",ISNUMBER($B$7),ISNUMBER($B$8)),IF(AND(A355&gt;=$B$7,A355&lt;=$B$8),1,0),0)</f>
        <v>0</v>
      </c>
    </row>
    <row r="356">
      <c r="A356" s="9">
        <f>IF(ISNUMBER($B$4),IF(ISNUMBER($B$5),IF($B$4+344&lt;=$B$5,$B$4+344,""),""),"")</f>
        <v>46640</v>
      </c>
      <c r="B356" s="10" t="str">
        <f>IF(A356="","",CHOOSE(WEEKDAY(A356),"日","月","火","水","木","金","土"))</f>
        <v>金</v>
      </c>
      <c r="C356" s="11" t="inlineStr">
        <is>
          <t>労働日</t>
        </is>
      </c>
      <c r="D356" s="12" t="n">
        <v>0.375</v>
      </c>
      <c r="E356" s="12" t="n">
        <v>0.75</v>
      </c>
      <c r="F356" s="13" t="n">
        <v>60</v>
      </c>
      <c r="G356" s="14">
        <f>IF(OR(A356="",C356&lt;&gt;"労働日"),0,MAX(0,MOD(E356-D356,1)*24-F356/60))</f>
        <v>8</v>
      </c>
      <c r="H356" s="15">
        <f>IF(A356="","",INT((A356-$B$4)/7)+1)</f>
        <v>50</v>
      </c>
      <c r="I356" s="16">
        <f>IF(AND(A356&lt;&gt;"",C356="労働日"),I355+1,0)</f>
        <v>5</v>
      </c>
      <c r="J356" s="16">
        <f>IF(AND(A356&lt;&gt;"",ISNUMBER($B$7),ISNUMBER($B$8)),IF(AND(A356&gt;=$B$7,A356&lt;=$B$8),1,0),0)</f>
        <v>0</v>
      </c>
    </row>
    <row r="357">
      <c r="A357" s="9">
        <f>IF(ISNUMBER($B$4),IF(ISNUMBER($B$5),IF($B$4+345&lt;=$B$5,$B$4+345,""),""),"")</f>
        <v>46641</v>
      </c>
      <c r="B357" s="10" t="str">
        <f>IF(A357="","",CHOOSE(WEEKDAY(A357),"日","月","火","水","木","金","土"))</f>
        <v>土</v>
      </c>
      <c r="C357" s="11" t="inlineStr">
        <is>
          <t>休日</t>
        </is>
      </c>
      <c r="D357" s="12" t="n"/>
      <c r="E357" s="12" t="n"/>
      <c r="F357" s="13" t="n"/>
      <c r="G357" s="14">
        <f>IF(OR(A357="",C357&lt;&gt;"労働日"),0,MAX(0,MOD(E357-D357,1)*24-F357/60))</f>
        <v>0</v>
      </c>
      <c r="H357" s="15">
        <f>IF(A357="","",INT((A357-$B$4)/7)+1)</f>
        <v>50</v>
      </c>
      <c r="I357" s="16">
        <f>IF(AND(A357&lt;&gt;"",C357="労働日"),I356+1,0)</f>
        <v>0</v>
      </c>
      <c r="J357" s="16">
        <f>IF(AND(A357&lt;&gt;"",ISNUMBER($B$7),ISNUMBER($B$8)),IF(AND(A357&gt;=$B$7,A357&lt;=$B$8),1,0),0)</f>
        <v>0</v>
      </c>
    </row>
    <row r="358">
      <c r="A358" s="9">
        <f>IF(ISNUMBER($B$4),IF(ISNUMBER($B$5),IF($B$4+346&lt;=$B$5,$B$4+346,""),""),"")</f>
        <v>46642</v>
      </c>
      <c r="B358" s="10" t="str">
        <f>IF(A358="","",CHOOSE(WEEKDAY(A358),"日","月","火","水","木","金","土"))</f>
        <v>日</v>
      </c>
      <c r="C358" s="11" t="inlineStr">
        <is>
          <t>休日</t>
        </is>
      </c>
      <c r="D358" s="12" t="n"/>
      <c r="E358" s="12" t="n"/>
      <c r="F358" s="13" t="n"/>
      <c r="G358" s="14">
        <f>IF(OR(A358="",C358&lt;&gt;"労働日"),0,MAX(0,MOD(E358-D358,1)*24-F358/60))</f>
        <v>0</v>
      </c>
      <c r="H358" s="15">
        <f>IF(A358="","",INT((A358-$B$4)/7)+1)</f>
        <v>50</v>
      </c>
      <c r="I358" s="16">
        <f>IF(AND(A358&lt;&gt;"",C358="労働日"),I357+1,0)</f>
        <v>0</v>
      </c>
      <c r="J358" s="16">
        <f>IF(AND(A358&lt;&gt;"",ISNUMBER($B$7),ISNUMBER($B$8)),IF(AND(A358&gt;=$B$7,A358&lt;=$B$8),1,0),0)</f>
        <v>0</v>
      </c>
    </row>
    <row r="359">
      <c r="A359" s="9">
        <f>IF(ISNUMBER($B$4),IF(ISNUMBER($B$5),IF($B$4+347&lt;=$B$5,$B$4+347,""),""),"")</f>
        <v>46643</v>
      </c>
      <c r="B359" s="10" t="str">
        <f>IF(A359="","",CHOOSE(WEEKDAY(A359),"日","月","火","水","木","金","土"))</f>
        <v>月</v>
      </c>
      <c r="C359" s="11" t="inlineStr">
        <is>
          <t>労働日</t>
        </is>
      </c>
      <c r="D359" s="12" t="n">
        <v>0.375</v>
      </c>
      <c r="E359" s="12" t="n">
        <v>0.75</v>
      </c>
      <c r="F359" s="13" t="n">
        <v>60</v>
      </c>
      <c r="G359" s="14">
        <f>IF(OR(A359="",C359&lt;&gt;"労働日"),0,MAX(0,MOD(E359-D359,1)*24-F359/60))</f>
        <v>8</v>
      </c>
      <c r="H359" s="15">
        <f>IF(A359="","",INT((A359-$B$4)/7)+1)</f>
        <v>50</v>
      </c>
      <c r="I359" s="16">
        <f>IF(AND(A359&lt;&gt;"",C359="労働日"),I358+1,0)</f>
        <v>1</v>
      </c>
      <c r="J359" s="16">
        <f>IF(AND(A359&lt;&gt;"",ISNUMBER($B$7),ISNUMBER($B$8)),IF(AND(A359&gt;=$B$7,A359&lt;=$B$8),1,0),0)</f>
        <v>0</v>
      </c>
    </row>
    <row r="360">
      <c r="A360" s="9">
        <f>IF(ISNUMBER($B$4),IF(ISNUMBER($B$5),IF($B$4+348&lt;=$B$5,$B$4+348,""),""),"")</f>
        <v>46644</v>
      </c>
      <c r="B360" s="10" t="str">
        <f>IF(A360="","",CHOOSE(WEEKDAY(A360),"日","月","火","水","木","金","土"))</f>
        <v>火</v>
      </c>
      <c r="C360" s="11" t="inlineStr">
        <is>
          <t>労働日</t>
        </is>
      </c>
      <c r="D360" s="12" t="n">
        <v>0.375</v>
      </c>
      <c r="E360" s="12" t="n">
        <v>0.75</v>
      </c>
      <c r="F360" s="13" t="n">
        <v>60</v>
      </c>
      <c r="G360" s="14">
        <f>IF(OR(A360="",C360&lt;&gt;"労働日"),0,MAX(0,MOD(E360-D360,1)*24-F360/60))</f>
        <v>8</v>
      </c>
      <c r="H360" s="15">
        <f>IF(A360="","",INT((A360-$B$4)/7)+1)</f>
        <v>50</v>
      </c>
      <c r="I360" s="16">
        <f>IF(AND(A360&lt;&gt;"",C360="労働日"),I359+1,0)</f>
        <v>2</v>
      </c>
      <c r="J360" s="16">
        <f>IF(AND(A360&lt;&gt;"",ISNUMBER($B$7),ISNUMBER($B$8)),IF(AND(A360&gt;=$B$7,A360&lt;=$B$8),1,0),0)</f>
        <v>0</v>
      </c>
    </row>
    <row r="361">
      <c r="A361" s="9">
        <f>IF(ISNUMBER($B$4),IF(ISNUMBER($B$5),IF($B$4+349&lt;=$B$5,$B$4+349,""),""),"")</f>
        <v>46645</v>
      </c>
      <c r="B361" s="10" t="str">
        <f>IF(A361="","",CHOOSE(WEEKDAY(A361),"日","月","火","水","木","金","土"))</f>
        <v>水</v>
      </c>
      <c r="C361" s="11" t="inlineStr">
        <is>
          <t>労働日</t>
        </is>
      </c>
      <c r="D361" s="12" t="n">
        <v>0.375</v>
      </c>
      <c r="E361" s="12" t="n">
        <v>0.75</v>
      </c>
      <c r="F361" s="13" t="n">
        <v>60</v>
      </c>
      <c r="G361" s="14">
        <f>IF(OR(A361="",C361&lt;&gt;"労働日"),0,MAX(0,MOD(E361-D361,1)*24-F361/60))</f>
        <v>8</v>
      </c>
      <c r="H361" s="15">
        <f>IF(A361="","",INT((A361-$B$4)/7)+1)</f>
        <v>50</v>
      </c>
      <c r="I361" s="16">
        <f>IF(AND(A361&lt;&gt;"",C361="労働日"),I360+1,0)</f>
        <v>3</v>
      </c>
      <c r="J361" s="16">
        <f>IF(AND(A361&lt;&gt;"",ISNUMBER($B$7),ISNUMBER($B$8)),IF(AND(A361&gt;=$B$7,A361&lt;=$B$8),1,0),0)</f>
        <v>0</v>
      </c>
    </row>
    <row r="362">
      <c r="A362" s="9">
        <f>IF(ISNUMBER($B$4),IF(ISNUMBER($B$5),IF($B$4+350&lt;=$B$5,$B$4+350,""),""),"")</f>
        <v>46646</v>
      </c>
      <c r="B362" s="10" t="str">
        <f>IF(A362="","",CHOOSE(WEEKDAY(A362),"日","月","火","水","木","金","土"))</f>
        <v>木</v>
      </c>
      <c r="C362" s="11" t="inlineStr">
        <is>
          <t>労働日</t>
        </is>
      </c>
      <c r="D362" s="12" t="n">
        <v>0.375</v>
      </c>
      <c r="E362" s="12" t="n">
        <v>0.75</v>
      </c>
      <c r="F362" s="13" t="n">
        <v>60</v>
      </c>
      <c r="G362" s="14">
        <f>IF(OR(A362="",C362&lt;&gt;"労働日"),0,MAX(0,MOD(E362-D362,1)*24-F362/60))</f>
        <v>8</v>
      </c>
      <c r="H362" s="15">
        <f>IF(A362="","",INT((A362-$B$4)/7)+1)</f>
        <v>51</v>
      </c>
      <c r="I362" s="16">
        <f>IF(AND(A362&lt;&gt;"",C362="労働日"),I361+1,0)</f>
        <v>4</v>
      </c>
      <c r="J362" s="16">
        <f>IF(AND(A362&lt;&gt;"",ISNUMBER($B$7),ISNUMBER($B$8)),IF(AND(A362&gt;=$B$7,A362&lt;=$B$8),1,0),0)</f>
        <v>0</v>
      </c>
    </row>
    <row r="363">
      <c r="A363" s="9">
        <f>IF(ISNUMBER($B$4),IF(ISNUMBER($B$5),IF($B$4+351&lt;=$B$5,$B$4+351,""),""),"")</f>
        <v>46647</v>
      </c>
      <c r="B363" s="10" t="str">
        <f>IF(A363="","",CHOOSE(WEEKDAY(A363),"日","月","火","水","木","金","土"))</f>
        <v>金</v>
      </c>
      <c r="C363" s="11" t="inlineStr">
        <is>
          <t>労働日</t>
        </is>
      </c>
      <c r="D363" s="12" t="n">
        <v>0.375</v>
      </c>
      <c r="E363" s="12" t="n">
        <v>0.75</v>
      </c>
      <c r="F363" s="13" t="n">
        <v>60</v>
      </c>
      <c r="G363" s="14">
        <f>IF(OR(A363="",C363&lt;&gt;"労働日"),0,MAX(0,MOD(E363-D363,1)*24-F363/60))</f>
        <v>8</v>
      </c>
      <c r="H363" s="15">
        <f>IF(A363="","",INT((A363-$B$4)/7)+1)</f>
        <v>51</v>
      </c>
      <c r="I363" s="16">
        <f>IF(AND(A363&lt;&gt;"",C363="労働日"),I362+1,0)</f>
        <v>5</v>
      </c>
      <c r="J363" s="16">
        <f>IF(AND(A363&lt;&gt;"",ISNUMBER($B$7),ISNUMBER($B$8)),IF(AND(A363&gt;=$B$7,A363&lt;=$B$8),1,0),0)</f>
        <v>0</v>
      </c>
    </row>
    <row r="364">
      <c r="A364" s="9">
        <f>IF(ISNUMBER($B$4),IF(ISNUMBER($B$5),IF($B$4+352&lt;=$B$5,$B$4+352,""),""),"")</f>
        <v>46648</v>
      </c>
      <c r="B364" s="10" t="str">
        <f>IF(A364="","",CHOOSE(WEEKDAY(A364),"日","月","火","水","木","金","土"))</f>
        <v>土</v>
      </c>
      <c r="C364" s="11" t="inlineStr">
        <is>
          <t>休日</t>
        </is>
      </c>
      <c r="D364" s="12" t="n"/>
      <c r="E364" s="12" t="n"/>
      <c r="F364" s="13" t="n"/>
      <c r="G364" s="14">
        <f>IF(OR(A364="",C364&lt;&gt;"労働日"),0,MAX(0,MOD(E364-D364,1)*24-F364/60))</f>
        <v>0</v>
      </c>
      <c r="H364" s="15">
        <f>IF(A364="","",INT((A364-$B$4)/7)+1)</f>
        <v>51</v>
      </c>
      <c r="I364" s="16">
        <f>IF(AND(A364&lt;&gt;"",C364="労働日"),I363+1,0)</f>
        <v>0</v>
      </c>
      <c r="J364" s="16">
        <f>IF(AND(A364&lt;&gt;"",ISNUMBER($B$7),ISNUMBER($B$8)),IF(AND(A364&gt;=$B$7,A364&lt;=$B$8),1,0),0)</f>
        <v>0</v>
      </c>
    </row>
    <row r="365">
      <c r="A365" s="9">
        <f>IF(ISNUMBER($B$4),IF(ISNUMBER($B$5),IF($B$4+353&lt;=$B$5,$B$4+353,""),""),"")</f>
        <v>46649</v>
      </c>
      <c r="B365" s="10" t="str">
        <f>IF(A365="","",CHOOSE(WEEKDAY(A365),"日","月","火","水","木","金","土"))</f>
        <v>日</v>
      </c>
      <c r="C365" s="11" t="inlineStr">
        <is>
          <t>休日</t>
        </is>
      </c>
      <c r="D365" s="12" t="n"/>
      <c r="E365" s="12" t="n"/>
      <c r="F365" s="13" t="n"/>
      <c r="G365" s="14">
        <f>IF(OR(A365="",C365&lt;&gt;"労働日"),0,MAX(0,MOD(E365-D365,1)*24-F365/60))</f>
        <v>0</v>
      </c>
      <c r="H365" s="15">
        <f>IF(A365="","",INT((A365-$B$4)/7)+1)</f>
        <v>51</v>
      </c>
      <c r="I365" s="16">
        <f>IF(AND(A365&lt;&gt;"",C365="労働日"),I364+1,0)</f>
        <v>0</v>
      </c>
      <c r="J365" s="16">
        <f>IF(AND(A365&lt;&gt;"",ISNUMBER($B$7),ISNUMBER($B$8)),IF(AND(A365&gt;=$B$7,A365&lt;=$B$8),1,0),0)</f>
        <v>0</v>
      </c>
    </row>
    <row r="366">
      <c r="A366" s="9">
        <f>IF(ISNUMBER($B$4),IF(ISNUMBER($B$5),IF($B$4+354&lt;=$B$5,$B$4+354,""),""),"")</f>
        <v>46650</v>
      </c>
      <c r="B366" s="10" t="str">
        <f>IF(A366="","",CHOOSE(WEEKDAY(A366),"日","月","火","水","木","金","土"))</f>
        <v>月</v>
      </c>
      <c r="C366" s="11" t="inlineStr">
        <is>
          <t>労働日</t>
        </is>
      </c>
      <c r="D366" s="12" t="n">
        <v>0.375</v>
      </c>
      <c r="E366" s="12" t="n">
        <v>0.75</v>
      </c>
      <c r="F366" s="13" t="n">
        <v>60</v>
      </c>
      <c r="G366" s="14">
        <f>IF(OR(A366="",C366&lt;&gt;"労働日"),0,MAX(0,MOD(E366-D366,1)*24-F366/60))</f>
        <v>8</v>
      </c>
      <c r="H366" s="15">
        <f>IF(A366="","",INT((A366-$B$4)/7)+1)</f>
        <v>51</v>
      </c>
      <c r="I366" s="16">
        <f>IF(AND(A366&lt;&gt;"",C366="労働日"),I365+1,0)</f>
        <v>1</v>
      </c>
      <c r="J366" s="16">
        <f>IF(AND(A366&lt;&gt;"",ISNUMBER($B$7),ISNUMBER($B$8)),IF(AND(A366&gt;=$B$7,A366&lt;=$B$8),1,0),0)</f>
        <v>0</v>
      </c>
    </row>
    <row r="367">
      <c r="A367" s="9">
        <f>IF(ISNUMBER($B$4),IF(ISNUMBER($B$5),IF($B$4+355&lt;=$B$5,$B$4+355,""),""),"")</f>
        <v>46651</v>
      </c>
      <c r="B367" s="10" t="str">
        <f>IF(A367="","",CHOOSE(WEEKDAY(A367),"日","月","火","水","木","金","土"))</f>
        <v>火</v>
      </c>
      <c r="C367" s="11" t="inlineStr">
        <is>
          <t>労働日</t>
        </is>
      </c>
      <c r="D367" s="12" t="n">
        <v>0.375</v>
      </c>
      <c r="E367" s="12" t="n">
        <v>0.75</v>
      </c>
      <c r="F367" s="13" t="n">
        <v>60</v>
      </c>
      <c r="G367" s="14">
        <f>IF(OR(A367="",C367&lt;&gt;"労働日"),0,MAX(0,MOD(E367-D367,1)*24-F367/60))</f>
        <v>8</v>
      </c>
      <c r="H367" s="15">
        <f>IF(A367="","",INT((A367-$B$4)/7)+1)</f>
        <v>51</v>
      </c>
      <c r="I367" s="16">
        <f>IF(AND(A367&lt;&gt;"",C367="労働日"),I366+1,0)</f>
        <v>2</v>
      </c>
      <c r="J367" s="16">
        <f>IF(AND(A367&lt;&gt;"",ISNUMBER($B$7),ISNUMBER($B$8)),IF(AND(A367&gt;=$B$7,A367&lt;=$B$8),1,0),0)</f>
        <v>0</v>
      </c>
    </row>
    <row r="368">
      <c r="A368" s="9">
        <f>IF(ISNUMBER($B$4),IF(ISNUMBER($B$5),IF($B$4+356&lt;=$B$5,$B$4+356,""),""),"")</f>
        <v>46652</v>
      </c>
      <c r="B368" s="10" t="str">
        <f>IF(A368="","",CHOOSE(WEEKDAY(A368),"日","月","火","水","木","金","土"))</f>
        <v>水</v>
      </c>
      <c r="C368" s="11" t="inlineStr">
        <is>
          <t>労働日</t>
        </is>
      </c>
      <c r="D368" s="12" t="n">
        <v>0.375</v>
      </c>
      <c r="E368" s="12" t="n">
        <v>0.75</v>
      </c>
      <c r="F368" s="13" t="n">
        <v>60</v>
      </c>
      <c r="G368" s="14">
        <f>IF(OR(A368="",C368&lt;&gt;"労働日"),0,MAX(0,MOD(E368-D368,1)*24-F368/60))</f>
        <v>8</v>
      </c>
      <c r="H368" s="15">
        <f>IF(A368="","",INT((A368-$B$4)/7)+1)</f>
        <v>51</v>
      </c>
      <c r="I368" s="16">
        <f>IF(AND(A368&lt;&gt;"",C368="労働日"),I367+1,0)</f>
        <v>3</v>
      </c>
      <c r="J368" s="16">
        <f>IF(AND(A368&lt;&gt;"",ISNUMBER($B$7),ISNUMBER($B$8)),IF(AND(A368&gt;=$B$7,A368&lt;=$B$8),1,0),0)</f>
        <v>0</v>
      </c>
    </row>
    <row r="369">
      <c r="A369" s="9">
        <f>IF(ISNUMBER($B$4),IF(ISNUMBER($B$5),IF($B$4+357&lt;=$B$5,$B$4+357,""),""),"")</f>
        <v>46653</v>
      </c>
      <c r="B369" s="10" t="str">
        <f>IF(A369="","",CHOOSE(WEEKDAY(A369),"日","月","火","水","木","金","土"))</f>
        <v>木</v>
      </c>
      <c r="C369" s="11" t="inlineStr">
        <is>
          <t>労働日</t>
        </is>
      </c>
      <c r="D369" s="12" t="n">
        <v>0.375</v>
      </c>
      <c r="E369" s="12" t="n">
        <v>0.75</v>
      </c>
      <c r="F369" s="13" t="n">
        <v>60</v>
      </c>
      <c r="G369" s="14">
        <f>IF(OR(A369="",C369&lt;&gt;"労働日"),0,MAX(0,MOD(E369-D369,1)*24-F369/60))</f>
        <v>8</v>
      </c>
      <c r="H369" s="15">
        <f>IF(A369="","",INT((A369-$B$4)/7)+1)</f>
        <v>52</v>
      </c>
      <c r="I369" s="16">
        <f>IF(AND(A369&lt;&gt;"",C369="労働日"),I368+1,0)</f>
        <v>4</v>
      </c>
      <c r="J369" s="16">
        <f>IF(AND(A369&lt;&gt;"",ISNUMBER($B$7),ISNUMBER($B$8)),IF(AND(A369&gt;=$B$7,A369&lt;=$B$8),1,0),0)</f>
        <v>0</v>
      </c>
    </row>
    <row r="370">
      <c r="A370" s="9">
        <f>IF(ISNUMBER($B$4),IF(ISNUMBER($B$5),IF($B$4+358&lt;=$B$5,$B$4+358,""),""),"")</f>
        <v>46654</v>
      </c>
      <c r="B370" s="10" t="str">
        <f>IF(A370="","",CHOOSE(WEEKDAY(A370),"日","月","火","水","木","金","土"))</f>
        <v>金</v>
      </c>
      <c r="C370" s="11" t="inlineStr">
        <is>
          <t>労働日</t>
        </is>
      </c>
      <c r="D370" s="12" t="n">
        <v>0.375</v>
      </c>
      <c r="E370" s="12" t="n">
        <v>0.75</v>
      </c>
      <c r="F370" s="13" t="n">
        <v>60</v>
      </c>
      <c r="G370" s="14">
        <f>IF(OR(A370="",C370&lt;&gt;"労働日"),0,MAX(0,MOD(E370-D370,1)*24-F370/60))</f>
        <v>8</v>
      </c>
      <c r="H370" s="15">
        <f>IF(A370="","",INT((A370-$B$4)/7)+1)</f>
        <v>52</v>
      </c>
      <c r="I370" s="16">
        <f>IF(AND(A370&lt;&gt;"",C370="労働日"),I369+1,0)</f>
        <v>5</v>
      </c>
      <c r="J370" s="16">
        <f>IF(AND(A370&lt;&gt;"",ISNUMBER($B$7),ISNUMBER($B$8)),IF(AND(A370&gt;=$B$7,A370&lt;=$B$8),1,0),0)</f>
        <v>0</v>
      </c>
    </row>
    <row r="371">
      <c r="A371" s="9">
        <f>IF(ISNUMBER($B$4),IF(ISNUMBER($B$5),IF($B$4+359&lt;=$B$5,$B$4+359,""),""),"")</f>
        <v>46655</v>
      </c>
      <c r="B371" s="10" t="str">
        <f>IF(A371="","",CHOOSE(WEEKDAY(A371),"日","月","火","水","木","金","土"))</f>
        <v>土</v>
      </c>
      <c r="C371" s="11" t="inlineStr">
        <is>
          <t>休日</t>
        </is>
      </c>
      <c r="D371" s="12" t="n"/>
      <c r="E371" s="12" t="n"/>
      <c r="F371" s="13" t="n"/>
      <c r="G371" s="14">
        <f>IF(OR(A371="",C371&lt;&gt;"労働日"),0,MAX(0,MOD(E371-D371,1)*24-F371/60))</f>
        <v>0</v>
      </c>
      <c r="H371" s="15">
        <f>IF(A371="","",INT((A371-$B$4)/7)+1)</f>
        <v>52</v>
      </c>
      <c r="I371" s="16">
        <f>IF(AND(A371&lt;&gt;"",C371="労働日"),I370+1,0)</f>
        <v>0</v>
      </c>
      <c r="J371" s="16">
        <f>IF(AND(A371&lt;&gt;"",ISNUMBER($B$7),ISNUMBER($B$8)),IF(AND(A371&gt;=$B$7,A371&lt;=$B$8),1,0),0)</f>
        <v>0</v>
      </c>
    </row>
    <row r="372">
      <c r="A372" s="9">
        <f>IF(ISNUMBER($B$4),IF(ISNUMBER($B$5),IF($B$4+360&lt;=$B$5,$B$4+360,""),""),"")</f>
        <v>46656</v>
      </c>
      <c r="B372" s="10" t="str">
        <f>IF(A372="","",CHOOSE(WEEKDAY(A372),"日","月","火","水","木","金","土"))</f>
        <v>日</v>
      </c>
      <c r="C372" s="11" t="inlineStr">
        <is>
          <t>休日</t>
        </is>
      </c>
      <c r="D372" s="12" t="n"/>
      <c r="E372" s="12" t="n"/>
      <c r="F372" s="13" t="n"/>
      <c r="G372" s="14">
        <f>IF(OR(A372="",C372&lt;&gt;"労働日"),0,MAX(0,MOD(E372-D372,1)*24-F372/60))</f>
        <v>0</v>
      </c>
      <c r="H372" s="15">
        <f>IF(A372="","",INT((A372-$B$4)/7)+1)</f>
        <v>52</v>
      </c>
      <c r="I372" s="16">
        <f>IF(AND(A372&lt;&gt;"",C372="労働日"),I371+1,0)</f>
        <v>0</v>
      </c>
      <c r="J372" s="16">
        <f>IF(AND(A372&lt;&gt;"",ISNUMBER($B$7),ISNUMBER($B$8)),IF(AND(A372&gt;=$B$7,A372&lt;=$B$8),1,0),0)</f>
        <v>0</v>
      </c>
    </row>
    <row r="373">
      <c r="A373" s="9">
        <f>IF(ISNUMBER($B$4),IF(ISNUMBER($B$5),IF($B$4+361&lt;=$B$5,$B$4+361,""),""),"")</f>
        <v>46657</v>
      </c>
      <c r="B373" s="10" t="str">
        <f>IF(A373="","",CHOOSE(WEEKDAY(A373),"日","月","火","水","木","金","土"))</f>
        <v>月</v>
      </c>
      <c r="C373" s="11" t="inlineStr">
        <is>
          <t>労働日</t>
        </is>
      </c>
      <c r="D373" s="12" t="n">
        <v>0.375</v>
      </c>
      <c r="E373" s="12" t="n">
        <v>0.75</v>
      </c>
      <c r="F373" s="13" t="n">
        <v>60</v>
      </c>
      <c r="G373" s="14">
        <f>IF(OR(A373="",C373&lt;&gt;"労働日"),0,MAX(0,MOD(E373-D373,1)*24-F373/60))</f>
        <v>8</v>
      </c>
      <c r="H373" s="15">
        <f>IF(A373="","",INT((A373-$B$4)/7)+1)</f>
        <v>52</v>
      </c>
      <c r="I373" s="16">
        <f>IF(AND(A373&lt;&gt;"",C373="労働日"),I372+1,0)</f>
        <v>1</v>
      </c>
      <c r="J373" s="16">
        <f>IF(AND(A373&lt;&gt;"",ISNUMBER($B$7),ISNUMBER($B$8)),IF(AND(A373&gt;=$B$7,A373&lt;=$B$8),1,0),0)</f>
        <v>0</v>
      </c>
    </row>
    <row r="374">
      <c r="A374" s="9">
        <f>IF(ISNUMBER($B$4),IF(ISNUMBER($B$5),IF($B$4+362&lt;=$B$5,$B$4+362,""),""),"")</f>
        <v>46658</v>
      </c>
      <c r="B374" s="10" t="str">
        <f>IF(A374="","",CHOOSE(WEEKDAY(A374),"日","月","火","水","木","金","土"))</f>
        <v>火</v>
      </c>
      <c r="C374" s="11" t="inlineStr">
        <is>
          <t>労働日</t>
        </is>
      </c>
      <c r="D374" s="12" t="n">
        <v>0.375</v>
      </c>
      <c r="E374" s="12" t="n">
        <v>0.75</v>
      </c>
      <c r="F374" s="13" t="n">
        <v>60</v>
      </c>
      <c r="G374" s="14">
        <f>IF(OR(A374="",C374&lt;&gt;"労働日"),0,MAX(0,MOD(E374-D374,1)*24-F374/60))</f>
        <v>8</v>
      </c>
      <c r="H374" s="15">
        <f>IF(A374="","",INT((A374-$B$4)/7)+1)</f>
        <v>52</v>
      </c>
      <c r="I374" s="16">
        <f>IF(AND(A374&lt;&gt;"",C374="労働日"),I373+1,0)</f>
        <v>2</v>
      </c>
      <c r="J374" s="16">
        <f>IF(AND(A374&lt;&gt;"",ISNUMBER($B$7),ISNUMBER($B$8)),IF(AND(A374&gt;=$B$7,A374&lt;=$B$8),1,0),0)</f>
        <v>0</v>
      </c>
    </row>
    <row r="375">
      <c r="A375" s="9">
        <f>IF(ISNUMBER($B$4),IF(ISNUMBER($B$5),IF($B$4+363&lt;=$B$5,$B$4+363,""),""),"")</f>
        <v>46659</v>
      </c>
      <c r="B375" s="10" t="str">
        <f>IF(A375="","",CHOOSE(WEEKDAY(A375),"日","月","火","水","木","金","土"))</f>
        <v>水</v>
      </c>
      <c r="C375" s="11" t="inlineStr">
        <is>
          <t>労働日</t>
        </is>
      </c>
      <c r="D375" s="12" t="n">
        <v>0.375</v>
      </c>
      <c r="E375" s="12" t="n">
        <v>0.75</v>
      </c>
      <c r="F375" s="13" t="n">
        <v>60</v>
      </c>
      <c r="G375" s="14">
        <f>IF(OR(A375="",C375&lt;&gt;"労働日"),0,MAX(0,MOD(E375-D375,1)*24-F375/60))</f>
        <v>8</v>
      </c>
      <c r="H375" s="15">
        <f>IF(A375="","",INT((A375-$B$4)/7)+1)</f>
        <v>52</v>
      </c>
      <c r="I375" s="16">
        <f>IF(AND(A375&lt;&gt;"",C375="労働日"),I374+1,0)</f>
        <v>3</v>
      </c>
      <c r="J375" s="16">
        <f>IF(AND(A375&lt;&gt;"",ISNUMBER($B$7),ISNUMBER($B$8)),IF(AND(A375&gt;=$B$7,A375&lt;=$B$8),1,0),0)</f>
        <v>0</v>
      </c>
    </row>
    <row r="376">
      <c r="A376" s="9">
        <f>IF(ISNUMBER($B$4),IF(ISNUMBER($B$5),IF($B$4+364&lt;=$B$5,$B$4+364,""),""),"")</f>
        <v>46660</v>
      </c>
      <c r="B376" s="10" t="str">
        <f>IF(A376="","",CHOOSE(WEEKDAY(A376),"日","月","火","水","木","金","土"))</f>
        <v>木</v>
      </c>
      <c r="C376" s="11" t="inlineStr">
        <is>
          <t>労働日</t>
        </is>
      </c>
      <c r="D376" s="12" t="n">
        <v>0.375</v>
      </c>
      <c r="E376" s="12" t="n">
        <v>0.75</v>
      </c>
      <c r="F376" s="13" t="n">
        <v>60</v>
      </c>
      <c r="G376" s="14">
        <f>IF(OR(A376="",C376&lt;&gt;"労働日"),0,MAX(0,MOD(E376-D376,1)*24-F376/60))</f>
        <v>8</v>
      </c>
      <c r="H376" s="15">
        <f>IF(A376="","",INT((A376-$B$4)/7)+1)</f>
        <v>53</v>
      </c>
      <c r="I376" s="16">
        <f>IF(AND(A376&lt;&gt;"",C376="労働日"),I375+1,0)</f>
        <v>4</v>
      </c>
      <c r="J376" s="16">
        <f>IF(AND(A376&lt;&gt;"",ISNUMBER($B$7),ISNUMBER($B$8)),IF(AND(A376&gt;=$B$7,A376&lt;=$B$8),1,0),0)</f>
        <v>0</v>
      </c>
    </row>
    <row r="377">
      <c r="A377" s="9" t="str">
        <f>IF(ISNUMBER($B$4),IF(ISNUMBER($B$5),IF($B$4+365&lt;=$B$5,$B$4+365,""),""),"")</f>
        <v/>
      </c>
      <c r="B377" s="10" t="str">
        <f>IF(A377="","",CHOOSE(WEEKDAY(A377),"日","月","火","水","木","金","土"))</f>
        <v/>
      </c>
      <c r="C377" s="11" t="n"/>
      <c r="D377" s="12" t="n"/>
      <c r="E377" s="12" t="n"/>
      <c r="F377" s="13" t="n"/>
      <c r="G377" s="14">
        <f>IF(OR(A377="",C377&lt;&gt;"労働日"),0,MAX(0,MOD(E377-D377,1)*24-F377/60))</f>
        <v>0</v>
      </c>
      <c r="H377" s="15" t="str">
        <f>IF(A377="","",INT((A377-$B$4)/7)+1)</f>
        <v/>
      </c>
      <c r="I377" s="16">
        <f>IF(AND(A377&lt;&gt;"",C377="労働日"),I376+1,0)</f>
        <v>0</v>
      </c>
      <c r="J377" s="16">
        <f>IF(AND(A377&lt;&gt;"",ISNUMBER($B$7),ISNUMBER($B$8)),IF(AND(A377&gt;=$B$7,A377&lt;=$B$8),1,0),0)</f>
        <v>0</v>
      </c>
    </row>
  </sheetData>
  <mergeCells count="5">
    <mergeCell ref="B6:C6"/>
    <mergeCell ref="B7:C7"/>
    <mergeCell ref="B5:C5"/>
    <mergeCell ref="B8:C8"/>
    <mergeCell ref="B4:C4"/>
  </mergeCells>
  <dataValidations count="4">
    <dataValidation sqref="C12:C377" showDropDown="0" showInputMessage="0" showErrorMessage="0" allowBlank="1" errorTitle="入力の誤り" error="リストから選んでください" type="list">
      <formula1>"労働日,休日"</formula1>
    </dataValidation>
    <dataValidation sqref="F12:F377" showDropDown="0" showInputMessage="0" showErrorMessage="0" allowBlank="1" errorTitle="入力の誤り" error="0〜600 の数を入れてください" type="whole" operator="between">
      <formula1>0</formula1>
      <formula2>600</formula2>
    </dataValidation>
    <dataValidation sqref="B4:C5" showDropDown="0" showInputMessage="0" showErrorMessage="0" allowBlank="1" errorTitle="入力の誤り" error="日付を入れてください（例 2026/10/1）" type="date" operator="greaterThan">
      <formula1>36526</formula1>
    </dataValidation>
    <dataValidation sqref="B7:C8" showDropDown="0" showInputMessage="0" showErrorMessage="0" allowBlank="1" errorTitle="入力の誤り" error="日付を入れてください（例 2026/10/1）" type="date" operator="greaterThan">
      <formula1>36526</formula1>
    </dataValidation>
  </dataValidations>
  <pageMargins left="0.4" right="0.4" top="0.5" bottom="0.5" header="0.3" footer="0.3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2" customWidth="1" min="4" max="4"/>
    <col width="14" customWidth="1" min="5" max="5"/>
    <col width="24" customWidth="1" min="6" max="6"/>
  </cols>
  <sheetData>
    <row r="1" ht="44" customHeight="1">
      <c r="A1" s="41" t="inlineStr">
        <is>
          <t>別紙 区分表・記入例
（対象期間を1箇月ごとに区分した各期間の労働日数・総労働時間）</t>
        </is>
      </c>
      <c r="B1" s="38" t="n"/>
      <c r="C1" s="38" t="n"/>
      <c r="D1" s="38" t="n"/>
      <c r="E1" s="38" t="n"/>
      <c r="F1" s="38" t="n"/>
    </row>
    <row r="2" ht="40" customHeight="1">
      <c r="A2" s="42" t="inlineStr">
        <is>
          <t>区分する場合、最初の期間を除く各期間は、この労働日数と総労働時間を協定に書き、
各期間の初日の少なくとも30日前に、
過半数代表者の同意を得て日ごとの労働日・労働時間を決めます（労基法32条の4第2項）。</t>
        </is>
      </c>
      <c r="B2" s="38" t="n"/>
      <c r="C2" s="38" t="n"/>
      <c r="D2" s="38" t="n"/>
      <c r="E2" s="38" t="n"/>
      <c r="F2" s="38" t="n"/>
    </row>
    <row r="3">
      <c r="A3" s="38" t="n"/>
      <c r="B3" s="38" t="n"/>
      <c r="C3" s="38" t="n"/>
      <c r="D3" s="38" t="n"/>
      <c r="E3" s="38" t="n"/>
      <c r="F3" s="38" t="n"/>
    </row>
    <row r="4">
      <c r="A4" s="8" t="inlineStr">
        <is>
          <t>区分</t>
        </is>
      </c>
      <c r="B4" s="8" t="inlineStr">
        <is>
          <t>最初の日</t>
        </is>
      </c>
      <c r="C4" s="8" t="inlineStr">
        <is>
          <t>最後の日</t>
        </is>
      </c>
      <c r="D4" s="8" t="inlineStr">
        <is>
          <t>労働日数</t>
        </is>
      </c>
      <c r="E4" s="8" t="inlineStr">
        <is>
          <t>総労働時間</t>
        </is>
      </c>
      <c r="F4" s="8" t="inlineStr">
        <is>
          <t>備考</t>
        </is>
      </c>
    </row>
    <row r="5">
      <c r="A5" s="19" t="inlineStr">
        <is>
          <t>1か月目</t>
        </is>
      </c>
      <c r="B5" s="9">
        <f>IF(ISNUMBER('記入例_年間カレンダー'!$B$4),IF(EDATE('記入例_年間カレンダー'!$B$4,0)&lt;='記入例_年間カレンダー'!$B$5,EDATE('記入例_年間カレンダー'!$B$4,0),""),"")</f>
        <v>46296</v>
      </c>
      <c r="C5" s="9">
        <f>IF(B5="","",MIN(EDATE('記入例_年間カレンダー'!$B$4,1)-1,'記入例_年間カレンダー'!$B$5))</f>
        <v>46326</v>
      </c>
      <c r="D5" s="15">
        <f>IF(B5="","",COUNTIFS('記入例_年間カレンダー'!$A$12:$A$377,"&gt;="&amp;B5,'記入例_年間カレンダー'!$A$12:$A$377,"&lt;="&amp;C5,'記入例_年間カレンダー'!$C$12:$C$377,"労働日"))</f>
        <v>22</v>
      </c>
      <c r="E5" s="20">
        <f>IF(B5="","",SUMIFS('記入例_年間カレンダー'!$G$12:$G$377,'記入例_年間カレンダー'!$A$12:$A$377,"&gt;="&amp;B5,'記入例_年間カレンダー'!$A$12:$A$377,"&lt;="&amp;C5))</f>
        <v>176</v>
      </c>
      <c r="F5" s="21" t="str">
        <f>IF(B5="","",IF(1=1,"最初の期間（日ごとに定める）","日ごとは30日前までに定める"))</f>
        <v>最初の期間（日ごとに定める）</v>
      </c>
    </row>
    <row r="6">
      <c r="A6" s="19" t="inlineStr">
        <is>
          <t>2か月目</t>
        </is>
      </c>
      <c r="B6" s="9">
        <f>IF(ISNUMBER('記入例_年間カレンダー'!$B$4),IF(EDATE('記入例_年間カレンダー'!$B$4,1)&lt;='記入例_年間カレンダー'!$B$5,EDATE('記入例_年間カレンダー'!$B$4,1),""),"")</f>
        <v>46327</v>
      </c>
      <c r="C6" s="9">
        <f>IF(B6="","",MIN(EDATE('記入例_年間カレンダー'!$B$4,2)-1,'記入例_年間カレンダー'!$B$5))</f>
        <v>46356</v>
      </c>
      <c r="D6" s="15">
        <f>IF(B6="","",COUNTIFS('記入例_年間カレンダー'!$A$12:$A$377,"&gt;="&amp;B6,'記入例_年間カレンダー'!$A$12:$A$377,"&lt;="&amp;C6,'記入例_年間カレンダー'!$C$12:$C$377,"労働日"))</f>
        <v>19</v>
      </c>
      <c r="E6" s="20">
        <f>IF(B6="","",SUMIFS('記入例_年間カレンダー'!$G$12:$G$377,'記入例_年間カレンダー'!$A$12:$A$377,"&gt;="&amp;B6,'記入例_年間カレンダー'!$A$12:$A$377,"&lt;="&amp;C6))</f>
        <v>152</v>
      </c>
      <c r="F6" s="21" t="str">
        <f>IF(B6="","",IF(2=1,"最初の期間（日ごとに定める）","日ごとは30日前までに定める"))</f>
        <v>日ごとは30日前までに定める</v>
      </c>
    </row>
    <row r="7">
      <c r="A7" s="19" t="inlineStr">
        <is>
          <t>3か月目</t>
        </is>
      </c>
      <c r="B7" s="9">
        <f>IF(ISNUMBER('記入例_年間カレンダー'!$B$4),IF(EDATE('記入例_年間カレンダー'!$B$4,2)&lt;='記入例_年間カレンダー'!$B$5,EDATE('記入例_年間カレンダー'!$B$4,2),""),"")</f>
        <v>46357</v>
      </c>
      <c r="C7" s="9">
        <f>IF(B7="","",MIN(EDATE('記入例_年間カレンダー'!$B$4,3)-1,'記入例_年間カレンダー'!$B$5))</f>
        <v>46387</v>
      </c>
      <c r="D7" s="15">
        <f>IF(B7="","",COUNTIFS('記入例_年間カレンダー'!$A$12:$A$377,"&gt;="&amp;B7,'記入例_年間カレンダー'!$A$12:$A$377,"&lt;="&amp;C7,'記入例_年間カレンダー'!$C$12:$C$377,"労働日"))</f>
        <v>20</v>
      </c>
      <c r="E7" s="20">
        <f>IF(B7="","",SUMIFS('記入例_年間カレンダー'!$G$12:$G$377,'記入例_年間カレンダー'!$A$12:$A$377,"&gt;="&amp;B7,'記入例_年間カレンダー'!$A$12:$A$377,"&lt;="&amp;C7))</f>
        <v>190</v>
      </c>
      <c r="F7" s="21" t="str">
        <f>IF(B7="","",IF(3=1,"最初の期間（日ごとに定める）","日ごとは30日前までに定める"))</f>
        <v>日ごとは30日前までに定める</v>
      </c>
    </row>
    <row r="8">
      <c r="A8" s="19" t="inlineStr">
        <is>
          <t>4か月目</t>
        </is>
      </c>
      <c r="B8" s="9">
        <f>IF(ISNUMBER('記入例_年間カレンダー'!$B$4),IF(EDATE('記入例_年間カレンダー'!$B$4,3)&lt;='記入例_年間カレンダー'!$B$5,EDATE('記入例_年間カレンダー'!$B$4,3),""),"")</f>
        <v>46388</v>
      </c>
      <c r="C8" s="9">
        <f>IF(B8="","",MIN(EDATE('記入例_年間カレンダー'!$B$4,4)-1,'記入例_年間カレンダー'!$B$5))</f>
        <v>46418</v>
      </c>
      <c r="D8" s="15">
        <f>IF(B8="","",COUNTIFS('記入例_年間カレンダー'!$A$12:$A$377,"&gt;="&amp;B8,'記入例_年間カレンダー'!$A$12:$A$377,"&lt;="&amp;C8,'記入例_年間カレンダー'!$C$12:$C$377,"労働日"))</f>
        <v>18</v>
      </c>
      <c r="E8" s="20">
        <f>IF(B8="","",SUMIFS('記入例_年間カレンダー'!$G$12:$G$377,'記入例_年間カレンダー'!$A$12:$A$377,"&gt;="&amp;B8,'記入例_年間カレンダー'!$A$12:$A$377,"&lt;="&amp;C8))</f>
        <v>144</v>
      </c>
      <c r="F8" s="21" t="str">
        <f>IF(B8="","",IF(4=1,"最初の期間（日ごとに定める）","日ごとは30日前までに定める"))</f>
        <v>日ごとは30日前までに定める</v>
      </c>
    </row>
    <row r="9">
      <c r="A9" s="19" t="inlineStr">
        <is>
          <t>5か月目</t>
        </is>
      </c>
      <c r="B9" s="9">
        <f>IF(ISNUMBER('記入例_年間カレンダー'!$B$4),IF(EDATE('記入例_年間カレンダー'!$B$4,4)&lt;='記入例_年間カレンダー'!$B$5,EDATE('記入例_年間カレンダー'!$B$4,4),""),"")</f>
        <v>46419</v>
      </c>
      <c r="C9" s="9">
        <f>IF(B9="","",MIN(EDATE('記入例_年間カレンダー'!$B$4,5)-1,'記入例_年間カレンダー'!$B$5))</f>
        <v>46446</v>
      </c>
      <c r="D9" s="15">
        <f>IF(B9="","",COUNTIFS('記入例_年間カレンダー'!$A$12:$A$377,"&gt;="&amp;B9,'記入例_年間カレンダー'!$A$12:$A$377,"&lt;="&amp;C9,'記入例_年間カレンダー'!$C$12:$C$377,"労働日"))</f>
        <v>19</v>
      </c>
      <c r="E9" s="20">
        <f>IF(B9="","",SUMIFS('記入例_年間カレンダー'!$G$12:$G$377,'記入例_年間カレンダー'!$A$12:$A$377,"&gt;="&amp;B9,'記入例_年間カレンダー'!$A$12:$A$377,"&lt;="&amp;C9))</f>
        <v>152</v>
      </c>
      <c r="F9" s="21" t="str">
        <f>IF(B9="","",IF(5=1,"最初の期間（日ごとに定める）","日ごとは30日前までに定める"))</f>
        <v>日ごとは30日前までに定める</v>
      </c>
    </row>
    <row r="10">
      <c r="A10" s="19" t="inlineStr">
        <is>
          <t>6か月目</t>
        </is>
      </c>
      <c r="B10" s="9">
        <f>IF(ISNUMBER('記入例_年間カレンダー'!$B$4),IF(EDATE('記入例_年間カレンダー'!$B$4,5)&lt;='記入例_年間カレンダー'!$B$5,EDATE('記入例_年間カレンダー'!$B$4,5),""),"")</f>
        <v>46447</v>
      </c>
      <c r="C10" s="9">
        <f>IF(B10="","",MIN(EDATE('記入例_年間カレンダー'!$B$4,6)-1,'記入例_年間カレンダー'!$B$5))</f>
        <v>46477</v>
      </c>
      <c r="D10" s="15">
        <f>IF(B10="","",COUNTIFS('記入例_年間カレンダー'!$A$12:$A$377,"&gt;="&amp;B10,'記入例_年間カレンダー'!$A$12:$A$377,"&lt;="&amp;C10,'記入例_年間カレンダー'!$C$12:$C$377,"労働日"))</f>
        <v>23</v>
      </c>
      <c r="E10" s="20">
        <f>IF(B10="","",SUMIFS('記入例_年間カレンダー'!$G$12:$G$377,'記入例_年間カレンダー'!$A$12:$A$377,"&gt;="&amp;B10,'記入例_年間カレンダー'!$A$12:$A$377,"&lt;="&amp;C10))</f>
        <v>184</v>
      </c>
      <c r="F10" s="21" t="str">
        <f>IF(B10="","",IF(6=1,"最初の期間（日ごとに定める）","日ごとは30日前までに定める"))</f>
        <v>日ごとは30日前までに定める</v>
      </c>
    </row>
    <row r="11">
      <c r="A11" s="19" t="inlineStr">
        <is>
          <t>7か月目</t>
        </is>
      </c>
      <c r="B11" s="9">
        <f>IF(ISNUMBER('記入例_年間カレンダー'!$B$4),IF(EDATE('記入例_年間カレンダー'!$B$4,6)&lt;='記入例_年間カレンダー'!$B$5,EDATE('記入例_年間カレンダー'!$B$4,6),""),"")</f>
        <v>46478</v>
      </c>
      <c r="C11" s="9">
        <f>IF(B11="","",MIN(EDATE('記入例_年間カレンダー'!$B$4,7)-1,'記入例_年間カレンダー'!$B$5))</f>
        <v>46507</v>
      </c>
      <c r="D11" s="15">
        <f>IF(B11="","",COUNTIFS('記入例_年間カレンダー'!$A$12:$A$377,"&gt;="&amp;B11,'記入例_年間カレンダー'!$A$12:$A$377,"&lt;="&amp;C11,'記入例_年間カレンダー'!$C$12:$C$377,"労働日"))</f>
        <v>21</v>
      </c>
      <c r="E11" s="20">
        <f>IF(B11="","",SUMIFS('記入例_年間カレンダー'!$G$12:$G$377,'記入例_年間カレンダー'!$A$12:$A$377,"&gt;="&amp;B11,'記入例_年間カレンダー'!$A$12:$A$377,"&lt;="&amp;C11))</f>
        <v>168</v>
      </c>
      <c r="F11" s="21" t="str">
        <f>IF(B11="","",IF(7=1,"最初の期間（日ごとに定める）","日ごとは30日前までに定める"))</f>
        <v>日ごとは30日前までに定める</v>
      </c>
    </row>
    <row r="12">
      <c r="A12" s="19" t="inlineStr">
        <is>
          <t>8か月目</t>
        </is>
      </c>
      <c r="B12" s="9">
        <f>IF(ISNUMBER('記入例_年間カレンダー'!$B$4),IF(EDATE('記入例_年間カレンダー'!$B$4,7)&lt;='記入例_年間カレンダー'!$B$5,EDATE('記入例_年間カレンダー'!$B$4,7),""),"")</f>
        <v>46508</v>
      </c>
      <c r="C12" s="9">
        <f>IF(B12="","",MIN(EDATE('記入例_年間カレンダー'!$B$4,8)-1,'記入例_年間カレンダー'!$B$5))</f>
        <v>46538</v>
      </c>
      <c r="D12" s="15">
        <f>IF(B12="","",COUNTIFS('記入例_年間カレンダー'!$A$12:$A$377,"&gt;="&amp;B12,'記入例_年間カレンダー'!$A$12:$A$377,"&lt;="&amp;C12,'記入例_年間カレンダー'!$C$12:$C$377,"労働日"))</f>
        <v>18</v>
      </c>
      <c r="E12" s="20">
        <f>IF(B12="","",SUMIFS('記入例_年間カレンダー'!$G$12:$G$377,'記入例_年間カレンダー'!$A$12:$A$377,"&gt;="&amp;B12,'記入例_年間カレンダー'!$A$12:$A$377,"&lt;="&amp;C12))</f>
        <v>144</v>
      </c>
      <c r="F12" s="21" t="str">
        <f>IF(B12="","",IF(8=1,"最初の期間（日ごとに定める）","日ごとは30日前までに定める"))</f>
        <v>日ごとは30日前までに定める</v>
      </c>
    </row>
    <row r="13">
      <c r="A13" s="19" t="inlineStr">
        <is>
          <t>9か月目</t>
        </is>
      </c>
      <c r="B13" s="9">
        <f>IF(ISNUMBER('記入例_年間カレンダー'!$B$4),IF(EDATE('記入例_年間カレンダー'!$B$4,8)&lt;='記入例_年間カレンダー'!$B$5,EDATE('記入例_年間カレンダー'!$B$4,8),""),"")</f>
        <v>46539</v>
      </c>
      <c r="C13" s="9">
        <f>IF(B13="","",MIN(EDATE('記入例_年間カレンダー'!$B$4,9)-1,'記入例_年間カレンダー'!$B$5))</f>
        <v>46568</v>
      </c>
      <c r="D13" s="15">
        <f>IF(B13="","",COUNTIFS('記入例_年間カレンダー'!$A$12:$A$377,"&gt;="&amp;B13,'記入例_年間カレンダー'!$A$12:$A$377,"&lt;="&amp;C13,'記入例_年間カレンダー'!$C$12:$C$377,"労働日"))</f>
        <v>22</v>
      </c>
      <c r="E13" s="20">
        <f>IF(B13="","",SUMIFS('記入例_年間カレンダー'!$G$12:$G$377,'記入例_年間カレンダー'!$A$12:$A$377,"&gt;="&amp;B13,'記入例_年間カレンダー'!$A$12:$A$377,"&lt;="&amp;C13))</f>
        <v>176</v>
      </c>
      <c r="F13" s="21" t="str">
        <f>IF(B13="","",IF(9=1,"最初の期間（日ごとに定める）","日ごとは30日前までに定める"))</f>
        <v>日ごとは30日前までに定める</v>
      </c>
    </row>
    <row r="14">
      <c r="A14" s="19" t="inlineStr">
        <is>
          <t>10か月目</t>
        </is>
      </c>
      <c r="B14" s="9">
        <f>IF(ISNUMBER('記入例_年間カレンダー'!$B$4),IF(EDATE('記入例_年間カレンダー'!$B$4,9)&lt;='記入例_年間カレンダー'!$B$5,EDATE('記入例_年間カレンダー'!$B$4,9),""),"")</f>
        <v>46569</v>
      </c>
      <c r="C14" s="9">
        <f>IF(B14="","",MIN(EDATE('記入例_年間カレンダー'!$B$4,10)-1,'記入例_年間カレンダー'!$B$5))</f>
        <v>46599</v>
      </c>
      <c r="D14" s="15">
        <f>IF(B14="","",COUNTIFS('記入例_年間カレンダー'!$A$12:$A$377,"&gt;="&amp;B14,'記入例_年間カレンダー'!$A$12:$A$377,"&lt;="&amp;C14,'記入例_年間カレンダー'!$C$12:$C$377,"労働日"))</f>
        <v>22</v>
      </c>
      <c r="E14" s="20">
        <f>IF(B14="","",SUMIFS('記入例_年間カレンダー'!$G$12:$G$377,'記入例_年間カレンダー'!$A$12:$A$377,"&gt;="&amp;B14,'記入例_年間カレンダー'!$A$12:$A$377,"&lt;="&amp;C14))</f>
        <v>176</v>
      </c>
      <c r="F14" s="21" t="str">
        <f>IF(B14="","",IF(10=1,"最初の期間（日ごとに定める）","日ごとは30日前までに定める"))</f>
        <v>日ごとは30日前までに定める</v>
      </c>
    </row>
    <row r="15">
      <c r="A15" s="19" t="inlineStr">
        <is>
          <t>11か月目</t>
        </is>
      </c>
      <c r="B15" s="9">
        <f>IF(ISNUMBER('記入例_年間カレンダー'!$B$4),IF(EDATE('記入例_年間カレンダー'!$B$4,10)&lt;='記入例_年間カレンダー'!$B$5,EDATE('記入例_年間カレンダー'!$B$4,10),""),"")</f>
        <v>46600</v>
      </c>
      <c r="C15" s="9">
        <f>IF(B15="","",MIN(EDATE('記入例_年間カレンダー'!$B$4,11)-1,'記入例_年間カレンダー'!$B$5))</f>
        <v>46630</v>
      </c>
      <c r="D15" s="15">
        <f>IF(B15="","",COUNTIFS('記入例_年間カレンダー'!$A$12:$A$377,"&gt;="&amp;B15,'記入例_年間カレンダー'!$A$12:$A$377,"&lt;="&amp;C15,'記入例_年間カレンダー'!$C$12:$C$377,"労働日"))</f>
        <v>19</v>
      </c>
      <c r="E15" s="20">
        <f>IF(B15="","",SUMIFS('記入例_年間カレンダー'!$G$12:$G$377,'記入例_年間カレンダー'!$A$12:$A$377,"&gt;="&amp;B15,'記入例_年間カレンダー'!$A$12:$A$377,"&lt;="&amp;C15))</f>
        <v>152</v>
      </c>
      <c r="F15" s="21" t="str">
        <f>IF(B15="","",IF(11=1,"最初の期間（日ごとに定める）","日ごとは30日前までに定める"))</f>
        <v>日ごとは30日前までに定める</v>
      </c>
    </row>
    <row r="16">
      <c r="A16" s="19" t="inlineStr">
        <is>
          <t>12か月目</t>
        </is>
      </c>
      <c r="B16" s="9">
        <f>IF(ISNUMBER('記入例_年間カレンダー'!$B$4),IF(EDATE('記入例_年間カレンダー'!$B$4,11)&lt;='記入例_年間カレンダー'!$B$5,EDATE('記入例_年間カレンダー'!$B$4,11),""),"")</f>
        <v>46631</v>
      </c>
      <c r="C16" s="9">
        <f>IF(B16="","",MIN(EDATE('記入例_年間カレンダー'!$B$4,12)-1,'記入例_年間カレンダー'!$B$5))</f>
        <v>46660</v>
      </c>
      <c r="D16" s="15">
        <f>IF(B16="","",COUNTIFS('記入例_年間カレンダー'!$A$12:$A$377,"&gt;="&amp;B16,'記入例_年間カレンダー'!$A$12:$A$377,"&lt;="&amp;C16,'記入例_年間カレンダー'!$C$12:$C$377,"労働日"))</f>
        <v>22</v>
      </c>
      <c r="E16" s="20">
        <f>IF(B16="","",SUMIFS('記入例_年間カレンダー'!$G$12:$G$377,'記入例_年間カレンダー'!$A$12:$A$377,"&gt;="&amp;B16,'記入例_年間カレンダー'!$A$12:$A$377,"&lt;="&amp;C16))</f>
        <v>176</v>
      </c>
      <c r="F16" s="21" t="str">
        <f>IF(B16="","",IF(12=1,"最初の期間（日ごとに定める）","日ごとは30日前までに定める"))</f>
        <v>日ごとは30日前までに定める</v>
      </c>
    </row>
    <row r="17">
      <c r="A17" s="22" t="inlineStr">
        <is>
          <t>合計</t>
        </is>
      </c>
      <c r="B17" s="3" t="n"/>
      <c r="C17" s="3" t="n"/>
      <c r="D17" s="23">
        <f>SUM(D5:D16)</f>
        <v>245</v>
      </c>
      <c r="E17" s="24">
        <f>SUM(E5:E16)</f>
        <v>1990</v>
      </c>
      <c r="F17" s="3" t="n"/>
    </row>
  </sheetData>
  <mergeCells count="2">
    <mergeCell ref="A2:F2"/>
    <mergeCell ref="A1:F1"/>
  </mergeCells>
  <pageMargins left="0.75" right="0.75" top="1" bottom="1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O79"/>
  <sheetViews>
    <sheetView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30" customWidth="1" min="3" max="3"/>
    <col width="24" customWidth="1" min="4" max="4"/>
    <col width="4" customWidth="1" min="5" max="5"/>
    <col width="6" customWidth="1" min="6" max="6"/>
    <col width="11" customWidth="1" min="7" max="7"/>
    <col width="11" customWidth="1" min="8" max="8"/>
    <col width="8" customWidth="1" min="9" max="9"/>
    <col width="10" customWidth="1" min="10" max="10"/>
    <col width="10" customWidth="1" min="11" max="11"/>
    <col width="2" customWidth="1" min="12" max="12"/>
    <col width="6" customWidth="1" min="13" max="13"/>
    <col width="11" customWidth="1" min="14" max="14"/>
    <col width="17" customWidth="1" min="15" max="15"/>
  </cols>
  <sheetData>
    <row r="1">
      <c r="A1" s="37" t="inlineStr">
        <is>
          <t>限度基準の判定（労基法32条の4・施行規則12条の4）・記入例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8" t="n"/>
      <c r="O1" s="38" t="n"/>
    </row>
    <row r="2" ht="26" customHeight="1">
      <c r="A2" s="42" t="inlineStr">
        <is>
          <t>週は、対象期間の開始日から7日ごとに区切って数えています。就業規則等で週の起算日を定めている場合は、その区切りで確かめてください。</t>
        </is>
      </c>
      <c r="B2" s="38" t="n"/>
      <c r="C2" s="38" t="n"/>
      <c r="D2" s="38" t="n"/>
      <c r="E2" s="38" t="n"/>
      <c r="F2" s="38" t="n"/>
      <c r="G2" s="38" t="n"/>
      <c r="H2" s="38" t="n"/>
      <c r="I2" s="38" t="n"/>
      <c r="J2" s="38" t="n"/>
      <c r="K2" s="38" t="n"/>
      <c r="L2" s="38" t="n"/>
      <c r="M2" s="38" t="n"/>
      <c r="N2" s="38" t="n"/>
      <c r="O2" s="38" t="n"/>
    </row>
    <row r="3">
      <c r="A3" s="38" t="n"/>
      <c r="B3" s="38" t="n"/>
      <c r="C3" s="38" t="n"/>
      <c r="D3" s="38" t="n"/>
      <c r="E3" s="38" t="n"/>
      <c r="F3" s="38" t="n"/>
      <c r="G3" s="38" t="n"/>
      <c r="H3" s="38" t="n"/>
      <c r="I3" s="38" t="n"/>
      <c r="J3" s="38" t="n"/>
      <c r="K3" s="38" t="n"/>
      <c r="L3" s="38" t="n"/>
      <c r="M3" s="38" t="n"/>
      <c r="N3" s="38" t="n"/>
      <c r="O3" s="38" t="n"/>
    </row>
    <row r="4">
      <c r="A4" s="3" t="inlineStr">
        <is>
          <t>対象期間の暦日数</t>
        </is>
      </c>
      <c r="B4" s="6">
        <f>'記入例_年間カレンダー'!B6</f>
        <v>365</v>
      </c>
      <c r="C4" s="38" t="n"/>
      <c r="D4" s="38" t="n"/>
      <c r="E4" s="38" t="n"/>
      <c r="F4" s="38" t="n"/>
      <c r="G4" s="38" t="n"/>
      <c r="H4" s="38" t="n"/>
      <c r="I4" s="38" t="n"/>
      <c r="J4" s="38" t="n"/>
      <c r="K4" s="38" t="n"/>
      <c r="L4" s="38" t="n"/>
      <c r="M4" s="38" t="n"/>
      <c r="N4" s="38" t="n"/>
      <c r="O4" s="38" t="n"/>
    </row>
    <row r="5">
      <c r="A5" s="3" t="inlineStr">
        <is>
          <t>対象期間の長さ</t>
        </is>
      </c>
      <c r="B5" s="25" t="str">
        <f>IF(B4="","未入力",IF(OR('記入例_年間カレンダー'!B5&lt;EDATE('記入例_年間カレンダー'!B4,1),'記入例_年間カレンダー'!B5&gt;EDATE('記入例_年間カレンダー'!B4,12)-1),"範囲外",IF('記入例_年間カレンダー'!B5&gt;EDATE('記入例_年間カレンダー'!B4,3)-1,"3箇月超","3箇月以内")))</f>
        <v>3箇月超</v>
      </c>
      <c r="C5" s="38" t="n"/>
      <c r="D5" s="38" t="n"/>
      <c r="E5" s="38" t="n"/>
      <c r="F5" s="38" t="n"/>
      <c r="G5" s="38" t="n"/>
      <c r="H5" s="38" t="n"/>
      <c r="I5" s="38" t="n"/>
      <c r="J5" s="38" t="n"/>
      <c r="K5" s="38" t="n"/>
      <c r="L5" s="38" t="n"/>
      <c r="M5" s="38" t="n"/>
      <c r="N5" s="38" t="n"/>
      <c r="O5" s="38" t="n"/>
    </row>
    <row r="6">
      <c r="A6" s="3" t="inlineStr">
        <is>
          <t>区分が空の日の数</t>
        </is>
      </c>
      <c r="B6" s="6">
        <f>SUMPRODUCT(('記入例_年間カレンダー'!$A$12:$A$377&lt;&gt;"")*('記入例_年間カレンダー'!$C$12:$C$377=""))</f>
        <v>0</v>
      </c>
      <c r="C6" s="38" t="n"/>
      <c r="D6" s="38" t="n"/>
      <c r="E6" s="38" t="n"/>
      <c r="F6" s="38" t="n"/>
      <c r="G6" s="38" t="n"/>
      <c r="H6" s="38" t="n"/>
      <c r="I6" s="38" t="n"/>
      <c r="J6" s="38" t="n"/>
      <c r="K6" s="38" t="n"/>
      <c r="L6" s="38" t="n"/>
      <c r="M6" s="38" t="n"/>
      <c r="N6" s="38" t="n"/>
      <c r="O6" s="38" t="n"/>
    </row>
    <row r="7">
      <c r="A7" s="38" t="n"/>
      <c r="B7" s="38" t="n"/>
      <c r="C7" s="38" t="n"/>
      <c r="D7" s="38" t="n"/>
      <c r="E7" s="38" t="n"/>
      <c r="F7" s="38" t="n"/>
      <c r="G7" s="38" t="n"/>
      <c r="H7" s="38" t="n"/>
      <c r="I7" s="38" t="n"/>
      <c r="J7" s="38" t="n"/>
      <c r="K7" s="38" t="n"/>
      <c r="L7" s="38" t="n"/>
      <c r="M7" s="38" t="n"/>
      <c r="N7" s="38" t="n"/>
      <c r="O7" s="38" t="n"/>
    </row>
    <row r="8">
      <c r="A8" s="8" t="inlineStr">
        <is>
          <t>項目</t>
        </is>
      </c>
      <c r="B8" s="8" t="inlineStr">
        <is>
          <t>あなたの値</t>
        </is>
      </c>
      <c r="C8" s="8" t="inlineStr">
        <is>
          <t>限度</t>
        </is>
      </c>
      <c r="D8" s="8" t="inlineStr">
        <is>
          <t>判定</t>
        </is>
      </c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</row>
    <row r="9" ht="30" customHeight="1">
      <c r="A9" s="26" t="inlineStr">
        <is>
          <t>労働日数（対象期間3箇月超のとき）</t>
        </is>
      </c>
      <c r="B9" s="6">
        <f>SUMPRODUCT(('記入例_年間カレンダー'!$C$12:$C$377="労働日")*('記入例_年間カレンダー'!$A$12:$A$377&lt;&gt;""))</f>
        <v>245</v>
      </c>
      <c r="C9" s="27" t="inlineStr">
        <is>
          <t>280日以内（1年当たり）</t>
        </is>
      </c>
      <c r="D9" s="28" t="str">
        <f>IF(B4="","未入力",IF(B5="3箇月以内","対象外(3箇月以内)",IF(B5&lt;&gt;"3箇月超","対象期間を確認",IF(B9&gt;280,"超過",IF('記入例_年間カレンダー'!B5&gt;=EDATE('記入例_年間カレンダー'!B4,12)-1,"範囲内","要確認(1年未満は数え方を確認)")))))</f>
        <v>範囲内</v>
      </c>
      <c r="E9" s="38" t="n"/>
      <c r="F9" s="38" t="n"/>
      <c r="G9" s="38" t="n"/>
      <c r="H9" s="38" t="n"/>
      <c r="I9" s="38" t="n"/>
      <c r="J9" s="38" t="n"/>
      <c r="K9" s="38" t="n"/>
      <c r="L9" s="38" t="n"/>
      <c r="M9" s="38" t="n"/>
      <c r="N9" s="38" t="n"/>
      <c r="O9" s="38" t="n"/>
    </row>
    <row r="10" ht="30" customHeight="1">
      <c r="A10" s="26" t="inlineStr">
        <is>
          <t>対象期間の総労働時間の上限（40時間×暦日数÷7）</t>
        </is>
      </c>
      <c r="B10" s="29">
        <f>IF(B4="","",40*B4/7)</f>
        <v>2085.71428571429</v>
      </c>
      <c r="C10" s="27" t="inlineStr">
        <is>
          <t>この値が上限です</t>
        </is>
      </c>
      <c r="D10" s="30" t="inlineStr"/>
      <c r="E10" s="38" t="n"/>
      <c r="F10" s="38" t="n"/>
      <c r="G10" s="38" t="n"/>
      <c r="H10" s="38" t="n"/>
      <c r="I10" s="38" t="n"/>
      <c r="J10" s="38" t="n"/>
      <c r="K10" s="38" t="n"/>
      <c r="L10" s="38" t="n"/>
      <c r="M10" s="38" t="n"/>
      <c r="N10" s="38" t="n"/>
      <c r="O10" s="38" t="n"/>
    </row>
    <row r="11" ht="30" customHeight="1">
      <c r="A11" s="26" t="inlineStr">
        <is>
          <t>総所定労働時間（平均して週40時間以内か）</t>
        </is>
      </c>
      <c r="B11" s="29">
        <f>SUM('記入例_年間カレンダー'!$G$12:$G$377)</f>
        <v>1990</v>
      </c>
      <c r="C11" s="27" t="inlineStr">
        <is>
          <t>上限以内（法32条の4第1項）</t>
        </is>
      </c>
      <c r="D11" s="28" t="str">
        <f>IF(OR(B4="",B6&gt;0),"未入力",IF(B11&lt;=B10,"範囲内","超過"))</f>
        <v>範囲内</v>
      </c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</row>
    <row r="12" ht="30" customHeight="1">
      <c r="A12" s="26" t="inlineStr">
        <is>
          <t>1日の最長労働時間</t>
        </is>
      </c>
      <c r="B12" s="29">
        <f>MAX('記入例_年間カレンダー'!$G$12:$G$377)</f>
        <v>9.5</v>
      </c>
      <c r="C12" s="27" t="inlineStr">
        <is>
          <t>10時間以内</t>
        </is>
      </c>
      <c r="D12" s="28" t="str">
        <f>IF(B6&gt;0,"未入力",IF(B12&lt;=10,"範囲内","超過"))</f>
        <v>範囲内</v>
      </c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</row>
    <row r="13" ht="30" customHeight="1">
      <c r="A13" s="26" t="inlineStr">
        <is>
          <t>1週間の最長労働時間</t>
        </is>
      </c>
      <c r="B13" s="29">
        <f>MAX(H27:H79)</f>
        <v>47.5</v>
      </c>
      <c r="C13" s="27" t="inlineStr">
        <is>
          <t>52時間以内</t>
        </is>
      </c>
      <c r="D13" s="28" t="str">
        <f>IF(B6&gt;0,"未入力",IF(B13&lt;=52,"範囲内","超過"))</f>
        <v>範囲内</v>
      </c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</row>
    <row r="14" ht="30" customHeight="1">
      <c r="A14" s="26" t="inlineStr">
        <is>
          <t>週48時間を超える週の連続（最大・週）</t>
        </is>
      </c>
      <c r="B14" s="6">
        <f>MAX(J27:J79)</f>
        <v>0</v>
      </c>
      <c r="C14" s="27" t="inlineStr">
        <is>
          <t>3週以下（3箇月超のとき）</t>
        </is>
      </c>
      <c r="D14" s="28" t="str">
        <f>IF(B5&lt;&gt;"3箇月超","対象外(3箇月以内)",IF(B6&gt;0,"未入力",IF(B14&lt;=3,"範囲内","超過")))</f>
        <v>範囲内</v>
      </c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</row>
    <row r="15" ht="30" customHeight="1">
      <c r="A15" s="26" t="inlineStr">
        <is>
          <t>3箇月ごとの区分で48時間超の週の初日の数（最大）</t>
        </is>
      </c>
      <c r="B15" s="6">
        <f>MAX(O27:O30)</f>
        <v>0</v>
      </c>
      <c r="C15" s="27" t="inlineStr">
        <is>
          <t>3以下（3箇月超のとき）</t>
        </is>
      </c>
      <c r="D15" s="28" t="str">
        <f>IF(B5&lt;&gt;"3箇月超","対象外(3箇月以内)",IF(B6&gt;0,"未入力",IF(B15&lt;=3,"範囲内","超過")))</f>
        <v>範囲内</v>
      </c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</row>
    <row r="16" ht="30" customHeight="1">
      <c r="A16" s="26" t="inlineStr">
        <is>
          <t>連続労働日数の最大（特定期間を除く）</t>
        </is>
      </c>
      <c r="B16" s="6">
        <f>SUMPRODUCT(MAX(('記入例_年間カレンダー'!$J$12:$J$377=0)*'記入例_年間カレンダー'!$I$12:$I$377))</f>
        <v>5</v>
      </c>
      <c r="C16" s="27" t="inlineStr">
        <is>
          <t>6日以内</t>
        </is>
      </c>
      <c r="D16" s="28" t="str">
        <f>IF(B6&gt;0,"未入力",IF(B16&lt;=6,"範囲内","超過"))</f>
        <v>範囲内</v>
      </c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</row>
    <row r="17" ht="30" customHeight="1">
      <c r="A17" s="26" t="inlineStr">
        <is>
          <t>連続労働日数の最大（特定期間）</t>
        </is>
      </c>
      <c r="B17" s="6">
        <f>SUMPRODUCT(MAX(('記入例_年間カレンダー'!$J$12:$J$377=1)*'記入例_年間カレンダー'!$I$12:$I$377))</f>
        <v>5</v>
      </c>
      <c r="C17" s="27" t="inlineStr">
        <is>
          <t>12日以内（条文の「1週間に1日の休日」から計算した目安）</t>
        </is>
      </c>
      <c r="D17" s="28" t="str">
        <f>IF(B6&gt;0,"未入力",IF(B17&lt;=12,"範囲内(計算上の目安)","要確認"))</f>
        <v>範囲内(計算上の目安)</v>
      </c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</row>
    <row r="18">
      <c r="A18" s="38" t="n"/>
      <c r="B18" s="38" t="n"/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</row>
    <row r="19" ht="20" customHeight="1">
      <c r="A19" s="43" t="inlineStr">
        <is>
          <t>【根拠】 280日・1日10時間・1週52時間・週48時間超（連続3週以下・初日から3箇月ごとに区分した各期間で週の初日が3以下）・連続労働日数6日＝施行規則12条の4第3項〜第5項。平均して週40時間以内＝労働基準法32条の4第1項。特定期間の連続労働日数は、条文が「一週間に一日の休日が確保できる日数」とだけ定めているため、休日を週の最初の日と次の週の最後の日に置いた計算値の12日を目安にしています（条文に12日という数字はありません）。対象期間が1年未満のときの280日の数え方は条文に書いていないので、280日を超えていなければ「要確認」と表示します。特定期間に入った日の連続労働日数は特定期間の欄で数えます。この表はセルフチェック用の簡易ツールです。</t>
        </is>
      </c>
      <c r="B19" s="38" t="n"/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</row>
    <row r="20" ht="20" customHeight="1">
      <c r="A20" s="38" t="n"/>
      <c r="B20" s="38" t="n"/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</row>
    <row r="21" ht="20" customHeight="1">
      <c r="A21" s="38" t="n"/>
      <c r="B21" s="38" t="n"/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</row>
    <row r="22" ht="20" customHeight="1">
      <c r="A22" s="38" t="n"/>
      <c r="B22" s="38" t="n"/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</row>
    <row r="23" ht="20" customHeight="1">
      <c r="A23" s="38" t="n"/>
      <c r="B23" s="38" t="n"/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</row>
    <row r="24">
      <c r="A24" s="38" t="n"/>
      <c r="B24" s="38" t="n"/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</row>
    <row r="25">
      <c r="A25" s="38" t="n"/>
      <c r="B25" s="38" t="n"/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</row>
    <row r="26">
      <c r="A26" s="38" t="n"/>
      <c r="B26" s="38" t="n"/>
      <c r="C26" s="38" t="n"/>
      <c r="D26" s="38" t="n"/>
      <c r="E26" s="38" t="n"/>
      <c r="F26" s="8" t="inlineStr">
        <is>
          <t>週</t>
        </is>
      </c>
      <c r="G26" s="8" t="inlineStr">
        <is>
          <t>週の初日</t>
        </is>
      </c>
      <c r="H26" s="8" t="inlineStr">
        <is>
          <t>労働時間</t>
        </is>
      </c>
      <c r="I26" s="8" t="inlineStr">
        <is>
          <t>48時間超</t>
        </is>
      </c>
      <c r="J26" s="8" t="inlineStr">
        <is>
          <t>48超の連続</t>
        </is>
      </c>
      <c r="K26" s="8" t="inlineStr">
        <is>
          <t>3箇月区分</t>
        </is>
      </c>
      <c r="L26" s="38" t="n"/>
      <c r="M26" s="8" t="inlineStr">
        <is>
          <t>区分</t>
        </is>
      </c>
      <c r="N26" s="8" t="inlineStr">
        <is>
          <t>最初の日</t>
        </is>
      </c>
      <c r="O26" s="8" t="inlineStr">
        <is>
          <t>48超の週の初日の数</t>
        </is>
      </c>
    </row>
    <row r="27">
      <c r="A27" s="38" t="n"/>
      <c r="B27" s="38" t="n"/>
      <c r="C27" s="38" t="n"/>
      <c r="D27" s="38" t="n"/>
      <c r="E27" s="38" t="n"/>
      <c r="F27" s="32" t="n">
        <v>1</v>
      </c>
      <c r="G27" s="33">
        <f>IF(ISNUMBER('記入例_年間カレンダー'!$B$4),IF('記入例_年間カレンダー'!$B$4+0&lt;='記入例_年間カレンダー'!$B$5,'記入例_年間カレンダー'!$B$4+0,""),"")</f>
        <v>46296</v>
      </c>
      <c r="H27" s="34">
        <f>IF(G27="","",SUMIF('記入例_年間カレンダー'!$H$12:$H$377,F27,'記入例_年間カレンダー'!$G$12:$G$377))</f>
        <v>40</v>
      </c>
      <c r="I27" s="35">
        <f>IF(G27="",0,IF(H27&gt;48,1,0))</f>
        <v>0</v>
      </c>
      <c r="J27" s="35">
        <f>IF(I27=1,0+1,0)</f>
        <v>0</v>
      </c>
      <c r="K27" s="35">
        <f>IF(G27="","",COUNTIF($N$27:$N$30,"&lt;="&amp;G27))</f>
        <v>1</v>
      </c>
      <c r="L27" s="38" t="n"/>
      <c r="M27" s="32" t="n">
        <v>1</v>
      </c>
      <c r="N27" s="36">
        <f>IF(ISNUMBER('記入例_年間カレンダー'!$B$4),EDATE('記入例_年間カレンダー'!$B$4,0),"")</f>
        <v>46296</v>
      </c>
      <c r="O27" s="35">
        <f>SUMIF($K$27:$K$79,M27,$I$27:$I$79)</f>
        <v>0</v>
      </c>
    </row>
    <row r="28">
      <c r="A28" s="38" t="n"/>
      <c r="B28" s="38" t="n"/>
      <c r="C28" s="38" t="n"/>
      <c r="D28" s="38" t="n"/>
      <c r="E28" s="38" t="n"/>
      <c r="F28" s="32" t="n">
        <v>2</v>
      </c>
      <c r="G28" s="33">
        <f>IF(ISNUMBER('記入例_年間カレンダー'!$B$4),IF('記入例_年間カレンダー'!$B$4+7&lt;='記入例_年間カレンダー'!$B$5,'記入例_年間カレンダー'!$B$4+7,""),"")</f>
        <v>46303</v>
      </c>
      <c r="H28" s="34">
        <f>IF(G28="","",SUMIF('記入例_年間カレンダー'!$H$12:$H$377,F28,'記入例_年間カレンダー'!$G$12:$G$377))</f>
        <v>40</v>
      </c>
      <c r="I28" s="35">
        <f>IF(G28="",0,IF(H28&gt;48,1,0))</f>
        <v>0</v>
      </c>
      <c r="J28" s="35">
        <f>IF(I28=1,J27+1,0)</f>
        <v>0</v>
      </c>
      <c r="K28" s="35">
        <f>IF(G28="","",COUNTIF($N$27:$N$30,"&lt;="&amp;G28))</f>
        <v>1</v>
      </c>
      <c r="L28" s="38" t="n"/>
      <c r="M28" s="32" t="n">
        <v>2</v>
      </c>
      <c r="N28" s="36">
        <f>IF(ISNUMBER('記入例_年間カレンダー'!$B$4),EDATE('記入例_年間カレンダー'!$B$4,3),"")</f>
        <v>46388</v>
      </c>
      <c r="O28" s="35">
        <f>SUMIF($K$27:$K$79,M28,$I$27:$I$79)</f>
        <v>0</v>
      </c>
    </row>
    <row r="29">
      <c r="A29" s="38" t="n"/>
      <c r="B29" s="38" t="n"/>
      <c r="C29" s="38" t="n"/>
      <c r="D29" s="38" t="n"/>
      <c r="E29" s="38" t="n"/>
      <c r="F29" s="32" t="n">
        <v>3</v>
      </c>
      <c r="G29" s="33">
        <f>IF(ISNUMBER('記入例_年間カレンダー'!$B$4),IF('記入例_年間カレンダー'!$B$4+14&lt;='記入例_年間カレンダー'!$B$5,'記入例_年間カレンダー'!$B$4+14,""),"")</f>
        <v>46310</v>
      </c>
      <c r="H29" s="34">
        <f>IF(G29="","",SUMIF('記入例_年間カレンダー'!$H$12:$H$377,F29,'記入例_年間カレンダー'!$G$12:$G$377))</f>
        <v>40</v>
      </c>
      <c r="I29" s="35">
        <f>IF(G29="",0,IF(H29&gt;48,1,0))</f>
        <v>0</v>
      </c>
      <c r="J29" s="35">
        <f>IF(I29=1,J28+1,0)</f>
        <v>0</v>
      </c>
      <c r="K29" s="35">
        <f>IF(G29="","",COUNTIF($N$27:$N$30,"&lt;="&amp;G29))</f>
        <v>1</v>
      </c>
      <c r="L29" s="38" t="n"/>
      <c r="M29" s="32" t="n">
        <v>3</v>
      </c>
      <c r="N29" s="36">
        <f>IF(ISNUMBER('記入例_年間カレンダー'!$B$4),EDATE('記入例_年間カレンダー'!$B$4,6),"")</f>
        <v>46478</v>
      </c>
      <c r="O29" s="35">
        <f>SUMIF($K$27:$K$79,M29,$I$27:$I$79)</f>
        <v>0</v>
      </c>
    </row>
    <row r="30">
      <c r="A30" s="38" t="n"/>
      <c r="B30" s="38" t="n"/>
      <c r="C30" s="38" t="n"/>
      <c r="D30" s="38" t="n"/>
      <c r="E30" s="38" t="n"/>
      <c r="F30" s="32" t="n">
        <v>4</v>
      </c>
      <c r="G30" s="33">
        <f>IF(ISNUMBER('記入例_年間カレンダー'!$B$4),IF('記入例_年間カレンダー'!$B$4+21&lt;='記入例_年間カレンダー'!$B$5,'記入例_年間カレンダー'!$B$4+21,""),"")</f>
        <v>46317</v>
      </c>
      <c r="H30" s="34">
        <f>IF(G30="","",SUMIF('記入例_年間カレンダー'!$H$12:$H$377,F30,'記入例_年間カレンダー'!$G$12:$G$377))</f>
        <v>40</v>
      </c>
      <c r="I30" s="35">
        <f>IF(G30="",0,IF(H30&gt;48,1,0))</f>
        <v>0</v>
      </c>
      <c r="J30" s="35">
        <f>IF(I30=1,J29+1,0)</f>
        <v>0</v>
      </c>
      <c r="K30" s="35">
        <f>IF(G30="","",COUNTIF($N$27:$N$30,"&lt;="&amp;G30))</f>
        <v>1</v>
      </c>
      <c r="L30" s="38" t="n"/>
      <c r="M30" s="32" t="n">
        <v>4</v>
      </c>
      <c r="N30" s="36">
        <f>IF(ISNUMBER('記入例_年間カレンダー'!$B$4),EDATE('記入例_年間カレンダー'!$B$4,9),"")</f>
        <v>46569</v>
      </c>
      <c r="O30" s="35">
        <f>SUMIF($K$27:$K$79,M30,$I$27:$I$79)</f>
        <v>0</v>
      </c>
    </row>
    <row r="31">
      <c r="A31" s="38" t="n"/>
      <c r="B31" s="38" t="n"/>
      <c r="C31" s="38" t="n"/>
      <c r="D31" s="38" t="n"/>
      <c r="E31" s="38" t="n"/>
      <c r="F31" s="32" t="n">
        <v>5</v>
      </c>
      <c r="G31" s="33">
        <f>IF(ISNUMBER('記入例_年間カレンダー'!$B$4),IF('記入例_年間カレンダー'!$B$4+28&lt;='記入例_年間カレンダー'!$B$5,'記入例_年間カレンダー'!$B$4+28,""),"")</f>
        <v>46324</v>
      </c>
      <c r="H31" s="34">
        <f>IF(G31="","",SUMIF('記入例_年間カレンダー'!$H$12:$H$377,F31,'記入例_年間カレンダー'!$G$12:$G$377))</f>
        <v>32</v>
      </c>
      <c r="I31" s="35">
        <f>IF(G31="",0,IF(H31&gt;48,1,0))</f>
        <v>0</v>
      </c>
      <c r="J31" s="35">
        <f>IF(I31=1,J30+1,0)</f>
        <v>0</v>
      </c>
      <c r="K31" s="35">
        <f>IF(G31="","",COUNTIF($N$27:$N$30,"&lt;="&amp;G31))</f>
        <v>1</v>
      </c>
      <c r="L31" s="38" t="n"/>
      <c r="M31" s="38" t="n"/>
      <c r="N31" s="38" t="n"/>
      <c r="O31" s="38" t="n"/>
    </row>
    <row r="32">
      <c r="A32" s="38" t="n"/>
      <c r="B32" s="38" t="n"/>
      <c r="C32" s="38" t="n"/>
      <c r="D32" s="38" t="n"/>
      <c r="E32" s="38" t="n"/>
      <c r="F32" s="32" t="n">
        <v>6</v>
      </c>
      <c r="G32" s="33">
        <f>IF(ISNUMBER('記入例_年間カレンダー'!$B$4),IF('記入例_年間カレンダー'!$B$4+35&lt;='記入例_年間カレンダー'!$B$5,'記入例_年間カレンダー'!$B$4+35,""),"")</f>
        <v>46331</v>
      </c>
      <c r="H32" s="34">
        <f>IF(G32="","",SUMIF('記入例_年間カレンダー'!$H$12:$H$377,F32,'記入例_年間カレンダー'!$G$12:$G$377))</f>
        <v>40</v>
      </c>
      <c r="I32" s="35">
        <f>IF(G32="",0,IF(H32&gt;48,1,0))</f>
        <v>0</v>
      </c>
      <c r="J32" s="35">
        <f>IF(I32=1,J31+1,0)</f>
        <v>0</v>
      </c>
      <c r="K32" s="35">
        <f>IF(G32="","",COUNTIF($N$27:$N$30,"&lt;="&amp;G32))</f>
        <v>1</v>
      </c>
      <c r="L32" s="38" t="n"/>
      <c r="M32" s="38" t="n"/>
      <c r="N32" s="38" t="n"/>
      <c r="O32" s="38" t="n"/>
    </row>
    <row r="33">
      <c r="A33" s="38" t="n"/>
      <c r="B33" s="38" t="n"/>
      <c r="C33" s="38" t="n"/>
      <c r="D33" s="38" t="n"/>
      <c r="E33" s="38" t="n"/>
      <c r="F33" s="32" t="n">
        <v>7</v>
      </c>
      <c r="G33" s="33">
        <f>IF(ISNUMBER('記入例_年間カレンダー'!$B$4),IF('記入例_年間カレンダー'!$B$4+42&lt;='記入例_年間カレンダー'!$B$5,'記入例_年間カレンダー'!$B$4+42,""),"")</f>
        <v>46338</v>
      </c>
      <c r="H33" s="34">
        <f>IF(G33="","",SUMIF('記入例_年間カレンダー'!$H$12:$H$377,F33,'記入例_年間カレンダー'!$G$12:$G$377))</f>
        <v>40</v>
      </c>
      <c r="I33" s="35">
        <f>IF(G33="",0,IF(H33&gt;48,1,0))</f>
        <v>0</v>
      </c>
      <c r="J33" s="35">
        <f>IF(I33=1,J32+1,0)</f>
        <v>0</v>
      </c>
      <c r="K33" s="35">
        <f>IF(G33="","",COUNTIF($N$27:$N$30,"&lt;="&amp;G33))</f>
        <v>1</v>
      </c>
      <c r="L33" s="38" t="n"/>
      <c r="M33" s="38" t="n"/>
      <c r="N33" s="38" t="n"/>
      <c r="O33" s="38" t="n"/>
    </row>
    <row r="34">
      <c r="A34" s="38" t="n"/>
      <c r="B34" s="38" t="n"/>
      <c r="C34" s="38" t="n"/>
      <c r="D34" s="38" t="n"/>
      <c r="E34" s="38" t="n"/>
      <c r="F34" s="32" t="n">
        <v>8</v>
      </c>
      <c r="G34" s="33">
        <f>IF(ISNUMBER('記入例_年間カレンダー'!$B$4),IF('記入例_年間カレンダー'!$B$4+49&lt;='記入例_年間カレンダー'!$B$5,'記入例_年間カレンダー'!$B$4+49,""),"")</f>
        <v>46345</v>
      </c>
      <c r="H34" s="34">
        <f>IF(G34="","",SUMIF('記入例_年間カレンダー'!$H$12:$H$377,F34,'記入例_年間カレンダー'!$G$12:$G$377))</f>
        <v>32</v>
      </c>
      <c r="I34" s="35">
        <f>IF(G34="",0,IF(H34&gt;48,1,0))</f>
        <v>0</v>
      </c>
      <c r="J34" s="35">
        <f>IF(I34=1,J33+1,0)</f>
        <v>0</v>
      </c>
      <c r="K34" s="35">
        <f>IF(G34="","",COUNTIF($N$27:$N$30,"&lt;="&amp;G34))</f>
        <v>1</v>
      </c>
      <c r="L34" s="38" t="n"/>
      <c r="M34" s="38" t="n"/>
      <c r="N34" s="38" t="n"/>
      <c r="O34" s="38" t="n"/>
    </row>
    <row r="35">
      <c r="A35" s="38" t="n"/>
      <c r="B35" s="38" t="n"/>
      <c r="C35" s="38" t="n"/>
      <c r="D35" s="38" t="n"/>
      <c r="E35" s="38" t="n"/>
      <c r="F35" s="32" t="n">
        <v>9</v>
      </c>
      <c r="G35" s="33">
        <f>IF(ISNUMBER('記入例_年間カレンダー'!$B$4),IF('記入例_年間カレンダー'!$B$4+56&lt;='記入例_年間カレンダー'!$B$5,'記入例_年間カレンダー'!$B$4+56,""),"")</f>
        <v>46352</v>
      </c>
      <c r="H35" s="34">
        <f>IF(G35="","",SUMIF('記入例_年間カレンダー'!$H$12:$H$377,F35,'記入例_年間カレンダー'!$G$12:$G$377))</f>
        <v>43</v>
      </c>
      <c r="I35" s="35">
        <f>IF(G35="",0,IF(H35&gt;48,1,0))</f>
        <v>0</v>
      </c>
      <c r="J35" s="35">
        <f>IF(I35=1,J34+1,0)</f>
        <v>0</v>
      </c>
      <c r="K35" s="35">
        <f>IF(G35="","",COUNTIF($N$27:$N$30,"&lt;="&amp;G35))</f>
        <v>1</v>
      </c>
      <c r="L35" s="38" t="n"/>
      <c r="M35" s="38" t="n"/>
      <c r="N35" s="38" t="n"/>
      <c r="O35" s="38" t="n"/>
    </row>
    <row r="36">
      <c r="A36" s="38" t="n"/>
      <c r="B36" s="38" t="n"/>
      <c r="C36" s="38" t="n"/>
      <c r="D36" s="38" t="n"/>
      <c r="E36" s="38" t="n"/>
      <c r="F36" s="32" t="n">
        <v>10</v>
      </c>
      <c r="G36" s="33">
        <f>IF(ISNUMBER('記入例_年間カレンダー'!$B$4),IF('記入例_年間カレンダー'!$B$4+63&lt;='記入例_年間カレンダー'!$B$5,'記入例_年間カレンダー'!$B$4+63,""),"")</f>
        <v>46359</v>
      </c>
      <c r="H36" s="34">
        <f>IF(G36="","",SUMIF('記入例_年間カレンダー'!$H$12:$H$377,F36,'記入例_年間カレンダー'!$G$12:$G$377))</f>
        <v>47.5</v>
      </c>
      <c r="I36" s="35">
        <f>IF(G36="",0,IF(H36&gt;48,1,0))</f>
        <v>0</v>
      </c>
      <c r="J36" s="35">
        <f>IF(I36=1,J35+1,0)</f>
        <v>0</v>
      </c>
      <c r="K36" s="35">
        <f>IF(G36="","",COUNTIF($N$27:$N$30,"&lt;="&amp;G36))</f>
        <v>1</v>
      </c>
      <c r="L36" s="38" t="n"/>
      <c r="M36" s="38" t="n"/>
      <c r="N36" s="38" t="n"/>
      <c r="O36" s="38" t="n"/>
    </row>
    <row r="37">
      <c r="A37" s="38" t="n"/>
      <c r="B37" s="38" t="n"/>
      <c r="C37" s="38" t="n"/>
      <c r="D37" s="38" t="n"/>
      <c r="E37" s="38" t="n"/>
      <c r="F37" s="32" t="n">
        <v>11</v>
      </c>
      <c r="G37" s="33">
        <f>IF(ISNUMBER('記入例_年間カレンダー'!$B$4),IF('記入例_年間カレンダー'!$B$4+70&lt;='記入例_年間カレンダー'!$B$5,'記入例_年間カレンダー'!$B$4+70,""),"")</f>
        <v>46366</v>
      </c>
      <c r="H37" s="34">
        <f>IF(G37="","",SUMIF('記入例_年間カレンダー'!$H$12:$H$377,F37,'記入例_年間カレンダー'!$G$12:$G$377))</f>
        <v>47.5</v>
      </c>
      <c r="I37" s="35">
        <f>IF(G37="",0,IF(H37&gt;48,1,0))</f>
        <v>0</v>
      </c>
      <c r="J37" s="35">
        <f>IF(I37=1,J36+1,0)</f>
        <v>0</v>
      </c>
      <c r="K37" s="35">
        <f>IF(G37="","",COUNTIF($N$27:$N$30,"&lt;="&amp;G37))</f>
        <v>1</v>
      </c>
      <c r="L37" s="38" t="n"/>
      <c r="M37" s="38" t="n"/>
      <c r="N37" s="38" t="n"/>
      <c r="O37" s="38" t="n"/>
    </row>
    <row r="38">
      <c r="A38" s="38" t="n"/>
      <c r="B38" s="38" t="n"/>
      <c r="C38" s="38" t="n"/>
      <c r="D38" s="38" t="n"/>
      <c r="E38" s="38" t="n"/>
      <c r="F38" s="32" t="n">
        <v>12</v>
      </c>
      <c r="G38" s="33">
        <f>IF(ISNUMBER('記入例_年間カレンダー'!$B$4),IF('記入例_年間カレンダー'!$B$4+77&lt;='記入例_年間カレンダー'!$B$5,'記入例_年間カレンダー'!$B$4+77,""),"")</f>
        <v>46373</v>
      </c>
      <c r="H38" s="34">
        <f>IF(G38="","",SUMIF('記入例_年間カレンダー'!$H$12:$H$377,F38,'記入例_年間カレンダー'!$G$12:$G$377))</f>
        <v>47.5</v>
      </c>
      <c r="I38" s="35">
        <f>IF(G38="",0,IF(H38&gt;48,1,0))</f>
        <v>0</v>
      </c>
      <c r="J38" s="35">
        <f>IF(I38=1,J37+1,0)</f>
        <v>0</v>
      </c>
      <c r="K38" s="35">
        <f>IF(G38="","",COUNTIF($N$27:$N$30,"&lt;="&amp;G38))</f>
        <v>1</v>
      </c>
      <c r="L38" s="38" t="n"/>
      <c r="M38" s="38" t="n"/>
      <c r="N38" s="38" t="n"/>
      <c r="O38" s="38" t="n"/>
    </row>
    <row r="39">
      <c r="A39" s="38" t="n"/>
      <c r="B39" s="38" t="n"/>
      <c r="C39" s="38" t="n"/>
      <c r="D39" s="38" t="n"/>
      <c r="E39" s="38" t="n"/>
      <c r="F39" s="32" t="n">
        <v>13</v>
      </c>
      <c r="G39" s="33">
        <f>IF(ISNUMBER('記入例_年間カレンダー'!$B$4),IF('記入例_年間カレンダー'!$B$4+84&lt;='記入例_年間カレンダー'!$B$5,'記入例_年間カレンダー'!$B$4+84,""),"")</f>
        <v>46380</v>
      </c>
      <c r="H39" s="34">
        <f>IF(G39="","",SUMIF('記入例_年間カレンダー'!$H$12:$H$377,F39,'記入例_年間カレンダー'!$G$12:$G$377))</f>
        <v>28.5</v>
      </c>
      <c r="I39" s="35">
        <f>IF(G39="",0,IF(H39&gt;48,1,0))</f>
        <v>0</v>
      </c>
      <c r="J39" s="35">
        <f>IF(I39=1,J38+1,0)</f>
        <v>0</v>
      </c>
      <c r="K39" s="35">
        <f>IF(G39="","",COUNTIF($N$27:$N$30,"&lt;="&amp;G39))</f>
        <v>1</v>
      </c>
      <c r="L39" s="38" t="n"/>
      <c r="M39" s="38" t="n"/>
      <c r="N39" s="38" t="n"/>
      <c r="O39" s="38" t="n"/>
    </row>
    <row r="40">
      <c r="A40" s="38" t="n"/>
      <c r="B40" s="38" t="n"/>
      <c r="C40" s="38" t="n"/>
      <c r="D40" s="38" t="n"/>
      <c r="E40" s="38" t="n"/>
      <c r="F40" s="32" t="n">
        <v>14</v>
      </c>
      <c r="G40" s="33">
        <f>IF(ISNUMBER('記入例_年間カレンダー'!$B$4),IF('記入例_年間カレンダー'!$B$4+91&lt;='記入例_年間カレンダー'!$B$5,'記入例_年間カレンダー'!$B$4+91,""),"")</f>
        <v>46387</v>
      </c>
      <c r="H40" s="34">
        <f>IF(G40="","",SUMIF('記入例_年間カレンダー'!$H$12:$H$377,F40,'記入例_年間カレンダー'!$G$12:$G$377))</f>
        <v>16</v>
      </c>
      <c r="I40" s="35">
        <f>IF(G40="",0,IF(H40&gt;48,1,0))</f>
        <v>0</v>
      </c>
      <c r="J40" s="35">
        <f>IF(I40=1,J39+1,0)</f>
        <v>0</v>
      </c>
      <c r="K40" s="35">
        <f>IF(G40="","",COUNTIF($N$27:$N$30,"&lt;="&amp;G40))</f>
        <v>1</v>
      </c>
      <c r="L40" s="38" t="n"/>
      <c r="M40" s="38" t="n"/>
      <c r="N40" s="38" t="n"/>
      <c r="O40" s="38" t="n"/>
    </row>
    <row r="41">
      <c r="A41" s="38" t="n"/>
      <c r="B41" s="38" t="n"/>
      <c r="C41" s="38" t="n"/>
      <c r="D41" s="38" t="n"/>
      <c r="E41" s="38" t="n"/>
      <c r="F41" s="32" t="n">
        <v>15</v>
      </c>
      <c r="G41" s="33">
        <f>IF(ISNUMBER('記入例_年間カレンダー'!$B$4),IF('記入例_年間カレンダー'!$B$4+98&lt;='記入例_年間カレンダー'!$B$5,'記入例_年間カレンダー'!$B$4+98,""),"")</f>
        <v>46394</v>
      </c>
      <c r="H41" s="34">
        <f>IF(G41="","",SUMIF('記入例_年間カレンダー'!$H$12:$H$377,F41,'記入例_年間カレンダー'!$G$12:$G$377))</f>
        <v>32</v>
      </c>
      <c r="I41" s="35">
        <f>IF(G41="",0,IF(H41&gt;48,1,0))</f>
        <v>0</v>
      </c>
      <c r="J41" s="35">
        <f>IF(I41=1,J40+1,0)</f>
        <v>0</v>
      </c>
      <c r="K41" s="35">
        <f>IF(G41="","",COUNTIF($N$27:$N$30,"&lt;="&amp;G41))</f>
        <v>2</v>
      </c>
      <c r="L41" s="38" t="n"/>
      <c r="M41" s="38" t="n"/>
      <c r="N41" s="38" t="n"/>
      <c r="O41" s="38" t="n"/>
    </row>
    <row r="42">
      <c r="A42" s="38" t="n"/>
      <c r="B42" s="38" t="n"/>
      <c r="C42" s="38" t="n"/>
      <c r="D42" s="38" t="n"/>
      <c r="E42" s="38" t="n"/>
      <c r="F42" s="32" t="n">
        <v>16</v>
      </c>
      <c r="G42" s="33">
        <f>IF(ISNUMBER('記入例_年間カレンダー'!$B$4),IF('記入例_年間カレンダー'!$B$4+105&lt;='記入例_年間カレンダー'!$B$5,'記入例_年間カレンダー'!$B$4+105,""),"")</f>
        <v>46401</v>
      </c>
      <c r="H42" s="34">
        <f>IF(G42="","",SUMIF('記入例_年間カレンダー'!$H$12:$H$377,F42,'記入例_年間カレンダー'!$G$12:$G$377))</f>
        <v>40</v>
      </c>
      <c r="I42" s="35">
        <f>IF(G42="",0,IF(H42&gt;48,1,0))</f>
        <v>0</v>
      </c>
      <c r="J42" s="35">
        <f>IF(I42=1,J41+1,0)</f>
        <v>0</v>
      </c>
      <c r="K42" s="35">
        <f>IF(G42="","",COUNTIF($N$27:$N$30,"&lt;="&amp;G42))</f>
        <v>2</v>
      </c>
      <c r="L42" s="38" t="n"/>
      <c r="M42" s="38" t="n"/>
      <c r="N42" s="38" t="n"/>
      <c r="O42" s="38" t="n"/>
    </row>
    <row r="43">
      <c r="A43" s="38" t="n"/>
      <c r="B43" s="38" t="n"/>
      <c r="C43" s="38" t="n"/>
      <c r="D43" s="38" t="n"/>
      <c r="E43" s="38" t="n"/>
      <c r="F43" s="32" t="n">
        <v>17</v>
      </c>
      <c r="G43" s="33">
        <f>IF(ISNUMBER('記入例_年間カレンダー'!$B$4),IF('記入例_年間カレンダー'!$B$4+112&lt;='記入例_年間カレンダー'!$B$5,'記入例_年間カレンダー'!$B$4+112,""),"")</f>
        <v>46408</v>
      </c>
      <c r="H43" s="34">
        <f>IF(G43="","",SUMIF('記入例_年間カレンダー'!$H$12:$H$377,F43,'記入例_年間カレンダー'!$G$12:$G$377))</f>
        <v>40</v>
      </c>
      <c r="I43" s="35">
        <f>IF(G43="",0,IF(H43&gt;48,1,0))</f>
        <v>0</v>
      </c>
      <c r="J43" s="35">
        <f>IF(I43=1,J42+1,0)</f>
        <v>0</v>
      </c>
      <c r="K43" s="35">
        <f>IF(G43="","",COUNTIF($N$27:$N$30,"&lt;="&amp;G43))</f>
        <v>2</v>
      </c>
      <c r="L43" s="38" t="n"/>
      <c r="M43" s="38" t="n"/>
      <c r="N43" s="38" t="n"/>
      <c r="O43" s="38" t="n"/>
    </row>
    <row r="44">
      <c r="A44" s="38" t="n"/>
      <c r="B44" s="38" t="n"/>
      <c r="C44" s="38" t="n"/>
      <c r="D44" s="38" t="n"/>
      <c r="E44" s="38" t="n"/>
      <c r="F44" s="32" t="n">
        <v>18</v>
      </c>
      <c r="G44" s="33">
        <f>IF(ISNUMBER('記入例_年間カレンダー'!$B$4),IF('記入例_年間カレンダー'!$B$4+119&lt;='記入例_年間カレンダー'!$B$5,'記入例_年間カレンダー'!$B$4+119,""),"")</f>
        <v>46415</v>
      </c>
      <c r="H44" s="34">
        <f>IF(G44="","",SUMIF('記入例_年間カレンダー'!$H$12:$H$377,F44,'記入例_年間カレンダー'!$G$12:$G$377))</f>
        <v>40</v>
      </c>
      <c r="I44" s="35">
        <f>IF(G44="",0,IF(H44&gt;48,1,0))</f>
        <v>0</v>
      </c>
      <c r="J44" s="35">
        <f>IF(I44=1,J43+1,0)</f>
        <v>0</v>
      </c>
      <c r="K44" s="35">
        <f>IF(G44="","",COUNTIF($N$27:$N$30,"&lt;="&amp;G44))</f>
        <v>2</v>
      </c>
      <c r="L44" s="38" t="n"/>
      <c r="M44" s="38" t="n"/>
      <c r="N44" s="38" t="n"/>
      <c r="O44" s="38" t="n"/>
    </row>
    <row r="45">
      <c r="A45" s="38" t="n"/>
      <c r="B45" s="38" t="n"/>
      <c r="C45" s="38" t="n"/>
      <c r="D45" s="38" t="n"/>
      <c r="E45" s="38" t="n"/>
      <c r="F45" s="32" t="n">
        <v>19</v>
      </c>
      <c r="G45" s="33">
        <f>IF(ISNUMBER('記入例_年間カレンダー'!$B$4),IF('記入例_年間カレンダー'!$B$4+126&lt;='記入例_年間カレンダー'!$B$5,'記入例_年間カレンダー'!$B$4+126,""),"")</f>
        <v>46422</v>
      </c>
      <c r="H45" s="34">
        <f>IF(G45="","",SUMIF('記入例_年間カレンダー'!$H$12:$H$377,F45,'記入例_年間カレンダー'!$G$12:$G$377))</f>
        <v>40</v>
      </c>
      <c r="I45" s="35">
        <f>IF(G45="",0,IF(H45&gt;48,1,0))</f>
        <v>0</v>
      </c>
      <c r="J45" s="35">
        <f>IF(I45=1,J44+1,0)</f>
        <v>0</v>
      </c>
      <c r="K45" s="35">
        <f>IF(G45="","",COUNTIF($N$27:$N$30,"&lt;="&amp;G45))</f>
        <v>2</v>
      </c>
      <c r="L45" s="38" t="n"/>
      <c r="M45" s="38" t="n"/>
      <c r="N45" s="38" t="n"/>
      <c r="O45" s="38" t="n"/>
    </row>
    <row r="46">
      <c r="A46" s="38" t="n"/>
      <c r="B46" s="38" t="n"/>
      <c r="C46" s="38" t="n"/>
      <c r="D46" s="38" t="n"/>
      <c r="E46" s="38" t="n"/>
      <c r="F46" s="32" t="n">
        <v>20</v>
      </c>
      <c r="G46" s="33">
        <f>IF(ISNUMBER('記入例_年間カレンダー'!$B$4),IF('記入例_年間カレンダー'!$B$4+133&lt;='記入例_年間カレンダー'!$B$5,'記入例_年間カレンダー'!$B$4+133,""),"")</f>
        <v>46429</v>
      </c>
      <c r="H46" s="34">
        <f>IF(G46="","",SUMIF('記入例_年間カレンダー'!$H$12:$H$377,F46,'記入例_年間カレンダー'!$G$12:$G$377))</f>
        <v>32</v>
      </c>
      <c r="I46" s="35">
        <f>IF(G46="",0,IF(H46&gt;48,1,0))</f>
        <v>0</v>
      </c>
      <c r="J46" s="35">
        <f>IF(I46=1,J45+1,0)</f>
        <v>0</v>
      </c>
      <c r="K46" s="35">
        <f>IF(G46="","",COUNTIF($N$27:$N$30,"&lt;="&amp;G46))</f>
        <v>2</v>
      </c>
      <c r="L46" s="38" t="n"/>
      <c r="M46" s="38" t="n"/>
      <c r="N46" s="38" t="n"/>
      <c r="O46" s="38" t="n"/>
    </row>
    <row r="47">
      <c r="A47" s="38" t="n"/>
      <c r="B47" s="38" t="n"/>
      <c r="C47" s="38" t="n"/>
      <c r="D47" s="38" t="n"/>
      <c r="E47" s="38" t="n"/>
      <c r="F47" s="32" t="n">
        <v>21</v>
      </c>
      <c r="G47" s="33">
        <f>IF(ISNUMBER('記入例_年間カレンダー'!$B$4),IF('記入例_年間カレンダー'!$B$4+140&lt;='記入例_年間カレンダー'!$B$5,'記入例_年間カレンダー'!$B$4+140,""),"")</f>
        <v>46436</v>
      </c>
      <c r="H47" s="34">
        <f>IF(G47="","",SUMIF('記入例_年間カレンダー'!$H$12:$H$377,F47,'記入例_年間カレンダー'!$G$12:$G$377))</f>
        <v>40</v>
      </c>
      <c r="I47" s="35">
        <f>IF(G47="",0,IF(H47&gt;48,1,0))</f>
        <v>0</v>
      </c>
      <c r="J47" s="35">
        <f>IF(I47=1,J46+1,0)</f>
        <v>0</v>
      </c>
      <c r="K47" s="35">
        <f>IF(G47="","",COUNTIF($N$27:$N$30,"&lt;="&amp;G47))</f>
        <v>2</v>
      </c>
      <c r="L47" s="38" t="n"/>
      <c r="M47" s="38" t="n"/>
      <c r="N47" s="38" t="n"/>
      <c r="O47" s="38" t="n"/>
    </row>
    <row r="48">
      <c r="A48" s="38" t="n"/>
      <c r="B48" s="38" t="n"/>
      <c r="C48" s="38" t="n"/>
      <c r="D48" s="38" t="n"/>
      <c r="E48" s="38" t="n"/>
      <c r="F48" s="32" t="n">
        <v>22</v>
      </c>
      <c r="G48" s="33">
        <f>IF(ISNUMBER('記入例_年間カレンダー'!$B$4),IF('記入例_年間カレンダー'!$B$4+147&lt;='記入例_年間カレンダー'!$B$5,'記入例_年間カレンダー'!$B$4+147,""),"")</f>
        <v>46443</v>
      </c>
      <c r="H48" s="34">
        <f>IF(G48="","",SUMIF('記入例_年間カレンダー'!$H$12:$H$377,F48,'記入例_年間カレンダー'!$G$12:$G$377))</f>
        <v>40</v>
      </c>
      <c r="I48" s="35">
        <f>IF(G48="",0,IF(H48&gt;48,1,0))</f>
        <v>0</v>
      </c>
      <c r="J48" s="35">
        <f>IF(I48=1,J47+1,0)</f>
        <v>0</v>
      </c>
      <c r="K48" s="35">
        <f>IF(G48="","",COUNTIF($N$27:$N$30,"&lt;="&amp;G48))</f>
        <v>2</v>
      </c>
      <c r="L48" s="38" t="n"/>
      <c r="M48" s="38" t="n"/>
      <c r="N48" s="38" t="n"/>
      <c r="O48" s="38" t="n"/>
    </row>
    <row r="49">
      <c r="A49" s="38" t="n"/>
      <c r="B49" s="38" t="n"/>
      <c r="C49" s="38" t="n"/>
      <c r="D49" s="38" t="n"/>
      <c r="E49" s="38" t="n"/>
      <c r="F49" s="32" t="n">
        <v>23</v>
      </c>
      <c r="G49" s="33">
        <f>IF(ISNUMBER('記入例_年間カレンダー'!$B$4),IF('記入例_年間カレンダー'!$B$4+154&lt;='記入例_年間カレンダー'!$B$5,'記入例_年間カレンダー'!$B$4+154,""),"")</f>
        <v>46450</v>
      </c>
      <c r="H49" s="34">
        <f>IF(G49="","",SUMIF('記入例_年間カレンダー'!$H$12:$H$377,F49,'記入例_年間カレンダー'!$G$12:$G$377))</f>
        <v>40</v>
      </c>
      <c r="I49" s="35">
        <f>IF(G49="",0,IF(H49&gt;48,1,0))</f>
        <v>0</v>
      </c>
      <c r="J49" s="35">
        <f>IF(I49=1,J48+1,0)</f>
        <v>0</v>
      </c>
      <c r="K49" s="35">
        <f>IF(G49="","",COUNTIF($N$27:$N$30,"&lt;="&amp;G49))</f>
        <v>2</v>
      </c>
      <c r="L49" s="38" t="n"/>
      <c r="M49" s="38" t="n"/>
      <c r="N49" s="38" t="n"/>
      <c r="O49" s="38" t="n"/>
    </row>
    <row r="50">
      <c r="A50" s="38" t="n"/>
      <c r="B50" s="38" t="n"/>
      <c r="C50" s="38" t="n"/>
      <c r="D50" s="38" t="n"/>
      <c r="E50" s="38" t="n"/>
      <c r="F50" s="32" t="n">
        <v>24</v>
      </c>
      <c r="G50" s="33">
        <f>IF(ISNUMBER('記入例_年間カレンダー'!$B$4),IF('記入例_年間カレンダー'!$B$4+161&lt;='記入例_年間カレンダー'!$B$5,'記入例_年間カレンダー'!$B$4+161,""),"")</f>
        <v>46457</v>
      </c>
      <c r="H50" s="34">
        <f>IF(G50="","",SUMIF('記入例_年間カレンダー'!$H$12:$H$377,F50,'記入例_年間カレンダー'!$G$12:$G$377))</f>
        <v>40</v>
      </c>
      <c r="I50" s="35">
        <f>IF(G50="",0,IF(H50&gt;48,1,0))</f>
        <v>0</v>
      </c>
      <c r="J50" s="35">
        <f>IF(I50=1,J49+1,0)</f>
        <v>0</v>
      </c>
      <c r="K50" s="35">
        <f>IF(G50="","",COUNTIF($N$27:$N$30,"&lt;="&amp;G50))</f>
        <v>2</v>
      </c>
      <c r="L50" s="38" t="n"/>
      <c r="M50" s="38" t="n"/>
      <c r="N50" s="38" t="n"/>
      <c r="O50" s="38" t="n"/>
    </row>
    <row r="51">
      <c r="A51" s="38" t="n"/>
      <c r="B51" s="38" t="n"/>
      <c r="C51" s="38" t="n"/>
      <c r="D51" s="38" t="n"/>
      <c r="E51" s="38" t="n"/>
      <c r="F51" s="32" t="n">
        <v>25</v>
      </c>
      <c r="G51" s="33">
        <f>IF(ISNUMBER('記入例_年間カレンダー'!$B$4),IF('記入例_年間カレンダー'!$B$4+168&lt;='記入例_年間カレンダー'!$B$5,'記入例_年間カレンダー'!$B$4+168,""),"")</f>
        <v>46464</v>
      </c>
      <c r="H51" s="34">
        <f>IF(G51="","",SUMIF('記入例_年間カレンダー'!$H$12:$H$377,F51,'記入例_年間カレンダー'!$G$12:$G$377))</f>
        <v>40</v>
      </c>
      <c r="I51" s="35">
        <f>IF(G51="",0,IF(H51&gt;48,1,0))</f>
        <v>0</v>
      </c>
      <c r="J51" s="35">
        <f>IF(I51=1,J50+1,0)</f>
        <v>0</v>
      </c>
      <c r="K51" s="35">
        <f>IF(G51="","",COUNTIF($N$27:$N$30,"&lt;="&amp;G51))</f>
        <v>2</v>
      </c>
      <c r="L51" s="38" t="n"/>
      <c r="M51" s="38" t="n"/>
      <c r="N51" s="38" t="n"/>
      <c r="O51" s="38" t="n"/>
    </row>
    <row r="52">
      <c r="A52" s="38" t="n"/>
      <c r="B52" s="38" t="n"/>
      <c r="C52" s="38" t="n"/>
      <c r="D52" s="38" t="n"/>
      <c r="E52" s="38" t="n"/>
      <c r="F52" s="32" t="n">
        <v>26</v>
      </c>
      <c r="G52" s="33">
        <f>IF(ISNUMBER('記入例_年間カレンダー'!$B$4),IF('記入例_年間カレンダー'!$B$4+175&lt;='記入例_年間カレンダー'!$B$5,'記入例_年間カレンダー'!$B$4+175,""),"")</f>
        <v>46471</v>
      </c>
      <c r="H52" s="34">
        <f>IF(G52="","",SUMIF('記入例_年間カレンダー'!$H$12:$H$377,F52,'記入例_年間カレンダー'!$G$12:$G$377))</f>
        <v>40</v>
      </c>
      <c r="I52" s="35">
        <f>IF(G52="",0,IF(H52&gt;48,1,0))</f>
        <v>0</v>
      </c>
      <c r="J52" s="35">
        <f>IF(I52=1,J51+1,0)</f>
        <v>0</v>
      </c>
      <c r="K52" s="35">
        <f>IF(G52="","",COUNTIF($N$27:$N$30,"&lt;="&amp;G52))</f>
        <v>2</v>
      </c>
      <c r="L52" s="38" t="n"/>
      <c r="M52" s="38" t="n"/>
      <c r="N52" s="38" t="n"/>
      <c r="O52" s="38" t="n"/>
    </row>
    <row r="53">
      <c r="A53" s="38" t="n"/>
      <c r="B53" s="38" t="n"/>
      <c r="C53" s="38" t="n"/>
      <c r="D53" s="38" t="n"/>
      <c r="E53" s="38" t="n"/>
      <c r="F53" s="32" t="n">
        <v>27</v>
      </c>
      <c r="G53" s="33">
        <f>IF(ISNUMBER('記入例_年間カレンダー'!$B$4),IF('記入例_年間カレンダー'!$B$4+182&lt;='記入例_年間カレンダー'!$B$5,'記入例_年間カレンダー'!$B$4+182,""),"")</f>
        <v>46478</v>
      </c>
      <c r="H53" s="34">
        <f>IF(G53="","",SUMIF('記入例_年間カレンダー'!$H$12:$H$377,F53,'記入例_年間カレンダー'!$G$12:$G$377))</f>
        <v>40</v>
      </c>
      <c r="I53" s="35">
        <f>IF(G53="",0,IF(H53&gt;48,1,0))</f>
        <v>0</v>
      </c>
      <c r="J53" s="35">
        <f>IF(I53=1,J52+1,0)</f>
        <v>0</v>
      </c>
      <c r="K53" s="35">
        <f>IF(G53="","",COUNTIF($N$27:$N$30,"&lt;="&amp;G53))</f>
        <v>3</v>
      </c>
      <c r="L53" s="38" t="n"/>
      <c r="M53" s="38" t="n"/>
      <c r="N53" s="38" t="n"/>
      <c r="O53" s="38" t="n"/>
    </row>
    <row r="54">
      <c r="A54" s="38" t="n"/>
      <c r="B54" s="38" t="n"/>
      <c r="C54" s="38" t="n"/>
      <c r="D54" s="38" t="n"/>
      <c r="E54" s="38" t="n"/>
      <c r="F54" s="32" t="n">
        <v>28</v>
      </c>
      <c r="G54" s="33">
        <f>IF(ISNUMBER('記入例_年間カレンダー'!$B$4),IF('記入例_年間カレンダー'!$B$4+189&lt;='記入例_年間カレンダー'!$B$5,'記入例_年間カレンダー'!$B$4+189,""),"")</f>
        <v>46485</v>
      </c>
      <c r="H54" s="34">
        <f>IF(G54="","",SUMIF('記入例_年間カレンダー'!$H$12:$H$377,F54,'記入例_年間カレンダー'!$G$12:$G$377))</f>
        <v>40</v>
      </c>
      <c r="I54" s="35">
        <f>IF(G54="",0,IF(H54&gt;48,1,0))</f>
        <v>0</v>
      </c>
      <c r="J54" s="35">
        <f>IF(I54=1,J53+1,0)</f>
        <v>0</v>
      </c>
      <c r="K54" s="35">
        <f>IF(G54="","",COUNTIF($N$27:$N$30,"&lt;="&amp;G54))</f>
        <v>3</v>
      </c>
      <c r="L54" s="38" t="n"/>
      <c r="M54" s="38" t="n"/>
      <c r="N54" s="38" t="n"/>
      <c r="O54" s="38" t="n"/>
    </row>
    <row r="55">
      <c r="A55" s="38" t="n"/>
      <c r="B55" s="38" t="n"/>
      <c r="C55" s="38" t="n"/>
      <c r="D55" s="38" t="n"/>
      <c r="E55" s="38" t="n"/>
      <c r="F55" s="32" t="n">
        <v>29</v>
      </c>
      <c r="G55" s="33">
        <f>IF(ISNUMBER('記入例_年間カレンダー'!$B$4),IF('記入例_年間カレンダー'!$B$4+196&lt;='記入例_年間カレンダー'!$B$5,'記入例_年間カレンダー'!$B$4+196,""),"")</f>
        <v>46492</v>
      </c>
      <c r="H55" s="34">
        <f>IF(G55="","",SUMIF('記入例_年間カレンダー'!$H$12:$H$377,F55,'記入例_年間カレンダー'!$G$12:$G$377))</f>
        <v>40</v>
      </c>
      <c r="I55" s="35">
        <f>IF(G55="",0,IF(H55&gt;48,1,0))</f>
        <v>0</v>
      </c>
      <c r="J55" s="35">
        <f>IF(I55=1,J54+1,0)</f>
        <v>0</v>
      </c>
      <c r="K55" s="35">
        <f>IF(G55="","",COUNTIF($N$27:$N$30,"&lt;="&amp;G55))</f>
        <v>3</v>
      </c>
      <c r="L55" s="38" t="n"/>
      <c r="M55" s="38" t="n"/>
      <c r="N55" s="38" t="n"/>
      <c r="O55" s="38" t="n"/>
    </row>
    <row r="56">
      <c r="A56" s="38" t="n"/>
      <c r="B56" s="38" t="n"/>
      <c r="C56" s="38" t="n"/>
      <c r="D56" s="38" t="n"/>
      <c r="E56" s="38" t="n"/>
      <c r="F56" s="32" t="n">
        <v>30</v>
      </c>
      <c r="G56" s="33">
        <f>IF(ISNUMBER('記入例_年間カレンダー'!$B$4),IF('記入例_年間カレンダー'!$B$4+203&lt;='記入例_年間カレンダー'!$B$5,'記入例_年間カレンダー'!$B$4+203,""),"")</f>
        <v>46499</v>
      </c>
      <c r="H56" s="34">
        <f>IF(G56="","",SUMIF('記入例_年間カレンダー'!$H$12:$H$377,F56,'記入例_年間カレンダー'!$G$12:$G$377))</f>
        <v>40</v>
      </c>
      <c r="I56" s="35">
        <f>IF(G56="",0,IF(H56&gt;48,1,0))</f>
        <v>0</v>
      </c>
      <c r="J56" s="35">
        <f>IF(I56=1,J55+1,0)</f>
        <v>0</v>
      </c>
      <c r="K56" s="35">
        <f>IF(G56="","",COUNTIF($N$27:$N$30,"&lt;="&amp;G56))</f>
        <v>3</v>
      </c>
      <c r="L56" s="38" t="n"/>
      <c r="M56" s="38" t="n"/>
      <c r="N56" s="38" t="n"/>
      <c r="O56" s="38" t="n"/>
    </row>
    <row r="57">
      <c r="A57" s="38" t="n"/>
      <c r="B57" s="38" t="n"/>
      <c r="C57" s="38" t="n"/>
      <c r="D57" s="38" t="n"/>
      <c r="E57" s="38" t="n"/>
      <c r="F57" s="32" t="n">
        <v>31</v>
      </c>
      <c r="G57" s="33">
        <f>IF(ISNUMBER('記入例_年間カレンダー'!$B$4),IF('記入例_年間カレンダー'!$B$4+210&lt;='記入例_年間カレンダー'!$B$5,'記入例_年間カレンダー'!$B$4+210,""),"")</f>
        <v>46506</v>
      </c>
      <c r="H57" s="34">
        <f>IF(G57="","",SUMIF('記入例_年間カレンダー'!$H$12:$H$377,F57,'記入例_年間カレンダー'!$G$12:$G$377))</f>
        <v>8</v>
      </c>
      <c r="I57" s="35">
        <f>IF(G57="",0,IF(H57&gt;48,1,0))</f>
        <v>0</v>
      </c>
      <c r="J57" s="35">
        <f>IF(I57=1,J56+1,0)</f>
        <v>0</v>
      </c>
      <c r="K57" s="35">
        <f>IF(G57="","",COUNTIF($N$27:$N$30,"&lt;="&amp;G57))</f>
        <v>3</v>
      </c>
      <c r="L57" s="38" t="n"/>
      <c r="M57" s="38" t="n"/>
      <c r="N57" s="38" t="n"/>
      <c r="O57" s="38" t="n"/>
    </row>
    <row r="58">
      <c r="A58" s="38" t="n"/>
      <c r="B58" s="38" t="n"/>
      <c r="C58" s="38" t="n"/>
      <c r="D58" s="38" t="n"/>
      <c r="E58" s="38" t="n"/>
      <c r="F58" s="32" t="n">
        <v>32</v>
      </c>
      <c r="G58" s="33">
        <f>IF(ISNUMBER('記入例_年間カレンダー'!$B$4),IF('記入例_年間カレンダー'!$B$4+217&lt;='記入例_年間カレンダー'!$B$5,'記入例_年間カレンダー'!$B$4+217,""),"")</f>
        <v>46513</v>
      </c>
      <c r="H58" s="34">
        <f>IF(G58="","",SUMIF('記入例_年間カレンダー'!$H$12:$H$377,F58,'記入例_年間カレンダー'!$G$12:$G$377))</f>
        <v>40</v>
      </c>
      <c r="I58" s="35">
        <f>IF(G58="",0,IF(H58&gt;48,1,0))</f>
        <v>0</v>
      </c>
      <c r="J58" s="35">
        <f>IF(I58=1,J57+1,0)</f>
        <v>0</v>
      </c>
      <c r="K58" s="35">
        <f>IF(G58="","",COUNTIF($N$27:$N$30,"&lt;="&amp;G58))</f>
        <v>3</v>
      </c>
      <c r="L58" s="38" t="n"/>
      <c r="M58" s="38" t="n"/>
      <c r="N58" s="38" t="n"/>
      <c r="O58" s="38" t="n"/>
    </row>
    <row r="59">
      <c r="A59" s="38" t="n"/>
      <c r="B59" s="38" t="n"/>
      <c r="C59" s="38" t="n"/>
      <c r="D59" s="38" t="n"/>
      <c r="E59" s="38" t="n"/>
      <c r="F59" s="32" t="n">
        <v>33</v>
      </c>
      <c r="G59" s="33">
        <f>IF(ISNUMBER('記入例_年間カレンダー'!$B$4),IF('記入例_年間カレンダー'!$B$4+224&lt;='記入例_年間カレンダー'!$B$5,'記入例_年間カレンダー'!$B$4+224,""),"")</f>
        <v>46520</v>
      </c>
      <c r="H59" s="34">
        <f>IF(G59="","",SUMIF('記入例_年間カレンダー'!$H$12:$H$377,F59,'記入例_年間カレンダー'!$G$12:$G$377))</f>
        <v>40</v>
      </c>
      <c r="I59" s="35">
        <f>IF(G59="",0,IF(H59&gt;48,1,0))</f>
        <v>0</v>
      </c>
      <c r="J59" s="35">
        <f>IF(I59=1,J58+1,0)</f>
        <v>0</v>
      </c>
      <c r="K59" s="35">
        <f>IF(G59="","",COUNTIF($N$27:$N$30,"&lt;="&amp;G59))</f>
        <v>3</v>
      </c>
      <c r="L59" s="38" t="n"/>
      <c r="M59" s="38" t="n"/>
      <c r="N59" s="38" t="n"/>
      <c r="O59" s="38" t="n"/>
    </row>
    <row r="60">
      <c r="A60" s="38" t="n"/>
      <c r="B60" s="38" t="n"/>
      <c r="C60" s="38" t="n"/>
      <c r="D60" s="38" t="n"/>
      <c r="E60" s="38" t="n"/>
      <c r="F60" s="32" t="n">
        <v>34</v>
      </c>
      <c r="G60" s="33">
        <f>IF(ISNUMBER('記入例_年間カレンダー'!$B$4),IF('記入例_年間カレンダー'!$B$4+231&lt;='記入例_年間カレンダー'!$B$5,'記入例_年間カレンダー'!$B$4+231,""),"")</f>
        <v>46527</v>
      </c>
      <c r="H60" s="34">
        <f>IF(G60="","",SUMIF('記入例_年間カレンダー'!$H$12:$H$377,F60,'記入例_年間カレンダー'!$G$12:$G$377))</f>
        <v>40</v>
      </c>
      <c r="I60" s="35">
        <f>IF(G60="",0,IF(H60&gt;48,1,0))</f>
        <v>0</v>
      </c>
      <c r="J60" s="35">
        <f>IF(I60=1,J59+1,0)</f>
        <v>0</v>
      </c>
      <c r="K60" s="35">
        <f>IF(G60="","",COUNTIF($N$27:$N$30,"&lt;="&amp;G60))</f>
        <v>3</v>
      </c>
      <c r="L60" s="38" t="n"/>
      <c r="M60" s="38" t="n"/>
      <c r="N60" s="38" t="n"/>
      <c r="O60" s="38" t="n"/>
    </row>
    <row r="61">
      <c r="A61" s="38" t="n"/>
      <c r="B61" s="38" t="n"/>
      <c r="C61" s="38" t="n"/>
      <c r="D61" s="38" t="n"/>
      <c r="E61" s="38" t="n"/>
      <c r="F61" s="32" t="n">
        <v>35</v>
      </c>
      <c r="G61" s="33">
        <f>IF(ISNUMBER('記入例_年間カレンダー'!$B$4),IF('記入例_年間カレンダー'!$B$4+238&lt;='記入例_年間カレンダー'!$B$5,'記入例_年間カレンダー'!$B$4+238,""),"")</f>
        <v>46534</v>
      </c>
      <c r="H61" s="34">
        <f>IF(G61="","",SUMIF('記入例_年間カレンダー'!$H$12:$H$377,F61,'記入例_年間カレンダー'!$G$12:$G$377))</f>
        <v>40</v>
      </c>
      <c r="I61" s="35">
        <f>IF(G61="",0,IF(H61&gt;48,1,0))</f>
        <v>0</v>
      </c>
      <c r="J61" s="35">
        <f>IF(I61=1,J60+1,0)</f>
        <v>0</v>
      </c>
      <c r="K61" s="35">
        <f>IF(G61="","",COUNTIF($N$27:$N$30,"&lt;="&amp;G61))</f>
        <v>3</v>
      </c>
      <c r="L61" s="38" t="n"/>
      <c r="M61" s="38" t="n"/>
      <c r="N61" s="38" t="n"/>
      <c r="O61" s="38" t="n"/>
    </row>
    <row r="62">
      <c r="A62" s="38" t="n"/>
      <c r="B62" s="38" t="n"/>
      <c r="C62" s="38" t="n"/>
      <c r="D62" s="38" t="n"/>
      <c r="E62" s="38" t="n"/>
      <c r="F62" s="32" t="n">
        <v>36</v>
      </c>
      <c r="G62" s="33">
        <f>IF(ISNUMBER('記入例_年間カレンダー'!$B$4),IF('記入例_年間カレンダー'!$B$4+245&lt;='記入例_年間カレンダー'!$B$5,'記入例_年間カレンダー'!$B$4+245,""),"")</f>
        <v>46541</v>
      </c>
      <c r="H62" s="34">
        <f>IF(G62="","",SUMIF('記入例_年間カレンダー'!$H$12:$H$377,F62,'記入例_年間カレンダー'!$G$12:$G$377))</f>
        <v>40</v>
      </c>
      <c r="I62" s="35">
        <f>IF(G62="",0,IF(H62&gt;48,1,0))</f>
        <v>0</v>
      </c>
      <c r="J62" s="35">
        <f>IF(I62=1,J61+1,0)</f>
        <v>0</v>
      </c>
      <c r="K62" s="35">
        <f>IF(G62="","",COUNTIF($N$27:$N$30,"&lt;="&amp;G62))</f>
        <v>3</v>
      </c>
      <c r="L62" s="38" t="n"/>
      <c r="M62" s="38" t="n"/>
      <c r="N62" s="38" t="n"/>
      <c r="O62" s="38" t="n"/>
    </row>
    <row r="63">
      <c r="A63" s="38" t="n"/>
      <c r="B63" s="38" t="n"/>
      <c r="C63" s="38" t="n"/>
      <c r="D63" s="38" t="n"/>
      <c r="E63" s="38" t="n"/>
      <c r="F63" s="32" t="n">
        <v>37</v>
      </c>
      <c r="G63" s="33">
        <f>IF(ISNUMBER('記入例_年間カレンダー'!$B$4),IF('記入例_年間カレンダー'!$B$4+252&lt;='記入例_年間カレンダー'!$B$5,'記入例_年間カレンダー'!$B$4+252,""),"")</f>
        <v>46548</v>
      </c>
      <c r="H63" s="34">
        <f>IF(G63="","",SUMIF('記入例_年間カレンダー'!$H$12:$H$377,F63,'記入例_年間カレンダー'!$G$12:$G$377))</f>
        <v>40</v>
      </c>
      <c r="I63" s="35">
        <f>IF(G63="",0,IF(H63&gt;48,1,0))</f>
        <v>0</v>
      </c>
      <c r="J63" s="35">
        <f>IF(I63=1,J62+1,0)</f>
        <v>0</v>
      </c>
      <c r="K63" s="35">
        <f>IF(G63="","",COUNTIF($N$27:$N$30,"&lt;="&amp;G63))</f>
        <v>3</v>
      </c>
      <c r="L63" s="38" t="n"/>
      <c r="M63" s="38" t="n"/>
      <c r="N63" s="38" t="n"/>
      <c r="O63" s="38" t="n"/>
    </row>
    <row r="64">
      <c r="A64" s="38" t="n"/>
      <c r="B64" s="38" t="n"/>
      <c r="C64" s="38" t="n"/>
      <c r="D64" s="38" t="n"/>
      <c r="E64" s="38" t="n"/>
      <c r="F64" s="32" t="n">
        <v>38</v>
      </c>
      <c r="G64" s="33">
        <f>IF(ISNUMBER('記入例_年間カレンダー'!$B$4),IF('記入例_年間カレンダー'!$B$4+259&lt;='記入例_年間カレンダー'!$B$5,'記入例_年間カレンダー'!$B$4+259,""),"")</f>
        <v>46555</v>
      </c>
      <c r="H64" s="34">
        <f>IF(G64="","",SUMIF('記入例_年間カレンダー'!$H$12:$H$377,F64,'記入例_年間カレンダー'!$G$12:$G$377))</f>
        <v>40</v>
      </c>
      <c r="I64" s="35">
        <f>IF(G64="",0,IF(H64&gt;48,1,0))</f>
        <v>0</v>
      </c>
      <c r="J64" s="35">
        <f>IF(I64=1,J63+1,0)</f>
        <v>0</v>
      </c>
      <c r="K64" s="35">
        <f>IF(G64="","",COUNTIF($N$27:$N$30,"&lt;="&amp;G64))</f>
        <v>3</v>
      </c>
      <c r="L64" s="38" t="n"/>
      <c r="M64" s="38" t="n"/>
      <c r="N64" s="38" t="n"/>
      <c r="O64" s="38" t="n"/>
    </row>
    <row r="65">
      <c r="A65" s="38" t="n"/>
      <c r="B65" s="38" t="n"/>
      <c r="C65" s="38" t="n"/>
      <c r="D65" s="38" t="n"/>
      <c r="E65" s="38" t="n"/>
      <c r="F65" s="32" t="n">
        <v>39</v>
      </c>
      <c r="G65" s="33">
        <f>IF(ISNUMBER('記入例_年間カレンダー'!$B$4),IF('記入例_年間カレンダー'!$B$4+266&lt;='記入例_年間カレンダー'!$B$5,'記入例_年間カレンダー'!$B$4+266,""),"")</f>
        <v>46562</v>
      </c>
      <c r="H65" s="34">
        <f>IF(G65="","",SUMIF('記入例_年間カレンダー'!$H$12:$H$377,F65,'記入例_年間カレンダー'!$G$12:$G$377))</f>
        <v>40</v>
      </c>
      <c r="I65" s="35">
        <f>IF(G65="",0,IF(H65&gt;48,1,0))</f>
        <v>0</v>
      </c>
      <c r="J65" s="35">
        <f>IF(I65=1,J64+1,0)</f>
        <v>0</v>
      </c>
      <c r="K65" s="35">
        <f>IF(G65="","",COUNTIF($N$27:$N$30,"&lt;="&amp;G65))</f>
        <v>3</v>
      </c>
      <c r="L65" s="38" t="n"/>
      <c r="M65" s="38" t="n"/>
      <c r="N65" s="38" t="n"/>
      <c r="O65" s="38" t="n"/>
    </row>
    <row r="66">
      <c r="A66" s="38" t="n"/>
      <c r="B66" s="38" t="n"/>
      <c r="C66" s="38" t="n"/>
      <c r="D66" s="38" t="n"/>
      <c r="E66" s="38" t="n"/>
      <c r="F66" s="32" t="n">
        <v>40</v>
      </c>
      <c r="G66" s="33">
        <f>IF(ISNUMBER('記入例_年間カレンダー'!$B$4),IF('記入例_年間カレンダー'!$B$4+273&lt;='記入例_年間カレンダー'!$B$5,'記入例_年間カレンダー'!$B$4+273,""),"")</f>
        <v>46569</v>
      </c>
      <c r="H66" s="34">
        <f>IF(G66="","",SUMIF('記入例_年間カレンダー'!$H$12:$H$377,F66,'記入例_年間カレンダー'!$G$12:$G$377))</f>
        <v>40</v>
      </c>
      <c r="I66" s="35">
        <f>IF(G66="",0,IF(H66&gt;48,1,0))</f>
        <v>0</v>
      </c>
      <c r="J66" s="35">
        <f>IF(I66=1,J65+1,0)</f>
        <v>0</v>
      </c>
      <c r="K66" s="35">
        <f>IF(G66="","",COUNTIF($N$27:$N$30,"&lt;="&amp;G66))</f>
        <v>4</v>
      </c>
      <c r="L66" s="38" t="n"/>
      <c r="M66" s="38" t="n"/>
      <c r="N66" s="38" t="n"/>
      <c r="O66" s="38" t="n"/>
    </row>
    <row r="67">
      <c r="A67" s="38" t="n"/>
      <c r="B67" s="38" t="n"/>
      <c r="C67" s="38" t="n"/>
      <c r="D67" s="38" t="n"/>
      <c r="E67" s="38" t="n"/>
      <c r="F67" s="32" t="n">
        <v>41</v>
      </c>
      <c r="G67" s="33">
        <f>IF(ISNUMBER('記入例_年間カレンダー'!$B$4),IF('記入例_年間カレンダー'!$B$4+280&lt;='記入例_年間カレンダー'!$B$5,'記入例_年間カレンダー'!$B$4+280,""),"")</f>
        <v>46576</v>
      </c>
      <c r="H67" s="34">
        <f>IF(G67="","",SUMIF('記入例_年間カレンダー'!$H$12:$H$377,F67,'記入例_年間カレンダー'!$G$12:$G$377))</f>
        <v>40</v>
      </c>
      <c r="I67" s="35">
        <f>IF(G67="",0,IF(H67&gt;48,1,0))</f>
        <v>0</v>
      </c>
      <c r="J67" s="35">
        <f>IF(I67=1,J66+1,0)</f>
        <v>0</v>
      </c>
      <c r="K67" s="35">
        <f>IF(G67="","",COUNTIF($N$27:$N$30,"&lt;="&amp;G67))</f>
        <v>4</v>
      </c>
      <c r="L67" s="38" t="n"/>
      <c r="M67" s="38" t="n"/>
      <c r="N67" s="38" t="n"/>
      <c r="O67" s="38" t="n"/>
    </row>
    <row r="68">
      <c r="A68" s="38" t="n"/>
      <c r="B68" s="38" t="n"/>
      <c r="C68" s="38" t="n"/>
      <c r="D68" s="38" t="n"/>
      <c r="E68" s="38" t="n"/>
      <c r="F68" s="32" t="n">
        <v>42</v>
      </c>
      <c r="G68" s="33">
        <f>IF(ISNUMBER('記入例_年間カレンダー'!$B$4),IF('記入例_年間カレンダー'!$B$4+287&lt;='記入例_年間カレンダー'!$B$5,'記入例_年間カレンダー'!$B$4+287,""),"")</f>
        <v>46583</v>
      </c>
      <c r="H68" s="34">
        <f>IF(G68="","",SUMIF('記入例_年間カレンダー'!$H$12:$H$377,F68,'記入例_年間カレンダー'!$G$12:$G$377))</f>
        <v>40</v>
      </c>
      <c r="I68" s="35">
        <f>IF(G68="",0,IF(H68&gt;48,1,0))</f>
        <v>0</v>
      </c>
      <c r="J68" s="35">
        <f>IF(I68=1,J67+1,0)</f>
        <v>0</v>
      </c>
      <c r="K68" s="35">
        <f>IF(G68="","",COUNTIF($N$27:$N$30,"&lt;="&amp;G68))</f>
        <v>4</v>
      </c>
      <c r="L68" s="38" t="n"/>
      <c r="M68" s="38" t="n"/>
      <c r="N68" s="38" t="n"/>
      <c r="O68" s="38" t="n"/>
    </row>
    <row r="69">
      <c r="A69" s="38" t="n"/>
      <c r="B69" s="38" t="n"/>
      <c r="C69" s="38" t="n"/>
      <c r="D69" s="38" t="n"/>
      <c r="E69" s="38" t="n"/>
      <c r="F69" s="32" t="n">
        <v>43</v>
      </c>
      <c r="G69" s="33">
        <f>IF(ISNUMBER('記入例_年間カレンダー'!$B$4),IF('記入例_年間カレンダー'!$B$4+294&lt;='記入例_年間カレンダー'!$B$5,'記入例_年間カレンダー'!$B$4+294,""),"")</f>
        <v>46590</v>
      </c>
      <c r="H69" s="34">
        <f>IF(G69="","",SUMIF('記入例_年間カレンダー'!$H$12:$H$377,F69,'記入例_年間カレンダー'!$G$12:$G$377))</f>
        <v>40</v>
      </c>
      <c r="I69" s="35">
        <f>IF(G69="",0,IF(H69&gt;48,1,0))</f>
        <v>0</v>
      </c>
      <c r="J69" s="35">
        <f>IF(I69=1,J68+1,0)</f>
        <v>0</v>
      </c>
      <c r="K69" s="35">
        <f>IF(G69="","",COUNTIF($N$27:$N$30,"&lt;="&amp;G69))</f>
        <v>4</v>
      </c>
      <c r="L69" s="38" t="n"/>
      <c r="M69" s="38" t="n"/>
      <c r="N69" s="38" t="n"/>
      <c r="O69" s="38" t="n"/>
    </row>
    <row r="70">
      <c r="A70" s="38" t="n"/>
      <c r="B70" s="38" t="n"/>
      <c r="C70" s="38" t="n"/>
      <c r="D70" s="38" t="n"/>
      <c r="E70" s="38" t="n"/>
      <c r="F70" s="32" t="n">
        <v>44</v>
      </c>
      <c r="G70" s="33">
        <f>IF(ISNUMBER('記入例_年間カレンダー'!$B$4),IF('記入例_年間カレンダー'!$B$4+301&lt;='記入例_年間カレンダー'!$B$5,'記入例_年間カレンダー'!$B$4+301,""),"")</f>
        <v>46597</v>
      </c>
      <c r="H70" s="34">
        <f>IF(G70="","",SUMIF('記入例_年間カレンダー'!$H$12:$H$377,F70,'記入例_年間カレンダー'!$G$12:$G$377))</f>
        <v>40</v>
      </c>
      <c r="I70" s="35">
        <f>IF(G70="",0,IF(H70&gt;48,1,0))</f>
        <v>0</v>
      </c>
      <c r="J70" s="35">
        <f>IF(I70=1,J69+1,0)</f>
        <v>0</v>
      </c>
      <c r="K70" s="35">
        <f>IF(G70="","",COUNTIF($N$27:$N$30,"&lt;="&amp;G70))</f>
        <v>4</v>
      </c>
      <c r="L70" s="38" t="n"/>
      <c r="M70" s="38" t="n"/>
      <c r="N70" s="38" t="n"/>
      <c r="O70" s="38" t="n"/>
    </row>
    <row r="71">
      <c r="A71" s="38" t="n"/>
      <c r="B71" s="38" t="n"/>
      <c r="C71" s="38" t="n"/>
      <c r="D71" s="38" t="n"/>
      <c r="E71" s="38" t="n"/>
      <c r="F71" s="32" t="n">
        <v>45</v>
      </c>
      <c r="G71" s="33">
        <f>IF(ISNUMBER('記入例_年間カレンダー'!$B$4),IF('記入例_年間カレンダー'!$B$4+308&lt;='記入例_年間カレンダー'!$B$5,'記入例_年間カレンダー'!$B$4+308,""),"")</f>
        <v>46604</v>
      </c>
      <c r="H71" s="34">
        <f>IF(G71="","",SUMIF('記入例_年間カレンダー'!$H$12:$H$377,F71,'記入例_年間カレンダー'!$G$12:$G$377))</f>
        <v>40</v>
      </c>
      <c r="I71" s="35">
        <f>IF(G71="",0,IF(H71&gt;48,1,0))</f>
        <v>0</v>
      </c>
      <c r="J71" s="35">
        <f>IF(I71=1,J70+1,0)</f>
        <v>0</v>
      </c>
      <c r="K71" s="35">
        <f>IF(G71="","",COUNTIF($N$27:$N$30,"&lt;="&amp;G71))</f>
        <v>4</v>
      </c>
      <c r="L71" s="38" t="n"/>
      <c r="M71" s="38" t="n"/>
      <c r="N71" s="38" t="n"/>
      <c r="O71" s="38" t="n"/>
    </row>
    <row r="72">
      <c r="A72" s="38" t="n"/>
      <c r="B72" s="38" t="n"/>
      <c r="C72" s="38" t="n"/>
      <c r="D72" s="38" t="n"/>
      <c r="E72" s="38" t="n"/>
      <c r="F72" s="32" t="n">
        <v>46</v>
      </c>
      <c r="G72" s="33">
        <f>IF(ISNUMBER('記入例_年間カレンダー'!$B$4),IF('記入例_年間カレンダー'!$B$4+315&lt;='記入例_年間カレンダー'!$B$5,'記入例_年間カレンダー'!$B$4+315,""),"")</f>
        <v>46611</v>
      </c>
      <c r="H72" s="34">
        <f>IF(G72="","",SUMIF('記入例_年間カレンダー'!$H$12:$H$377,F72,'記入例_年間カレンダー'!$G$12:$G$377))</f>
        <v>16</v>
      </c>
      <c r="I72" s="35">
        <f>IF(G72="",0,IF(H72&gt;48,1,0))</f>
        <v>0</v>
      </c>
      <c r="J72" s="35">
        <f>IF(I72=1,J71+1,0)</f>
        <v>0</v>
      </c>
      <c r="K72" s="35">
        <f>IF(G72="","",COUNTIF($N$27:$N$30,"&lt;="&amp;G72))</f>
        <v>4</v>
      </c>
      <c r="L72" s="38" t="n"/>
      <c r="M72" s="38" t="n"/>
      <c r="N72" s="38" t="n"/>
      <c r="O72" s="38" t="n"/>
    </row>
    <row r="73">
      <c r="A73" s="38" t="n"/>
      <c r="B73" s="38" t="n"/>
      <c r="C73" s="38" t="n"/>
      <c r="D73" s="38" t="n"/>
      <c r="E73" s="38" t="n"/>
      <c r="F73" s="32" t="n">
        <v>47</v>
      </c>
      <c r="G73" s="33">
        <f>IF(ISNUMBER('記入例_年間カレンダー'!$B$4),IF('記入例_年間カレンダー'!$B$4+322&lt;='記入例_年間カレンダー'!$B$5,'記入例_年間カレンダー'!$B$4+322,""),"")</f>
        <v>46618</v>
      </c>
      <c r="H73" s="34">
        <f>IF(G73="","",SUMIF('記入例_年間カレンダー'!$H$12:$H$377,F73,'記入例_年間カレンダー'!$G$12:$G$377))</f>
        <v>40</v>
      </c>
      <c r="I73" s="35">
        <f>IF(G73="",0,IF(H73&gt;48,1,0))</f>
        <v>0</v>
      </c>
      <c r="J73" s="35">
        <f>IF(I73=1,J72+1,0)</f>
        <v>0</v>
      </c>
      <c r="K73" s="35">
        <f>IF(G73="","",COUNTIF($N$27:$N$30,"&lt;="&amp;G73))</f>
        <v>4</v>
      </c>
      <c r="L73" s="38" t="n"/>
      <c r="M73" s="38" t="n"/>
      <c r="N73" s="38" t="n"/>
      <c r="O73" s="38" t="n"/>
    </row>
    <row r="74">
      <c r="A74" s="38" t="n"/>
      <c r="B74" s="38" t="n"/>
      <c r="C74" s="38" t="n"/>
      <c r="D74" s="38" t="n"/>
      <c r="E74" s="38" t="n"/>
      <c r="F74" s="32" t="n">
        <v>48</v>
      </c>
      <c r="G74" s="33">
        <f>IF(ISNUMBER('記入例_年間カレンダー'!$B$4),IF('記入例_年間カレンダー'!$B$4+329&lt;='記入例_年間カレンダー'!$B$5,'記入例_年間カレンダー'!$B$4+329,""),"")</f>
        <v>46625</v>
      </c>
      <c r="H74" s="34">
        <f>IF(G74="","",SUMIF('記入例_年間カレンダー'!$H$12:$H$377,F74,'記入例_年間カレンダー'!$G$12:$G$377))</f>
        <v>40</v>
      </c>
      <c r="I74" s="35">
        <f>IF(G74="",0,IF(H74&gt;48,1,0))</f>
        <v>0</v>
      </c>
      <c r="J74" s="35">
        <f>IF(I74=1,J73+1,0)</f>
        <v>0</v>
      </c>
      <c r="K74" s="35">
        <f>IF(G74="","",COUNTIF($N$27:$N$30,"&lt;="&amp;G74))</f>
        <v>4</v>
      </c>
      <c r="L74" s="38" t="n"/>
      <c r="M74" s="38" t="n"/>
      <c r="N74" s="38" t="n"/>
      <c r="O74" s="38" t="n"/>
    </row>
    <row r="75">
      <c r="A75" s="38" t="n"/>
      <c r="B75" s="38" t="n"/>
      <c r="C75" s="38" t="n"/>
      <c r="D75" s="38" t="n"/>
      <c r="E75" s="38" t="n"/>
      <c r="F75" s="32" t="n">
        <v>49</v>
      </c>
      <c r="G75" s="33">
        <f>IF(ISNUMBER('記入例_年間カレンダー'!$B$4),IF('記入例_年間カレンダー'!$B$4+336&lt;='記入例_年間カレンダー'!$B$5,'記入例_年間カレンダー'!$B$4+336,""),"")</f>
        <v>46632</v>
      </c>
      <c r="H75" s="34">
        <f>IF(G75="","",SUMIF('記入例_年間カレンダー'!$H$12:$H$377,F75,'記入例_年間カレンダー'!$G$12:$G$377))</f>
        <v>40</v>
      </c>
      <c r="I75" s="35">
        <f>IF(G75="",0,IF(H75&gt;48,1,0))</f>
        <v>0</v>
      </c>
      <c r="J75" s="35">
        <f>IF(I75=1,J74+1,0)</f>
        <v>0</v>
      </c>
      <c r="K75" s="35">
        <f>IF(G75="","",COUNTIF($N$27:$N$30,"&lt;="&amp;G75))</f>
        <v>4</v>
      </c>
      <c r="L75" s="38" t="n"/>
      <c r="M75" s="38" t="n"/>
      <c r="N75" s="38" t="n"/>
      <c r="O75" s="38" t="n"/>
    </row>
    <row r="76">
      <c r="A76" s="38" t="n"/>
      <c r="B76" s="38" t="n"/>
      <c r="C76" s="38" t="n"/>
      <c r="D76" s="38" t="n"/>
      <c r="E76" s="38" t="n"/>
      <c r="F76" s="32" t="n">
        <v>50</v>
      </c>
      <c r="G76" s="33">
        <f>IF(ISNUMBER('記入例_年間カレンダー'!$B$4),IF('記入例_年間カレンダー'!$B$4+343&lt;='記入例_年間カレンダー'!$B$5,'記入例_年間カレンダー'!$B$4+343,""),"")</f>
        <v>46639</v>
      </c>
      <c r="H76" s="34">
        <f>IF(G76="","",SUMIF('記入例_年間カレンダー'!$H$12:$H$377,F76,'記入例_年間カレンダー'!$G$12:$G$377))</f>
        <v>40</v>
      </c>
      <c r="I76" s="35">
        <f>IF(G76="",0,IF(H76&gt;48,1,0))</f>
        <v>0</v>
      </c>
      <c r="J76" s="35">
        <f>IF(I76=1,J75+1,0)</f>
        <v>0</v>
      </c>
      <c r="K76" s="35">
        <f>IF(G76="","",COUNTIF($N$27:$N$30,"&lt;="&amp;G76))</f>
        <v>4</v>
      </c>
      <c r="L76" s="38" t="n"/>
      <c r="M76" s="38" t="n"/>
      <c r="N76" s="38" t="n"/>
      <c r="O76" s="38" t="n"/>
    </row>
    <row r="77">
      <c r="A77" s="38" t="n"/>
      <c r="B77" s="38" t="n"/>
      <c r="C77" s="38" t="n"/>
      <c r="D77" s="38" t="n"/>
      <c r="E77" s="38" t="n"/>
      <c r="F77" s="32" t="n">
        <v>51</v>
      </c>
      <c r="G77" s="33">
        <f>IF(ISNUMBER('記入例_年間カレンダー'!$B$4),IF('記入例_年間カレンダー'!$B$4+350&lt;='記入例_年間カレンダー'!$B$5,'記入例_年間カレンダー'!$B$4+350,""),"")</f>
        <v>46646</v>
      </c>
      <c r="H77" s="34">
        <f>IF(G77="","",SUMIF('記入例_年間カレンダー'!$H$12:$H$377,F77,'記入例_年間カレンダー'!$G$12:$G$377))</f>
        <v>40</v>
      </c>
      <c r="I77" s="35">
        <f>IF(G77="",0,IF(H77&gt;48,1,0))</f>
        <v>0</v>
      </c>
      <c r="J77" s="35">
        <f>IF(I77=1,J76+1,0)</f>
        <v>0</v>
      </c>
      <c r="K77" s="35">
        <f>IF(G77="","",COUNTIF($N$27:$N$30,"&lt;="&amp;G77))</f>
        <v>4</v>
      </c>
      <c r="L77" s="38" t="n"/>
      <c r="M77" s="38" t="n"/>
      <c r="N77" s="38" t="n"/>
      <c r="O77" s="38" t="n"/>
    </row>
    <row r="78">
      <c r="A78" s="38" t="n"/>
      <c r="B78" s="38" t="n"/>
      <c r="C78" s="38" t="n"/>
      <c r="D78" s="38" t="n"/>
      <c r="E78" s="38" t="n"/>
      <c r="F78" s="32" t="n">
        <v>52</v>
      </c>
      <c r="G78" s="33">
        <f>IF(ISNUMBER('記入例_年間カレンダー'!$B$4),IF('記入例_年間カレンダー'!$B$4+357&lt;='記入例_年間カレンダー'!$B$5,'記入例_年間カレンダー'!$B$4+357,""),"")</f>
        <v>46653</v>
      </c>
      <c r="H78" s="34">
        <f>IF(G78="","",SUMIF('記入例_年間カレンダー'!$H$12:$H$377,F78,'記入例_年間カレンダー'!$G$12:$G$377))</f>
        <v>40</v>
      </c>
      <c r="I78" s="35">
        <f>IF(G78="",0,IF(H78&gt;48,1,0))</f>
        <v>0</v>
      </c>
      <c r="J78" s="35">
        <f>IF(I78=1,J77+1,0)</f>
        <v>0</v>
      </c>
      <c r="K78" s="35">
        <f>IF(G78="","",COUNTIF($N$27:$N$30,"&lt;="&amp;G78))</f>
        <v>4</v>
      </c>
      <c r="L78" s="38" t="n"/>
      <c r="M78" s="38" t="n"/>
      <c r="N78" s="38" t="n"/>
      <c r="O78" s="38" t="n"/>
    </row>
    <row r="79">
      <c r="A79" s="38" t="n"/>
      <c r="B79" s="38" t="n"/>
      <c r="C79" s="38" t="n"/>
      <c r="D79" s="38" t="n"/>
      <c r="E79" s="38" t="n"/>
      <c r="F79" s="32" t="n">
        <v>53</v>
      </c>
      <c r="G79" s="33">
        <f>IF(ISNUMBER('記入例_年間カレンダー'!$B$4),IF('記入例_年間カレンダー'!$B$4+364&lt;='記入例_年間カレンダー'!$B$5,'記入例_年間カレンダー'!$B$4+364,""),"")</f>
        <v>46660</v>
      </c>
      <c r="H79" s="34">
        <f>IF(G79="","",SUMIF('記入例_年間カレンダー'!$H$12:$H$377,F79,'記入例_年間カレンダー'!$G$12:$G$377))</f>
        <v>8</v>
      </c>
      <c r="I79" s="35">
        <f>IF(G79="",0,IF(H79&gt;48,1,0))</f>
        <v>0</v>
      </c>
      <c r="J79" s="35">
        <f>IF(I79=1,J78+1,0)</f>
        <v>0</v>
      </c>
      <c r="K79" s="35">
        <f>IF(G79="","",COUNTIF($N$27:$N$30,"&lt;="&amp;G79))</f>
        <v>4</v>
      </c>
      <c r="L79" s="38" t="n"/>
      <c r="M79" s="38" t="n"/>
      <c r="N79" s="38" t="n"/>
      <c r="O79" s="38" t="n"/>
    </row>
  </sheetData>
  <mergeCells count="2">
    <mergeCell ref="A19:D23"/>
    <mergeCell ref="A2:D2"/>
  </mergeCells>
  <conditionalFormatting sqref="D9:D17">
    <cfRule type="expression" priority="1" dxfId="0">
      <formula>LEFT(D9,3)="範囲内"</formula>
    </cfRule>
    <cfRule type="expression" priority="2" dxfId="1">
      <formula>LEFT(D9,2)="超過"</formula>
    </cfRule>
    <cfRule type="expression" priority="3" dxfId="2">
      <formula>LEFT(D9,3)="要確認"</formula>
    </cfRule>
  </conditionalFormatting>
  <pageMargins left="0.75" right="0.75" top="0.5" bottom="0.5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2026-10-18T13:43:18Z</dcterms:created>
  <dcterms:modified xmlns:dcterms="http://purl.org/dc/terms/" xmlns:xsi="http://www.w3.org/2001/XMLSchema-instance" xsi:type="dcterms:W3CDTF">2026-10-18T13:43:24Z</dcterms:modified>
</cp:coreProperties>
</file>